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MG1145\Documents\tracker\"/>
    </mc:Choice>
  </mc:AlternateContent>
  <xr:revisionPtr revIDLastSave="0" documentId="13_ncr:1_{3B0C93CE-7984-4D6F-9EC7-5284D0060F41}" xr6:coauthVersionLast="45" xr6:coauthVersionMax="45" xr10:uidLastSave="{00000000-0000-0000-0000-000000000000}"/>
  <bookViews>
    <workbookView xWindow="-28920" yWindow="30" windowWidth="29040" windowHeight="15840" activeTab="2" xr2:uid="{00000000-000D-0000-FFFF-FFFF00000000}"/>
  </bookViews>
  <sheets>
    <sheet name="assumption" sheetId="12" r:id="rId1"/>
    <sheet name="companies" sheetId="15" r:id="rId2"/>
    <sheet name="targets" sheetId="21" r:id="rId3"/>
    <sheet name="grouping" sheetId="16" r:id="rId4"/>
    <sheet name="financials" sheetId="18" r:id="rId5"/>
    <sheet name="GHG19" sheetId="19" r:id="rId6"/>
    <sheet name="sources" sheetId="20" r:id="rId7"/>
    <sheet name="company" sheetId="9" r:id="rId8"/>
    <sheet name="sector" sheetId="10" r:id="rId9"/>
    <sheet name="Sheet1" sheetId="14" r:id="rId10"/>
  </sheets>
  <definedNames>
    <definedName name="_xlnm._FilterDatabase" localSheetId="1" hidden="1">companies!$A$1:$E$101</definedName>
    <definedName name="_xlnm._FilterDatabase" localSheetId="7" hidden="1">company!$A$1:$BC$101</definedName>
    <definedName name="_xlnm._FilterDatabase" localSheetId="4" hidden="1">financials!$A$1:$F$101</definedName>
    <definedName name="_xlnm._FilterDatabase" localSheetId="5" hidden="1">'GHG19'!$A$1:$BI$101</definedName>
    <definedName name="_xlnm._FilterDatabase" localSheetId="3" hidden="1">grouping!$A$1:$L$101</definedName>
    <definedName name="_xlnm._FilterDatabase" localSheetId="2" hidden="1">targets!$A$1:$U$161</definedName>
    <definedName name="_xlcn.WorksheetConnection_CompanyTracker_MengSustainabilityProject.xlsxTable11" hidden="1">Table1[]</definedName>
    <definedName name="k_cost">assumption!$B$2</definedName>
    <definedName name="k_rev_max">assumption!$B$3</definedName>
  </definedNames>
  <calcPr calcId="191029"/>
  <extLst>
    <ext xmlns:x15="http://schemas.microsoft.com/office/spreadsheetml/2010/11/main" uri="{FCE2AD5D-F65C-4FA6-A056-5C36A1767C68}">
      <x15:dataModel>
        <x15:modelTables>
          <x15:modelTable id="Table1" name="Table1" connection="WorksheetConnection_Company Tracker _ Meng Sustainability Projec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14" l="1"/>
  <c r="D1" i="14" s="1"/>
  <c r="C26" i="14"/>
  <c r="D26" i="14" s="1"/>
  <c r="C25" i="14"/>
  <c r="D25" i="14" s="1"/>
  <c r="C24" i="14"/>
  <c r="D24" i="14" s="1"/>
  <c r="C23" i="14"/>
  <c r="D23" i="14" s="1"/>
  <c r="C22" i="14"/>
  <c r="D22" i="14" s="1"/>
  <c r="C21" i="14"/>
  <c r="D21" i="14" s="1"/>
  <c r="C20" i="14"/>
  <c r="D20" i="14" s="1"/>
  <c r="C19" i="14"/>
  <c r="D19" i="14" s="1"/>
  <c r="C18" i="14"/>
  <c r="D18" i="14" s="1"/>
  <c r="C17" i="14"/>
  <c r="D17" i="14" s="1"/>
  <c r="C16" i="14"/>
  <c r="D16" i="14" s="1"/>
  <c r="C15" i="14"/>
  <c r="D15" i="14" s="1"/>
  <c r="C14" i="14"/>
  <c r="D14" i="14" s="1"/>
  <c r="C13" i="14"/>
  <c r="D13" i="14" s="1"/>
  <c r="C12" i="14"/>
  <c r="D12" i="14" s="1"/>
  <c r="C11" i="14"/>
  <c r="D11" i="14" s="1"/>
  <c r="C10" i="14"/>
  <c r="D10" i="14" s="1"/>
  <c r="C9" i="14"/>
  <c r="D9" i="14" s="1"/>
  <c r="C8" i="14"/>
  <c r="D8" i="14" s="1"/>
  <c r="C7" i="14"/>
  <c r="D7" i="14" s="1"/>
  <c r="C6" i="14"/>
  <c r="D6" i="14" s="1"/>
  <c r="C5" i="14"/>
  <c r="D5" i="14" s="1"/>
  <c r="C4" i="14"/>
  <c r="D4" i="14" s="1"/>
  <c r="C3" i="14"/>
  <c r="D3" i="14" s="1"/>
  <c r="C2" i="14"/>
  <c r="D2" i="14" s="1"/>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3" i="20"/>
  <c r="W100" i="19" l="1"/>
  <c r="W98" i="19"/>
  <c r="W96" i="19"/>
  <c r="W94" i="19"/>
  <c r="W92" i="19"/>
  <c r="W90" i="19"/>
  <c r="W88" i="19"/>
  <c r="W86" i="19"/>
  <c r="W84" i="19"/>
  <c r="W82" i="19"/>
  <c r="W79" i="19"/>
  <c r="W74" i="19"/>
  <c r="W71" i="19"/>
  <c r="W70" i="19"/>
  <c r="W66" i="19"/>
  <c r="W58" i="19"/>
  <c r="W56" i="19"/>
  <c r="W54" i="19"/>
  <c r="W48" i="19"/>
  <c r="W44" i="19"/>
  <c r="W43" i="19"/>
  <c r="W42" i="19"/>
  <c r="W41" i="19"/>
  <c r="W36" i="19"/>
  <c r="W27" i="19"/>
  <c r="W26" i="19"/>
  <c r="W25" i="19"/>
  <c r="W23" i="19"/>
  <c r="W22" i="19"/>
  <c r="W21" i="19"/>
  <c r="W19" i="19"/>
  <c r="W18" i="19"/>
  <c r="W17" i="19"/>
  <c r="W16" i="19"/>
  <c r="W15" i="19"/>
  <c r="W13" i="19"/>
  <c r="W11" i="19"/>
  <c r="W10" i="19"/>
  <c r="W9" i="19"/>
  <c r="W8" i="19"/>
  <c r="W7" i="19"/>
  <c r="W5" i="19"/>
  <c r="W2" i="19"/>
  <c r="AR101" i="19"/>
  <c r="AR100" i="19"/>
  <c r="AR99" i="19"/>
  <c r="AR98" i="19"/>
  <c r="AR97" i="19"/>
  <c r="AR96" i="19"/>
  <c r="AR95" i="19"/>
  <c r="AR94" i="19"/>
  <c r="AR93" i="19"/>
  <c r="AR92" i="19"/>
  <c r="AR91" i="19"/>
  <c r="AR90" i="19"/>
  <c r="AR89" i="19"/>
  <c r="AR88" i="19"/>
  <c r="AR87" i="19"/>
  <c r="AR86" i="19"/>
  <c r="AR85" i="19"/>
  <c r="AR84" i="19"/>
  <c r="AR83" i="19"/>
  <c r="AR82" i="19"/>
  <c r="AR81" i="19"/>
  <c r="AR80" i="19"/>
  <c r="AR79" i="19"/>
  <c r="AR78" i="19"/>
  <c r="AR77" i="19"/>
  <c r="AR76" i="19"/>
  <c r="AR75" i="19"/>
  <c r="AR74" i="19"/>
  <c r="AR73" i="19"/>
  <c r="AR72" i="19"/>
  <c r="AR71" i="19"/>
  <c r="AR70" i="19"/>
  <c r="AR69" i="19"/>
  <c r="AR68" i="19"/>
  <c r="AR67" i="19"/>
  <c r="AR66" i="19"/>
  <c r="AR65" i="19"/>
  <c r="AR64" i="19"/>
  <c r="AR63" i="19"/>
  <c r="AR62" i="19"/>
  <c r="AR61" i="19"/>
  <c r="AR60" i="19"/>
  <c r="AR59" i="19"/>
  <c r="AR58" i="19"/>
  <c r="AR57" i="19"/>
  <c r="AR56" i="19"/>
  <c r="AR55" i="19"/>
  <c r="AR54" i="19"/>
  <c r="AR53" i="19"/>
  <c r="AR52" i="19"/>
  <c r="AR51" i="19"/>
  <c r="AR50" i="19"/>
  <c r="AR49" i="19"/>
  <c r="AR48" i="19"/>
  <c r="AR47" i="19"/>
  <c r="AR46" i="19"/>
  <c r="AR45" i="19"/>
  <c r="AR44" i="19"/>
  <c r="AR43" i="19"/>
  <c r="AR42" i="19"/>
  <c r="AR41" i="19"/>
  <c r="AR40" i="19"/>
  <c r="AR39" i="19"/>
  <c r="AR38" i="19"/>
  <c r="AR37" i="19"/>
  <c r="AR36" i="19"/>
  <c r="AR35" i="19"/>
  <c r="AR34" i="19"/>
  <c r="AR33" i="19"/>
  <c r="AR32" i="19"/>
  <c r="AR31" i="19"/>
  <c r="AR30" i="19"/>
  <c r="AR29" i="19"/>
  <c r="AR28" i="19"/>
  <c r="AR27" i="19"/>
  <c r="AR26" i="19"/>
  <c r="AR25" i="19"/>
  <c r="AR24" i="19"/>
  <c r="AR23" i="19"/>
  <c r="AR22" i="19"/>
  <c r="AR21" i="19"/>
  <c r="AR20" i="19"/>
  <c r="AR19" i="19"/>
  <c r="AR18" i="19"/>
  <c r="AR17" i="19"/>
  <c r="AR16" i="19"/>
  <c r="AR15" i="19"/>
  <c r="AR14" i="19"/>
  <c r="AR13" i="19"/>
  <c r="AR12" i="19"/>
  <c r="AR11" i="19"/>
  <c r="AR10" i="19"/>
  <c r="AR9" i="19"/>
  <c r="AR8" i="19"/>
  <c r="AR7" i="19"/>
  <c r="AR6" i="19"/>
  <c r="AR5" i="19"/>
  <c r="AR4" i="19"/>
  <c r="AR3" i="19"/>
  <c r="AR2" i="19"/>
  <c r="AM101" i="19"/>
  <c r="AP101" i="19" s="1"/>
  <c r="AQ101" i="19" s="1"/>
  <c r="AM100" i="19"/>
  <c r="AP100" i="19" s="1"/>
  <c r="AQ100" i="19" s="1"/>
  <c r="AM99" i="19"/>
  <c r="AN99" i="19" s="1"/>
  <c r="AO99" i="19" s="1"/>
  <c r="AM98" i="19"/>
  <c r="AP98" i="19" s="1"/>
  <c r="AQ98" i="19" s="1"/>
  <c r="AM97" i="19"/>
  <c r="AP97" i="19" s="1"/>
  <c r="AQ97" i="19" s="1"/>
  <c r="AM96" i="19"/>
  <c r="AP96" i="19" s="1"/>
  <c r="AQ96" i="19" s="1"/>
  <c r="AM95" i="19"/>
  <c r="AP95" i="19" s="1"/>
  <c r="AQ95" i="19" s="1"/>
  <c r="AM94" i="19"/>
  <c r="AP94" i="19" s="1"/>
  <c r="AQ94" i="19" s="1"/>
  <c r="AM93" i="19"/>
  <c r="AP93" i="19" s="1"/>
  <c r="AQ93" i="19" s="1"/>
  <c r="AM92" i="19"/>
  <c r="AP92" i="19" s="1"/>
  <c r="AQ92" i="19" s="1"/>
  <c r="AM91" i="19"/>
  <c r="AP91" i="19" s="1"/>
  <c r="AQ91" i="19" s="1"/>
  <c r="AM90" i="19"/>
  <c r="AN90" i="19" s="1"/>
  <c r="AO90" i="19" s="1"/>
  <c r="AM89" i="19"/>
  <c r="AP89" i="19" s="1"/>
  <c r="AQ89" i="19" s="1"/>
  <c r="AM88" i="19"/>
  <c r="AN88" i="19" s="1"/>
  <c r="AO88" i="19" s="1"/>
  <c r="AM87" i="19"/>
  <c r="AP87" i="19" s="1"/>
  <c r="AQ87" i="19" s="1"/>
  <c r="AM86" i="19"/>
  <c r="AP86" i="19" s="1"/>
  <c r="AQ86" i="19" s="1"/>
  <c r="AM85" i="19"/>
  <c r="AP85" i="19" s="1"/>
  <c r="AQ85" i="19" s="1"/>
  <c r="AM84" i="19"/>
  <c r="AP84" i="19" s="1"/>
  <c r="AQ84" i="19" s="1"/>
  <c r="AM83" i="19"/>
  <c r="AN83" i="19" s="1"/>
  <c r="AO83" i="19" s="1"/>
  <c r="AM82" i="19"/>
  <c r="AP82" i="19" s="1"/>
  <c r="AQ82" i="19" s="1"/>
  <c r="AM81" i="19"/>
  <c r="AN81" i="19" s="1"/>
  <c r="AO81" i="19" s="1"/>
  <c r="AM80" i="19"/>
  <c r="AP80" i="19" s="1"/>
  <c r="AQ80" i="19" s="1"/>
  <c r="AM79" i="19"/>
  <c r="AP79" i="19" s="1"/>
  <c r="AQ79" i="19" s="1"/>
  <c r="AM78" i="19"/>
  <c r="AP78" i="19" s="1"/>
  <c r="AQ78" i="19" s="1"/>
  <c r="AM77" i="19"/>
  <c r="AP77" i="19" s="1"/>
  <c r="AQ77" i="19" s="1"/>
  <c r="AM76" i="19"/>
  <c r="AN76" i="19" s="1"/>
  <c r="AO76" i="19" s="1"/>
  <c r="AM75" i="19"/>
  <c r="AP75" i="19" s="1"/>
  <c r="AQ75" i="19" s="1"/>
  <c r="AM74" i="19"/>
  <c r="AN74" i="19" s="1"/>
  <c r="AO74" i="19" s="1"/>
  <c r="AM73" i="19"/>
  <c r="AP73" i="19" s="1"/>
  <c r="AQ73" i="19" s="1"/>
  <c r="AM72" i="19"/>
  <c r="AP72" i="19" s="1"/>
  <c r="AQ72" i="19" s="1"/>
  <c r="AM71" i="19"/>
  <c r="AP71" i="19" s="1"/>
  <c r="AQ71" i="19" s="1"/>
  <c r="AM70" i="19"/>
  <c r="AP70" i="19" s="1"/>
  <c r="AQ70" i="19" s="1"/>
  <c r="AM69" i="19"/>
  <c r="AP69" i="19" s="1"/>
  <c r="AQ69" i="19" s="1"/>
  <c r="AM68" i="19"/>
  <c r="AP68" i="19" s="1"/>
  <c r="AQ68" i="19" s="1"/>
  <c r="AM67" i="19"/>
  <c r="AN67" i="19" s="1"/>
  <c r="AO67" i="19" s="1"/>
  <c r="AM66" i="19"/>
  <c r="AP66" i="19" s="1"/>
  <c r="AQ66" i="19" s="1"/>
  <c r="AM65" i="19"/>
  <c r="AP65" i="19" s="1"/>
  <c r="AQ65" i="19" s="1"/>
  <c r="AM64" i="19"/>
  <c r="AP64" i="19" s="1"/>
  <c r="AQ64" i="19" s="1"/>
  <c r="AM63" i="19"/>
  <c r="AP63" i="19" s="1"/>
  <c r="AQ63" i="19" s="1"/>
  <c r="AM62" i="19"/>
  <c r="AP62" i="19" s="1"/>
  <c r="AQ62" i="19" s="1"/>
  <c r="AM61" i="19"/>
  <c r="AN61" i="19" s="1"/>
  <c r="AO61" i="19" s="1"/>
  <c r="AM60" i="19"/>
  <c r="AP60" i="19" s="1"/>
  <c r="AQ60" i="19" s="1"/>
  <c r="AM59" i="19"/>
  <c r="AP59" i="19" s="1"/>
  <c r="AQ59" i="19" s="1"/>
  <c r="AM58" i="19"/>
  <c r="AP58" i="19" s="1"/>
  <c r="AQ58" i="19" s="1"/>
  <c r="AM57" i="19"/>
  <c r="AP57" i="19" s="1"/>
  <c r="AQ57" i="19" s="1"/>
  <c r="AM56" i="19"/>
  <c r="AP56" i="19" s="1"/>
  <c r="AQ56" i="19" s="1"/>
  <c r="AM55" i="19"/>
  <c r="AP55" i="19" s="1"/>
  <c r="AQ55" i="19" s="1"/>
  <c r="AM54" i="19"/>
  <c r="AP54" i="19" s="1"/>
  <c r="AQ54" i="19" s="1"/>
  <c r="AM53" i="19"/>
  <c r="AP53" i="19" s="1"/>
  <c r="AQ53" i="19" s="1"/>
  <c r="AM52" i="19"/>
  <c r="AN52" i="19" s="1"/>
  <c r="AO52" i="19" s="1"/>
  <c r="AM51" i="19"/>
  <c r="AP51" i="19" s="1"/>
  <c r="AQ51" i="19" s="1"/>
  <c r="AM50" i="19"/>
  <c r="AP50" i="19" s="1"/>
  <c r="AQ50" i="19" s="1"/>
  <c r="AM49" i="19"/>
  <c r="AP49" i="19" s="1"/>
  <c r="AQ49" i="19" s="1"/>
  <c r="AM48" i="19"/>
  <c r="AP48" i="19" s="1"/>
  <c r="AQ48" i="19" s="1"/>
  <c r="AM47" i="19"/>
  <c r="AP47" i="19" s="1"/>
  <c r="AQ47" i="19" s="1"/>
  <c r="AM46" i="19"/>
  <c r="AP46" i="19" s="1"/>
  <c r="AQ46" i="19" s="1"/>
  <c r="AM45" i="19"/>
  <c r="AP45" i="19" s="1"/>
  <c r="AQ45" i="19" s="1"/>
  <c r="AM44" i="19"/>
  <c r="AP44" i="19" s="1"/>
  <c r="AQ44" i="19" s="1"/>
  <c r="AM43" i="19"/>
  <c r="AP43" i="19" s="1"/>
  <c r="AQ43" i="19" s="1"/>
  <c r="AM42" i="19"/>
  <c r="AP42" i="19" s="1"/>
  <c r="AQ42" i="19" s="1"/>
  <c r="AM41" i="19"/>
  <c r="AP41" i="19" s="1"/>
  <c r="AQ41" i="19" s="1"/>
  <c r="AM40" i="19"/>
  <c r="AP40" i="19" s="1"/>
  <c r="AQ40" i="19" s="1"/>
  <c r="AM39" i="19"/>
  <c r="AP39" i="19" s="1"/>
  <c r="AQ39" i="19" s="1"/>
  <c r="AM38" i="19"/>
  <c r="AP38" i="19" s="1"/>
  <c r="AQ38" i="19" s="1"/>
  <c r="AM37" i="19"/>
  <c r="AN37" i="19" s="1"/>
  <c r="AO37" i="19" s="1"/>
  <c r="AM36" i="19"/>
  <c r="AP36" i="19" s="1"/>
  <c r="AQ36" i="19" s="1"/>
  <c r="AM35" i="19"/>
  <c r="AP35" i="19" s="1"/>
  <c r="AQ35" i="19" s="1"/>
  <c r="AM34" i="19"/>
  <c r="AP34" i="19" s="1"/>
  <c r="AQ34" i="19" s="1"/>
  <c r="AM33" i="19"/>
  <c r="AN33" i="19" s="1"/>
  <c r="AO33" i="19" s="1"/>
  <c r="AM32" i="19"/>
  <c r="AP32" i="19" s="1"/>
  <c r="AQ32" i="19" s="1"/>
  <c r="AM31" i="19"/>
  <c r="AP31" i="19" s="1"/>
  <c r="AQ31" i="19" s="1"/>
  <c r="AM30" i="19"/>
  <c r="AP30" i="19" s="1"/>
  <c r="AQ30" i="19" s="1"/>
  <c r="AM29" i="19"/>
  <c r="AP29" i="19" s="1"/>
  <c r="AQ29" i="19" s="1"/>
  <c r="AM28" i="19"/>
  <c r="AP28" i="19" s="1"/>
  <c r="AQ28" i="19" s="1"/>
  <c r="AM27" i="19"/>
  <c r="AP27" i="19" s="1"/>
  <c r="AQ27" i="19" s="1"/>
  <c r="AM26" i="19"/>
  <c r="AN26" i="19" s="1"/>
  <c r="AO26" i="19" s="1"/>
  <c r="AM25" i="19"/>
  <c r="AP25" i="19" s="1"/>
  <c r="AQ25" i="19" s="1"/>
  <c r="AM24" i="19"/>
  <c r="AM23" i="19"/>
  <c r="AP23" i="19" s="1"/>
  <c r="AQ23" i="19" s="1"/>
  <c r="AM22" i="19"/>
  <c r="AP22" i="19" s="1"/>
  <c r="AQ22" i="19" s="1"/>
  <c r="AM21" i="19"/>
  <c r="AP21" i="19" s="1"/>
  <c r="AQ21" i="19" s="1"/>
  <c r="AM20" i="19"/>
  <c r="AN20" i="19" s="1"/>
  <c r="AO20" i="19" s="1"/>
  <c r="AM19" i="19"/>
  <c r="AP19" i="19" s="1"/>
  <c r="AQ19" i="19" s="1"/>
  <c r="AM18" i="19"/>
  <c r="AN18" i="19" s="1"/>
  <c r="AO18" i="19" s="1"/>
  <c r="AM17" i="19"/>
  <c r="AP17" i="19" s="1"/>
  <c r="AQ17" i="19" s="1"/>
  <c r="AM16" i="19"/>
  <c r="AP16" i="19" s="1"/>
  <c r="AQ16" i="19" s="1"/>
  <c r="AM15" i="19"/>
  <c r="AN15" i="19" s="1"/>
  <c r="AO15" i="19" s="1"/>
  <c r="AM14" i="19"/>
  <c r="AP14" i="19" s="1"/>
  <c r="AQ14" i="19" s="1"/>
  <c r="AM13" i="19"/>
  <c r="AN13" i="19" s="1"/>
  <c r="AO13" i="19" s="1"/>
  <c r="AM12" i="19"/>
  <c r="AP12" i="19" s="1"/>
  <c r="AQ12" i="19" s="1"/>
  <c r="AM11" i="19"/>
  <c r="AP11" i="19" s="1"/>
  <c r="AQ11" i="19" s="1"/>
  <c r="AM10" i="19"/>
  <c r="AP10" i="19" s="1"/>
  <c r="AQ10" i="19" s="1"/>
  <c r="AM9" i="19"/>
  <c r="AP9" i="19" s="1"/>
  <c r="AQ9" i="19" s="1"/>
  <c r="AM8" i="19"/>
  <c r="AP8" i="19" s="1"/>
  <c r="AQ8" i="19" s="1"/>
  <c r="AM7" i="19"/>
  <c r="AP7" i="19" s="1"/>
  <c r="AQ7" i="19" s="1"/>
  <c r="AM6" i="19"/>
  <c r="AP6" i="19" s="1"/>
  <c r="AQ6" i="19" s="1"/>
  <c r="AM5" i="19"/>
  <c r="AN5" i="19" s="1"/>
  <c r="AO5" i="19" s="1"/>
  <c r="AM4" i="19"/>
  <c r="AP4" i="19" s="1"/>
  <c r="AQ4" i="19" s="1"/>
  <c r="AM3" i="19"/>
  <c r="AP3" i="19" s="1"/>
  <c r="AQ3" i="19" s="1"/>
  <c r="AM2" i="19"/>
  <c r="AN2" i="19" s="1"/>
  <c r="AF3" i="19"/>
  <c r="AG3" i="19" s="1"/>
  <c r="AH3" i="19" s="1"/>
  <c r="AF4" i="19"/>
  <c r="AG4" i="19" s="1"/>
  <c r="AH4" i="19" s="1"/>
  <c r="AF5" i="19"/>
  <c r="AG5" i="19" s="1"/>
  <c r="AH5" i="19" s="1"/>
  <c r="AF6" i="19"/>
  <c r="AG6" i="19" s="1"/>
  <c r="AH6" i="19" s="1"/>
  <c r="AF7" i="19"/>
  <c r="AG7" i="19" s="1"/>
  <c r="AH7" i="19" s="1"/>
  <c r="AF8" i="19"/>
  <c r="AG8" i="19" s="1"/>
  <c r="AH8" i="19" s="1"/>
  <c r="AF9" i="19"/>
  <c r="AF10" i="19"/>
  <c r="AG10" i="19" s="1"/>
  <c r="AH10" i="19" s="1"/>
  <c r="AF11" i="19"/>
  <c r="AG11" i="19" s="1"/>
  <c r="AH11" i="19" s="1"/>
  <c r="AF12" i="19"/>
  <c r="AG12" i="19" s="1"/>
  <c r="AH12" i="19" s="1"/>
  <c r="AF13" i="19"/>
  <c r="AG13" i="19" s="1"/>
  <c r="AH13" i="19" s="1"/>
  <c r="AF14" i="19"/>
  <c r="AG14" i="19" s="1"/>
  <c r="AH14" i="19" s="1"/>
  <c r="AF15" i="19"/>
  <c r="AG15" i="19" s="1"/>
  <c r="AH15" i="19" s="1"/>
  <c r="AF16" i="19"/>
  <c r="AG16" i="19" s="1"/>
  <c r="AH16" i="19" s="1"/>
  <c r="AF17" i="19"/>
  <c r="AG17" i="19" s="1"/>
  <c r="AH17" i="19" s="1"/>
  <c r="AF18" i="19"/>
  <c r="AF19" i="19"/>
  <c r="AG19" i="19" s="1"/>
  <c r="AH19" i="19" s="1"/>
  <c r="AF20" i="19"/>
  <c r="AG20" i="19" s="1"/>
  <c r="AH20" i="19" s="1"/>
  <c r="AF21" i="19"/>
  <c r="AG21" i="19" s="1"/>
  <c r="AH21" i="19" s="1"/>
  <c r="AF22" i="19"/>
  <c r="AG22" i="19" s="1"/>
  <c r="AH22" i="19" s="1"/>
  <c r="AF23" i="19"/>
  <c r="AG23" i="19" s="1"/>
  <c r="AH23" i="19" s="1"/>
  <c r="AF24" i="19"/>
  <c r="AF25" i="19"/>
  <c r="AG25" i="19" s="1"/>
  <c r="AH25" i="19" s="1"/>
  <c r="AF26" i="19"/>
  <c r="AG26" i="19" s="1"/>
  <c r="AH26" i="19" s="1"/>
  <c r="AF27" i="19"/>
  <c r="AG27" i="19" s="1"/>
  <c r="AH27" i="19" s="1"/>
  <c r="AF28" i="19"/>
  <c r="AG28" i="19" s="1"/>
  <c r="AH28" i="19" s="1"/>
  <c r="AF29" i="19"/>
  <c r="AG29" i="19" s="1"/>
  <c r="AH29" i="19" s="1"/>
  <c r="AF30" i="19"/>
  <c r="AG30" i="19" s="1"/>
  <c r="AH30" i="19" s="1"/>
  <c r="AF31" i="19"/>
  <c r="AG31" i="19" s="1"/>
  <c r="AH31" i="19" s="1"/>
  <c r="AF32" i="19"/>
  <c r="AG32" i="19" s="1"/>
  <c r="AH32" i="19" s="1"/>
  <c r="AF33" i="19"/>
  <c r="AG33" i="19" s="1"/>
  <c r="AH33" i="19" s="1"/>
  <c r="AF34" i="19"/>
  <c r="AG34" i="19" s="1"/>
  <c r="AH34" i="19" s="1"/>
  <c r="AF35" i="19"/>
  <c r="AG35" i="19" s="1"/>
  <c r="AH35" i="19" s="1"/>
  <c r="AF36" i="19"/>
  <c r="AG36" i="19" s="1"/>
  <c r="AH36" i="19" s="1"/>
  <c r="AF37" i="19"/>
  <c r="AG37" i="19" s="1"/>
  <c r="AH37" i="19" s="1"/>
  <c r="AF38" i="19"/>
  <c r="AG38" i="19" s="1"/>
  <c r="AH38" i="19" s="1"/>
  <c r="AF39" i="19"/>
  <c r="AG39" i="19" s="1"/>
  <c r="AH39" i="19" s="1"/>
  <c r="AF40" i="19"/>
  <c r="AG40" i="19" s="1"/>
  <c r="AH40" i="19" s="1"/>
  <c r="AF41" i="19"/>
  <c r="AG41" i="19" s="1"/>
  <c r="AH41" i="19" s="1"/>
  <c r="AF42" i="19"/>
  <c r="AG42" i="19" s="1"/>
  <c r="AH42" i="19" s="1"/>
  <c r="AF43" i="19"/>
  <c r="AG43" i="19" s="1"/>
  <c r="AH43" i="19" s="1"/>
  <c r="AF44" i="19"/>
  <c r="AG44" i="19" s="1"/>
  <c r="AH44" i="19" s="1"/>
  <c r="AF45" i="19"/>
  <c r="AG45" i="19" s="1"/>
  <c r="AH45" i="19" s="1"/>
  <c r="AF46" i="19"/>
  <c r="AG46" i="19" s="1"/>
  <c r="AH46" i="19" s="1"/>
  <c r="AF47" i="19"/>
  <c r="AG47" i="19" s="1"/>
  <c r="AH47" i="19" s="1"/>
  <c r="AF48" i="19"/>
  <c r="AG48" i="19" s="1"/>
  <c r="AH48" i="19" s="1"/>
  <c r="AF49" i="19"/>
  <c r="AG49" i="19" s="1"/>
  <c r="AH49" i="19" s="1"/>
  <c r="AF50" i="19"/>
  <c r="AG50" i="19" s="1"/>
  <c r="AH50" i="19" s="1"/>
  <c r="AF51" i="19"/>
  <c r="AG51" i="19" s="1"/>
  <c r="AH51" i="19" s="1"/>
  <c r="AF52" i="19"/>
  <c r="AG52" i="19" s="1"/>
  <c r="AH52" i="19" s="1"/>
  <c r="AF53" i="19"/>
  <c r="AG53" i="19" s="1"/>
  <c r="AH53" i="19" s="1"/>
  <c r="AF54" i="19"/>
  <c r="AG54" i="19" s="1"/>
  <c r="AH54" i="19" s="1"/>
  <c r="AF55" i="19"/>
  <c r="AG55" i="19" s="1"/>
  <c r="AH55" i="19" s="1"/>
  <c r="AF56" i="19"/>
  <c r="AG56" i="19" s="1"/>
  <c r="AH56" i="19" s="1"/>
  <c r="AF57" i="19"/>
  <c r="AG57" i="19" s="1"/>
  <c r="AH57" i="19" s="1"/>
  <c r="AF58" i="19"/>
  <c r="AG58" i="19" s="1"/>
  <c r="AH58" i="19" s="1"/>
  <c r="AF59" i="19"/>
  <c r="AG59" i="19" s="1"/>
  <c r="AH59" i="19" s="1"/>
  <c r="AF60" i="19"/>
  <c r="AG60" i="19" s="1"/>
  <c r="AH60" i="19" s="1"/>
  <c r="AF61" i="19"/>
  <c r="AG61" i="19" s="1"/>
  <c r="AH61" i="19" s="1"/>
  <c r="AF62" i="19"/>
  <c r="AG62" i="19" s="1"/>
  <c r="AH62" i="19" s="1"/>
  <c r="AF63" i="19"/>
  <c r="AG63" i="19" s="1"/>
  <c r="AH63" i="19" s="1"/>
  <c r="AF64" i="19"/>
  <c r="AG64" i="19" s="1"/>
  <c r="AH64" i="19" s="1"/>
  <c r="AF65" i="19"/>
  <c r="AG65" i="19" s="1"/>
  <c r="AH65" i="19" s="1"/>
  <c r="AF66" i="19"/>
  <c r="AG66" i="19" s="1"/>
  <c r="AH66" i="19" s="1"/>
  <c r="AF67" i="19"/>
  <c r="AG67" i="19" s="1"/>
  <c r="AH67" i="19" s="1"/>
  <c r="AF68" i="19"/>
  <c r="AG68" i="19" s="1"/>
  <c r="AH68" i="19" s="1"/>
  <c r="AF69" i="19"/>
  <c r="AG69" i="19" s="1"/>
  <c r="AH69" i="19" s="1"/>
  <c r="AF70" i="19"/>
  <c r="AG70" i="19" s="1"/>
  <c r="AH70" i="19" s="1"/>
  <c r="AF71" i="19"/>
  <c r="AG71" i="19" s="1"/>
  <c r="AH71" i="19" s="1"/>
  <c r="AF72" i="19"/>
  <c r="AG72" i="19" s="1"/>
  <c r="AH72" i="19" s="1"/>
  <c r="AF73" i="19"/>
  <c r="AG73" i="19" s="1"/>
  <c r="AH73" i="19" s="1"/>
  <c r="AF74" i="19"/>
  <c r="AG74" i="19" s="1"/>
  <c r="AH74" i="19" s="1"/>
  <c r="AF75" i="19"/>
  <c r="AG75" i="19" s="1"/>
  <c r="AH75" i="19" s="1"/>
  <c r="AF76" i="19"/>
  <c r="AG76" i="19" s="1"/>
  <c r="AH76" i="19" s="1"/>
  <c r="AF77" i="19"/>
  <c r="AG77" i="19" s="1"/>
  <c r="AH77" i="19" s="1"/>
  <c r="AF78" i="19"/>
  <c r="AG78" i="19" s="1"/>
  <c r="AH78" i="19" s="1"/>
  <c r="AF79" i="19"/>
  <c r="AG79" i="19" s="1"/>
  <c r="AH79" i="19" s="1"/>
  <c r="AF80" i="19"/>
  <c r="AG80" i="19" s="1"/>
  <c r="AH80" i="19" s="1"/>
  <c r="AF81" i="19"/>
  <c r="AG81" i="19" s="1"/>
  <c r="AH81" i="19" s="1"/>
  <c r="AF82" i="19"/>
  <c r="AG82" i="19" s="1"/>
  <c r="AH82" i="19" s="1"/>
  <c r="AF83" i="19"/>
  <c r="AG83" i="19" s="1"/>
  <c r="AH83" i="19" s="1"/>
  <c r="AF84" i="19"/>
  <c r="AG84" i="19" s="1"/>
  <c r="AH84" i="19" s="1"/>
  <c r="AF85" i="19"/>
  <c r="AG85" i="19" s="1"/>
  <c r="AH85" i="19" s="1"/>
  <c r="AF86" i="19"/>
  <c r="AG86" i="19" s="1"/>
  <c r="AH86" i="19" s="1"/>
  <c r="AF87" i="19"/>
  <c r="AG87" i="19" s="1"/>
  <c r="AH87" i="19" s="1"/>
  <c r="AF88" i="19"/>
  <c r="AG88" i="19" s="1"/>
  <c r="AH88" i="19" s="1"/>
  <c r="AF89" i="19"/>
  <c r="AG89" i="19" s="1"/>
  <c r="AH89" i="19" s="1"/>
  <c r="AF90" i="19"/>
  <c r="AG90" i="19" s="1"/>
  <c r="AH90" i="19" s="1"/>
  <c r="AF91" i="19"/>
  <c r="AG91" i="19" s="1"/>
  <c r="AH91" i="19" s="1"/>
  <c r="AF92" i="19"/>
  <c r="AG92" i="19" s="1"/>
  <c r="AH92" i="19" s="1"/>
  <c r="AF93" i="19"/>
  <c r="AG93" i="19" s="1"/>
  <c r="AH93" i="19" s="1"/>
  <c r="AF94" i="19"/>
  <c r="AG94" i="19" s="1"/>
  <c r="AH94" i="19" s="1"/>
  <c r="AF95" i="19"/>
  <c r="AG95" i="19" s="1"/>
  <c r="AH95" i="19" s="1"/>
  <c r="AF96" i="19"/>
  <c r="AG96" i="19" s="1"/>
  <c r="AH96" i="19" s="1"/>
  <c r="AF97" i="19"/>
  <c r="AG97" i="19" s="1"/>
  <c r="AH97" i="19" s="1"/>
  <c r="AF98" i="19"/>
  <c r="AG98" i="19" s="1"/>
  <c r="AH98" i="19" s="1"/>
  <c r="AF99" i="19"/>
  <c r="AG99" i="19" s="1"/>
  <c r="AH99" i="19" s="1"/>
  <c r="AF100" i="19"/>
  <c r="AG100" i="19" s="1"/>
  <c r="AH100" i="19" s="1"/>
  <c r="AF101" i="19"/>
  <c r="AG101" i="19" s="1"/>
  <c r="AH101" i="19" s="1"/>
  <c r="AF2" i="19"/>
  <c r="AG2" i="19" s="1"/>
  <c r="AH2" i="19" s="1"/>
  <c r="AG18" i="19"/>
  <c r="AH18" i="19" s="1"/>
  <c r="AG9" i="19"/>
  <c r="AH9" i="19" s="1"/>
  <c r="AS8" i="19" l="1"/>
  <c r="AT8" i="19" s="1"/>
  <c r="AS18" i="19"/>
  <c r="AT18" i="19" s="1"/>
  <c r="AS36" i="19"/>
  <c r="AT36" i="19" s="1"/>
  <c r="AS58" i="19"/>
  <c r="AT58" i="19" s="1"/>
  <c r="AS86" i="19"/>
  <c r="AT86" i="19" s="1"/>
  <c r="AS9" i="19"/>
  <c r="AT9" i="19" s="1"/>
  <c r="AS19" i="19"/>
  <c r="AT19" i="19" s="1"/>
  <c r="AS41" i="19"/>
  <c r="AT41" i="19" s="1"/>
  <c r="AS66" i="19"/>
  <c r="AT66" i="19" s="1"/>
  <c r="AS88" i="19"/>
  <c r="AT88" i="19" s="1"/>
  <c r="AS10" i="19"/>
  <c r="AT10" i="19" s="1"/>
  <c r="AS21" i="19"/>
  <c r="AT21" i="19" s="1"/>
  <c r="AS42" i="19"/>
  <c r="AT42" i="19" s="1"/>
  <c r="AS70" i="19"/>
  <c r="AT70" i="19" s="1"/>
  <c r="AS90" i="19"/>
  <c r="AT90" i="19" s="1"/>
  <c r="AS11" i="19"/>
  <c r="AT11" i="19" s="1"/>
  <c r="AS22" i="19"/>
  <c r="AT22" i="19" s="1"/>
  <c r="AS43" i="19"/>
  <c r="AT43" i="19" s="1"/>
  <c r="AS71" i="19"/>
  <c r="AT71" i="19" s="1"/>
  <c r="AS92" i="19"/>
  <c r="AT92" i="19" s="1"/>
  <c r="AS13" i="19"/>
  <c r="AT13" i="19" s="1"/>
  <c r="AS23" i="19"/>
  <c r="AT23" i="19" s="1"/>
  <c r="AS44" i="19"/>
  <c r="AT44" i="19" s="1"/>
  <c r="AS74" i="19"/>
  <c r="AT74" i="19" s="1"/>
  <c r="AS94" i="19"/>
  <c r="AT94" i="19" s="1"/>
  <c r="AS2" i="19"/>
  <c r="AT2" i="19" s="1"/>
  <c r="AS15" i="19"/>
  <c r="AT15" i="19" s="1"/>
  <c r="AS25" i="19"/>
  <c r="AT25" i="19" s="1"/>
  <c r="AS48" i="19"/>
  <c r="AT48" i="19" s="1"/>
  <c r="AS79" i="19"/>
  <c r="AT79" i="19" s="1"/>
  <c r="AS96" i="19"/>
  <c r="AT96" i="19" s="1"/>
  <c r="AS5" i="19"/>
  <c r="AT5" i="19" s="1"/>
  <c r="AS16" i="19"/>
  <c r="AT16" i="19" s="1"/>
  <c r="AS26" i="19"/>
  <c r="AT26" i="19" s="1"/>
  <c r="AS54" i="19"/>
  <c r="AT54" i="19" s="1"/>
  <c r="AS82" i="19"/>
  <c r="AT82" i="19" s="1"/>
  <c r="AS98" i="19"/>
  <c r="AT98" i="19" s="1"/>
  <c r="AS7" i="19"/>
  <c r="AT7" i="19" s="1"/>
  <c r="AS17" i="19"/>
  <c r="AT17" i="19" s="1"/>
  <c r="AS27" i="19"/>
  <c r="AT27" i="19" s="1"/>
  <c r="AS56" i="19"/>
  <c r="AT56" i="19" s="1"/>
  <c r="AS84" i="19"/>
  <c r="AT84" i="19" s="1"/>
  <c r="AS100" i="19"/>
  <c r="AT100" i="19" s="1"/>
  <c r="AP18" i="19"/>
  <c r="AQ18" i="19" s="1"/>
  <c r="AP2" i="19"/>
  <c r="AQ2" i="19" s="1"/>
  <c r="AP61" i="19"/>
  <c r="AQ61" i="19" s="1"/>
  <c r="AP90" i="19"/>
  <c r="AQ90" i="19" s="1"/>
  <c r="AN93" i="19"/>
  <c r="AO93" i="19" s="1"/>
  <c r="AP83" i="19"/>
  <c r="AQ83" i="19" s="1"/>
  <c r="AP13" i="19"/>
  <c r="AQ13" i="19" s="1"/>
  <c r="AP37" i="19"/>
  <c r="AQ37" i="19" s="1"/>
  <c r="AN85" i="19"/>
  <c r="AO85" i="19" s="1"/>
  <c r="AN11" i="19"/>
  <c r="AO11" i="19" s="1"/>
  <c r="AN35" i="19"/>
  <c r="AO35" i="19" s="1"/>
  <c r="AP15" i="19"/>
  <c r="AQ15" i="19" s="1"/>
  <c r="AN40" i="19"/>
  <c r="AO40" i="19" s="1"/>
  <c r="AN66" i="19"/>
  <c r="AO66" i="19" s="1"/>
  <c r="AP88" i="19"/>
  <c r="AQ88" i="19" s="1"/>
  <c r="AP67" i="19"/>
  <c r="AQ67" i="19" s="1"/>
  <c r="AN48" i="19"/>
  <c r="AO48" i="19" s="1"/>
  <c r="AP26" i="19"/>
  <c r="AQ26" i="19" s="1"/>
  <c r="AN50" i="19"/>
  <c r="AO50" i="19" s="1"/>
  <c r="AN72" i="19"/>
  <c r="AO72" i="19" s="1"/>
  <c r="AN4" i="19"/>
  <c r="AO4" i="19" s="1"/>
  <c r="AN29" i="19"/>
  <c r="AO29" i="19" s="1"/>
  <c r="AP74" i="19"/>
  <c r="AQ74" i="19" s="1"/>
  <c r="AN98" i="19"/>
  <c r="AO98" i="19" s="1"/>
  <c r="AN43" i="19"/>
  <c r="AO43" i="19" s="1"/>
  <c r="AP5" i="19"/>
  <c r="AQ5" i="19" s="1"/>
  <c r="AN31" i="19"/>
  <c r="AO31" i="19" s="1"/>
  <c r="AN59" i="19"/>
  <c r="AO59" i="19" s="1"/>
  <c r="AP99" i="19"/>
  <c r="AQ99" i="19" s="1"/>
  <c r="AN10" i="19"/>
  <c r="AO10" i="19" s="1"/>
  <c r="AN19" i="19"/>
  <c r="AO19" i="19" s="1"/>
  <c r="AN34" i="19"/>
  <c r="AO34" i="19" s="1"/>
  <c r="AN53" i="19"/>
  <c r="AO53" i="19" s="1"/>
  <c r="AN58" i="19"/>
  <c r="AO58" i="19" s="1"/>
  <c r="AN62" i="19"/>
  <c r="AO62" i="19" s="1"/>
  <c r="AN71" i="19"/>
  <c r="AO71" i="19" s="1"/>
  <c r="AN75" i="19"/>
  <c r="AO75" i="19" s="1"/>
  <c r="AN80" i="19"/>
  <c r="AO80" i="19" s="1"/>
  <c r="AN84" i="19"/>
  <c r="AO84" i="19" s="1"/>
  <c r="AP33" i="19"/>
  <c r="AQ33" i="19" s="1"/>
  <c r="AP52" i="19"/>
  <c r="AQ52" i="19" s="1"/>
  <c r="AN44" i="19"/>
  <c r="AO44" i="19" s="1"/>
  <c r="AN16" i="19"/>
  <c r="AO16" i="19" s="1"/>
  <c r="AP20" i="19"/>
  <c r="AQ20" i="19" s="1"/>
  <c r="AN27" i="19"/>
  <c r="AO27" i="19" s="1"/>
  <c r="AN45" i="19"/>
  <c r="AO45" i="19" s="1"/>
  <c r="AN55" i="19"/>
  <c r="AO55" i="19" s="1"/>
  <c r="AN64" i="19"/>
  <c r="AO64" i="19" s="1"/>
  <c r="AN68" i="19"/>
  <c r="AO68" i="19" s="1"/>
  <c r="AP76" i="19"/>
  <c r="AQ76" i="19" s="1"/>
  <c r="AP81" i="19"/>
  <c r="AQ81" i="19" s="1"/>
  <c r="AN91" i="19"/>
  <c r="AO91" i="19" s="1"/>
  <c r="AN96" i="19"/>
  <c r="AO96" i="19" s="1"/>
  <c r="AN100" i="19"/>
  <c r="AO100" i="19" s="1"/>
  <c r="AN12" i="19"/>
  <c r="AO12" i="19" s="1"/>
  <c r="AN21" i="19"/>
  <c r="AO21" i="19" s="1"/>
  <c r="AN32" i="19"/>
  <c r="AO32" i="19" s="1"/>
  <c r="AN36" i="19"/>
  <c r="AO36" i="19" s="1"/>
  <c r="AN51" i="19"/>
  <c r="AO51" i="19" s="1"/>
  <c r="AN60" i="19"/>
  <c r="AO60" i="19" s="1"/>
  <c r="AN73" i="19"/>
  <c r="AO73" i="19" s="1"/>
  <c r="AN77" i="19"/>
  <c r="AO77" i="19" s="1"/>
  <c r="AN82" i="19"/>
  <c r="AO82" i="19" s="1"/>
  <c r="AN3" i="19"/>
  <c r="AO3" i="19" s="1"/>
  <c r="AN8" i="19"/>
  <c r="AO8" i="19" s="1"/>
  <c r="AN28" i="19"/>
  <c r="AO28" i="19" s="1"/>
  <c r="AN42" i="19"/>
  <c r="AO42" i="19" s="1"/>
  <c r="AN56" i="19"/>
  <c r="AO56" i="19" s="1"/>
  <c r="AN65" i="19"/>
  <c r="AO65" i="19" s="1"/>
  <c r="AN69" i="19"/>
  <c r="AO69" i="19" s="1"/>
  <c r="AN92" i="19"/>
  <c r="AO92" i="19" s="1"/>
  <c r="AN97" i="19"/>
  <c r="AO97" i="19" s="1"/>
  <c r="AN101" i="19"/>
  <c r="AO101" i="19" s="1"/>
  <c r="W20" i="19"/>
  <c r="AS20" i="19" s="1"/>
  <c r="AT20" i="19" s="1"/>
  <c r="W6" i="19"/>
  <c r="AS6" i="19" s="1"/>
  <c r="AT6" i="19" s="1"/>
  <c r="W3" i="19"/>
  <c r="AS3" i="19" s="1"/>
  <c r="AT3" i="19" s="1"/>
  <c r="W12" i="19"/>
  <c r="AS12" i="19" s="1"/>
  <c r="AT12" i="19" s="1"/>
  <c r="W4" i="19"/>
  <c r="AS4" i="19" s="1"/>
  <c r="AT4" i="19" s="1"/>
  <c r="W24" i="19"/>
  <c r="AS24" i="19" s="1"/>
  <c r="AT24" i="19" s="1"/>
  <c r="W14" i="19"/>
  <c r="AS14" i="19" s="1"/>
  <c r="AT14" i="19" s="1"/>
  <c r="W33" i="19"/>
  <c r="AS33" i="19" s="1"/>
  <c r="AT33" i="19" s="1"/>
  <c r="W38" i="19"/>
  <c r="AS38" i="19" s="1"/>
  <c r="AT38" i="19" s="1"/>
  <c r="W50" i="19"/>
  <c r="AS50" i="19" s="1"/>
  <c r="AT50" i="19" s="1"/>
  <c r="W52" i="19"/>
  <c r="AS52" i="19" s="1"/>
  <c r="AT52" i="19" s="1"/>
  <c r="W35" i="19"/>
  <c r="AS35" i="19" s="1"/>
  <c r="AT35" i="19" s="1"/>
  <c r="W40" i="19"/>
  <c r="AS40" i="19" s="1"/>
  <c r="AT40" i="19" s="1"/>
  <c r="W46" i="19"/>
  <c r="AS46" i="19" s="1"/>
  <c r="AT46" i="19" s="1"/>
  <c r="W59" i="19"/>
  <c r="AS59" i="19" s="1"/>
  <c r="AT59" i="19" s="1"/>
  <c r="W45" i="19"/>
  <c r="AS45" i="19" s="1"/>
  <c r="AT45" i="19" s="1"/>
  <c r="W47" i="19"/>
  <c r="AS47" i="19" s="1"/>
  <c r="AT47" i="19" s="1"/>
  <c r="W55" i="19"/>
  <c r="AS55" i="19" s="1"/>
  <c r="AT55" i="19" s="1"/>
  <c r="W57" i="19"/>
  <c r="AS57" i="19" s="1"/>
  <c r="AT57" i="19" s="1"/>
  <c r="W64" i="19"/>
  <c r="AS64" i="19" s="1"/>
  <c r="AT64" i="19" s="1"/>
  <c r="W37" i="19"/>
  <c r="AS37" i="19" s="1"/>
  <c r="AT37" i="19" s="1"/>
  <c r="W39" i="19"/>
  <c r="AS39" i="19" s="1"/>
  <c r="AT39" i="19" s="1"/>
  <c r="W49" i="19"/>
  <c r="AS49" i="19" s="1"/>
  <c r="AT49" i="19" s="1"/>
  <c r="W51" i="19"/>
  <c r="AS51" i="19" s="1"/>
  <c r="AT51" i="19" s="1"/>
  <c r="W53" i="19"/>
  <c r="AS53" i="19" s="1"/>
  <c r="AT53" i="19" s="1"/>
  <c r="W60" i="19"/>
  <c r="AS60" i="19" s="1"/>
  <c r="AT60" i="19" s="1"/>
  <c r="W28" i="19"/>
  <c r="AS28" i="19" s="1"/>
  <c r="AT28" i="19" s="1"/>
  <c r="W62" i="19"/>
  <c r="AS62" i="19" s="1"/>
  <c r="AT62" i="19" s="1"/>
  <c r="W30" i="19"/>
  <c r="AS30" i="19" s="1"/>
  <c r="AT30" i="19" s="1"/>
  <c r="W29" i="19"/>
  <c r="AS29" i="19" s="1"/>
  <c r="AT29" i="19" s="1"/>
  <c r="W32" i="19"/>
  <c r="AS32" i="19" s="1"/>
  <c r="AT32" i="19" s="1"/>
  <c r="W65" i="19"/>
  <c r="AS65" i="19" s="1"/>
  <c r="AT65" i="19" s="1"/>
  <c r="W31" i="19"/>
  <c r="AS31" i="19" s="1"/>
  <c r="AT31" i="19" s="1"/>
  <c r="W34" i="19"/>
  <c r="AS34" i="19" s="1"/>
  <c r="AT34" i="19" s="1"/>
  <c r="W61" i="19"/>
  <c r="AS61" i="19" s="1"/>
  <c r="AT61" i="19" s="1"/>
  <c r="W63" i="19"/>
  <c r="AS63" i="19" s="1"/>
  <c r="AT63" i="19" s="1"/>
  <c r="W68" i="19"/>
  <c r="AS68" i="19" s="1"/>
  <c r="AT68" i="19" s="1"/>
  <c r="W72" i="19"/>
  <c r="AS72" i="19" s="1"/>
  <c r="AT72" i="19" s="1"/>
  <c r="W76" i="19"/>
  <c r="AS76" i="19" s="1"/>
  <c r="AT76" i="19" s="1"/>
  <c r="W78" i="19"/>
  <c r="AS78" i="19" s="1"/>
  <c r="AT78" i="19" s="1"/>
  <c r="W81" i="19"/>
  <c r="AS81" i="19" s="1"/>
  <c r="AT81" i="19" s="1"/>
  <c r="W83" i="19"/>
  <c r="AS83" i="19" s="1"/>
  <c r="AT83" i="19" s="1"/>
  <c r="W85" i="19"/>
  <c r="AS85" i="19" s="1"/>
  <c r="AT85" i="19" s="1"/>
  <c r="W80" i="19"/>
  <c r="AS80" i="19" s="1"/>
  <c r="AT80" i="19" s="1"/>
  <c r="W87" i="19"/>
  <c r="AS87" i="19" s="1"/>
  <c r="AT87" i="19" s="1"/>
  <c r="W93" i="19"/>
  <c r="AS93" i="19" s="1"/>
  <c r="AT93" i="19" s="1"/>
  <c r="W89" i="19"/>
  <c r="AS89" i="19" s="1"/>
  <c r="AT89" i="19" s="1"/>
  <c r="W91" i="19"/>
  <c r="AS91" i="19" s="1"/>
  <c r="AT91" i="19" s="1"/>
  <c r="W67" i="19"/>
  <c r="AS67" i="19" s="1"/>
  <c r="AT67" i="19" s="1"/>
  <c r="W69" i="19"/>
  <c r="AS69" i="19" s="1"/>
  <c r="AT69" i="19" s="1"/>
  <c r="W95" i="19"/>
  <c r="AS95" i="19" s="1"/>
  <c r="AT95" i="19" s="1"/>
  <c r="W73" i="19"/>
  <c r="AS73" i="19" s="1"/>
  <c r="AT73" i="19" s="1"/>
  <c r="W75" i="19"/>
  <c r="AS75" i="19" s="1"/>
  <c r="AT75" i="19" s="1"/>
  <c r="W77" i="19"/>
  <c r="AS77" i="19" s="1"/>
  <c r="AT77" i="19" s="1"/>
  <c r="W97" i="19"/>
  <c r="AS97" i="19" s="1"/>
  <c r="AT97" i="19" s="1"/>
  <c r="W99" i="19"/>
  <c r="AS99" i="19" s="1"/>
  <c r="AT99" i="19" s="1"/>
  <c r="W101" i="19"/>
  <c r="AS101" i="19" s="1"/>
  <c r="AT101" i="19" s="1"/>
  <c r="AN38" i="19"/>
  <c r="AO38" i="19" s="1"/>
  <c r="AN78" i="19"/>
  <c r="AO78" i="19" s="1"/>
  <c r="AN94" i="19"/>
  <c r="AO94" i="19" s="1"/>
  <c r="AN17" i="19"/>
  <c r="AO17" i="19" s="1"/>
  <c r="AN22" i="19"/>
  <c r="AO22" i="19" s="1"/>
  <c r="AN6" i="19"/>
  <c r="AO6" i="19" s="1"/>
  <c r="AN41" i="19"/>
  <c r="AO41" i="19" s="1"/>
  <c r="AN46" i="19"/>
  <c r="AO46" i="19" s="1"/>
  <c r="AN63" i="19"/>
  <c r="AO63" i="19" s="1"/>
  <c r="AN79" i="19"/>
  <c r="AO79" i="19" s="1"/>
  <c r="AN86" i="19"/>
  <c r="AO86" i="19" s="1"/>
  <c r="AN95" i="19"/>
  <c r="AO95" i="19" s="1"/>
  <c r="AN25" i="19"/>
  <c r="AO25" i="19" s="1"/>
  <c r="AN30" i="19"/>
  <c r="AO30" i="19" s="1"/>
  <c r="AN39" i="19"/>
  <c r="AO39" i="19" s="1"/>
  <c r="AN54" i="19"/>
  <c r="AO54" i="19" s="1"/>
  <c r="AN70" i="19"/>
  <c r="AO70" i="19" s="1"/>
  <c r="AN9" i="19"/>
  <c r="AO9" i="19" s="1"/>
  <c r="AN23" i="19"/>
  <c r="AO23" i="19" s="1"/>
  <c r="AN49" i="19"/>
  <c r="AO49" i="19" s="1"/>
  <c r="AN57" i="19"/>
  <c r="AO57" i="19" s="1"/>
  <c r="AN89" i="19"/>
  <c r="AO89" i="19" s="1"/>
  <c r="AN7" i="19"/>
  <c r="AO7" i="19" s="1"/>
  <c r="AN14" i="19"/>
  <c r="AO14" i="19" s="1"/>
  <c r="AN47" i="19"/>
  <c r="AO47" i="19" s="1"/>
  <c r="AN87" i="19"/>
  <c r="AO87" i="19" s="1"/>
  <c r="AO2" i="19"/>
  <c r="A2" i="19"/>
  <c r="A2" i="18"/>
  <c r="A3" i="15" l="1"/>
  <c r="A4" i="15" l="1"/>
  <c r="A3" i="19"/>
  <c r="A3" i="18"/>
  <c r="A5" i="15" l="1"/>
  <c r="A4" i="18"/>
  <c r="A4" i="19"/>
  <c r="G9" i="9"/>
  <c r="G12" i="9"/>
  <c r="G13" i="9"/>
  <c r="G18" i="9"/>
  <c r="G22" i="9"/>
  <c r="G23" i="9"/>
  <c r="G25" i="9"/>
  <c r="G26" i="9"/>
  <c r="G30" i="9"/>
  <c r="G32" i="9"/>
  <c r="G34" i="9"/>
  <c r="G36" i="9"/>
  <c r="G41" i="9"/>
  <c r="G43" i="9"/>
  <c r="G44" i="9"/>
  <c r="G47" i="9"/>
  <c r="G58" i="9"/>
  <c r="G70" i="9"/>
  <c r="G71" i="9"/>
  <c r="G84" i="9"/>
  <c r="G89" i="9"/>
  <c r="G91" i="9"/>
  <c r="G92" i="9"/>
  <c r="F9" i="9"/>
  <c r="F12" i="9"/>
  <c r="H12" i="9" s="1"/>
  <c r="F13" i="9"/>
  <c r="F18" i="9"/>
  <c r="F22" i="9"/>
  <c r="F23" i="9"/>
  <c r="F25" i="9"/>
  <c r="H25" i="9" s="1"/>
  <c r="F26" i="9"/>
  <c r="F30" i="9"/>
  <c r="F32" i="9"/>
  <c r="F34" i="9"/>
  <c r="F36" i="9"/>
  <c r="F41" i="9"/>
  <c r="F43" i="9"/>
  <c r="F44" i="9"/>
  <c r="H44" i="9" s="1"/>
  <c r="F47" i="9"/>
  <c r="F58" i="9"/>
  <c r="F70" i="9"/>
  <c r="F71" i="9"/>
  <c r="F84" i="9"/>
  <c r="F89" i="9"/>
  <c r="F91" i="9"/>
  <c r="F92" i="9"/>
  <c r="H92" i="9" s="1"/>
  <c r="A6" i="15" l="1"/>
  <c r="A5" i="18"/>
  <c r="A5" i="19"/>
  <c r="H18" i="9"/>
  <c r="H58" i="9"/>
  <c r="H9" i="9"/>
  <c r="H30" i="9"/>
  <c r="H71" i="9"/>
  <c r="H34" i="9"/>
  <c r="H13" i="9"/>
  <c r="H26" i="9"/>
  <c r="H43" i="9"/>
  <c r="H89" i="9"/>
  <c r="H41" i="9"/>
  <c r="H22" i="9"/>
  <c r="H84" i="9"/>
  <c r="H36" i="9"/>
  <c r="H91" i="9"/>
  <c r="H70" i="9"/>
  <c r="H32" i="9"/>
  <c r="H23" i="9"/>
  <c r="H47" i="9"/>
  <c r="I12" i="10"/>
  <c r="H12" i="10"/>
  <c r="I11" i="10"/>
  <c r="H11" i="10"/>
  <c r="I10" i="10"/>
  <c r="H10" i="10"/>
  <c r="I9" i="10"/>
  <c r="H9" i="10"/>
  <c r="I8" i="10"/>
  <c r="H8" i="10"/>
  <c r="I7" i="10"/>
  <c r="H7" i="10"/>
  <c r="I6" i="10"/>
  <c r="H6" i="10"/>
  <c r="I5" i="10"/>
  <c r="H5" i="10"/>
  <c r="I4" i="10"/>
  <c r="H4" i="10"/>
  <c r="I3" i="10"/>
  <c r="H3" i="10"/>
  <c r="I2" i="10"/>
  <c r="H2" i="10"/>
  <c r="E12" i="10"/>
  <c r="D12" i="10"/>
  <c r="E11" i="10"/>
  <c r="D11" i="10"/>
  <c r="E10" i="10"/>
  <c r="D10" i="10"/>
  <c r="E9" i="10"/>
  <c r="D9" i="10"/>
  <c r="E8" i="10"/>
  <c r="D8" i="10"/>
  <c r="E7" i="10"/>
  <c r="D7" i="10"/>
  <c r="E6" i="10"/>
  <c r="D6" i="10"/>
  <c r="E5" i="10"/>
  <c r="D5" i="10"/>
  <c r="E4" i="10"/>
  <c r="D4" i="10"/>
  <c r="E3" i="10"/>
  <c r="D3" i="10"/>
  <c r="E2" i="10"/>
  <c r="D2" i="10"/>
  <c r="G12" i="10"/>
  <c r="F12" i="10"/>
  <c r="G11" i="10"/>
  <c r="F11" i="10"/>
  <c r="G10" i="10"/>
  <c r="F10" i="10"/>
  <c r="G9" i="10"/>
  <c r="F9" i="10"/>
  <c r="G8" i="10"/>
  <c r="F8" i="10"/>
  <c r="G7" i="10"/>
  <c r="F7" i="10"/>
  <c r="G6" i="10"/>
  <c r="F6" i="10"/>
  <c r="G5" i="10"/>
  <c r="F5" i="10"/>
  <c r="G4" i="10"/>
  <c r="F4" i="10"/>
  <c r="G3" i="10"/>
  <c r="F3" i="10"/>
  <c r="G2" i="10"/>
  <c r="F2" i="10"/>
  <c r="A7" i="15" l="1"/>
  <c r="A6" i="18"/>
  <c r="A6" i="19"/>
  <c r="M10" i="10"/>
  <c r="M5" i="10"/>
  <c r="M9" i="10"/>
  <c r="M2" i="10"/>
  <c r="M6" i="10"/>
  <c r="M7" i="10"/>
  <c r="M11" i="10"/>
  <c r="M3" i="10"/>
  <c r="M4" i="10"/>
  <c r="M8" i="10"/>
  <c r="M12" i="10"/>
  <c r="G13" i="10"/>
  <c r="D13" i="10"/>
  <c r="P11" i="10"/>
  <c r="P8" i="10"/>
  <c r="P9" i="10"/>
  <c r="P5" i="10"/>
  <c r="P2" i="10"/>
  <c r="P3" i="10"/>
  <c r="P7" i="10"/>
  <c r="O4" i="10"/>
  <c r="O8" i="10"/>
  <c r="O12" i="10"/>
  <c r="P4" i="10"/>
  <c r="P12" i="10"/>
  <c r="O5" i="10"/>
  <c r="O9" i="10"/>
  <c r="H13" i="10"/>
  <c r="I13" i="10"/>
  <c r="O6" i="10"/>
  <c r="O10" i="10"/>
  <c r="P6" i="10"/>
  <c r="P10" i="10"/>
  <c r="O3" i="10"/>
  <c r="O7" i="10"/>
  <c r="O11" i="10"/>
  <c r="O2" i="10"/>
  <c r="E13" i="10"/>
  <c r="F13" i="10"/>
  <c r="AW82" i="9"/>
  <c r="AQ82" i="9"/>
  <c r="AK82" i="9"/>
  <c r="AE82" i="9"/>
  <c r="AW58" i="9"/>
  <c r="AQ58" i="9"/>
  <c r="AK58" i="9"/>
  <c r="AE58" i="9"/>
  <c r="A8" i="15" l="1"/>
  <c r="A7" i="18"/>
  <c r="A7" i="19"/>
  <c r="M13" i="10"/>
  <c r="AF101" i="9"/>
  <c r="Z101" i="9"/>
  <c r="AF100" i="9"/>
  <c r="Z100" i="9"/>
  <c r="AF98" i="9"/>
  <c r="Z98" i="9"/>
  <c r="Z97" i="9"/>
  <c r="Z96" i="9"/>
  <c r="Z95" i="9"/>
  <c r="Z94" i="9"/>
  <c r="AE92" i="9"/>
  <c r="AF88" i="9"/>
  <c r="Z88" i="9"/>
  <c r="AX87" i="9"/>
  <c r="AR87" i="9"/>
  <c r="Z87" i="9"/>
  <c r="Z86" i="9"/>
  <c r="B12" i="10" s="1"/>
  <c r="C12" i="10" s="1"/>
  <c r="Z85" i="9"/>
  <c r="B10" i="10" s="1"/>
  <c r="Z82" i="9"/>
  <c r="Z80" i="9"/>
  <c r="AX78" i="9"/>
  <c r="AR78" i="9"/>
  <c r="AF78" i="9"/>
  <c r="Z78" i="9"/>
  <c r="AR77" i="9"/>
  <c r="AL77" i="9"/>
  <c r="AF77" i="9"/>
  <c r="Z77" i="9"/>
  <c r="AL75" i="9"/>
  <c r="Z75" i="9"/>
  <c r="Z74" i="9"/>
  <c r="B5" i="10" s="1"/>
  <c r="C5" i="10" s="1"/>
  <c r="AW71" i="9"/>
  <c r="AY71" i="9" s="1"/>
  <c r="AS71" i="9"/>
  <c r="AM71" i="9"/>
  <c r="AG71" i="9"/>
  <c r="AA71" i="9"/>
  <c r="AX69" i="9"/>
  <c r="AR69" i="9"/>
  <c r="Z69" i="9"/>
  <c r="Z68" i="9"/>
  <c r="AR65" i="9"/>
  <c r="AL65" i="9"/>
  <c r="Z65" i="9"/>
  <c r="AF64" i="9"/>
  <c r="Z64" i="9"/>
  <c r="Z63" i="9"/>
  <c r="Z62" i="9"/>
  <c r="AF61" i="9"/>
  <c r="Z61" i="9"/>
  <c r="AF59" i="9"/>
  <c r="Z59" i="9"/>
  <c r="AF54" i="9"/>
  <c r="AF53" i="9"/>
  <c r="Z53" i="9"/>
  <c r="B8" i="10" s="1"/>
  <c r="C8" i="10" s="1"/>
  <c r="Q8" i="10" s="1"/>
  <c r="AF52" i="9"/>
  <c r="Z52" i="9"/>
  <c r="AF50" i="9"/>
  <c r="Z50" i="9"/>
  <c r="AX48" i="9"/>
  <c r="AR48" i="9"/>
  <c r="AR46" i="9"/>
  <c r="Z46" i="9"/>
  <c r="B3" i="10" s="1"/>
  <c r="AX45" i="9"/>
  <c r="AR45" i="9"/>
  <c r="Z39" i="9"/>
  <c r="B9" i="10" s="1"/>
  <c r="C9" i="10" s="1"/>
  <c r="AR38" i="9"/>
  <c r="AL38" i="9"/>
  <c r="AF38" i="9"/>
  <c r="AX37" i="9"/>
  <c r="AR37" i="9"/>
  <c r="AL37" i="9"/>
  <c r="AK36" i="9"/>
  <c r="AL35" i="9"/>
  <c r="AF35" i="9"/>
  <c r="Z35" i="9"/>
  <c r="AR35" i="9"/>
  <c r="AX29" i="9"/>
  <c r="AR29" i="9"/>
  <c r="AL29" i="9"/>
  <c r="AF29" i="9"/>
  <c r="Z29" i="9"/>
  <c r="AX28" i="9"/>
  <c r="AR28" i="9"/>
  <c r="AL28" i="9"/>
  <c r="AF28" i="9"/>
  <c r="Z28" i="9"/>
  <c r="AW26" i="9"/>
  <c r="AQ26" i="9"/>
  <c r="AK26" i="9"/>
  <c r="AE26" i="9"/>
  <c r="AX24" i="9"/>
  <c r="AR24" i="9"/>
  <c r="AL24" i="9"/>
  <c r="AF24" i="9"/>
  <c r="Z24" i="9"/>
  <c r="AW23" i="9"/>
  <c r="Z20" i="9"/>
  <c r="Z19" i="9"/>
  <c r="AX17" i="9"/>
  <c r="AR17" i="9"/>
  <c r="Z17" i="9"/>
  <c r="AR15" i="9"/>
  <c r="Z15" i="9"/>
  <c r="AF14" i="9"/>
  <c r="Z14" i="9"/>
  <c r="AR11" i="9"/>
  <c r="AL11" i="9"/>
  <c r="AF11" i="9"/>
  <c r="AX11" i="9"/>
  <c r="Z11" i="9"/>
  <c r="AX9" i="9"/>
  <c r="AR9" i="9"/>
  <c r="Z8" i="9"/>
  <c r="B2" i="10" s="1"/>
  <c r="Z7" i="9"/>
  <c r="B6" i="10" s="1"/>
  <c r="AW6" i="9"/>
  <c r="AL6" i="9"/>
  <c r="Z6" i="9"/>
  <c r="AR5" i="9"/>
  <c r="AX4" i="9"/>
  <c r="AR4" i="9"/>
  <c r="AL4" i="9"/>
  <c r="AF4" i="9"/>
  <c r="Z4" i="9"/>
  <c r="AX2" i="9"/>
  <c r="Y3" i="9"/>
  <c r="Z3" i="9"/>
  <c r="A9" i="15" l="1"/>
  <c r="A8" i="19"/>
  <c r="A8" i="18"/>
  <c r="T71" i="9"/>
  <c r="C2" i="10"/>
  <c r="Q2" i="10" s="1"/>
  <c r="B7" i="10"/>
  <c r="C7" i="10" s="1"/>
  <c r="Q7" i="10" s="1"/>
  <c r="B11" i="10"/>
  <c r="C11" i="10" s="1"/>
  <c r="Q11" i="10" s="1"/>
  <c r="C10" i="10"/>
  <c r="Q10" i="10" s="1"/>
  <c r="C6" i="10"/>
  <c r="Q6" i="10" s="1"/>
  <c r="Q12" i="10"/>
  <c r="Q9" i="10"/>
  <c r="C3" i="10"/>
  <c r="Q3" i="10" s="1"/>
  <c r="AA3" i="9"/>
  <c r="AQ2" i="9"/>
  <c r="AS2" i="9" s="1"/>
  <c r="AK2" i="9"/>
  <c r="AM2" i="9" s="1"/>
  <c r="AE2" i="9"/>
  <c r="Y2" i="9"/>
  <c r="A10" i="15" l="1"/>
  <c r="A9" i="19"/>
  <c r="A9" i="18"/>
  <c r="F3" i="9"/>
  <c r="G3" i="9"/>
  <c r="AG2" i="9"/>
  <c r="AA2" i="9"/>
  <c r="AW3" i="9"/>
  <c r="AY3" i="9" s="1"/>
  <c r="AW4" i="9"/>
  <c r="AY4" i="9" s="1"/>
  <c r="AW5" i="9"/>
  <c r="AY5" i="9" s="1"/>
  <c r="AY6" i="9"/>
  <c r="AW7" i="9"/>
  <c r="AY7" i="9" s="1"/>
  <c r="AW8" i="9"/>
  <c r="AY8" i="9" s="1"/>
  <c r="AW9" i="9"/>
  <c r="AY9" i="9" s="1"/>
  <c r="AW10" i="9"/>
  <c r="AY10" i="9" s="1"/>
  <c r="AW11" i="9"/>
  <c r="AY11" i="9" s="1"/>
  <c r="AW12" i="9"/>
  <c r="AY12" i="9" s="1"/>
  <c r="AW13" i="9"/>
  <c r="AY13" i="9" s="1"/>
  <c r="AW14" i="9"/>
  <c r="AY14" i="9" s="1"/>
  <c r="AW15" i="9"/>
  <c r="AY15" i="9" s="1"/>
  <c r="AW16" i="9"/>
  <c r="AY16" i="9" s="1"/>
  <c r="AW17" i="9"/>
  <c r="AY17" i="9" s="1"/>
  <c r="AW18" i="9"/>
  <c r="AY18" i="9" s="1"/>
  <c r="AW19" i="9"/>
  <c r="AY19" i="9" s="1"/>
  <c r="AW20" i="9"/>
  <c r="AW21" i="9"/>
  <c r="AY21" i="9" s="1"/>
  <c r="AW22" i="9"/>
  <c r="AY22" i="9" s="1"/>
  <c r="AY23" i="9"/>
  <c r="AW24" i="9"/>
  <c r="AY24" i="9" s="1"/>
  <c r="AW25" i="9"/>
  <c r="AY25" i="9" s="1"/>
  <c r="AY26" i="9"/>
  <c r="AW27" i="9"/>
  <c r="AY27" i="9" s="1"/>
  <c r="AW28" i="9"/>
  <c r="AY28" i="9" s="1"/>
  <c r="AW29" i="9"/>
  <c r="AY29" i="9" s="1"/>
  <c r="AW30" i="9"/>
  <c r="AY30" i="9" s="1"/>
  <c r="AW31" i="9"/>
  <c r="AY31" i="9" s="1"/>
  <c r="AW32" i="9"/>
  <c r="AY32" i="9" s="1"/>
  <c r="AW34" i="9"/>
  <c r="AY34" i="9" s="1"/>
  <c r="AW35" i="9"/>
  <c r="AY35" i="9" s="1"/>
  <c r="AW36" i="9"/>
  <c r="AY36" i="9" s="1"/>
  <c r="AW37" i="9"/>
  <c r="AY37" i="9" s="1"/>
  <c r="AW38" i="9"/>
  <c r="AY38" i="9" s="1"/>
  <c r="AW39" i="9"/>
  <c r="AY39" i="9" s="1"/>
  <c r="AW40" i="9"/>
  <c r="AY40" i="9" s="1"/>
  <c r="AW41" i="9"/>
  <c r="AY41" i="9" s="1"/>
  <c r="AW42" i="9"/>
  <c r="AY42" i="9" s="1"/>
  <c r="AY43" i="9"/>
  <c r="AW44" i="9"/>
  <c r="AY44" i="9" s="1"/>
  <c r="AW45" i="9"/>
  <c r="AY45" i="9" s="1"/>
  <c r="AW46" i="9"/>
  <c r="AY46" i="9" s="1"/>
  <c r="AW47" i="9"/>
  <c r="AY47" i="9" s="1"/>
  <c r="AW48" i="9"/>
  <c r="AY48" i="9" s="1"/>
  <c r="AW49" i="9"/>
  <c r="AY49" i="9" s="1"/>
  <c r="AW50" i="9"/>
  <c r="AY50" i="9" s="1"/>
  <c r="AW51" i="9"/>
  <c r="AY51" i="9" s="1"/>
  <c r="AW52" i="9"/>
  <c r="AY52" i="9" s="1"/>
  <c r="AW53" i="9"/>
  <c r="AY53" i="9" s="1"/>
  <c r="AW54" i="9"/>
  <c r="AY54" i="9" s="1"/>
  <c r="AW55" i="9"/>
  <c r="AY55" i="9" s="1"/>
  <c r="AW56" i="9"/>
  <c r="AY56" i="9" s="1"/>
  <c r="AW57" i="9"/>
  <c r="AY57" i="9" s="1"/>
  <c r="AY58" i="9"/>
  <c r="AW59" i="9"/>
  <c r="AY59" i="9" s="1"/>
  <c r="AW60" i="9"/>
  <c r="AY60" i="9" s="1"/>
  <c r="AW61" i="9"/>
  <c r="AY61" i="9" s="1"/>
  <c r="AW62" i="9"/>
  <c r="AY62" i="9" s="1"/>
  <c r="AW64" i="9"/>
  <c r="AY64" i="9" s="1"/>
  <c r="AW65" i="9"/>
  <c r="AY65" i="9" s="1"/>
  <c r="AW66" i="9"/>
  <c r="AY66" i="9" s="1"/>
  <c r="AW67" i="9"/>
  <c r="AY67" i="9" s="1"/>
  <c r="AW68" i="9"/>
  <c r="AW69" i="9"/>
  <c r="AY69" i="9" s="1"/>
  <c r="AW70" i="9"/>
  <c r="AY70" i="9" s="1"/>
  <c r="AW72" i="9"/>
  <c r="AY72" i="9" s="1"/>
  <c r="AW73" i="9"/>
  <c r="AY73" i="9" s="1"/>
  <c r="AW74" i="9"/>
  <c r="AY74" i="9" s="1"/>
  <c r="AW75" i="9"/>
  <c r="AY75" i="9" s="1"/>
  <c r="AW76" i="9"/>
  <c r="AY76" i="9" s="1"/>
  <c r="AW77" i="9"/>
  <c r="AY77" i="9" s="1"/>
  <c r="AW78" i="9"/>
  <c r="AY78" i="9" s="1"/>
  <c r="AW79" i="9"/>
  <c r="AY79" i="9" s="1"/>
  <c r="AW80" i="9"/>
  <c r="AY80" i="9" s="1"/>
  <c r="AW81" i="9"/>
  <c r="AY81" i="9" s="1"/>
  <c r="AY82" i="9"/>
  <c r="AW83" i="9"/>
  <c r="AY83" i="9" s="1"/>
  <c r="AW84" i="9"/>
  <c r="AY84" i="9" s="1"/>
  <c r="AW85" i="9"/>
  <c r="AY85" i="9" s="1"/>
  <c r="AW86" i="9"/>
  <c r="AY86" i="9" s="1"/>
  <c r="AW87" i="9"/>
  <c r="AY87" i="9" s="1"/>
  <c r="AW88" i="9"/>
  <c r="AY88" i="9" s="1"/>
  <c r="AW89" i="9"/>
  <c r="AY89" i="9" s="1"/>
  <c r="AW90" i="9"/>
  <c r="AY90" i="9" s="1"/>
  <c r="AW91" i="9"/>
  <c r="AY91" i="9" s="1"/>
  <c r="AW92" i="9"/>
  <c r="AY92" i="9" s="1"/>
  <c r="AW94" i="9"/>
  <c r="AY94" i="9" s="1"/>
  <c r="AW96" i="9"/>
  <c r="AY96" i="9" s="1"/>
  <c r="AW97" i="9"/>
  <c r="AY97" i="9" s="1"/>
  <c r="AW98" i="9"/>
  <c r="AY98" i="9" s="1"/>
  <c r="AW99" i="9"/>
  <c r="AY99" i="9" s="1"/>
  <c r="AW100" i="9"/>
  <c r="AY100" i="9" s="1"/>
  <c r="AW101" i="9"/>
  <c r="AY101" i="9" s="1"/>
  <c r="AW2" i="9"/>
  <c r="AY2" i="9" s="1"/>
  <c r="AQ3" i="9"/>
  <c r="AS3" i="9" s="1"/>
  <c r="AQ4" i="9"/>
  <c r="AS4" i="9" s="1"/>
  <c r="AQ5" i="9"/>
  <c r="AS5" i="9" s="1"/>
  <c r="AQ6" i="9"/>
  <c r="AS6" i="9" s="1"/>
  <c r="AQ7" i="9"/>
  <c r="AS7" i="9" s="1"/>
  <c r="AQ8" i="9"/>
  <c r="AS8" i="9" s="1"/>
  <c r="AQ9" i="9"/>
  <c r="AS9" i="9" s="1"/>
  <c r="AQ10" i="9"/>
  <c r="AS10" i="9" s="1"/>
  <c r="AQ11" i="9"/>
  <c r="AS11" i="9" s="1"/>
  <c r="AQ12" i="9"/>
  <c r="AS12" i="9" s="1"/>
  <c r="AQ13" i="9"/>
  <c r="AS13" i="9" s="1"/>
  <c r="AQ14" i="9"/>
  <c r="AS14" i="9" s="1"/>
  <c r="AQ15" i="9"/>
  <c r="AS15" i="9" s="1"/>
  <c r="AQ16" i="9"/>
  <c r="AS16" i="9" s="1"/>
  <c r="AQ17" i="9"/>
  <c r="AS17" i="9" s="1"/>
  <c r="AQ18" i="9"/>
  <c r="AS18" i="9" s="1"/>
  <c r="AQ19" i="9"/>
  <c r="AS19" i="9" s="1"/>
  <c r="AQ20" i="9"/>
  <c r="AQ21" i="9"/>
  <c r="AS21" i="9" s="1"/>
  <c r="AQ22" i="9"/>
  <c r="AS22" i="9" s="1"/>
  <c r="AQ23" i="9"/>
  <c r="AS23" i="9" s="1"/>
  <c r="AQ24" i="9"/>
  <c r="AS24" i="9" s="1"/>
  <c r="AQ25" i="9"/>
  <c r="AS25" i="9" s="1"/>
  <c r="AS26" i="9"/>
  <c r="AQ27" i="9"/>
  <c r="AS27" i="9" s="1"/>
  <c r="AQ28" i="9"/>
  <c r="AS28" i="9" s="1"/>
  <c r="AQ29" i="9"/>
  <c r="AS29" i="9" s="1"/>
  <c r="AQ30" i="9"/>
  <c r="AS30" i="9" s="1"/>
  <c r="AQ31" i="9"/>
  <c r="AS31" i="9" s="1"/>
  <c r="AQ32" i="9"/>
  <c r="AS32" i="9" s="1"/>
  <c r="AQ34" i="9"/>
  <c r="AS34" i="9" s="1"/>
  <c r="AQ35" i="9"/>
  <c r="AS35" i="9" s="1"/>
  <c r="AQ36" i="9"/>
  <c r="AS36" i="9" s="1"/>
  <c r="AQ37" i="9"/>
  <c r="AS37" i="9" s="1"/>
  <c r="AQ38" i="9"/>
  <c r="AS38" i="9" s="1"/>
  <c r="AQ39" i="9"/>
  <c r="AS39" i="9" s="1"/>
  <c r="AQ40" i="9"/>
  <c r="AS40" i="9" s="1"/>
  <c r="AQ41" i="9"/>
  <c r="AS41" i="9" s="1"/>
  <c r="AQ42" i="9"/>
  <c r="AS42" i="9" s="1"/>
  <c r="AS43" i="9"/>
  <c r="AQ44" i="9"/>
  <c r="AS44" i="9" s="1"/>
  <c r="AQ45" i="9"/>
  <c r="AS45" i="9" s="1"/>
  <c r="AQ46" i="9"/>
  <c r="AS46" i="9" s="1"/>
  <c r="AQ47" i="9"/>
  <c r="AS47" i="9" s="1"/>
  <c r="AQ48" i="9"/>
  <c r="AS48" i="9" s="1"/>
  <c r="AQ49" i="9"/>
  <c r="AS49" i="9" s="1"/>
  <c r="AQ50" i="9"/>
  <c r="AS50" i="9" s="1"/>
  <c r="AQ51" i="9"/>
  <c r="AS51" i="9" s="1"/>
  <c r="AQ52" i="9"/>
  <c r="AS52" i="9" s="1"/>
  <c r="AQ53" i="9"/>
  <c r="AS53" i="9" s="1"/>
  <c r="AQ55" i="9"/>
  <c r="AS55" i="9" s="1"/>
  <c r="AQ56" i="9"/>
  <c r="AS56" i="9" s="1"/>
  <c r="AQ57" i="9"/>
  <c r="AS57" i="9" s="1"/>
  <c r="AS58" i="9"/>
  <c r="AQ59" i="9"/>
  <c r="AQ61" i="9"/>
  <c r="AS61" i="9" s="1"/>
  <c r="AQ64" i="9"/>
  <c r="AS64" i="9" s="1"/>
  <c r="AQ65" i="9"/>
  <c r="AS65" i="9" s="1"/>
  <c r="AQ66" i="9"/>
  <c r="AS66" i="9" s="1"/>
  <c r="AQ67" i="9"/>
  <c r="AS67" i="9" s="1"/>
  <c r="AQ68" i="9"/>
  <c r="AQ69" i="9"/>
  <c r="AS69" i="9" s="1"/>
  <c r="AQ70" i="9"/>
  <c r="AS70" i="9" s="1"/>
  <c r="AQ72" i="9"/>
  <c r="AS72" i="9" s="1"/>
  <c r="AQ73" i="9"/>
  <c r="AS73" i="9" s="1"/>
  <c r="AQ74" i="9"/>
  <c r="AS74" i="9" s="1"/>
  <c r="AQ75" i="9"/>
  <c r="AQ76" i="9"/>
  <c r="AS76" i="9" s="1"/>
  <c r="AQ77" i="9"/>
  <c r="AS77" i="9" s="1"/>
  <c r="AQ78" i="9"/>
  <c r="AS78" i="9" s="1"/>
  <c r="AQ79" i="9"/>
  <c r="AS79" i="9" s="1"/>
  <c r="AQ80" i="9"/>
  <c r="AS80" i="9" s="1"/>
  <c r="AQ81" i="9"/>
  <c r="AS81" i="9" s="1"/>
  <c r="AS82" i="9"/>
  <c r="AQ84" i="9"/>
  <c r="AS84" i="9" s="1"/>
  <c r="AQ85" i="9"/>
  <c r="AS85" i="9" s="1"/>
  <c r="AQ86" i="9"/>
  <c r="AS86" i="9" s="1"/>
  <c r="AQ87" i="9"/>
  <c r="AS87" i="9" s="1"/>
  <c r="AQ88" i="9"/>
  <c r="AS88" i="9" s="1"/>
  <c r="AQ89" i="9"/>
  <c r="AS89" i="9" s="1"/>
  <c r="AQ90" i="9"/>
  <c r="AS90" i="9" s="1"/>
  <c r="AQ91" i="9"/>
  <c r="AS91" i="9" s="1"/>
  <c r="AQ92" i="9"/>
  <c r="AS92" i="9" s="1"/>
  <c r="AQ94" i="9"/>
  <c r="AS94" i="9" s="1"/>
  <c r="AQ96" i="9"/>
  <c r="AQ97" i="9"/>
  <c r="AS97" i="9" s="1"/>
  <c r="AQ98" i="9"/>
  <c r="AS98" i="9" s="1"/>
  <c r="AQ99" i="9"/>
  <c r="AS99" i="9" s="1"/>
  <c r="AQ100" i="9"/>
  <c r="AS100" i="9" s="1"/>
  <c r="AQ101" i="9"/>
  <c r="AS101" i="9" s="1"/>
  <c r="AK3" i="9"/>
  <c r="AM3" i="9" s="1"/>
  <c r="AK4" i="9"/>
  <c r="AM4" i="9" s="1"/>
  <c r="AK5" i="9"/>
  <c r="AM5" i="9" s="1"/>
  <c r="AK6" i="9"/>
  <c r="AM6" i="9" s="1"/>
  <c r="AK7" i="9"/>
  <c r="AM7" i="9" s="1"/>
  <c r="AK8" i="9"/>
  <c r="AM8" i="9" s="1"/>
  <c r="AK9" i="9"/>
  <c r="AM9" i="9" s="1"/>
  <c r="AK10" i="9"/>
  <c r="AM10" i="9" s="1"/>
  <c r="AK11" i="9"/>
  <c r="AM11" i="9" s="1"/>
  <c r="AK12" i="9"/>
  <c r="AM12" i="9" s="1"/>
  <c r="AK13" i="9"/>
  <c r="AM13" i="9" s="1"/>
  <c r="AK14" i="9"/>
  <c r="AM14" i="9" s="1"/>
  <c r="AK15" i="9"/>
  <c r="AM15" i="9" s="1"/>
  <c r="AK16" i="9"/>
  <c r="AM16" i="9" s="1"/>
  <c r="AK17" i="9"/>
  <c r="AM17" i="9" s="1"/>
  <c r="AK18" i="9"/>
  <c r="AM18" i="9" s="1"/>
  <c r="AK19" i="9"/>
  <c r="AM19" i="9" s="1"/>
  <c r="AK20" i="9"/>
  <c r="AK21" i="9"/>
  <c r="AM21" i="9" s="1"/>
  <c r="AK22" i="9"/>
  <c r="AM22" i="9" s="1"/>
  <c r="AK23" i="9"/>
  <c r="AM23" i="9" s="1"/>
  <c r="AK24" i="9"/>
  <c r="AM24" i="9" s="1"/>
  <c r="AK25" i="9"/>
  <c r="AM25" i="9" s="1"/>
  <c r="AM26" i="9"/>
  <c r="AK27" i="9"/>
  <c r="AM27" i="9" s="1"/>
  <c r="AK28" i="9"/>
  <c r="AM28" i="9" s="1"/>
  <c r="AK29" i="9"/>
  <c r="AM29" i="9" s="1"/>
  <c r="AK30" i="9"/>
  <c r="AM30" i="9" s="1"/>
  <c r="AK31" i="9"/>
  <c r="AM31" i="9" s="1"/>
  <c r="AK32" i="9"/>
  <c r="AM32" i="9" s="1"/>
  <c r="AK34" i="9"/>
  <c r="AM34" i="9" s="1"/>
  <c r="AK35" i="9"/>
  <c r="AM35" i="9" s="1"/>
  <c r="AM36" i="9"/>
  <c r="AK37" i="9"/>
  <c r="AM37" i="9" s="1"/>
  <c r="AK38" i="9"/>
  <c r="AM38" i="9" s="1"/>
  <c r="AK39" i="9"/>
  <c r="AM39" i="9" s="1"/>
  <c r="AK40" i="9"/>
  <c r="AM40" i="9" s="1"/>
  <c r="AK41" i="9"/>
  <c r="AM41" i="9" s="1"/>
  <c r="AK43" i="9"/>
  <c r="AM43" i="9" s="1"/>
  <c r="AK44" i="9"/>
  <c r="AM44" i="9" s="1"/>
  <c r="AK45" i="9"/>
  <c r="AM45" i="9" s="1"/>
  <c r="AK46" i="9"/>
  <c r="AM46" i="9" s="1"/>
  <c r="AK47" i="9"/>
  <c r="AM47" i="9" s="1"/>
  <c r="AK48" i="9"/>
  <c r="AM48" i="9" s="1"/>
  <c r="AK49" i="9"/>
  <c r="AM49" i="9" s="1"/>
  <c r="AK50" i="9"/>
  <c r="AM50" i="9" s="1"/>
  <c r="AK51" i="9"/>
  <c r="AM51" i="9" s="1"/>
  <c r="AK52" i="9"/>
  <c r="AM52" i="9" s="1"/>
  <c r="AK53" i="9"/>
  <c r="AM53" i="9" s="1"/>
  <c r="AK55" i="9"/>
  <c r="AM55" i="9" s="1"/>
  <c r="AK56" i="9"/>
  <c r="AM56" i="9" s="1"/>
  <c r="AK57" i="9"/>
  <c r="AM57" i="9" s="1"/>
  <c r="AM58" i="9"/>
  <c r="AK59" i="9"/>
  <c r="AK60" i="9"/>
  <c r="AM60" i="9" s="1"/>
  <c r="AK61" i="9"/>
  <c r="AM61" i="9" s="1"/>
  <c r="AK64" i="9"/>
  <c r="AM64" i="9" s="1"/>
  <c r="AK65" i="9"/>
  <c r="AM65" i="9" s="1"/>
  <c r="AK66" i="9"/>
  <c r="AM66" i="9" s="1"/>
  <c r="AK67" i="9"/>
  <c r="AM67" i="9" s="1"/>
  <c r="AK68" i="9"/>
  <c r="AK69" i="9"/>
  <c r="AM69" i="9" s="1"/>
  <c r="AK70" i="9"/>
  <c r="AM70" i="9" s="1"/>
  <c r="AK72" i="9"/>
  <c r="AM72" i="9" s="1"/>
  <c r="AK73" i="9"/>
  <c r="AM73" i="9" s="1"/>
  <c r="AK74" i="9"/>
  <c r="AM74" i="9" s="1"/>
  <c r="AK75" i="9"/>
  <c r="AM75" i="9" s="1"/>
  <c r="AK76" i="9"/>
  <c r="AM76" i="9" s="1"/>
  <c r="AK77" i="9"/>
  <c r="AM77" i="9" s="1"/>
  <c r="AK78" i="9"/>
  <c r="AM78" i="9" s="1"/>
  <c r="AK79" i="9"/>
  <c r="AM79" i="9" s="1"/>
  <c r="AK80" i="9"/>
  <c r="AM80" i="9" s="1"/>
  <c r="AK81" i="9"/>
  <c r="AM81" i="9" s="1"/>
  <c r="AM82" i="9"/>
  <c r="AK84" i="9"/>
  <c r="AM84" i="9" s="1"/>
  <c r="AK85" i="9"/>
  <c r="AM85" i="9" s="1"/>
  <c r="AK86" i="9"/>
  <c r="AM86" i="9" s="1"/>
  <c r="AK87" i="9"/>
  <c r="AM87" i="9" s="1"/>
  <c r="AK88" i="9"/>
  <c r="AM88" i="9" s="1"/>
  <c r="AK89" i="9"/>
  <c r="AM89" i="9" s="1"/>
  <c r="AK90" i="9"/>
  <c r="AM90" i="9" s="1"/>
  <c r="AK91" i="9"/>
  <c r="AM91" i="9" s="1"/>
  <c r="AK92" i="9"/>
  <c r="AM92" i="9" s="1"/>
  <c r="AK94" i="9"/>
  <c r="AM94" i="9" s="1"/>
  <c r="AK96" i="9"/>
  <c r="AM96" i="9" s="1"/>
  <c r="AK97" i="9"/>
  <c r="AM97" i="9" s="1"/>
  <c r="AK98" i="9"/>
  <c r="AM98" i="9" s="1"/>
  <c r="AK99" i="9"/>
  <c r="AM99" i="9" s="1"/>
  <c r="AK100" i="9"/>
  <c r="AM100" i="9" s="1"/>
  <c r="AK101" i="9"/>
  <c r="AM101" i="9" s="1"/>
  <c r="AE3" i="9"/>
  <c r="AE4" i="9"/>
  <c r="AE5" i="9"/>
  <c r="AE6" i="9"/>
  <c r="AE7" i="9"/>
  <c r="AE8" i="9"/>
  <c r="AE9" i="9"/>
  <c r="AE10" i="9"/>
  <c r="AE11" i="9"/>
  <c r="AE12" i="9"/>
  <c r="AE13" i="9"/>
  <c r="AE14" i="9"/>
  <c r="AE15" i="9"/>
  <c r="AE16" i="9"/>
  <c r="AE17" i="9"/>
  <c r="AE18" i="9"/>
  <c r="AE19" i="9"/>
  <c r="AE20" i="9"/>
  <c r="AE21" i="9"/>
  <c r="AE22" i="9"/>
  <c r="AE23" i="9"/>
  <c r="AE24" i="9"/>
  <c r="AE25" i="9"/>
  <c r="AG26" i="9"/>
  <c r="AE27" i="9"/>
  <c r="AE28" i="9"/>
  <c r="AE29" i="9"/>
  <c r="AE30" i="9"/>
  <c r="AE31" i="9"/>
  <c r="AE32" i="9"/>
  <c r="AE34" i="9"/>
  <c r="AE35" i="9"/>
  <c r="AE37" i="9"/>
  <c r="AE38" i="9"/>
  <c r="AE39" i="9"/>
  <c r="AE40" i="9"/>
  <c r="AE41" i="9"/>
  <c r="AE43" i="9"/>
  <c r="AE44" i="9"/>
  <c r="AE45" i="9"/>
  <c r="AE46" i="9"/>
  <c r="AE47" i="9"/>
  <c r="AE48" i="9"/>
  <c r="AE49" i="9"/>
  <c r="AE50" i="9"/>
  <c r="AE51" i="9"/>
  <c r="AE52" i="9"/>
  <c r="AE53" i="9"/>
  <c r="AE54" i="9"/>
  <c r="AE55" i="9"/>
  <c r="AE56" i="9"/>
  <c r="AE57" i="9"/>
  <c r="AG58" i="9"/>
  <c r="AE59" i="9"/>
  <c r="AE60" i="9"/>
  <c r="AE61" i="9"/>
  <c r="AE63" i="9"/>
  <c r="AE64" i="9"/>
  <c r="AE65" i="9"/>
  <c r="AE66" i="9"/>
  <c r="AE67" i="9"/>
  <c r="AE68" i="9"/>
  <c r="AE69" i="9"/>
  <c r="AE70" i="9"/>
  <c r="AE72" i="9"/>
  <c r="AE73" i="9"/>
  <c r="AE74" i="9"/>
  <c r="AE75" i="9"/>
  <c r="AE76" i="9"/>
  <c r="AE77" i="9"/>
  <c r="AE78" i="9"/>
  <c r="AE79" i="9"/>
  <c r="AE80" i="9"/>
  <c r="AE81" i="9"/>
  <c r="AG82" i="9"/>
  <c r="AE84" i="9"/>
  <c r="AE85" i="9"/>
  <c r="AE86" i="9"/>
  <c r="AE87" i="9"/>
  <c r="AE88" i="9"/>
  <c r="AE89" i="9"/>
  <c r="AE90" i="9"/>
  <c r="AE91" i="9"/>
  <c r="AG92" i="9"/>
  <c r="AE94" i="9"/>
  <c r="AE97" i="9"/>
  <c r="AE99" i="9"/>
  <c r="AE100" i="9"/>
  <c r="AE101" i="9"/>
  <c r="Y4" i="9"/>
  <c r="Y5" i="9"/>
  <c r="Y6" i="9"/>
  <c r="Y7" i="9"/>
  <c r="Y8" i="9"/>
  <c r="Y9" i="9"/>
  <c r="Y10" i="9"/>
  <c r="Y11" i="9"/>
  <c r="Y12" i="9"/>
  <c r="Y13" i="9"/>
  <c r="Y14" i="9"/>
  <c r="Y15" i="9"/>
  <c r="Y16" i="9"/>
  <c r="Y17" i="9"/>
  <c r="Y18" i="9"/>
  <c r="Y19" i="9"/>
  <c r="Y20" i="9"/>
  <c r="Y21" i="9"/>
  <c r="Y22" i="9"/>
  <c r="Y23" i="9"/>
  <c r="Y24" i="9"/>
  <c r="Y25" i="9"/>
  <c r="Y26" i="9"/>
  <c r="Y27" i="9"/>
  <c r="Y28" i="9"/>
  <c r="Y29" i="9"/>
  <c r="Y30" i="9"/>
  <c r="Y31" i="9"/>
  <c r="Y32" i="9"/>
  <c r="Y34" i="9"/>
  <c r="Y35" i="9"/>
  <c r="Y36" i="9"/>
  <c r="Y37" i="9"/>
  <c r="Y38" i="9"/>
  <c r="Y39" i="9"/>
  <c r="Y40" i="9"/>
  <c r="Y41" i="9"/>
  <c r="Y43" i="9"/>
  <c r="Y44" i="9"/>
  <c r="Y45" i="9"/>
  <c r="Y46" i="9"/>
  <c r="Y47" i="9"/>
  <c r="Y48" i="9"/>
  <c r="Y49" i="9"/>
  <c r="Y50" i="9"/>
  <c r="Y51" i="9"/>
  <c r="Y52" i="9"/>
  <c r="Y53" i="9"/>
  <c r="Y54" i="9"/>
  <c r="Y55" i="9"/>
  <c r="Y56" i="9"/>
  <c r="Y57" i="9"/>
  <c r="Y58" i="9"/>
  <c r="Y59" i="9"/>
  <c r="Y60" i="9"/>
  <c r="Y61" i="9"/>
  <c r="Y62" i="9"/>
  <c r="Y63" i="9"/>
  <c r="Y64" i="9"/>
  <c r="Y65" i="9"/>
  <c r="Y66" i="9"/>
  <c r="Y67" i="9"/>
  <c r="Y68" i="9"/>
  <c r="Y69" i="9"/>
  <c r="Y70" i="9"/>
  <c r="Y72" i="9"/>
  <c r="Y73" i="9"/>
  <c r="Y74" i="9"/>
  <c r="Y75" i="9"/>
  <c r="Y76" i="9"/>
  <c r="Y77" i="9"/>
  <c r="Y78" i="9"/>
  <c r="Y80" i="9"/>
  <c r="Y81" i="9"/>
  <c r="Y82" i="9"/>
  <c r="Y84" i="9"/>
  <c r="Y85" i="9"/>
  <c r="Y86" i="9"/>
  <c r="Y87" i="9"/>
  <c r="Y88" i="9"/>
  <c r="Y89" i="9"/>
  <c r="Y90" i="9"/>
  <c r="Y91" i="9"/>
  <c r="Y92" i="9"/>
  <c r="Y94" i="9"/>
  <c r="Y95" i="9"/>
  <c r="Y96" i="9"/>
  <c r="Y97" i="9"/>
  <c r="Y98" i="9"/>
  <c r="Y99" i="9"/>
  <c r="Y100" i="9"/>
  <c r="Y101" i="9"/>
  <c r="A11" i="15" l="1"/>
  <c r="A10" i="18"/>
  <c r="A10" i="19"/>
  <c r="H3" i="9"/>
  <c r="F2" i="9"/>
  <c r="G2" i="9"/>
  <c r="T2" i="9"/>
  <c r="AG48" i="9"/>
  <c r="AG99" i="9"/>
  <c r="AG91" i="9"/>
  <c r="AG87" i="9"/>
  <c r="AG78" i="9"/>
  <c r="AG69" i="9"/>
  <c r="AG60" i="9"/>
  <c r="AG39" i="9"/>
  <c r="AG29" i="9"/>
  <c r="AG21" i="9"/>
  <c r="AG13" i="9"/>
  <c r="AG5" i="9"/>
  <c r="AG101" i="9"/>
  <c r="AG89" i="9"/>
  <c r="AG80" i="9"/>
  <c r="AG72" i="9"/>
  <c r="AG50" i="9"/>
  <c r="AG41" i="9"/>
  <c r="AG31" i="9"/>
  <c r="AG23" i="9"/>
  <c r="AG15" i="9"/>
  <c r="AG7" i="9"/>
  <c r="AG74" i="9"/>
  <c r="AG65" i="9"/>
  <c r="AG56" i="9"/>
  <c r="AG52" i="9"/>
  <c r="AG44" i="9"/>
  <c r="AG34" i="9"/>
  <c r="AG25" i="9"/>
  <c r="AG17" i="9"/>
  <c r="AG9" i="9"/>
  <c r="AG97" i="9"/>
  <c r="AG90" i="9"/>
  <c r="AG86" i="9"/>
  <c r="AG81" i="9"/>
  <c r="AG77" i="9"/>
  <c r="AG73" i="9"/>
  <c r="AG64" i="9"/>
  <c r="AG59" i="9"/>
  <c r="AG55" i="9"/>
  <c r="AG51" i="9"/>
  <c r="AG47" i="9"/>
  <c r="AG43" i="9"/>
  <c r="AG38" i="9"/>
  <c r="AG32" i="9"/>
  <c r="AG28" i="9"/>
  <c r="AG24" i="9"/>
  <c r="AG16" i="9"/>
  <c r="AG12" i="9"/>
  <c r="AG8" i="9"/>
  <c r="AG4" i="9"/>
  <c r="AG94" i="9"/>
  <c r="AG85" i="9"/>
  <c r="AG76" i="9"/>
  <c r="AG67" i="9"/>
  <c r="AG54" i="9"/>
  <c r="AG46" i="9"/>
  <c r="AG37" i="9"/>
  <c r="AG27" i="9"/>
  <c r="AG19" i="9"/>
  <c r="AG11" i="9"/>
  <c r="AG3" i="9"/>
  <c r="T3" i="9" s="1"/>
  <c r="AG100" i="9"/>
  <c r="AG88" i="9"/>
  <c r="AG84" i="9"/>
  <c r="AG79" i="9"/>
  <c r="AG70" i="9"/>
  <c r="AG66" i="9"/>
  <c r="AG61" i="9"/>
  <c r="AG57" i="9"/>
  <c r="AG53" i="9"/>
  <c r="AG49" i="9"/>
  <c r="AG45" i="9"/>
  <c r="AG40" i="9"/>
  <c r="AG35" i="9"/>
  <c r="AG30" i="9"/>
  <c r="AG22" i="9"/>
  <c r="AG18" i="9"/>
  <c r="AG14" i="9"/>
  <c r="AG10" i="9"/>
  <c r="AG6" i="9"/>
  <c r="AA95" i="9"/>
  <c r="AA86" i="9"/>
  <c r="AA76" i="9"/>
  <c r="AA67" i="9"/>
  <c r="AA59" i="9"/>
  <c r="AA43" i="9"/>
  <c r="AA34" i="9"/>
  <c r="AA25" i="9"/>
  <c r="AA13" i="9"/>
  <c r="AA98" i="9"/>
  <c r="AA94" i="9"/>
  <c r="AA89" i="9"/>
  <c r="AA85" i="9"/>
  <c r="AA80" i="9"/>
  <c r="AA75" i="9"/>
  <c r="AA70" i="9"/>
  <c r="AA66" i="9"/>
  <c r="AA62" i="9"/>
  <c r="AA58" i="9"/>
  <c r="AA54" i="9"/>
  <c r="AA50" i="9"/>
  <c r="AA46" i="9"/>
  <c r="AA41" i="9"/>
  <c r="AA37" i="9"/>
  <c r="AA32" i="9"/>
  <c r="AA28" i="9"/>
  <c r="AA24" i="9"/>
  <c r="AA20" i="9"/>
  <c r="AA16" i="9"/>
  <c r="AA12" i="9"/>
  <c r="AA8" i="9"/>
  <c r="AA4" i="9"/>
  <c r="AA100" i="9"/>
  <c r="AA96" i="9"/>
  <c r="AA91" i="9"/>
  <c r="AA87" i="9"/>
  <c r="AA82" i="9"/>
  <c r="AA77" i="9"/>
  <c r="AA73" i="9"/>
  <c r="AA68" i="9"/>
  <c r="AA64" i="9"/>
  <c r="AA60" i="9"/>
  <c r="AA56" i="9"/>
  <c r="AA52" i="9"/>
  <c r="AA48" i="9"/>
  <c r="AA44" i="9"/>
  <c r="AA39" i="9"/>
  <c r="AA35" i="9"/>
  <c r="AA30" i="9"/>
  <c r="AA26" i="9"/>
  <c r="AA22" i="9"/>
  <c r="AA18" i="9"/>
  <c r="AA14" i="9"/>
  <c r="AA10" i="9"/>
  <c r="AA6" i="9"/>
  <c r="AA99" i="9"/>
  <c r="AA90" i="9"/>
  <c r="AA81" i="9"/>
  <c r="AA72" i="9"/>
  <c r="AA63" i="9"/>
  <c r="AA55" i="9"/>
  <c r="AA51" i="9"/>
  <c r="AA47" i="9"/>
  <c r="AA38" i="9"/>
  <c r="AA29" i="9"/>
  <c r="AA21" i="9"/>
  <c r="AA17" i="9"/>
  <c r="AA9" i="9"/>
  <c r="AA5" i="9"/>
  <c r="AA101" i="9"/>
  <c r="AA97" i="9"/>
  <c r="AA92" i="9"/>
  <c r="AA88" i="9"/>
  <c r="AA84" i="9"/>
  <c r="AA78" i="9"/>
  <c r="AA74" i="9"/>
  <c r="AA69" i="9"/>
  <c r="AA65" i="9"/>
  <c r="AA61" i="9"/>
  <c r="AA57" i="9"/>
  <c r="AA53" i="9"/>
  <c r="AA49" i="9"/>
  <c r="AA45" i="9"/>
  <c r="AA40" i="9"/>
  <c r="AA36" i="9"/>
  <c r="AA31" i="9"/>
  <c r="AA27" i="9"/>
  <c r="AA23" i="9"/>
  <c r="AA19" i="9"/>
  <c r="AA15" i="9"/>
  <c r="AA11" i="9"/>
  <c r="AA7" i="9"/>
  <c r="AI93" i="9"/>
  <c r="AK93" i="9" s="1"/>
  <c r="AM93" i="9" s="1"/>
  <c r="AJ83" i="9"/>
  <c r="AK83" i="9" s="1"/>
  <c r="AM83" i="9" s="1"/>
  <c r="AH54" i="9"/>
  <c r="AK54" i="9" s="1"/>
  <c r="AM54" i="9" s="1"/>
  <c r="AH62" i="9"/>
  <c r="AK62" i="9" s="1"/>
  <c r="AM62" i="9" s="1"/>
  <c r="AH63" i="9"/>
  <c r="A12" i="15" l="1"/>
  <c r="A11" i="18"/>
  <c r="A11" i="19"/>
  <c r="H2" i="9"/>
  <c r="G72" i="9"/>
  <c r="F72" i="9"/>
  <c r="H72" i="9" s="1"/>
  <c r="G7" i="9"/>
  <c r="F7" i="9"/>
  <c r="G40" i="9"/>
  <c r="F40" i="9"/>
  <c r="H40" i="9" s="1"/>
  <c r="F74" i="9"/>
  <c r="H74" i="9" s="1"/>
  <c r="G74" i="9"/>
  <c r="G63" i="9"/>
  <c r="F63" i="9"/>
  <c r="H63" i="9" s="1"/>
  <c r="G52" i="9"/>
  <c r="F52" i="9"/>
  <c r="G87" i="9"/>
  <c r="F87" i="9"/>
  <c r="H87" i="9" s="1"/>
  <c r="G20" i="9"/>
  <c r="F20" i="9"/>
  <c r="G54" i="9"/>
  <c r="F54" i="9"/>
  <c r="H54" i="9" s="1"/>
  <c r="F67" i="9"/>
  <c r="G67" i="9"/>
  <c r="F17" i="9"/>
  <c r="G17" i="9"/>
  <c r="G56" i="9"/>
  <c r="F56" i="9"/>
  <c r="F24" i="9"/>
  <c r="G24" i="9"/>
  <c r="G94" i="9"/>
  <c r="F94" i="9"/>
  <c r="G76" i="9"/>
  <c r="F76" i="9"/>
  <c r="F60" i="9"/>
  <c r="H60" i="9" s="1"/>
  <c r="G60" i="9"/>
  <c r="F96" i="9"/>
  <c r="G96" i="9"/>
  <c r="F28" i="9"/>
  <c r="G28" i="9"/>
  <c r="G62" i="9"/>
  <c r="F62" i="9"/>
  <c r="F98" i="9"/>
  <c r="H98" i="9" s="1"/>
  <c r="G98" i="9"/>
  <c r="G86" i="9"/>
  <c r="F86" i="9"/>
  <c r="H86" i="9" s="1"/>
  <c r="F19" i="9"/>
  <c r="G19" i="9"/>
  <c r="G53" i="9"/>
  <c r="F53" i="9"/>
  <c r="G88" i="9"/>
  <c r="F88" i="9"/>
  <c r="G29" i="9"/>
  <c r="F29" i="9"/>
  <c r="H29" i="9" s="1"/>
  <c r="F90" i="9"/>
  <c r="G90" i="9"/>
  <c r="G64" i="9"/>
  <c r="F64" i="9"/>
  <c r="G100" i="9"/>
  <c r="F100" i="9"/>
  <c r="F66" i="9"/>
  <c r="G66" i="9"/>
  <c r="G95" i="9"/>
  <c r="F95" i="9"/>
  <c r="F11" i="9"/>
  <c r="G11" i="9"/>
  <c r="F81" i="9"/>
  <c r="H81" i="9" s="1"/>
  <c r="G81" i="9"/>
  <c r="F57" i="9"/>
  <c r="G57" i="9"/>
  <c r="G38" i="9"/>
  <c r="F38" i="9"/>
  <c r="F99" i="9"/>
  <c r="G99" i="9"/>
  <c r="F35" i="9"/>
  <c r="H35" i="9" s="1"/>
  <c r="G35" i="9"/>
  <c r="F68" i="9"/>
  <c r="G68" i="9"/>
  <c r="F4" i="9"/>
  <c r="G4" i="9"/>
  <c r="G37" i="9"/>
  <c r="F37" i="9"/>
  <c r="G15" i="9"/>
  <c r="F15" i="9"/>
  <c r="F27" i="9"/>
  <c r="G27" i="9"/>
  <c r="G61" i="9"/>
  <c r="F61" i="9"/>
  <c r="F97" i="9"/>
  <c r="G97" i="9"/>
  <c r="G6" i="9"/>
  <c r="F6" i="9"/>
  <c r="F39" i="9"/>
  <c r="G39" i="9"/>
  <c r="F73" i="9"/>
  <c r="G73" i="9"/>
  <c r="G8" i="9"/>
  <c r="F8" i="9"/>
  <c r="F75" i="9"/>
  <c r="H75" i="9" s="1"/>
  <c r="G75" i="9"/>
  <c r="G45" i="9"/>
  <c r="F45" i="9"/>
  <c r="G21" i="9"/>
  <c r="F21" i="9"/>
  <c r="G31" i="9"/>
  <c r="F31" i="9"/>
  <c r="F65" i="9"/>
  <c r="H65" i="9" s="1"/>
  <c r="G65" i="9"/>
  <c r="G101" i="9"/>
  <c r="F101" i="9"/>
  <c r="F51" i="9"/>
  <c r="G51" i="9"/>
  <c r="F10" i="9"/>
  <c r="G10" i="9"/>
  <c r="G77" i="9"/>
  <c r="F77" i="9"/>
  <c r="G46" i="9"/>
  <c r="F46" i="9"/>
  <c r="F80" i="9"/>
  <c r="G80" i="9"/>
  <c r="G78" i="9"/>
  <c r="F78" i="9"/>
  <c r="F49" i="9"/>
  <c r="H49" i="9" s="1"/>
  <c r="G49" i="9"/>
  <c r="G69" i="9"/>
  <c r="F69" i="9"/>
  <c r="G5" i="9"/>
  <c r="F5" i="9"/>
  <c r="G55" i="9"/>
  <c r="F55" i="9"/>
  <c r="G14" i="9"/>
  <c r="F14" i="9"/>
  <c r="F48" i="9"/>
  <c r="G48" i="9"/>
  <c r="F82" i="9"/>
  <c r="G82" i="9"/>
  <c r="G16" i="9"/>
  <c r="F16" i="9"/>
  <c r="F50" i="9"/>
  <c r="H50" i="9" s="1"/>
  <c r="G50" i="9"/>
  <c r="G85" i="9"/>
  <c r="F85" i="9"/>
  <c r="H85" i="9" s="1"/>
  <c r="F59" i="9"/>
  <c r="G59" i="9"/>
  <c r="T38" i="9"/>
  <c r="T25" i="9"/>
  <c r="T27" i="9"/>
  <c r="T61" i="9"/>
  <c r="T97" i="9"/>
  <c r="T41" i="9"/>
  <c r="T69" i="9"/>
  <c r="T5" i="9"/>
  <c r="T14" i="9"/>
  <c r="T48" i="9"/>
  <c r="T82" i="9"/>
  <c r="T50" i="9"/>
  <c r="T85" i="9"/>
  <c r="T59" i="9"/>
  <c r="T23" i="9"/>
  <c r="T99" i="9"/>
  <c r="T4" i="9"/>
  <c r="T7" i="9"/>
  <c r="T74" i="9"/>
  <c r="T18" i="9"/>
  <c r="T89" i="9"/>
  <c r="T67" i="9"/>
  <c r="T11" i="9"/>
  <c r="T45" i="9"/>
  <c r="T78" i="9"/>
  <c r="T17" i="9"/>
  <c r="T22" i="9"/>
  <c r="T56" i="9"/>
  <c r="T91" i="9"/>
  <c r="T24" i="9"/>
  <c r="T58" i="9"/>
  <c r="T94" i="9"/>
  <c r="T76" i="9"/>
  <c r="T57" i="9"/>
  <c r="T35" i="9"/>
  <c r="T37" i="9"/>
  <c r="T9" i="9"/>
  <c r="T87" i="9"/>
  <c r="T26" i="9"/>
  <c r="T60" i="9"/>
  <c r="T28" i="9"/>
  <c r="T86" i="9"/>
  <c r="T92" i="9"/>
  <c r="T70" i="9"/>
  <c r="T40" i="9"/>
  <c r="T52" i="9"/>
  <c r="T15" i="9"/>
  <c r="T84" i="9"/>
  <c r="T21" i="9"/>
  <c r="T81" i="9"/>
  <c r="T19" i="9"/>
  <c r="T53" i="9"/>
  <c r="T29" i="9"/>
  <c r="T90" i="9"/>
  <c r="T30" i="9"/>
  <c r="T64" i="9"/>
  <c r="T100" i="9"/>
  <c r="T32" i="9"/>
  <c r="T13" i="9"/>
  <c r="T47" i="9"/>
  <c r="T6" i="9"/>
  <c r="T39" i="9"/>
  <c r="T73" i="9"/>
  <c r="T8" i="9"/>
  <c r="T34" i="9"/>
  <c r="T31" i="9"/>
  <c r="T101" i="9"/>
  <c r="T51" i="9"/>
  <c r="T44" i="9"/>
  <c r="T77" i="9"/>
  <c r="T12" i="9"/>
  <c r="T46" i="9"/>
  <c r="T80" i="9"/>
  <c r="T65" i="9"/>
  <c r="T10" i="9"/>
  <c r="T55" i="9"/>
  <c r="T16" i="9"/>
  <c r="T54" i="9"/>
  <c r="T72" i="9"/>
  <c r="T49" i="9"/>
  <c r="T88" i="9"/>
  <c r="T43" i="9"/>
  <c r="T66" i="9"/>
  <c r="AL59" i="9"/>
  <c r="AM59" i="9" s="1"/>
  <c r="AR59" i="9"/>
  <c r="AS59" i="9" s="1"/>
  <c r="A13" i="15" l="1"/>
  <c r="A12" i="18"/>
  <c r="A12" i="19"/>
  <c r="H69" i="9"/>
  <c r="H46" i="9"/>
  <c r="H101" i="9"/>
  <c r="H45" i="9"/>
  <c r="H52" i="9"/>
  <c r="H7" i="9"/>
  <c r="H10" i="9"/>
  <c r="H99" i="9"/>
  <c r="H5" i="9"/>
  <c r="H21" i="9"/>
  <c r="H61" i="9"/>
  <c r="H38" i="9"/>
  <c r="H95" i="9"/>
  <c r="H94" i="9"/>
  <c r="H97" i="9"/>
  <c r="H11" i="9"/>
  <c r="H14" i="9"/>
  <c r="H77" i="9"/>
  <c r="H6" i="9"/>
  <c r="H15" i="9"/>
  <c r="H100" i="9"/>
  <c r="H88" i="9"/>
  <c r="H56" i="9"/>
  <c r="H20" i="9"/>
  <c r="H16" i="9"/>
  <c r="H55" i="9"/>
  <c r="H78" i="9"/>
  <c r="H31" i="9"/>
  <c r="H8" i="9"/>
  <c r="K2" i="10" s="1"/>
  <c r="H37" i="9"/>
  <c r="H64" i="9"/>
  <c r="H53" i="9"/>
  <c r="H62" i="9"/>
  <c r="H76" i="9"/>
  <c r="H17" i="9"/>
  <c r="H59" i="9"/>
  <c r="H82" i="9"/>
  <c r="H80" i="9"/>
  <c r="H51" i="9"/>
  <c r="H73" i="9"/>
  <c r="H4" i="9"/>
  <c r="H90" i="9"/>
  <c r="H19" i="9"/>
  <c r="H28" i="9"/>
  <c r="H67" i="9"/>
  <c r="H48" i="9"/>
  <c r="H39" i="9"/>
  <c r="K9" i="10" s="1"/>
  <c r="H27" i="9"/>
  <c r="H68" i="9"/>
  <c r="H57" i="9"/>
  <c r="H66" i="9"/>
  <c r="H96" i="9"/>
  <c r="H24" i="9"/>
  <c r="J9" i="10"/>
  <c r="AJ42" i="9"/>
  <c r="AK42" i="9" s="1"/>
  <c r="AM42" i="9" s="1"/>
  <c r="AD42" i="9"/>
  <c r="AE42" i="9" s="1"/>
  <c r="X42" i="9"/>
  <c r="Y42" i="9" s="1"/>
  <c r="A14" i="15" l="1"/>
  <c r="A13" i="18"/>
  <c r="A13" i="19"/>
  <c r="L9" i="10"/>
  <c r="K10" i="10"/>
  <c r="J10" i="10"/>
  <c r="J6" i="10"/>
  <c r="K6" i="10"/>
  <c r="K3" i="10"/>
  <c r="J3" i="10"/>
  <c r="J2" i="10"/>
  <c r="L2" i="10" s="1"/>
  <c r="J7" i="10"/>
  <c r="K7" i="10"/>
  <c r="AG42" i="9"/>
  <c r="AA42" i="9"/>
  <c r="AC36" i="9"/>
  <c r="AB36" i="9"/>
  <c r="AF33" i="9"/>
  <c r="A15" i="15" l="1"/>
  <c r="A14" i="19"/>
  <c r="A14" i="18"/>
  <c r="L3" i="10"/>
  <c r="L6" i="10"/>
  <c r="L10" i="10"/>
  <c r="L7" i="10"/>
  <c r="F42" i="9"/>
  <c r="H42" i="9" s="1"/>
  <c r="G42" i="9"/>
  <c r="T42" i="9"/>
  <c r="Q5" i="10"/>
  <c r="AE36" i="9"/>
  <c r="AX20" i="9"/>
  <c r="AY20" i="9" s="1"/>
  <c r="AR20" i="9"/>
  <c r="AS20" i="9" s="1"/>
  <c r="AL20" i="9"/>
  <c r="AM20" i="9" s="1"/>
  <c r="AF20" i="9"/>
  <c r="AG20" i="9" s="1"/>
  <c r="T20" i="9" s="1"/>
  <c r="A16" i="15" l="1"/>
  <c r="A15" i="18"/>
  <c r="A15" i="19"/>
  <c r="K12" i="10"/>
  <c r="J12" i="10"/>
  <c r="AG36" i="9"/>
  <c r="T36" i="9" s="1"/>
  <c r="A17" i="15" l="1"/>
  <c r="A16" i="19"/>
  <c r="A16" i="18"/>
  <c r="L12" i="10"/>
  <c r="AC98" i="9"/>
  <c r="AB98" i="9"/>
  <c r="AV95" i="9"/>
  <c r="AW95" i="9" s="1"/>
  <c r="AY95" i="9" s="1"/>
  <c r="AP95" i="9"/>
  <c r="AQ95" i="9" s="1"/>
  <c r="AS95" i="9" s="1"/>
  <c r="AJ95" i="9"/>
  <c r="AK95" i="9" s="1"/>
  <c r="AM95" i="9" s="1"/>
  <c r="AD95" i="9"/>
  <c r="AE95" i="9" s="1"/>
  <c r="AU93" i="9"/>
  <c r="AW93" i="9" s="1"/>
  <c r="AY93" i="9" s="1"/>
  <c r="AO93" i="9"/>
  <c r="AQ93" i="9" s="1"/>
  <c r="AS93" i="9" s="1"/>
  <c r="AC93" i="9"/>
  <c r="W93" i="9"/>
  <c r="Y93" i="9" s="1"/>
  <c r="AR96" i="9"/>
  <c r="AS96" i="9" s="1"/>
  <c r="AD96" i="9"/>
  <c r="AE96" i="9" s="1"/>
  <c r="AP83" i="9"/>
  <c r="AQ83" i="9" s="1"/>
  <c r="AS83" i="9" s="1"/>
  <c r="AD83" i="9"/>
  <c r="AE83" i="9" s="1"/>
  <c r="X83" i="9"/>
  <c r="Y83" i="9" s="1"/>
  <c r="Z79" i="9"/>
  <c r="B4" i="10" s="1"/>
  <c r="W79" i="9"/>
  <c r="V79" i="9"/>
  <c r="AR75" i="9"/>
  <c r="AS75" i="9" s="1"/>
  <c r="AF75" i="9"/>
  <c r="AG75" i="9" s="1"/>
  <c r="T75" i="9" s="1"/>
  <c r="AX68" i="9"/>
  <c r="AY68" i="9" s="1"/>
  <c r="AR68" i="9"/>
  <c r="AS68" i="9" s="1"/>
  <c r="AL68" i="9"/>
  <c r="AM68" i="9" s="1"/>
  <c r="AF68" i="9"/>
  <c r="AG68" i="9" s="1"/>
  <c r="T68" i="9" s="1"/>
  <c r="AU63" i="9"/>
  <c r="AT63" i="9"/>
  <c r="AR63" i="9"/>
  <c r="AO63" i="9"/>
  <c r="AN63" i="9"/>
  <c r="AI63" i="9"/>
  <c r="AK63" i="9" s="1"/>
  <c r="AM63" i="9" s="1"/>
  <c r="AF63" i="9"/>
  <c r="AG63" i="9" s="1"/>
  <c r="T63" i="9" s="1"/>
  <c r="AN62" i="9"/>
  <c r="AQ62" i="9" s="1"/>
  <c r="AS62" i="9" s="1"/>
  <c r="AB62" i="9"/>
  <c r="AO60" i="9"/>
  <c r="AQ60" i="9" s="1"/>
  <c r="AS60" i="9" s="1"/>
  <c r="AN54" i="9"/>
  <c r="AQ54" i="9" s="1"/>
  <c r="AS54" i="9" s="1"/>
  <c r="A18" i="15" l="1"/>
  <c r="A17" i="18"/>
  <c r="A17" i="19"/>
  <c r="C4" i="10"/>
  <c r="B13" i="10"/>
  <c r="AQ63" i="9"/>
  <c r="AS63" i="9" s="1"/>
  <c r="AG83" i="9"/>
  <c r="AG95" i="9"/>
  <c r="T95" i="9" s="1"/>
  <c r="AG96" i="9"/>
  <c r="T96" i="9" s="1"/>
  <c r="AA93" i="9"/>
  <c r="AA83" i="9"/>
  <c r="AE93" i="9"/>
  <c r="AE98" i="9"/>
  <c r="AE62" i="9"/>
  <c r="AW63" i="9"/>
  <c r="AY63" i="9" s="1"/>
  <c r="Y79" i="9"/>
  <c r="A19" i="15" l="1"/>
  <c r="A18" i="19"/>
  <c r="A18" i="18"/>
  <c r="G93" i="9"/>
  <c r="F93" i="9"/>
  <c r="H93" i="9" s="1"/>
  <c r="F83" i="9"/>
  <c r="G83" i="9"/>
  <c r="T83" i="9"/>
  <c r="Q4" i="10"/>
  <c r="C13" i="10"/>
  <c r="AG98" i="9"/>
  <c r="T98" i="9" s="1"/>
  <c r="AG62" i="9"/>
  <c r="T62" i="9" s="1"/>
  <c r="AG93" i="9"/>
  <c r="T93" i="9" s="1"/>
  <c r="AA79" i="9"/>
  <c r="A20" i="15" l="1"/>
  <c r="A19" i="18"/>
  <c r="A19" i="19"/>
  <c r="H83" i="9"/>
  <c r="K11" i="10"/>
  <c r="J11" i="10"/>
  <c r="G79" i="9"/>
  <c r="F79" i="9"/>
  <c r="T79" i="9"/>
  <c r="AW33" i="9"/>
  <c r="AY33" i="9" s="1"/>
  <c r="A21" i="15" l="1"/>
  <c r="A20" i="18"/>
  <c r="A20" i="19"/>
  <c r="H79" i="9"/>
  <c r="L11" i="10"/>
  <c r="K8" i="10"/>
  <c r="J8" i="10"/>
  <c r="AQ33" i="9"/>
  <c r="AS33" i="9" s="1"/>
  <c r="AE33" i="9"/>
  <c r="A22" i="15" l="1"/>
  <c r="A21" i="18"/>
  <c r="A21" i="19"/>
  <c r="L8" i="10"/>
  <c r="K4" i="10"/>
  <c r="J4" i="10"/>
  <c r="AG33" i="9"/>
  <c r="Y33" i="9"/>
  <c r="A23" i="15" l="1"/>
  <c r="A22" i="19"/>
  <c r="A22" i="18"/>
  <c r="L4" i="10"/>
  <c r="AA33" i="9"/>
  <c r="AK33" i="9"/>
  <c r="AM33" i="9" s="1"/>
  <c r="A24" i="15" l="1"/>
  <c r="A23" i="18"/>
  <c r="A23" i="19"/>
  <c r="F33" i="9"/>
  <c r="H33" i="9" s="1"/>
  <c r="G33" i="9"/>
  <c r="T33" i="9"/>
  <c r="A25" i="15" l="1"/>
  <c r="A24" i="19"/>
  <c r="A24" i="18"/>
  <c r="J5" i="10"/>
  <c r="K5" i="10"/>
  <c r="K13" i="10" s="1"/>
  <c r="A26" i="15" l="1"/>
  <c r="A25" i="18"/>
  <c r="A25" i="19"/>
  <c r="J13" i="10"/>
  <c r="L13" i="10" s="1"/>
  <c r="L5" i="10"/>
  <c r="A27" i="15" l="1"/>
  <c r="A26" i="19"/>
  <c r="A26" i="18"/>
  <c r="A28" i="15" l="1"/>
  <c r="A27" i="19"/>
  <c r="A27" i="18"/>
  <c r="A29" i="15" l="1"/>
  <c r="A28" i="18"/>
  <c r="A28" i="19"/>
  <c r="A30" i="15" l="1"/>
  <c r="A29" i="19"/>
  <c r="A29" i="18"/>
  <c r="A31" i="15" l="1"/>
  <c r="A30" i="18"/>
  <c r="A30" i="19"/>
  <c r="A32" i="15" l="1"/>
  <c r="A31" i="18"/>
  <c r="A31" i="19"/>
  <c r="A33" i="15" l="1"/>
  <c r="A32" i="19"/>
  <c r="A32" i="18"/>
  <c r="A34" i="15" l="1"/>
  <c r="A33" i="19"/>
  <c r="A33" i="18"/>
  <c r="A35" i="15" l="1"/>
  <c r="A34" i="19"/>
  <c r="A34" i="18"/>
  <c r="A36" i="15" l="1"/>
  <c r="A35" i="19"/>
  <c r="A35" i="18"/>
  <c r="A37" i="15" l="1"/>
  <c r="A36" i="18"/>
  <c r="A36" i="19"/>
  <c r="A38" i="15" l="1"/>
  <c r="A37" i="18"/>
  <c r="A37" i="19"/>
  <c r="A39" i="15" l="1"/>
  <c r="A38" i="18"/>
  <c r="A38" i="19"/>
  <c r="A40" i="15" l="1"/>
  <c r="A39" i="18"/>
  <c r="A39" i="19"/>
  <c r="A41" i="15" l="1"/>
  <c r="A40" i="19"/>
  <c r="A40" i="18"/>
  <c r="A42" i="15" l="1"/>
  <c r="A41" i="19"/>
  <c r="A41" i="18"/>
  <c r="A43" i="15" l="1"/>
  <c r="A42" i="18"/>
  <c r="A42" i="19"/>
  <c r="A44" i="15" l="1"/>
  <c r="A43" i="19"/>
  <c r="A43" i="18"/>
  <c r="A45" i="15" l="1"/>
  <c r="A44" i="18"/>
  <c r="A44" i="19"/>
  <c r="A46" i="15" l="1"/>
  <c r="A45" i="18"/>
  <c r="A45" i="19"/>
  <c r="A47" i="15" l="1"/>
  <c r="A46" i="19"/>
  <c r="A46" i="18"/>
  <c r="A48" i="15" l="1"/>
  <c r="A47" i="18"/>
  <c r="A47" i="19"/>
  <c r="A49" i="15" l="1"/>
  <c r="A48" i="19"/>
  <c r="A48" i="18"/>
  <c r="A50" i="15" l="1"/>
  <c r="A49" i="19"/>
  <c r="A49" i="18"/>
  <c r="A51" i="15" l="1"/>
  <c r="A50" i="18"/>
  <c r="A50" i="19"/>
  <c r="A52" i="15" l="1"/>
  <c r="A51" i="18"/>
  <c r="A51" i="19"/>
  <c r="A53" i="15" l="1"/>
  <c r="A52" i="18"/>
  <c r="A52" i="19"/>
  <c r="A54" i="15" l="1"/>
  <c r="A53" i="18"/>
  <c r="A53" i="19"/>
  <c r="A55" i="15" l="1"/>
  <c r="A54" i="19"/>
  <c r="A54" i="18"/>
  <c r="A56" i="15" l="1"/>
  <c r="A55" i="18"/>
  <c r="A55" i="19"/>
  <c r="A57" i="15" l="1"/>
  <c r="A56" i="19"/>
  <c r="A56" i="18"/>
  <c r="A58" i="15" l="1"/>
  <c r="A57" i="19"/>
  <c r="A57" i="18"/>
  <c r="A59" i="15" l="1"/>
  <c r="A58" i="18"/>
  <c r="A58" i="19"/>
  <c r="A60" i="15" l="1"/>
  <c r="A59" i="18"/>
  <c r="A59" i="19"/>
  <c r="A61" i="15" l="1"/>
  <c r="A60" i="18"/>
  <c r="A60" i="19"/>
  <c r="A62" i="15" l="1"/>
  <c r="A61" i="18"/>
  <c r="A61" i="19"/>
  <c r="A63" i="15" l="1"/>
  <c r="A62" i="19"/>
  <c r="A62" i="18"/>
  <c r="A64" i="15" l="1"/>
  <c r="A63" i="18"/>
  <c r="A63" i="19"/>
  <c r="A65" i="15" l="1"/>
  <c r="A64" i="19"/>
  <c r="A64" i="18"/>
  <c r="A66" i="15" l="1"/>
  <c r="A65" i="18"/>
  <c r="A65" i="19"/>
  <c r="A67" i="15" l="1"/>
  <c r="A66" i="18"/>
  <c r="A66" i="19"/>
  <c r="A68" i="15" l="1"/>
  <c r="A67" i="18"/>
  <c r="A67" i="19"/>
  <c r="A69" i="15" l="1"/>
  <c r="A68" i="18"/>
  <c r="A68" i="19"/>
  <c r="A70" i="15" l="1"/>
  <c r="A69" i="18"/>
  <c r="A69" i="19"/>
  <c r="A71" i="15" l="1"/>
  <c r="A70" i="19"/>
  <c r="A70" i="18"/>
  <c r="A72" i="15" l="1"/>
  <c r="A71" i="19"/>
  <c r="A71" i="18"/>
  <c r="A73" i="15" l="1"/>
  <c r="A72" i="19"/>
  <c r="A72" i="18"/>
  <c r="A74" i="15" l="1"/>
  <c r="A73" i="19"/>
  <c r="A73" i="18"/>
  <c r="A75" i="15" l="1"/>
  <c r="A74" i="19"/>
  <c r="A74" i="18"/>
  <c r="A76" i="15" l="1"/>
  <c r="A75" i="19"/>
  <c r="A75" i="18"/>
  <c r="A77" i="15" l="1"/>
  <c r="A76" i="19"/>
  <c r="A76" i="18"/>
  <c r="A78" i="15" l="1"/>
  <c r="A77" i="18"/>
  <c r="A77" i="19"/>
  <c r="A79" i="15" l="1"/>
  <c r="A78" i="19"/>
  <c r="A78" i="18"/>
  <c r="A80" i="15" l="1"/>
  <c r="A79" i="18"/>
  <c r="A79" i="19"/>
  <c r="A81" i="15" l="1"/>
  <c r="A80" i="19"/>
  <c r="A80" i="18"/>
  <c r="A82" i="15" l="1"/>
  <c r="A81" i="19"/>
  <c r="A81" i="18"/>
  <c r="A83" i="15" l="1"/>
  <c r="A82" i="19"/>
  <c r="A82" i="18"/>
  <c r="A84" i="15" l="1"/>
  <c r="A83" i="19"/>
  <c r="A83" i="18"/>
  <c r="A85" i="15" l="1"/>
  <c r="A84" i="18"/>
  <c r="A84" i="19"/>
  <c r="A86" i="15" l="1"/>
  <c r="A85" i="18"/>
  <c r="A85" i="19"/>
  <c r="A87" i="15" l="1"/>
  <c r="A86" i="19"/>
  <c r="A86" i="18"/>
  <c r="A88" i="15" l="1"/>
  <c r="A87" i="18"/>
  <c r="A87" i="19"/>
  <c r="A89" i="15" l="1"/>
  <c r="A88" i="19"/>
  <c r="A88" i="18"/>
  <c r="A90" i="15" l="1"/>
  <c r="A89" i="19"/>
  <c r="A89" i="18"/>
  <c r="A91" i="15" l="1"/>
  <c r="A90" i="19"/>
  <c r="A90" i="18"/>
  <c r="A92" i="15" l="1"/>
  <c r="A91" i="19"/>
  <c r="A91" i="18"/>
  <c r="A93" i="15" l="1"/>
  <c r="A92" i="19"/>
  <c r="A92" i="18"/>
  <c r="A94" i="15" l="1"/>
  <c r="A93" i="18"/>
  <c r="A93" i="19"/>
  <c r="A95" i="15" l="1"/>
  <c r="A94" i="19"/>
  <c r="A94" i="18"/>
  <c r="A96" i="15" l="1"/>
  <c r="A95" i="18"/>
  <c r="A95" i="19"/>
  <c r="A97" i="15" l="1"/>
  <c r="A96" i="19"/>
  <c r="A96" i="18"/>
  <c r="A98" i="15" l="1"/>
  <c r="A97" i="19"/>
  <c r="A97" i="18"/>
  <c r="A99" i="15" l="1"/>
  <c r="A98" i="19"/>
  <c r="A98" i="18"/>
  <c r="A100" i="15" l="1"/>
  <c r="A99" i="19"/>
  <c r="A99" i="18"/>
  <c r="A101" i="15" l="1"/>
  <c r="A100" i="18"/>
  <c r="A100" i="19"/>
  <c r="A101" i="18" l="1"/>
  <c r="A101" i="19"/>
  <c r="AG24" i="19"/>
  <c r="AH24" i="19" s="1"/>
  <c r="AP24" i="19"/>
  <c r="AQ24" i="19" s="1"/>
  <c r="AN24" i="19"/>
  <c r="AO24" i="1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A8B6B9-32AE-4FAF-8DF9-F04137436969}"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CB8CD19A-E839-4DCD-B718-9C955DA5508C}" name="WorksheetConnection_Company Tracker _ Meng Sustainability Project.xlsx!Table1" type="102" refreshedVersion="6" minRefreshableVersion="5">
    <extLst>
      <ext xmlns:x15="http://schemas.microsoft.com/office/spreadsheetml/2010/11/main" uri="{DE250136-89BD-433C-8126-D09CA5730AF9}">
        <x15:connection id="Table1">
          <x15:rangePr sourceName="_xlcn.WorksheetConnection_CompanyTracker_MengSustainabilityProject.xlsxTable11"/>
        </x15:connection>
      </ext>
    </extLst>
  </connection>
</connections>
</file>

<file path=xl/sharedStrings.xml><?xml version="1.0" encoding="utf-8"?>
<sst xmlns="http://schemas.openxmlformats.org/spreadsheetml/2006/main" count="6554" uniqueCount="1362">
  <si>
    <t>N</t>
  </si>
  <si>
    <t>Y</t>
  </si>
  <si>
    <t>Communication Services</t>
  </si>
  <si>
    <t>Consumer Discretionary</t>
  </si>
  <si>
    <t>Consumer Staples</t>
  </si>
  <si>
    <t>Energy</t>
  </si>
  <si>
    <t>Financial Services</t>
  </si>
  <si>
    <t>Healthcare</t>
  </si>
  <si>
    <t>Industrials</t>
  </si>
  <si>
    <t>Materials</t>
  </si>
  <si>
    <t>Real Estate</t>
  </si>
  <si>
    <t>Technology</t>
  </si>
  <si>
    <t>Utilities</t>
  </si>
  <si>
    <t>2019 Net Scope 1 + 2 Emissions</t>
  </si>
  <si>
    <t>2018 Net Scope 1 + 2 Emissions</t>
  </si>
  <si>
    <t>2017 Net Scope 1 + 2 Emissions</t>
  </si>
  <si>
    <t>2016 Net Scope 1 + 2 Emissions</t>
  </si>
  <si>
    <t>Company Name</t>
  </si>
  <si>
    <t>Sector</t>
  </si>
  <si>
    <t>Industry</t>
  </si>
  <si>
    <t>Size (2019 Revenue)</t>
  </si>
  <si>
    <t>Net Earnings/Income (2019)</t>
  </si>
  <si>
    <t>IPO Year</t>
  </si>
  <si>
    <t>S&amp;P 100? (Y/N)</t>
  </si>
  <si>
    <t>Carbon Neutral Goal? (Y/N)</t>
  </si>
  <si>
    <t>Science-Based Target? (Y/N)</t>
  </si>
  <si>
    <t>Carbon Neutral by.... (year)</t>
  </si>
  <si>
    <t>Carbon Neutral Announcement (year)</t>
  </si>
  <si>
    <t>Carbon Goal (if non-zero)</t>
  </si>
  <si>
    <t>Reliance on Offsets? (Y/N)</t>
  </si>
  <si>
    <t>RE100 Commitment? (Y/N)</t>
  </si>
  <si>
    <t>100% Renewable Energy by... (year)</t>
  </si>
  <si>
    <t>2019 Scope 1 (MeT Co2)</t>
  </si>
  <si>
    <t xml:space="preserve">2019 Scope 2 </t>
  </si>
  <si>
    <t>2019 Offsets Purchased</t>
  </si>
  <si>
    <t xml:space="preserve">2019 Scope 3 </t>
  </si>
  <si>
    <t>2019 Total Scope 1, 2 + 3</t>
  </si>
  <si>
    <t>2018 Scope 1</t>
  </si>
  <si>
    <t>2018 Scope 2</t>
  </si>
  <si>
    <t>2018 Offsets Purchased</t>
  </si>
  <si>
    <t>2018 Scope 3</t>
  </si>
  <si>
    <t>2018 Total Scope 1, 2 + Scope 3</t>
  </si>
  <si>
    <t>2017 Scope 1</t>
  </si>
  <si>
    <t>2017 Scope 2</t>
  </si>
  <si>
    <t>2017 Offsets Purchased</t>
  </si>
  <si>
    <t>2017 Scope 3</t>
  </si>
  <si>
    <t>2017 Total Scope 1, 2 + 3</t>
  </si>
  <si>
    <t>2016 Scope 1</t>
  </si>
  <si>
    <t>2016 Scope 2</t>
  </si>
  <si>
    <t>2016 Offsets Purchased</t>
  </si>
  <si>
    <t>2016 Scope 3</t>
  </si>
  <si>
    <t>2016 Total Scope 1, 2 + 3</t>
  </si>
  <si>
    <t>2015 Scope 1</t>
  </si>
  <si>
    <t>2015 Scope 2</t>
  </si>
  <si>
    <t>2015 Offsets Purchased</t>
  </si>
  <si>
    <t>2015 Net Scope 1 + 2 Emissions</t>
  </si>
  <si>
    <t>2015 Scope 3</t>
  </si>
  <si>
    <t>2015 Total Scope 1, 2 + 3</t>
  </si>
  <si>
    <t>Policy Arm?</t>
  </si>
  <si>
    <t>Initiatives for Carbon Neutrality</t>
  </si>
  <si>
    <t>Notes</t>
  </si>
  <si>
    <t>Sources</t>
  </si>
  <si>
    <t>3M</t>
  </si>
  <si>
    <t>Specialty Industrials</t>
  </si>
  <si>
    <t>-Policy engagement through lobbying and employee PAC specific to climate change and energy conservation</t>
  </si>
  <si>
    <t>Abbott Laboratories</t>
  </si>
  <si>
    <t>Medical Devices</t>
  </si>
  <si>
    <t>- 40% reduction from base year (2010- 1237)</t>
  </si>
  <si>
    <t>AbbVie Inc.</t>
  </si>
  <si>
    <t>Drug Manufacturers</t>
  </si>
  <si>
    <t>- 50% RE in 2025
'- 50% GHG reduction by 2035 from 2015 baseline</t>
  </si>
  <si>
    <t>Accenture</t>
  </si>
  <si>
    <t>Information Technology Services</t>
  </si>
  <si>
    <t>Adobe Inc.</t>
  </si>
  <si>
    <t>Software</t>
  </si>
  <si>
    <t>Allstate Corp</t>
  </si>
  <si>
    <t>Insurance</t>
  </si>
  <si>
    <t>-location based scope 2 only
-In 2010, Allstate set a goal to achieve a 20% absolute
energy-use reduction within our owned portfolio (approximately
39% of all locations at the time) against our 2007 baseline by
2020. Thanks to efforts across the enterprise, we surpassed that
2020 goal in 2014.</t>
  </si>
  <si>
    <t>Alphabet Inc. / Google</t>
  </si>
  <si>
    <t>Internet Content</t>
  </si>
  <si>
    <t>- All GHG emissions neutralized by carbon offset projects (40 carbon offset projects since 2007)
- In 2018, matched 100% of the electricity consumption of global operations with renewable energy for the second consecutive year (Since 2011, reduced cumulative Scope 1 and 2 GHG emissions by 52% by procuring renewable energy)
- Since 2011, carbon intensity per unit of revenue has decreased by 86%</t>
  </si>
  <si>
    <t>Altria Group Inc</t>
  </si>
  <si>
    <t>Tobacco</t>
  </si>
  <si>
    <t>Reduce absolute Scope 1 &amp;2 greenhouse gas emissions by 55% by 2030 vs. 2017
Reduce absolute Scope 3 greenhouse gas emissions by 18% by 2030 vs. 2017 
Achieve 100% renewable electricity by 2030 (currently at 2.3%)
Reduce waste sent to landfill by 25% by 2030 vs. 2017
 Achieve 100% water neutrality annually</t>
  </si>
  <si>
    <t>Amazon.com Inc.</t>
  </si>
  <si>
    <t>Retail</t>
  </si>
  <si>
    <t>- $2 Billion Climate Pledge Fund to Invest in Companies Building Products, Services, and Technologies to Decarbonize the Economy and Protect the Planet
- $100 million Right Now Climate Fund that is investing in nature-based solutions and reforestation projects around the world, including a reforestation project in the Appalachians in the U.S. and an urban greening initiative in Berlin, Germany
- To date, Amazon has 91 renewable energy projects, including 31 utility-scale wind and solar projects and 60 solar rooftops on fulfillment centers and sort centers around the globe. Together, these projects totaling over 2,900 MW of capacity will deliver more than 7.6 million MWh of renewable energy annually, enough to power 680,000 U.S. homes
- Since 2015, has lowered the weight of outbound packaging by 33% and eliminated more than 880,000 tons of packaging material, the equivalent of 1.5 billion shipping boxes
- Making all Amazon shipments net zero carbon through Shipment Zero, with 50% of all shipments net zero carbon by 2030
- Deploying 100,000 electric delivery vehicles starting in 2021</t>
  </si>
  <si>
    <t>- https://news.theceomagazine.com/environment/amazon-pollution/
- https://press.aboutamazon.com/news-releases/news-release-details/amazon-announces-2-billion-climate-pledge-fund-invest-companies
- https://sustainability.aboutamazon.com/
- https://sustainability.aboutamazon.com/environment/sustainable-operations/carbon-footprint
- https://d39w7f4ix9f5s9.cloudfront.net/26/7f/e1693ffc45db88d839a4734b46e7/amazon-2018-carbon-footprint.pdf</t>
  </si>
  <si>
    <t>American Express</t>
  </si>
  <si>
    <t>Credit Services</t>
  </si>
  <si>
    <t>- No initiatives worth mentioning- just nonspecific "investments" and "frameworks" for clients</t>
  </si>
  <si>
    <t>American Tower</t>
  </si>
  <si>
    <t>- Science based targets IN DEVELOPMENT
- Carbon neutral only for US, not global
- Investing over $100 million in energy-efficient technologies at the site level (e.g., transitioning to new lithium-ion batteries [LIBs] and LED lighting) and site-based green energy solutions (e.g., solar photovoltaic power generation)</t>
  </si>
  <si>
    <t>Amgen Inc.</t>
  </si>
  <si>
    <t>-10% reduction in scope 1 emissions from base year (2012) by 2020- 119968
-20% reduction in scope 2 emissions form base year - 286679</t>
  </si>
  <si>
    <t>Apple Inc.</t>
  </si>
  <si>
    <t>Electronics</t>
  </si>
  <si>
    <t>https://www.apple.com/environment/pdf/Apple_Environmental_Responsibility_Report_2019.pdf</t>
  </si>
  <si>
    <t>AT&amp;T Inc.</t>
  </si>
  <si>
    <t>Telecom Services</t>
  </si>
  <si>
    <t>-Reducing absolute Scope 1 and Scope 2 greenhouse gas (GHG) emissions 26% by 2030, from a 2015 base year
- Virtualization of many network functions
- Transitioning to a low-emissions fleet
- Accelerating energy efficiency and network optimization efforts
- Expanding sustainable feature film and TV production
- Supporting the renewable energy marketplace through PPAs with renewable energy providers
- Investing in carbon offsets</t>
  </si>
  <si>
    <t>- https://about.att.com/csr/home/reporting/issue-brief/greenhouse-gas-emissions.html
-https://about.att.com/story/2020/att_carbon_neutral.html#:~:text=AT%26T%20has%20committed%20to%20be,30%20years%20into%20the%20future.</t>
  </si>
  <si>
    <t>Bank of America</t>
  </si>
  <si>
    <t>Banks</t>
  </si>
  <si>
    <t>- Reduced market-based emissions by 89% from 2010 to 2020, primarily by consolidating space, implementing energy-efficient projects, and puchasing renewable energy
- Purchased 1.8 million mWh of renewable electricity in 2018, which amounts to 91% of global energy use
- Installed on-site solar on offices, financial centers, and ATMs
- Reduced energy use by 40% from 2010 to 2020
- Reduced location-based emissions by 52% from 2010 to 2020, primarily as a result of the energy reductions achieved
- Maintain LEED certification for 25% of buildings globally</t>
  </si>
  <si>
    <t>- https://about.bankofamerica.com/en-us/global-impact/env-operations-detail.html#fbid=4M45J4eZdUh
- https://newsroom.bankofamerica.com/press-releases/environment/bank-america-achieves-carbon-neutrality
- https://about.bankofamerica.com/assets/pdf/Bank-of-America-2018-ESG-Performance-Data-Summary.pdf
- https://www.environmentalleader.com/2020/01/bank-of-america-announces-carbon-neutrality-one-year-ahead-of-schedule/</t>
  </si>
  <si>
    <t>Berkshire Hathaway Inc.</t>
  </si>
  <si>
    <t>Biogen Inc.</t>
  </si>
  <si>
    <t>BlackRock Inc.</t>
  </si>
  <si>
    <t>Asset Management</t>
  </si>
  <si>
    <t>Target to reduce emissions per employee by 45% by 2020, reduced 33% as of 2018</t>
  </si>
  <si>
    <t>Boeing</t>
  </si>
  <si>
    <t>Aerospace </t>
  </si>
  <si>
    <t>Booking Holdings Inc.</t>
  </si>
  <si>
    <t>Hospitality</t>
  </si>
  <si>
    <t>Bristol Myers Squibb</t>
  </si>
  <si>
    <t>-5% (absolute) or greater reduction of water and
greenhouse gas (GHG) emissions from
2015 baseline.</t>
  </si>
  <si>
    <t>Capital One Financial</t>
  </si>
  <si>
    <t>- Green energy offsets, not emissions offsets</t>
  </si>
  <si>
    <t>https://ir-capitalone.gcs-web.com/news-releases/news-release-details/capital-one-reports-fourth-quarter-2019-net-income-12-billion-or</t>
  </si>
  <si>
    <t>Caterpillar Inc.</t>
  </si>
  <si>
    <t>Machinery</t>
  </si>
  <si>
    <t>-GHG emissions intensity reduction goal is based on our
combined Scope 1 (direct) and Scope 2 (indirect, marketbased) GHG emissions using a 2006 baseline year. Likewise,
total absolute GHG emissions are a sum of Scope 1 and
Scope 2 (market-based) emissions.
-Targets based on GHG/Energy intensity</t>
  </si>
  <si>
    <t>Charter Communications Inc.</t>
  </si>
  <si>
    <t>Entertainment</t>
  </si>
  <si>
    <t>Chevron</t>
  </si>
  <si>
    <t>Oil and Gas</t>
  </si>
  <si>
    <t>-Significant player in trade associations that influence policy</t>
  </si>
  <si>
    <t>Cisco Systems</t>
  </si>
  <si>
    <t>-Goal: Reduce total Cisco Scope 1 and 2 GHG
emissions worldwide by 60 percent absolute by
FY22 (FY07 baseline)
- Use electricity from renewable sources for 85% of electricity by FY22 (KPI tracked not clear/available)
-Date announced 2017</t>
  </si>
  <si>
    <t>Citigroup Inc.</t>
  </si>
  <si>
    <t>-Use policy arm to champion climate-poistive acitivies more broadly</t>
  </si>
  <si>
    <t>Coca-Cola</t>
  </si>
  <si>
    <t>Food &amp; Beverage</t>
  </si>
  <si>
    <t>-And this goal has proven a worthy ambition as we
managed to cut our carbon footprint by 24%
toward our target of a 25% reduction by the
end of 2020, against a 2010 baseline.
-Targets include plastic recycling</t>
  </si>
  <si>
    <t>Colgate-Palmolive</t>
  </si>
  <si>
    <t>Household &amp; Personal Products</t>
  </si>
  <si>
    <t>-Purhcase of renewable energy certificates/ offsets
-Currently at 28% renewable energy</t>
  </si>
  <si>
    <t>Comcast</t>
  </si>
  <si>
    <t>ConocoPhillips</t>
  </si>
  <si>
    <t>-Work with Climate leadership council and API climate working group to develop and implement US carbon tax design
- report includes ESG ratings from Sustainalytics, DJSI, Bloomberg, MSCI, and CDP</t>
  </si>
  <si>
    <t>Costco</t>
  </si>
  <si>
    <t xml:space="preserve">-Vague </t>
  </si>
  <si>
    <t>CVS Health</t>
  </si>
  <si>
    <t>- Reduce aboslute scope 1 and 2 GHG by 36% from 2010 base by 2030</t>
  </si>
  <si>
    <t>Danaher</t>
  </si>
  <si>
    <t>Diagnostics</t>
  </si>
  <si>
    <t>Dow Inc.</t>
  </si>
  <si>
    <t>Chemicals</t>
  </si>
  <si>
    <t xml:space="preserve">-Incorporate carbon pricing into business planning and prioritizing capital projects
-Maintain scope 1 &amp;2 emissions below 2006 baseline (42.6 Million tonnes)
- Advocating for a circular economy
-Participate in world economic forum low carbon tech   </t>
  </si>
  <si>
    <t>Duke Energy</t>
  </si>
  <si>
    <t>- Enables participants of RE100 by providing RE sources
- 50% CO2 emissions by 2030
- Reports include methane and SF6 emissions in CO2 equivalents</t>
  </si>
  <si>
    <t>DuPont</t>
  </si>
  <si>
    <t>- The Grindsted, Denmark plant is 100% carbon neutral
- Reduce greenhouse gas (GHGs) emissions 30%,
including sourcing 60% of electricity from renewable energy
by 2030, and deliver carbon neutral operations by 2050
- Positions in various associations (i.e US chamber of commerce climate change task force, World business council for sustainable development, etc)</t>
  </si>
  <si>
    <t>Eli Lilly</t>
  </si>
  <si>
    <t>- goals are vague but progress is being measured and communicated</t>
  </si>
  <si>
    <t>Emerson Electric</t>
  </si>
  <si>
    <t>- Developed a universal integrated resouce efficiency metric based on thermodynamics to help policymakers measure efficiency raw materials/energy are used in production of product or service</t>
  </si>
  <si>
    <t>Exelon</t>
  </si>
  <si>
    <t>-Policy engagement through trade associations like American Gas association, Energy Storage Association</t>
  </si>
  <si>
    <t>Exxon Mobil</t>
  </si>
  <si>
    <t>-Targets around flaring, but not total GHG reduction targets
- Policy engagement through trade associations, lobbying, and employee political contributions (PAC)
- Large emphasis on development of algae biofuels and carbon capture technology but no measures on emissions offsets as a result of tech development</t>
  </si>
  <si>
    <t>Facebook, Inc.</t>
  </si>
  <si>
    <t>-Policy engagement through coalitions like "We are Still In" and "Greenpeace's Clicking clean Initiative"
-No offset or Scope 3 data available- data difficult to find</t>
  </si>
  <si>
    <t>FedEx</t>
  </si>
  <si>
    <t>Logistics</t>
  </si>
  <si>
    <t>-Target reductions focus on intensity, not overall emissions (30% reduction in aircraft emissions intenisity by 2020 from 2005 baseline)
- Participants in renewable energy buyers alliance, electrification coalition, and other alliances to engage in policy</t>
  </si>
  <si>
    <t>Ford Motor Company</t>
  </si>
  <si>
    <t>Automotive</t>
  </si>
  <si>
    <t xml:space="preserve">Y </t>
  </si>
  <si>
    <t>-- working with California on Clean Car standards starting in 2019</t>
  </si>
  <si>
    <t>General Dynamics</t>
  </si>
  <si>
    <t xml:space="preserve">- No clear informationon goals or emissions data available </t>
  </si>
  <si>
    <t>General Electric</t>
  </si>
  <si>
    <t>General Motors</t>
  </si>
  <si>
    <t>Gilead Sciences Inc.</t>
  </si>
  <si>
    <t>-Practicing green chemistry principles
- No policy arm specific to climate change/ carbon neutrality</t>
  </si>
  <si>
    <t>Goldman Sachs Group</t>
  </si>
  <si>
    <t>- founding member of Climate Leadership Council (CLC), advocating for a revenue-neutral carbon fee and dividend plan
- $2 billion in green operational investments to drive energy efficiency
- Aiming to reduce energy intensity by 20% by 2025 (from 2015 baseline)
- Certified 70 percent of offices to a green-building standard
- Committed all new construction to be LEED Gold-certified or equivalent
- Extend the green building certification of ISO 20121 standards to off-site events
-scope 3 just business travel</t>
  </si>
  <si>
    <t>- https://www.goldmansachs.com/what-we-do/sustainable-finance/documents/carbon-emissions-verification.pdf
- https://www.goldmansachs.com/what-we-do/sustainable-finance/documents/reports/2019-sustainability-report.pdf
- https://www.goldmansachs.com/citizenship/sustainability-reporting/esg-content/esg-report-2017.pdf
- https://www.goldmansachs.com/what-we-do/sustainable-finance/our-sustainability-journey/#:~:text=2009%3A%20Committing%20to%20Carbon%20Neutrality,neutral%20starting%20from%202015%20onwards.</t>
  </si>
  <si>
    <t>Home Depot</t>
  </si>
  <si>
    <t>From 2018 baseline, 40% reduction by 2030 and 50% reduction by 2035</t>
  </si>
  <si>
    <t>- Investing in on-site solar
- Previous projects in energy efficiency (lighting, air conditioning) and supply and demand balancing on the grid</t>
  </si>
  <si>
    <t>- https://corporate.homedepot.com/responsibility/protecting-the-climate
- https://live-home-depot-corporate.pantheonsite.io/sites/default/files/2019_Responsibility%20Report_FINAL_Master_Update.png_.pdf
- https://corporate.homedepot.com/sites/default/files/pdfs/2018_ResponsibilityReport_FINAL_LRS.PDF
- https://corporate.homedepot.com/sites/default/files/image_gallery/PDFs/THD_Responsibility%20Report%202017.pdf
- https://corporate.homedepot.com/sites/default/files/THD_0039_2015_Sustainability_Report_Online_Nov_10.pdf</t>
  </si>
  <si>
    <t>Honeywell Inc.</t>
  </si>
  <si>
    <t>Reduce emissions by an additional 10% per dollar of revenue from 2018 levels (no target date specified)</t>
  </si>
  <si>
    <t>- In 2019, Honeywell set a new five-year “10-10-10” target to reduce global greenhouse gas emissions by an additional 10% per dollar of revenue from 2018 levels, to deploy on at least 10 renewable energy opportunities, and to achieve certification to ISO’s 50001 Energy Management Standard at 10 facilities, all by 2024
- Systematically replacing lighting at our sites with LED technologies - over 800 LED lighting projects for an annualized savings of $7.5 million, 37,000 metric tons CO2e and 250 BBTU
- Over 400 projects to systematically address air leaks, optimize compressed air usage, and upgrade equipment, saving an annualized $9.2 million, 45,500 metric tons CO2e and 300 BBTU
- Energy awareness and kaizen events to engage employees in the identification of sustainability-related savings opportunities. For example, our Safety and Productivity Solutions business targeted its top 20 sites and generated over 200 energy savings ideas with 25% costing little or nothing to implement and potential annualized savings of $500,000
- Largest sites are required to identify their significant energy use in line with ISO 50001, obtain an energy audit on an established cycle, train personnel on energy management, and track identified projects via our standard database</t>
  </si>
  <si>
    <t>- https://www.honeywell.com/content/dam/honeywell/files/Corporate_Citizenship_Report.pdf
- https://www.honeywell.com/content/dam/honeywell/files/Honeywell%20Greenhouse%20Gas%20Reporting%20Data-apr19.pdf</t>
  </si>
  <si>
    <t>IBM Corp.</t>
  </si>
  <si>
    <t>Reduce emissions 40% from 2005 to 2025</t>
  </si>
  <si>
    <t>55% by 2025</t>
  </si>
  <si>
    <t>- Virtualized and decommissioned over 152,000 servers from 2015 to 2017, saving 245 gigawatthours of electricity and $32.1 million
- Optimizing the use of energy across our operations (implemented approximately 1,900 energy conservation projects at nearly 300 locations in 2018)
- Purchasing renewable electricity where it makes both business and environmental sense
- Designing energy-efficient products
- Providing services and solutions that support our clients’ efforts to improve their operational efficiency
and reduce their climate impacts</t>
  </si>
  <si>
    <t>- https://www.ibm.com/ibm/environment/annual/IBMEnvReport_2018.pdf
- https://www.ibm.com/ibm/environment/climate/ghg.shtml
- https://www.ibm.com/ibm/environment/annual/IBMEnvReport_2017.pdf
- https://www.ibm.com/ibm/environment/annual/IBMEnvReport_2016.pdf</t>
  </si>
  <si>
    <t>Intel Corp.</t>
  </si>
  <si>
    <t>~1,400,000 Scope 1 + 2 by 2040 (in line with IPCC Reduction Target)</t>
  </si>
  <si>
    <t>2030 goals:
• Achieve 100% renewable energy use across our global manufacturing operations
• Conserve an additional 4 billion kWh of energy
• Drive an additional 10% reduction in our absolute Scope 1 and 2 carbon
emissions as we grow, informed by climate science
• Increase product energy efficiency 10x for Intel client and server microprocessors
to reduce our Scope 3 emissions
- Invested more than $145 million in energy-conservation projects (saving an estimated 3.19 billion kWh of energy)
- Installed more than 40 on-site projects that use solar, wind, fuel cell, and other alternative energy sources worldwide
- Remained the largest voluntary purchaser of green power in the United States
- Sustainability metrics tied to executive and employee performance since 2008
- Working on creating a carbon neutral PC / carbon neutral computing
- Policy engagement-collaborated with technology industry and EPA to influence  energy consumption targets for notebooks and desktop PCs</t>
  </si>
  <si>
    <t>- https://csrreportbuilder.intel.com/pdfbuilder/pdfs/CSR-2019-20-Full-Report.pdf
- http://csrreportbuilder.intel.com/pdfbuilder/pdfs/CSR-2018-Full-Report.pdf
- https://csrreportbuilder.intel.com/PDFfiles/CSR-2017_Full-Report.pdf
- https://csrreportbuilder.intel.com/PDFfiles/CSR-2016_Full-Report.pdf
- http://csrreportbuilder.intel.com/PDFfiles/CSR-2015_Full-Report.pdf</t>
  </si>
  <si>
    <t>Johnson &amp; Johnson</t>
  </si>
  <si>
    <t>Reduce Scope 1 + 2 emissions by 80% by 2050, from 2010 baseline
2010 Scope 1: 358,000
Scope 2: 898,000</t>
  </si>
  <si>
    <t>- Investing in energy efficiency programs through our CO2 Capital Relief Program
- Reduced Scope 1 and Scope 2 GHG emissions by 32% since 2010 (in 2019), exceeding 2020 target
- 13% of all built space is LEED certified
- Became founding members of the Renewable Energy Buyers Alliance (REBA) to advance a zero-carbon energy and secured four new PPAs totaling over 370,000 megawatt-hours (MWh) per year, and installed a 3.4 MW capacity windmill at Belgium chemical plant
- Aiming for 35% renewable energy by 2020</t>
  </si>
  <si>
    <t>- https://healthforhumanityreport.jnj.com/environmental-health/climate-resilience
- https://www.jnj.com/_document/2017-health-for-humanity-report-johnson-johnson?id=0000016c-4ece-dd15-a37d-6feeda030000
- https://healthforhumanityreport.jnj.com/_document/health-for-humanity-2020-goals-scorecard?id=00000172-5b7e-d027-a1fa-fb7e9b460000</t>
  </si>
  <si>
    <t>JPMorgan Chase &amp; Co.</t>
  </si>
  <si>
    <t>- 100% renewable energy by 2020 through on-site renewable energy, PPAs, and RECs
- Created a dedicated risk team focused on climate
- Integrated climate-related risks into the processes the firm uses to identify, assess and review the most material risks to our business
- Evaluating stress testing approaches to deepen understanding of the relationship between climate change and financial impact to the firm
- Offset 100% of employee air and rail travel emissions in 2019
-joined Climate Leadership Council, which promotes a bipartisan roadmap for a revenue neutral carbon tax-and-dividend in the US
- Scope 3: + (just employee air travel)</t>
  </si>
  <si>
    <t>- https://institute.jpmorganchase.com/content/dam/jpmc/jpmorgan-chase-and-co/documents/jpmc-cr-climate-report-2019.pdf
- https://www.jpmorganchase.com/corporate/news/pr/jpmorgan-chase-expands-commitment-to-low-carbon-economy-and-clean-energy.htm
- https://impact.jpmorganchase.com/content/dam/jpmc/jpmorgan-chase-and-co/documents/jpmc-cr-esg-report-2016.pdf
- https://about.jpmorganchase.com/content/dam/jpmc/jpmorgan-chase-and-co/documents/jpmc-cr-esg-report-2019.pdf</t>
  </si>
  <si>
    <t>Kinder Morgan Inc.</t>
  </si>
  <si>
    <t>- ONE Future: Working with the EPA to identify the most effective means of implementing methane emission reductions at natural gas transmission and storage operations. Through ONE Future, we committed to achieving a methane emission intensity target of 0.31% across our natural gas transmission and storage operations by 2025</t>
  </si>
  <si>
    <t>Planning to start measuring Scope 1 and 2 emissions starting in 2021</t>
  </si>
  <si>
    <t>- https://www.kindermorgan.com/WWWKM/media/Documents/2018_ESG_Report_1.pdf</t>
  </si>
  <si>
    <t>Kraft Heinz Co</t>
  </si>
  <si>
    <t>- 15% reduction in GHG emissions by 2020 from 2015 baseline
- Energy reduction initiatives
- Investing in renewable energy technology for our manufacturing plants
- Conducting a mapping of our direct supply chain of palm oil and soy to assess deforestation risks and develop action plans
- Having Kraft Heinz agronomists directly engage growers and farmers of key raw materials to enact best practices for environmental efficiencies, such as increased yields, optimization of fertilizer application, water conservation and an overall increase in crop resilience
- Joining the Science Based Targets Initiative to set science-based greenhouse gas emissions reduction goals in its supply chain
- Aiming to make 100 percent of our packaging globally recyclable, reusable or compostable by 2025</t>
  </si>
  <si>
    <t>- https://www.cdp.net/en/formatted_responses/responses?campaign_id=62255737&amp;discloser_id=729753&amp;locale=en&amp;organization_name=The+Kraft+Heinz+Company&amp;organization_number=58857&amp;program=Investor&amp;project_year=2018&amp;redirect=https%3A%2F%2Fcdp.credit360.com%2Fsurveys%2Fft9rgfbw%2F29892&amp;survey_id=58150509
- https://www.cdp.net/en/formatted_responses/pages?locale=en&amp;organization_name=The+Kraft+Heinz+Company&amp;organization_number=58857&amp;program=Investor&amp;project_year=2017&amp;redirect=https%3A%2F%2Fwww.cdp.net%2Fsites%2F2017%2F57%2F58857%2FClimate+Change+2017%2FPages%2FDisclosureView.aspx</t>
  </si>
  <si>
    <t>Lockheed Martin Corp.</t>
  </si>
  <si>
    <t>~1995</t>
  </si>
  <si>
    <t>35% Scope 1 + 2 reduction from 2010 to 2020 (2010 Scope 1 + 2 emissions: 1,271,358)
70% reduction in emissions per $ gross profit from 2015 to 2030</t>
  </si>
  <si>
    <t>- Energy efficiency programs (25% reduction from 2010 to 2020), lighting upgrades, and other emissions reduction strategies
- Developing a state-of-the-art Geostationary Carbon Observatory, or GeoCarb, with the University of Oklahoma and NASA’s Jet Propulsion Laboratory. GeoCarb aims to advance our collective understanding of the global carbon cycle by mapping key carbon gases from geostationary orbit. Over time, this technology can contribute much-needed data to support climate adaptation and resiliency efforts</t>
  </si>
  <si>
    <t>Goals are mostly qualitative without many hard targets set
Goals were difficult to find</t>
  </si>
  <si>
    <t>- https://sustainability.lockheedmartin.com/sustainability/downloads/Lockheed_Martin_Sustainability_Report_Full_2019.pdf
- https://www.lockheedmartin.com/content/dam/lockheed-martin/eo/photo/sustainability/CDP%20CC%202019.pdf
- https://www.lockheedmartin.com/content/dam/lockheed-martin/eo/documents/sustainability/2018%20Lockheed%20Martin%20Sustainability%20Report%20and%20GHG%20Verification%20Assurance_Final_4.18.19.pdf
- https://www.lockheedmartin.com/content/dam/lockheed-martin/eo/documents/sustainability/Lockheed_Martin_Sustainability_Report_Full_2018.pdf
- https://www.lockheedmartin.com/content/dam/lockheed-martin/eo/documents/sustainability/Lockheed_Martin_Sustainability_Report_Full_2017.pdf
- https://www.lockheedmartin.com/content/dam/lockheed-martin/eo/documents/sustainability/sustainability-report-2016-web.pdf
- https://lockheedmartin.com/content/dam/lockheed-martin/eo/documents/sustainability/verification-2019.pdf
- Letters of assurance
- https://app.one-report.com/report/qgri_index.html?categoryid=1475&amp;qid=3861&amp;rid=ODQwMDMyNjU3&amp;arid=NDc0ODgwMTAx&amp;companyid=924&amp;year=2020
- https://www.lockheedmartin.com/content/dam/lockheed-martin/eo/photo/sustainability/CDP%20CC%202019.pdf</t>
  </si>
  <si>
    <t>Lowe's Companies, Inc.</t>
  </si>
  <si>
    <t>40% reduction in Scope 1 + 2 from 2016 to 2030</t>
  </si>
  <si>
    <t>- Offered $34 million in discounts to customers who purchased energy efficient products
- Aim for 100% of our strategic suppliers to have sustainability goals by 2025
- By 2030, increase share of energy that is renewable
- Use a building management system (BMS) to maximize the efficiency of assets, such as lighting, HVAC and generators; leverage internal and third-party resources to calculate the performance of assets, inform retrofitting projects and improve energy use (99% of stores have BMS installed)
- LED lighting retrofit program
- Collaboration between vendors, stores and DCs via our Intermodal, Reverse Logistics and Backhaul programs to reduce empty truck miles, emissions and environmental impact. In the U.S., we monitor and audit provider fleets and use a transportation management system to optimize routes, combining loads to make deliveries more efficient</t>
  </si>
  <si>
    <t>- https://corporate.lowes.com/sites/lowes-corp/files/2020-07/Lowes_2019_FINAL_optimized.pdf
- https://corporate.lowes.com/sites/lowes-corp/files/CSR-reports/lowes-2018cr-report.pdf
- https://corporate.lowes.com/sites/lowes-corp/files/CSR-reports/Lowes_2017CRReport_FramingOurFuture.pdf</t>
  </si>
  <si>
    <t>MasterCard Inc.</t>
  </si>
  <si>
    <t>20% reduction in Scope 1, 2 + 3 from 2016 to 2025</t>
  </si>
  <si>
    <t>- 100% renewable energy (currently 2% on-site solar, 11% directly procured renewable energy, and 87% RECs - working on installing on-site renewable energy to reduce reliance on RECs)
- 79% green-certified buildings
- Working directly with suppliers on climate initiatives to reduce Scope 3 emissions
- Launched the Priceless Planet Coalition, which encourage corporates to invest in energy-efficient workplaces and operations, source renewable energy and maintain sustainable supply chains to reduce carbon footprints</t>
  </si>
  <si>
    <t>First payments company to set an approved Science Based Target</t>
  </si>
  <si>
    <t>- https://www.mastercard.us/content/dam/mccom/global/aboutus/Sustainability/mastercard-sustainability-report-2018.pdf
- https://www.smart-energy.com/industry-sectors/policy-regulation/mastercard-unveils-priceless-planet-coalition-to-combat-climate-change/</t>
  </si>
  <si>
    <t>McDonald's Corp.</t>
  </si>
  <si>
    <t>36% reduction from 2015 to 2030</t>
  </si>
  <si>
    <t>- Work across its supply chain, offices and restaurants to be more innovative and efficient through improvements such as investing in renewable energy, LED lighting, energy efficient kitchen equipment, sustainable packaging, restaurant recycling, and by elevating and supporting sustainable agriculture practices
- In collaboration with thousands of franchisees, suppliers and producers, McDonald’s will prioritize action on the largest segments of its carbon footprint: beef production, restaurant energy usage and sourcing, packaging and waste
- Goal of 31% reduction in emissions intensity (per metric ton of food and packaging) across our supply chain by 2030 from 2015 levels
- Working with farmers, ranchers, beef suppliers, and industry leaders to identify, magnify and share best practices on farming, grazing, and conservation, in ways that empower more producers to adopt sustainability practices
- Innovations and programs to promote energy efficiency and renewable energy. This includes equipment and building design innovation, energy monitoring, and crew training programs</t>
  </si>
  <si>
    <t>Beef, energy, and packaging are biggest drivers of environmental footprint</t>
  </si>
  <si>
    <t>- https://corporate.mcdonalds.com/corpmcd/scale-for-good/esg-reporting/progress-and-performance.html#3
- https://corporate.mcdonalds.com/corpmcd/scale-for-good/climate-action.html
- https://corporate.mcdonalds.com/content/dam/gwscorp/nfl/scale-for-good/McDonalds_CDP_Climate_Change_2018.pdf
- https://corporate.mcdonalds.com/content/dam/gwscorp/nfl/scale-for-good/CDP%20Climate%20Change_2017_McDonald%27s.pdf</t>
  </si>
  <si>
    <t>Medtronic</t>
  </si>
  <si>
    <t>15% reduction in Scope 1 + 2 emissions from 2013 to 2020</t>
  </si>
  <si>
    <t>- Manufacturing facilities account for most of our energy consumption, water use, and waste generation. At those siteswe use management systems, based on the ISO 14001 and OHSAS 18001 standards, to track EHS performance
- Program to convert all Medtronic lighting to LED bulbs
- Optimization initiative focused on global building automation, HVAC, and compressed air systems
- Sourcing renewable grid electricity has been part of our energy strategy since 2007. In FY19, we sourced 22,000 MWh of renewable energy</t>
  </si>
  <si>
    <t>- https://www.medtronic.com/content/dam/medtronic-com/global/Corporate/citizenship/documents/2019-integrated-performance-report.pdf
- https://www.medtronic.com/content/dam/medtronic-com/global/Corporate/Documents/2018-integrated-performance-report.pdf
- https://www.medtronic.com/content/dam/medtronic-com/global/Corporate/Documents/integrated-performance-report.pdf
- https://www.medtronic.com/content/dam/medtronic-com/us-en/corporate/documents/17267.MED.Sustainability.Report_4_FINAL%20NOV%208.pdf</t>
  </si>
  <si>
    <t>Merck &amp; Co.</t>
  </si>
  <si>
    <t>40% Scope 1 + 2 reduction from 2015 to 2025</t>
  </si>
  <si>
    <t>2040 (not a RE100 signatory)</t>
  </si>
  <si>
    <t>- By 2025, we will reduce global Scope 1 and market-based Scope 2 GHG emissions by at least 40% from 2015 levels
- By 2025, at least 50% of our purchased electricity will come from renewable sources. By 2040, 100% of our purchased electricity will come from renewable sources
- Established an Energy Capital Fund of up to $12 million per year in order to transition to more energy-efficient technology
- Converted US Sales fleet vehicles to more fuel-efficient versions to increase average mpg from 22 to 28 from 2008 to 2018
- All new buildings are designed to be LEED Silver or higher
- Long-standing partnership with the U.S. EPA's ENERGY STAR® program, which provides a broad energy-management strategy</t>
  </si>
  <si>
    <t>- https://www.msdresponsibility.com/environmental-sustainability/
- https://www.msdresponsibility.com/environmental-sustainability/climate-change-energy-use/</t>
  </si>
  <si>
    <t>MetLife Inc.</t>
  </si>
  <si>
    <t>- Required all 103 suppliers to disclose their GHG emissions and emissions reduction activities publicly in 2019
- Supports third-party certified carbon reduction projects in markets where we operate around the world (reforestation in Mississippi, replacement of coal-fired stoves in China, conservation of Colombia rainforest)
- Capital improvement projects and facility upgrades for building efficiency, including lighting retrofits, chiller and boiler replacements, LED lighting systems, demand metering, and occupancy-sensor installations
- 25% of buildings are LEED certified
- Invested $18.3 billion in green investments such as renewable energy projectsa and RECs in 2019
-Policy- membership in environmental associations but not talking about active policy lobbying
- Scope 3 is business air travel only</t>
  </si>
  <si>
    <t>- first U.S. insurer to achieve carbon neutrality (2016)</t>
  </si>
  <si>
    <t>- https://www.metlife.com/sustainability/MetLife-sustainability/climate/energy-emissions/
- https://sustainabilityreport.metlife.com/content/dam/metlifecom/us/sustainability/pdf/report/2019/2019-sustainability-report.pdf</t>
  </si>
  <si>
    <t>Microsoft Corp.</t>
  </si>
  <si>
    <t>- Implemented an internal carbon fee in 2012 to charge direct emissions and those of suppliers -- helps fund carbon emission reductions ($15/metric ton for Scope 3)
- Launching an initiative to use Microsoft technology to help our suppliers and customers around the world reduce their own carbon footprints
- Created a new $1 billion climate innovation fund to accelerate the global development of carbon reduction, capture, and removal technologies (portfolio of negative emission technologies (NET) potentially including afforestation and reforestation, soil carbon sequestration, bioenergy with carbon capture and storage (BECCs), and direct air capture (DAC))
- Will now make carbon reduction an explicit aspect of our procurement processes for supply chain
- Uses voice and advocacy supporting public policy that will accelerate carbon reduction and removal opportunities
- By 2050 Microsoft will remove from the environment all the carbon the company has emitted either directly or by electrical consumption since it was founded in 1975
-support policy for accelerating carbon reduction and removal</t>
  </si>
  <si>
    <t>- https://blogs.microsoft.com/blog/2020/01/16/microsoft-will-be-carbon-negative-by-2030/
- file:///C:/Users/pfedm/Downloads/Microsoft_2017_Environmental_Data_Factsheet.pdf
- https://query.prod.cms.rt.microsoft.com/cms/api/am/binary/RE3455q</t>
  </si>
  <si>
    <t>Mondelez International</t>
  </si>
  <si>
    <t>Reduce Scope 1, 2 + 3 emissions by 10% from 2018 to 2025</t>
  </si>
  <si>
    <t>- Reduced energy consumption by improving energy management systems and investing in energy efficient technologies in our factories
- Using low-carbon renewable energy sources
- In late 2015, our chocolate factory in Upplands Väsby, Sweden converted heavy oil burners to use waste vegetable oil instead, significantly reducing CO2 emissions while saving operating costs</t>
  </si>
  <si>
    <t>Poor reporting -- only links to CDP Disclosures</t>
  </si>
  <si>
    <t>- https://www.mondelezinternational.com/-/media/Mondelez/Snacking-Made-Right/Impact-Reporting/Measuring-Our-Progress/Additional-Resources-2/CDP-ClimateChange2019_Final.pdf
- https://www.mondelezinternational.com/-/media/Mondelez/PDFs/Mdlz-CDP-C_2018submission.pdf
- https://www.mondelezinternational.com/-/media/Mondelez/Snacking-Made-Right/Impact-Reporting/Measuring-Our-Progress/Additional-Resources-2/cdpclimate20162125.pdf
- https://www.mondelezinternational.com/~/media/MondelezCorporate/uploads/downloads/cdpClimate2017.pdf</t>
  </si>
  <si>
    <t>Morgan Stanley</t>
  </si>
  <si>
    <t>- Appointed a Chief Sustainability Officer for the first time in 2017</t>
  </si>
  <si>
    <t>- https://www.morganstanley.com/pub/content/dam/msdotcom/about-us/giving-back/sustainability-at-morgan-stanley/Morgan_Stanley_2018_CDP_Climate_Change_Response.pdf
- https://www.morganstanley.com/pub/content/dam/msdotcom/about-us/giving-back/sustainability-at-morgan-stanley/Morgan_Stanley_2019_CDP_Climate_Change_Response.pdf</t>
  </si>
  <si>
    <t>Netflix Inc.</t>
  </si>
  <si>
    <t>~50,000 MT CO2e is best guess for annual emissions. No reporting except to say that emissions were 300g / customer in 2014 and they have182.8 million subscribers today
Claim to use 100% renewable energy through the end of RECs</t>
  </si>
  <si>
    <t>- https://netflixtechblog.com/netflix-streaming-more-energy-efficient-than-breathing-57658d47b9fd
- https://b8f65cb373b1b7b15feb-c70d8ead6ced550b4d987d7c03fcdd1d.ssl.cf3.rackcdn.com/cms/reports/documents/000/002/891/original/CDP-US-Report-2017.pdf?1512668320</t>
  </si>
  <si>
    <t>Nextera Energy Inc.</t>
  </si>
  <si>
    <t>-NextEra Energy conducts business under regulatory regimes that require CO2 rather than CO2e reporting. The SASB metric reported here is CO2e which includes emissions from power generation as well as auxiliary equipment, while other areas of our sustainability reporting convey CO2 from power generation only</t>
  </si>
  <si>
    <t>Nike Inc.</t>
  </si>
  <si>
    <t>Clothing</t>
  </si>
  <si>
    <t>25% Scope 1 + 2 reduction from 2015 to 2020 in key operations</t>
  </si>
  <si>
    <t>Yes - member of Oregon Business Alliance for Climate, which supports climate policy and a carbon price while investing in Oregon’s clean economy</t>
  </si>
  <si>
    <t>- Innovating and sourcing innovative, lower-impact materials
- Driving more energy efficiency in our operations and within our supply chain
- Increasing renewable energy use throughout our operations and encouraging broader adoption throughout our supply chain
- Collaborating with other organizations (corporate peers, government and NGOs) to scale impact and create better market conditions for clean energy
- Decrease energy use and CO2e emissions 25% per unit in key operations (inbound and outbound logistics, distribution centers, headquarter locations, finished goods manufacturing, and NIKE-owned retail) from FY15 to FY20</t>
  </si>
  <si>
    <t>- https://news.nike.com/news/nike-inc-reports-fiscal-2019-fourth-quarter-and-full-year-results
- https://s3-us-west-2.amazonaws.com/purpose-cms-production01/wp-content/uploads/2019/05/15172335/FY18-Nike-Impact-Report_Final.pdf
- https://purpose.nike.com/carbon-energy
- https://s3-us-west-2.amazonaws.com/purpose-cms-preprod01/wp-content/uploads/2020/04/10225416/FY19-Nike-Inc.-Impact-Report.pdf</t>
  </si>
  <si>
    <t>Nvidia</t>
  </si>
  <si>
    <t>A 15 percent greenhouse gas reduction—normalized per employee—by FY20 from baseline year FY14</t>
  </si>
  <si>
    <t>65% by end of FY 2025</t>
  </si>
  <si>
    <t>- Planning to implement an energy management system, certified to ISO 50001, in FY21
- LEED Gold certification for our new Silicon Valley headquarters building
- Focus on siting expansions strategically, managing our operations efficiently, and sourcing low-carbon and renewable forms of energy
- Deployed state-of-the-art cooling technology designed for NVIDIA server products
- Data centers have also been deployed with white surfaces to optimize reflective lighting
- Controllable, high-efficiency LED lighting is installed where artificial lighting is needed</t>
  </si>
  <si>
    <t>- https://www.nvidia.com/content/dam/en-zz/Solutions/documents/FY2020-NVIDIA-CSR-Social-Responsibility.pdf
- https://images.nvidia.com/content/crr/2017/sustainability/pdf/2017-NVIDIA-Sustainability-Report-Final.pdf</t>
  </si>
  <si>
    <t>Occidental Petroleum</t>
  </si>
  <si>
    <t>Planning to set 2030 GHG intensity targets later in 2020</t>
  </si>
  <si>
    <t>Y - through their own carbon capture</t>
  </si>
  <si>
    <t>- Pursuing projects to obtain CO2 through direct air capture and by capturing emissions from third-party sources. In the near-term, the focus will be safe sequestration of CO2 while growing our EOR business. In the longerterm, we expect to expand the commercial use cases for CO2 within our portfolio
- A sensitivity analysis using a carbon price of $50 per metric ton is done for all projects above $5 million (increased from $40 per metric ton in 2018)
- Added an executive compensation metric related to the advancement of CCUS
- Aiming to end routine gas flaring by 2030</t>
  </si>
  <si>
    <t>- https://www.oxy.com/SocialResponsibility/overview/SiteAssets/Pages/Social-Responsibility-at-Oxy/Assets/Occidental-Climate-Report-2019.pdf
- https://www.oxy.com/SocialResponsibility/overview/SiteAssets/Pages/Social-Responsibility-at-Oxy/Assets/Oxy%202018%20CDP%20survey%20response.pdf
- https://www.oxy.com/SocialResponsibility/overview/SiteAssets/Pages/Social-Responsibility-at-Oxy/Assets/Occidental-CDP_Climate_Change_Questionnaire_2019.pdf
- https://www.oxy.com/SocialResponsibility/overview/SiteAssets/Pages/Social-Responsibility-at-Oxy/HTML/performance%20-%20Copy.html#climateChange1
- https://www.oxy.com/SocialResponsibility/overview/SiteAssets/Pages/Social-Responsibility-at-Oxy/Assets/CDP%202017%20Climate%20Programme%20Report-Occidental.pdf
- https://www.oxy.com/SocialResponsibility/overview/Pages/Performance.aspx#climateChange1</t>
  </si>
  <si>
    <t>Oracle</t>
  </si>
  <si>
    <t>26% reduction in Scope 1 + 2 from 2015 to 2025 (from 370,414 to 340,041 MTCO2e)
65% reduction by 2050</t>
  </si>
  <si>
    <t>- Increased renewable energy use and improved energy effciency
- Goal of 55% reduction in emissions per unit of energy consumed by 2025
- Investments in offering a 'Clean Cloud' for customers through energy efficiency and renewable energy</t>
  </si>
  <si>
    <t>- http://www.oracle.com/us/corporate/citizenship/cdp-climate-change-response-5181041.pdf
- https://www.oracle.com/corporate/citizenship/sustainability/operations.html
- http://www.oracle.com/us/corporate/citizenship/cdp-investor-survey-response-2017-3809919.pdf
- https://www.oracle.com/us/assets/oracle-corp-citizenship-report-3941904.pdf
- https://www.oracle.com/a/ocom/docs/sustainability-at-oracle.pdf</t>
  </si>
  <si>
    <t>PayPal</t>
  </si>
  <si>
    <t>Sort of -  joined the Renewable Energy Buyers Alliance (REBA) as a founding member to share best practices, build relationships, and gather insights into the latest corporate renewable energy procurement trends</t>
  </si>
  <si>
    <t>- Cross-functional environmental working group is identifying potential cost-effective emissions reductions activities and building an indirect emissions management strategy for our global supply chain
- Continue to transition to LED lighting around the globe, which has reduced energy use and operational costs across many of our offices worldwide
- Joined the United for the Paris Agreement coalition to reinforce our support for meeting the goals set forth in the global Agreement
- Made substantial progress advancing our environmental management system in alignment with global standards, including ISO 14001. We enhanced our data management systems, refined reporting processes, and empowered teams to better manage performance</t>
  </si>
  <si>
    <t>No reporting for 2016 and earlier
2017 and 2018 GHG emissions figures were revied in the 2019 report so the 2019 figures were used</t>
  </si>
  <si>
    <t>- https://www.paypalobjects.com/marketing/web/us/globalimpact/PayPal_2019_Global_Impact_Report_FINAL.pdf</t>
  </si>
  <si>
    <t>PepsiCo Inc.</t>
  </si>
  <si>
    <t>Scope 1 &amp; 2: Reduce absolute GHG emissions by at least 20% by 2030 from 2015 baseline</t>
  </si>
  <si>
    <t>- Scope 1 &amp; 2: Reduce absolute greenhouse gas (GHG) emissions by at least 20% by 2030 from 2015 baseline
- Scope 3: Reduce absolute greenhouse gas (GHG) emissions by at least 20% by 2030 from 2015 baseline
- Sustainable from the Start program helps our product development teams project and consider the environmental impact, carbon and water footprint, and packaging recyclability of a product</t>
  </si>
  <si>
    <t>- https://www.pepsico.com/docs/album/esg-topics-policies/cdp_climate_change_2017_information_request_pepsico_final_submission-2.pdf?sfvrsn=d0608346_6
- https://www.pepsico.com/docs/album/esg-topics-policies/2019-cdp-climate-response.pdf?sfvrsn=feb57a1a_4
- https://www.pepsico.com/docs/album/esg-topics-policies/2018-cdp-climate-response.pdf?sfvrsn=3d7c9d36_6
- https://www.pepsico.com/docs/album/sustainability-report/2019-csr/2019_sustainability_report_summary.pdf</t>
  </si>
  <si>
    <t>Pfizer Inc.</t>
  </si>
  <si>
    <t>20% GHG reduction from 2012 to 2020; 60-80% (75%) reduction from 2000 to 2050
2012 Scope 1 + 2: 2,131,885
2000 Scope 1 + 2: 3,597,487</t>
  </si>
  <si>
    <t>- Reduce greenhouse gas (GHG) emissions by 20% by 2020 compared to a 2012 baseline, which keeps us on the trajectory to reduce our GHG footprint by 60%-80% by 2050 from a 2000 base year</t>
  </si>
  <si>
    <t>- https://pfe-pfizercom-prod.s3.amazonaws.com/responsibility/protecting_environment/Pfizer_2019_Climate_Change.pdf
- https://www.pfizer.com/sites/default/files/investors/financial_reports/annual_reports/2019/our-performance/key-performance-indicators/index.html
- https://www.pfizer.com/sites/default/files/investors/financial_reports/annual_reports/2019/assets/pfizer-2019-annual-review.pdf
- https://pfe-pfizercom-d8-prod.s3.amazonaws.com/2018_Pfizer_KPI_Dashboard.pdf
- https://www.cdp.net/en/formatted_responses/responses?campaign_id=66216852&amp;discloser_id=825472&amp;locale=en&amp;organization_name=Pfizer+Inc.&amp;organization_number=14683&amp;program=Investor&amp;project_year=2019&amp;redirect=https%3A%2F%2Fcdp.credit360.com%2Fsurveys%2F9hz110bc%2F50007&amp;survey_id=65670419</t>
  </si>
  <si>
    <t>Philip Morris International</t>
  </si>
  <si>
    <t>From 2010 baseline, 30% reduction by 2020, 40% reduction by 2030, and 60% reduction by 2040
2010: Scope 1 - 443,186; Scope 2 - 470,864; Scope 3 - 7,435,000
Carbon neutral by 2030 for Scope 1 + 2 and by 2050 for Scopes 1, 2 + 3</t>
  </si>
  <si>
    <t>- Projects focused on energy-efficient buildings, fuel control in manufacturing, and LED lighting
- Internal carbon price of USD 17 per ton of CO2e in order to allocate capital for the best return in terms of carbon reduction and cost-effectiveness
- Vehicle maintenance, ongoing switch to hybrid and more fuel-effi cient vehicles, and eco-driving behavior
- Work with tobacco farmers to help them reduce their emissions through (1) Supporting the implementation by our suppliers to plant trees in farmers’ communities, and commercial wood lots which are managed sustainably; (2) Improving the fuel effi ciency of flue-curing barns; and (3) Switching from high-carbon or unsustainable fuels, such as coal, to sustainable wood sources and a range of biomass products (wood pellets, agro-pellets, or other agricultural waste products.) 
- Investments in more efficient curing and curing fuel</t>
  </si>
  <si>
    <t>- https://www.pmi.com/resources/docs/default-source/pmi-sustainability/pmi-sustainability-report-2018-low-res.pdf?sfvrsn=cada91b5_4
- https://www.pmi.com/docs/default-source/pmi-sustainability/pmi-sustainability-report-2017.pdf
- https://www.pmi.com/resources/docs/default-source/sustainability-reports-and-publications/pmi-sustainability-report-2018-highlights.pdf?sfvrsn=d4ef95b5_4</t>
  </si>
  <si>
    <t>Procter &amp; Gamble</t>
  </si>
  <si>
    <t>30% Scope 1 + 2 reduction from 2010 to 2020
50% Scope 1 + 2 reduction from 2010 to 2030
2010 Scope 1 + 2: 5422275</t>
  </si>
  <si>
    <t>Yes -  joined the Climate Leadership Council (CLC), which advocates for a Carbon Dividends Program in the US</t>
  </si>
  <si>
    <t>- Reducing the intensity of greenhouse gas emissions (GHG) from our own operations through:
Driving energy efficiency measures throughout our facilities
Transitioning energy sources toward lower/zero carbon alternatives
Driving more energy-efficient modes of transporting finished products
- We will help consumers to reduce their own GHG emissions through the use of our products via:
Product and packaging innovations that enable more efficient consumer product use and energy consumption
Consumer education to reduce GHG emissions such as the benefits of using cold water for machine washing
- Work with partners across our value chain to ensure responsible sourcing of agricultural commodities that are known to be associated with deforestation risks (e.g. palm oil, wood pulp).
- Work with our suppliers to identify meaningful opportunities to reduce our Scope 3 emissions
- Internal Climate Council and Sustainability Leadership Council that meet quarterly to review sustainability initiatives
- Aim to reduce energy by 20% per unit of production by 2020</t>
  </si>
  <si>
    <t>- https://us.pg.com/policies-and-practices/environmental-policies-and-practices/
- https://assets.ctfassets.net/oggad6svuzkv/6mGPEJVwbe0cIe8ywg2IcA/986dee6a8445a56cfdd30f40f99afd02/Climate_change_perspective.pdf
- https://assets.ctfassets.net/oggad6svuzkv/4v6eZmhIcES0Ei4YKI0yWy/3f80032b9b6e9307752fa4b217d85e22/FY_17-18_P_G_Assurance_Statement-ASR_authorized.pdf
- https://downloads.ctfassets.net/oggad6svuzkv/5AXke1Str22EYkYkIyO8QE/c876f5bb05e568aa71e7c1819059c37c/citizenship_report_2019.pdf
- https://downloads.ctfassets.net/oggad6svuzkv/5AXke1Str22EYkYkIyO8QE/c876f5bb05e568aa71e7c1819059c37c/citizenship_report_2019.pdf
- https://downloads.ctfassets.net/oggad6svuzkv/325tJmPxGEWQOgc6eGskKy/b69cb86ada52cfe97e468daadf20b741/2017_Full_Citizenship_Report.pdf
- https://downloads.ctfassets.net/oggad6svuzkv/325tJmPxGEWQOgc6eGskKy/b69cb86ada52cfe97e468daadf20b741/2017_Full_Citizenship_Report.pdf
- https://www.cdp.net/en/formatted_responses/responses?campaign_id=66216852&amp;discloser_id=831392&amp;locale=en&amp;organization_name=Procter+%26+Gamble+Company&amp;organization_number=15132&amp;program=Investor&amp;project_year=2019&amp;redirect=https%3A%2F%2Fcdp.credit360.com%2Fsurveys%2F9hz110bc%2F50695&amp;survey_id=65670419</t>
  </si>
  <si>
    <t>QUALCOMM Inc.</t>
  </si>
  <si>
    <t>30% reduction in Scope 1 + 2 from 2014 to 2025
2014 Scope 1 + 2: 230637</t>
  </si>
  <si>
    <t>- To date, we've reduced our GHG emissions by 17.9 percent, of which 5.8 percent is attributed to the purchase of renewable energy certificates (AP81RECs) and carbon offsets (do offsets and RECs through Natural Capital Partners)
- Own and operate several on-site solar generating systems in San Diego and Bangalore
- Promote the use of electric vehicles (EVs) by installing dozens of new EV charging stations at our campuses in San
Diego and Santa Clara, and give employees discounted electric rates at our owned Level 2 EV charging stations and free charging at Level 1 outlets in our garages
- Combined heat and power plants enable us to self-generate electricity to meet our site needs, while efficiently utilizing the waste heat to provide cooling to our headquarters’ buildings
-Scope 3: employee business air travel, business car rental and employee commuting)</t>
  </si>
  <si>
    <t>- https://www.qualcomm.com/media/documents/files/2019-qualcomm-sustainability-report.pdf
- https://www.qualcomm.com/media/documents/files/2017-qualcomm-sustainability-report.pdf
- https://www.cdp.net/en/formatted_responses/responses?campaign_id=66216852&amp;discloser_id=832614&amp;locale=en&amp;organization_name=QUALCOMM+Inc.&amp;organization_number=15419&amp;program=Investor&amp;project_year=2019&amp;redirect=https%3A%2F%2Fcdp.credit360.com%2Fsurveys%2F9hz110bc%2F49086&amp;survey_id=65670419</t>
  </si>
  <si>
    <t>Raytheon Technologies</t>
  </si>
  <si>
    <t>None beyond 2020 goal of reducing Scope 1 + 2 emissions by 12% from 2015 baseline</t>
  </si>
  <si>
    <t>- Upgraded/optimized HVAC systems, installed energy-effi cient measures in our data centers and server rooms, and installed LED lighting while making other changes to building infrastructure and equipment
- We also monitor and track developments in alternative energy technologies, low-carbon energy solutions and other techniques for reducing greenhouse gas emissions</t>
  </si>
  <si>
    <t>Poor reporting, no carbon emissions reduction goals, and minimal initiatives beyond some basic energy efficiency projects</t>
  </si>
  <si>
    <t>- https://investors.rtx.com/static-files/f8a4c491-7745-4e82-be4e-807d6b0e995f
- https://www.raytheon.com/sites/default/files/2019-05/raytheon-crr-2018.pdf
- https://sdd-pdf.s3.amazonaws.com/report-pdfs/2017/60b417e473a9ae1f103146ff1b3954a9.pdf?AWSAccessKeyId=AKIAJZQ4KYD2D35QKCDA&amp;Expires=1594924661&amp;Signature=SguKZk1%2FdQ3x1HRRJy0UTofONhs%3D</t>
  </si>
  <si>
    <t>Salesforce</t>
  </si>
  <si>
    <t>Reduce absolute Scope 1 and Scope 2 emissions by 50% from 2018 to 2030, and reduce Scope 3 emissions from fuel and energy related activities by 50% from 2018 to 2030</t>
  </si>
  <si>
    <t>- https://www.salesforce.com/content/dam/web/en_us/www/documents/white-papers/sustainability-FY20-stakeholder-impact-report.pdf
- https://www.salesforce.com/content/dam/web/en_us/www/documents/reports/sustainability-FY19-stakeholder-impact-report.pdf
- https://www.salesforce.com/content/dam/web/en_us/www/documents/reports/sustainability-FY18-stakeholder-impact-report.pdf
- https://www.salesforce.com/content/dam/web/en_us/www/documents/datasheets/sfdc-fy17-stakeholder-impact.pdf</t>
  </si>
  <si>
    <t>Schlumberger Ltd.</t>
  </si>
  <si>
    <t>- Sells CCUS services to clients</t>
  </si>
  <si>
    <t>- https://investorcenter.slb.com/news-releases/news-release-details/schlumberger-announces-full-year-and-fourth-quarter-2019-results#:~:text=Schlumberger%20CEO%20Olivier%20Le%20Peuch,achievement%20under%20these%20market%20conditions.
- https://www.slb.com/globalstewardship/pdf/Schlumberger_GlobalStewardship_2018.pdf
- https://www.slb.com/globalstewardship/pdf/Schlumberger_GlobalStewardship_2016.pdf
- https://www.slb.com/newsroom/press-release/2019/pr-2019-1219-slb-gs-sbti</t>
  </si>
  <si>
    <t>Simon Property Group Inc.</t>
  </si>
  <si>
    <t>None stated</t>
  </si>
  <si>
    <t>-  Proprietary sustainability benchmarking tool for enclosed centers that allow us to better compare properties to improve the shopping center’s overall energy use
- Upgraded conventional lighting such as fluorescent and metal halide to energy-efficient LED lighting at over 200 properties over the last few years
- Investing in intelligent energy pilots of sensor-enabled LEDs in partnership with industry-leading companies such as GE and Acuity. Simon will further explore opportunities to install smart networks and sensors to optimize LED lighting both indoors and out
- Continuously assesses our portfolio to upgrade to more efficient equipment, such as Central Plant, Energy Management Systems, and HVAC replacements. Energy audits and retrocommissioning are the foundation of our energy efficiency programs
- Installing 3MW solar photovoltaic arrays at three regional malls and three Premium Outlets; completed roof-top solar and battery storage installations
- Expanding electric vehicle charging stations</t>
  </si>
  <si>
    <t>- https://simon-malls.cld.bz/Simon-Sustainability-Report-2019
- https://simon-malls.cld.bz/Simon-Sustainability-Report-2018
- https://simon-malls.cld.bz/Simon-Sustainability-Report-2016
- https://investors.simon.com/news-releases/news-release-details/simon-launches-bold-new-vision-sustainability</t>
  </si>
  <si>
    <t>Southern Company</t>
  </si>
  <si>
    <t>50% emissions reduction from 2007 to 2030 (intermediary goal on path to net zero in 2050)
2007 Scopes 1 + 2: 156650362.8</t>
  </si>
  <si>
    <t>- Growing our investment in renewable energy, modernizing the grid to optimize technology advancements, increasing the use of natural gas, building new nuclear generating units, continuing our industry-leading, robust research and development (R&amp;D) efforts, and investing in energy efficiency for savings on both sides of the meter
- Invests in the research, development and deployment of new technologies, such as carbon capture, utilization and storage
- Policy engagement but focus on environmental policy unclear</t>
  </si>
  <si>
    <t>Starbucks Corp.</t>
  </si>
  <si>
    <t>50% reduction in Scope 1, 2 + 3 from 2020 to 2030</t>
  </si>
  <si>
    <t>No target date</t>
  </si>
  <si>
    <t>- At the farm level, we have worked with Conservation International to include climate-smart agricultural practices as part of Coffee and Farmer Equity (C.A.F.E.) practices, our ethical Coffee buying guidelines
- Through the purchase of Renewable Energy Credits (RECs) we are able to offset 62% of our store emissions globally
- Expanding plant-based and environmentally friendly menu options (shifting consumers away from dairy to alternative milks)
- Shifting from single-use to reusable packaging
- Investing in innovative agricultural, water conservation and reforestation practices
- Looking for ways to better manage waste (including food waste) in stores and in communities
- Developing more eco-friendly operations, from stores to supply chain to manufacturing</t>
  </si>
  <si>
    <t>- https://www.starbucks.com/responsibility/environment/climate-change
- https://stories.starbucks.com/uploads/2020/01/Starbucks-Environmental-Baseline-Report.pdf
- https://stories.starbucks.com/stories/2020/5-things-to-know-about-starbucks-new-environmental-sustainability-commitment/
- https://fortune.com/2020/01/21/starbucks-carbon-footprint-dairy/</t>
  </si>
  <si>
    <t>Target Corp.</t>
  </si>
  <si>
    <t>30% reduction in Scope 1, 2 + 3 emissions from 2017 to 2030</t>
  </si>
  <si>
    <t>2030
60% by 2025</t>
  </si>
  <si>
    <t>- Committing 80 percent of our suppliers by spend to set science-based reduction targets on their Scope 1 and 2 emissions by 2023
- Partnership with the Apparel Impact Institute’s Clean by Design program, which is reducing the environmental impact of textile mills
- Plan to leverage the Vietnam Improvement Program in partnership with the International Finance Corporation as it increases factories’ energy and water efficiency
- Launching an electric vehicle programs
- Converting to LED lights
- Adopting renewable energy onsite and through PPAs</t>
  </si>
  <si>
    <t>- https://corporate.target.com/annual-reports/2019
- https://corporate.target.com/_media/TargetCorp/csr/pdf/2019_corporate_responsibility_report.pdf
- https://corporate.target.com/_media/targetcorp/csr/pdf/2016-corporate-social-responsibility-report.pdf
- https://corporate.target.com/_media/TargetCorp/csr/pdf/2018_corporate_responsibility_report.pdf
- https://corporate.target.com/_media/TargetCorp/csr/pdf/2015-Corporate-Social-Responsibility-Report.pdf</t>
  </si>
  <si>
    <t>Texas Instruments</t>
  </si>
  <si>
    <t>None beyond 15% Scope 1 + 2 reduction from 2015 to 2020</t>
  </si>
  <si>
    <t>- Reducing energy use through improved building energy efficiency
- Reducing PFCs by using alternative gases and reusing chemicals
- Encouraging employees to use alternative forms of transportation to commute to work
- - but to PACs that support their "competitiveness," not environmental causes</t>
  </si>
  <si>
    <t>- https://www.ti.com/lit/ml/sszo049/sszo049.pdf?ts=1594900881760&amp;ref_url=https%253A%252F%252Fwww.google.com%252F
- https://www.ti.com/lit/ml/sszo011/sszo011.pdf?ts=1594900884309&amp;ref_url=https%253A%252F%252Fwww.google.com%252F</t>
  </si>
  <si>
    <t>The Bank of New York Mellon</t>
  </si>
  <si>
    <t>-Reduce GHG emissions by 20% by 2025 from a 2018 base year
- maintain carbon neutrality commitment through 2025
-Offsets purchased for Scope 3 emissions
-Purchase of Renewable energy certifcates to offset non-renewable energy use</t>
  </si>
  <si>
    <t>The Walt Disney Company</t>
  </si>
  <si>
    <t>By 2020, reduce net emissions by 50% compared to a 2012 baseline
2012 Scope 1 + 2: 1742927</t>
  </si>
  <si>
    <t>- In 2019, we brought online a new 270-acre, 50 megawatt solar facility at Walt Disney World, built in collaboration with the Reedy Creek Improvement District and Origis Energy USA. This facility is anticipated to generate enough power from the sun to operate two of our four theme parks in Orlando annually
- Operate our bus fleet at Walt Disney World using 50% renewable diesel fuel, while our film and TV productions are piloting electric generators on set
- Commuter assistance program for employees
- The Grand Central Creative Campus expansion in Glendale, CA received a Leadership in Energy and Environmental Design (LEED) Platinum certification. The 460-kilowatt solar photovoltaic installation on the parking garage provides 12% of the energy use for the new building</t>
  </si>
  <si>
    <t>- https://thewaltdisneycompany.com/environmental-sustainability/
- https://www.cdp.net/en/responses?page=2&amp;per_page=5&amp;queries%5Bname%5D=disney&amp;sort_by=project_year&amp;sort_dir=desc&amp;utf8=%E2%9C%93
- https://www.cdp.net/en/formatted_responses/responses?campaign_id=66216852&amp;discloser_id=827642&amp;locale=en&amp;organization_name=Walt+Disney+Company&amp;organization_number=20384&amp;program=Investor&amp;project_year=2019&amp;redirect=https%3A%2F%2Fcdp.credit360.com%2Fsurveys%2F9hz110bc%2F55701&amp;survey_id=65670419</t>
  </si>
  <si>
    <t>Thermo Fisher Scientific</t>
  </si>
  <si>
    <t>- Some investments in renewable energy projects like solar
- Some investments to make products that can be reused to reduce single use plastics</t>
  </si>
  <si>
    <t>- https://www.thermofisher.com/content/dam/LifeTech/global/CSR/2018%20CSR%20Report.pdf
- https://www.thermofisher.com/us/en/home/about-us/corporate-social-responsibility/environment/performance.html
- https://www.thermofisher.com/content/dam/LifeTech/Documents/PDFs/2018_Thermo_Fisher_Scientific_CDP_Report_2017reportingperiod.pdf</t>
  </si>
  <si>
    <t>Union Pacific Corp</t>
  </si>
  <si>
    <t>N - partnered with environmnetal NGOs who lobby but not actively engaged in policy work</t>
  </si>
  <si>
    <t>- Committed to investing in technology that helps us identify fuel saving opportunities and increase locomotive productivity. For example, new software helps us predict potential locomotive failures
- Building longer trains, meaning fewer locomotives haul the same amount of freight, thus reducing emissions
- Purchased nearly 14,000 square yards of carbon neutral flooring, resulting in the retirement of 120 metric tons of carbon dioxide
- Scope 3 business travel</t>
  </si>
  <si>
    <t>- https://www.up.com/cs/groups/public/@uprr/@corprel/documents/up_pdf_nativedocs/pdf_up_2019_building_america_r.pdf
- https://www.up.com/cs/groups/public/@uprr/documents/up_pdf_nativedocs/pdf_up_build_america_rep_2017.pdf</t>
  </si>
  <si>
    <t>United Health Group</t>
  </si>
  <si>
    <t>Healthcare Plans</t>
  </si>
  <si>
    <t>From 2017 baseline, 3% Scope 1 + 2 reduction by 2023</t>
  </si>
  <si>
    <t xml:space="preserve">- Goal is to decrease our environmental impact through energy conservation and renewable energy; incorporate energy efficiency and high-performance design during construction practices; and invest annually in energy efficiency projects to reduce carbon emissions
- Completed 20 funded sustainability projects including interior and exterior lighting upgrades and water reduction projects
- Maintained business operations in LEED-certified facilities (Leadership in Energy &amp; Environmental Design) totaling 2.1 million square feet
</t>
  </si>
  <si>
    <t>- https://www.unitedhealthgroup.com/viewer.html?file=%2Fcontent%2Fdam%2FUHG%2FPDF%2FAbout%2FUNH-Environmental-Impact-Statement.pdf
- https://www.unitedhealthgroup.com/what-we-do/performance-tables.html</t>
  </si>
  <si>
    <t>United Parcel Service</t>
  </si>
  <si>
    <t>From 2015 baseline, 12% reduction in Scope 1 + 2 by 2025</t>
  </si>
  <si>
    <t>Y - participate in public policy forums, where we advocate for prudent innovation and investment
in new technologies and infrastructure development</t>
  </si>
  <si>
    <t>- Utilizing operational improvements through technology to create overall network and delivery efficiencies beyond reducing miles/fuel, (e.g., higher trailer utilization, decreased sortation time, increased safety, reduced errors/duplication of work, higher asset utilization/less waste, etc.) that reduce GHG footprint;
- Expanding our fleet of alternative fuel and advanced technology vehicles, known as our rolling laboratory, in order to reduce the proportion of conventional fuels we use;
- Reducing conventional energy use and increasing the use of renewable energy in our facilities and alternative fuel in our fleet;
- Providing customers with services that help them reduce their environmental impact; and
- Helping increase supplier awareness about GHG emissions and how to reduce them</t>
  </si>
  <si>
    <t>- https://sustainability.ups.com/media/2018-gri-index.pdf
- https://sustainability.ups.com/media/GRI-Index-2017.pdf</t>
  </si>
  <si>
    <t>US Bancorp</t>
  </si>
  <si>
    <t>1968?</t>
  </si>
  <si>
    <t>From 2014 baseline, 40% reduction by 2029 and 60% reduction by 2044
2014 Scope 1 + 2: 415211</t>
  </si>
  <si>
    <t>- In 2019 alone, U.S. Bank committed more than $1.2 billion to finance over 2.2 gigawatts of renewable energy projects throughout the U.S.
- To date, we have 26 LEED certified branches and are continuing to follow sustainable principles in the design of our new facilities with plans to maintain this focus in the future
- Partnerships with CERES, GRID Alternatives, and Earthwatch Ignite Program -- environmental NGOs -- to better understand environmental issues and identify solutions
- We will continue to evaluate opportunities to invest in products and practices that reduce our dependence on energy in areas such as facilities, equipment, operations and business travel</t>
  </si>
  <si>
    <t>- https://www.usbank.com/about-us-bank/community/sustainability.html
- https://www.usbank.com/about-us-bank/community/sustainability/environment-initiatives.html
- https://www.usbank.com/dam/documents/pdf/about-us-bank/community/sustainability/USBank-2019-CDP.pdf
- https://www.usbank.com/dam/documents/pdf/about-us-bank/community/sustainability/USBank-2017-CDP-Report_v2.pdf
- https://www.usbank.com/dam/documents/pdf/about-us-bank/community/sustainability/Environmental-Responsibility-Policy-2019.pdf
- https://www.cdp.net/en/formatted_responses/responses?campaign_id=66216852&amp;discloser_id=824883&amp;locale=en&amp;organization_name=U.S.+Bancorp&amp;organization_number=19593&amp;program=Investor&amp;project_year=2019&amp;redirect=https%3A%2F%2Fcdp.credit360.com%2Fsurveys%2F9hz110bc%2F54190&amp;survey_id=65670419</t>
  </si>
  <si>
    <t>Verizon Communications</t>
  </si>
  <si>
    <t>50% by 2025</t>
  </si>
  <si>
    <t>- A 28% Carbon Intensity reduction since 2016 with the goal set for a 50% carbon intensity reduction by 2025
- A green energy initiative which has offset 20,000 metric tons of CO2
- A 2025 commitment to source renewable energy equivalent to 50% of Verizon's total electricity usage
- Carbon abatement will enable customers to also reduce their carbon footprint
- 278 ENERGY STAR-certified buildings and 22 onsite renewable energy installations
- 28,000 Green Team employees in 44 countries
- Two million trees planted by 2030 with more than 700,000 planted already</t>
  </si>
  <si>
    <t>Scope 1 and 2 emissions</t>
  </si>
  <si>
    <t>- https://www.verizon.com/about/news/verizon-goes-carbon-neutral-2035
- https://www.verizon.com/about/sites/default/files/corporate-responsibility-report/2018/environment/emissions.html
- https://www.verizon.com/about/sites/default/files/esg-report/2019/environmental/our-emissions-by-scope.html</t>
  </si>
  <si>
    <t>Visa Inc.</t>
  </si>
  <si>
    <t>- Green building design (64% LEED certified)
- Energy efficiency (lighting upgrades and motion sensors)
- Efficient electronics policy that mandates at least 90 percent of new electronics in our largest corporate campus offices meet either ENERGY STAR or EPACT certification standards
- Progress towards our commitment to purchase 100 percent renewable electricity
- Use mechanical cooling
- Reduce refrigerant use
- Decomission underutilized servers
- Commuter benefits and other incentives to encourage sustainable employee behavior</t>
  </si>
  <si>
    <t>Included purchased goods and services and employee commuting for first time in 2018 Scope 3 reporting</t>
  </si>
  <si>
    <t>- https://s1.q4cdn.com/050606653/files/doc_financials/2019/q4/Visa-Inc.-Q4-2019-Financial-Results.pdf
- https://usa.visa.com/dam/VCOM/download/corporate-responsibility/visa-2018-corporate-responsibility-report.pdf
- https://usa.visa.com/dam/VCOM/download/corporate-responsibility/visa-2017-corporate-responsibility-report.pdf</t>
  </si>
  <si>
    <t>Walgreens Boots Alliance</t>
  </si>
  <si>
    <t xml:space="preserve"> </t>
  </si>
  <si>
    <t>- Invest in energy efficient lighting, heating, ventilation and air conditioning (HVAC) units and refrigerators, engage and educate employees around energy consumption, Invest in photovoltaic systems, source electricity from low-carbon generation sources, use alternative energy management programs, contract to purchase electricity generated from renewable origins in the UK and the Republic of Ireland and interact with utilities toward programmed demand-response curtailment of energy use</t>
  </si>
  <si>
    <t>- https://www.walgreensbootsalliance.com/corporate-social-responsibility/resource-library
- https://www.walgreensbootsalliance.com/corporate-social-responsibility/csr-report-archive</t>
  </si>
  <si>
    <t>Walmart</t>
  </si>
  <si>
    <t>18% reduction from 2015 to 2025</t>
  </si>
  <si>
    <t>Membership and participation but seemingly little advocacy - Renewable Energy Buyers Alliance, Paris and Bonn Negotiations, We Are Still In</t>
  </si>
  <si>
    <t>- Under Project GigatonTM, aim to work with suppliers to avoid 1 billion metric tons of greenhouse gases from the global value chain by 2030 (Scope 3) (1,000 suppliers had signed on by 2019) - engages suppliers in setting targets and pursuing initiatives to avoid emissions in any of six areas where there are opportunities to do so: energy use, sustainable agriculture, waste, deforestation, packaging and product use
- 50% renewable energy by 2025
- In FY2017, Walmart and the Walmart Foundation pledged $25 million in cash and in-kind donations to support disaster preparedness and relief through 2020
- Improving the performance of our refrigeration systems
- Maximizing the sustainability of our fleet</t>
  </si>
  <si>
    <t>First retailer to announce a science-based target to reduce greenhouse gases in alignment with the Paris Agreement
Has not reported emissions for 2018 or 2019</t>
  </si>
  <si>
    <t>- https://corporate.walmart.com/media-library/document/2019-environmental-social-governance-report/_proxyDocument?id=0000016c-20b5-d46a-afff-f5bdafd30000
- https://ilsr.org/wp-content/uploads/2012/04/topten-walmartsustainability.pdf</t>
  </si>
  <si>
    <t>Wells Fargo</t>
  </si>
  <si>
    <t>45% + reduction from 2008 Scope 1, 2 + business air travel emissions (2008 total: 1,953,466)</t>
  </si>
  <si>
    <t>N - renewable energy RECs though</t>
  </si>
  <si>
    <t>- Continue to purchase renewable electricity to meet 100% of our global operations needs (purchased RECs)
- Transition to long-term agreements that fund new sources of green power by 2020
- Sustain or increase our 45% reduction in greenhouse gas emissions from 2008 levels
- Reduce energy consumption 40% (2008 to 2020)
- Achieve LEED® status for 35% of buildings (by square footage in leased and owned buildings)
- Provide $200 billion in financing to sustainable businesses and projects (2018-2030) with more than 50 percent focused on clean technology and renewable energy transactions that directly support the transition to a low-carbon economy</t>
  </si>
  <si>
    <t>- https://www08.wellsfargomedia.com/assets/pdf/about/corporate-responsibility/gri-environmental-indicators.pdf
- https://www08.wellsfargomedia.com/assets/pdf/about/corporate-responsibility/verification-statement.pdf
- https://www08.wellsfargomedia.com/assets/pdf/about/corporate-responsibility/climate-change-issue-brief.pdf
- https://www08.wellsfargomedia.com/assets/pdf/about/corporate-responsibility/climate-change-information-request.pdf
- https://www08.wellsfargomedia.com/assets/pdf/about/corporate-responsibility/2015-social-responsibility-report.pdf</t>
  </si>
  <si>
    <t>AIG</t>
  </si>
  <si>
    <t>CVS</t>
  </si>
  <si>
    <t>GE</t>
  </si>
  <si>
    <t>GM</t>
  </si>
  <si>
    <t>UPS</t>
  </si>
  <si>
    <t>Berkshire Hathaway</t>
  </si>
  <si>
    <t>BlackRock</t>
  </si>
  <si>
    <t>Charter Communications</t>
  </si>
  <si>
    <t>Gilead Sciences</t>
  </si>
  <si>
    <t>Kinder Morgan</t>
  </si>
  <si>
    <t>Nike</t>
  </si>
  <si>
    <t>NR</t>
  </si>
  <si>
    <t>Apple</t>
  </si>
  <si>
    <t>Facebook</t>
  </si>
  <si>
    <t>AT&amp;T</t>
  </si>
  <si>
    <t>PepsiCo</t>
  </si>
  <si>
    <t>Starbucks</t>
  </si>
  <si>
    <t>Cisco</t>
  </si>
  <si>
    <t>Amazon</t>
  </si>
  <si>
    <t>- Carbon neutral targets not company wide, only for wind, solar division operations. Now targeting carbon neutrality for all operations
- Engaged in policy, but vague on how or through what channels</t>
  </si>
  <si>
    <t>- Scope 2 emissions are location-based for 2017 and 2016 because market-based data was not provided</t>
  </si>
  <si>
    <t>- All Scope 2 figures are location-based because market-based data was not provided</t>
  </si>
  <si>
    <t>- Scope 3 only includes business travel for 2016 and 2015</t>
  </si>
  <si>
    <t>-reduce scope 1 and 2 emissions 65% by 2025 from our 2016 baseline (20% of total emissions 1257636). To date, we have cut these emissions by more than 19%.
- Currently at 26% RE</t>
  </si>
  <si>
    <t>American International Group (AIG)</t>
  </si>
  <si>
    <t>- Scope 1 is omitted for 2015-2018 because the figures were reported for UK operations only</t>
  </si>
  <si>
    <t>Per third source, BofA does not calculate the Scope 3 emissions of its investments, which is a notable omission of their culpability in bankrolling the fossil fuel industry
"Carbon neutral" refers to their Scope 1 and 2 emissions</t>
  </si>
  <si>
    <t>Scope 3 includes business travel only</t>
  </si>
  <si>
    <t>-Boeing is working to achieve its environmental goals by 2025, which include reducing greenhouse gas emissions by 25%
- data available for relative decline in emissions, but not actual GHG emissions '
- partnership with suppliers for sustainable manufacture, but no concrete targets for what that means
- Reduce carbon emissions by 50% from 2017 by 2050</t>
  </si>
  <si>
    <t>Scope 3 emissions are non-exhaustive</t>
  </si>
  <si>
    <t>Majority of Scope 3 emissions come from 'use of sold products'</t>
  </si>
  <si>
    <t>Calculates Scope 3 emissions from investments in select years</t>
  </si>
  <si>
    <t>-Vague infomration about sustainability targets around renewables use and fleet emissions. No scope 1/2/3 information available or SBT</t>
  </si>
  <si>
    <t>- Net Zero includes Scopes 1 and 2</t>
  </si>
  <si>
    <t>- Country specific targets, not global effort for carbon neutrality
- Reports GHG emissions for Scope 1 and 2 but normalized by sales figures. Does not report absolute emissions</t>
  </si>
  <si>
    <t>- Scope 2 emissions are location-based</t>
  </si>
  <si>
    <t>- Scope 3 emissions are non-exhaustive</t>
  </si>
  <si>
    <t>Scope 3 is non-exhaustive</t>
  </si>
  <si>
    <t>Scope 3 is non-exhaustive
Scope 2 is location-based</t>
  </si>
  <si>
    <t>Seems like somewhat of a laggard in terms of carbon reduction (not very ambitious goals or initiatives) but CDP has them on their A list (maybe that's just for their diclosure)
Scope 2 is location-based</t>
  </si>
  <si>
    <t>Scope 3 non-exhaustive</t>
  </si>
  <si>
    <t>2018 Scope 1 + 2 were not measured so 2019 data was used as a proxy</t>
  </si>
  <si>
    <t>- http://www.nexteraenergy.com/sustainability/overview/about-this-report/by-the-numbers.html</t>
  </si>
  <si>
    <t>Used CO2e multipliers to convert CO2 and NO2 metrics into total CO2e</t>
  </si>
  <si>
    <t>Net zero as of FY18 through carbon offsets (including Scope 3)
Scope 3 only includes business travel and employee commuting</t>
  </si>
  <si>
    <t>- Avoid emissions by siting facilities on clean energy grids.
- Reduce ongoing projects throughout our operations with investments in green office spaces and improvements to data center efficiency.
- Mitigate and offset electricity consumption for years to come by signing virtual power purchase agreements.
- Commits that suppliers representing 60% of its scope 3 emissions, covering all upstream emission categories, will set science-based targets by 2024</t>
  </si>
  <si>
    <t>- https://s2.q4cdn.com/471677839/files/doc_financials/2019/annual/SO_2019_AR_Final.pdf
- https://www.southerncompany.com/content/dam/southern-company/pdf/corpresponsibility/The-Southern-Company-2018-CDP-Climate-Change-response.pdf
- https://www.southerncompany.com/content/dam/southern-company/pdf/corpresponsibility/CDP-Climate-Disclosure-2019.pdf
- https://www.southerncompany.com/corporate-responsibility/environment/air-and-climate.html
- https://www.southerncompany.com/content/dam/southern-company/pdf/corpresponsibility/2017_Corporate_Responsibility_Report.pdf
- https://www.southerncompany.com/content/dam/southern-company/pdf/reports/CarbonDisclosureReport2016.pdf
- https://www.cdp.net/en/formatted_responses/responses?campaign_id=66216852&amp;discloser_id=831071&amp;locale=en&amp;organization_name=The+Southern+Company&amp;organization_number=18951&amp;program=Investor&amp;project_year=2019&amp;redirect=https%3A%2F%2Fcdp.credit360.com%2Fsurveys%2F9hz110bc%2F54074&amp;survey_id=65670419
- https://www.southerncompany.com/content/dam/southern-company/pdf/corpresponsibility/CDP-Climate-Disclosure-2020.pdf</t>
  </si>
  <si>
    <t>Shorthand Company Name</t>
  </si>
  <si>
    <t>Netflix</t>
  </si>
  <si>
    <t>Nextera Energy</t>
  </si>
  <si>
    <t>Dow</t>
  </si>
  <si>
    <t>Union Pacific</t>
  </si>
  <si>
    <t>Verizon</t>
  </si>
  <si>
    <t>Intel</t>
  </si>
  <si>
    <t>Target</t>
  </si>
  <si>
    <t>Schlumberger</t>
  </si>
  <si>
    <t>Honeywell</t>
  </si>
  <si>
    <t>Caterpillar</t>
  </si>
  <si>
    <t>Mondelez</t>
  </si>
  <si>
    <t>Raytheon</t>
  </si>
  <si>
    <t>Kraft Heinz</t>
  </si>
  <si>
    <t>Pfizer</t>
  </si>
  <si>
    <t>Thermo Fisher</t>
  </si>
  <si>
    <t>Citigroup</t>
  </si>
  <si>
    <t>AbbVie</t>
  </si>
  <si>
    <t>Philip Morris</t>
  </si>
  <si>
    <t>Amgen</t>
  </si>
  <si>
    <t>Simon Property Group</t>
  </si>
  <si>
    <t>QUALCOMM</t>
  </si>
  <si>
    <t>Allstate</t>
  </si>
  <si>
    <t>Biogen</t>
  </si>
  <si>
    <t>Booking Holdings</t>
  </si>
  <si>
    <t>Visa</t>
  </si>
  <si>
    <t>Adobe</t>
  </si>
  <si>
    <t>Goldman Sachs</t>
  </si>
  <si>
    <t>MetLife</t>
  </si>
  <si>
    <t>Capital One</t>
  </si>
  <si>
    <t>MasterCard</t>
  </si>
  <si>
    <t xml:space="preserve">Microsoft </t>
  </si>
  <si>
    <t xml:space="preserve">Merck </t>
  </si>
  <si>
    <t xml:space="preserve">IBM </t>
  </si>
  <si>
    <t xml:space="preserve">Lockheed Martin </t>
  </si>
  <si>
    <t xml:space="preserve">JPMorgan Chase </t>
  </si>
  <si>
    <t xml:space="preserve">McDonald's </t>
  </si>
  <si>
    <t>Altria</t>
  </si>
  <si>
    <t>Ford</t>
  </si>
  <si>
    <t>Lowe's</t>
  </si>
  <si>
    <t>Coca Cola</t>
  </si>
  <si>
    <t>P&amp;G</t>
  </si>
  <si>
    <t>Walgreens</t>
  </si>
  <si>
    <t>Disney</t>
  </si>
  <si>
    <t>J&amp;J</t>
  </si>
  <si>
    <t>Alphabet / Google</t>
  </si>
  <si>
    <t>Bank of New York Mellon</t>
  </si>
  <si>
    <t>Modifications</t>
  </si>
  <si>
    <t>No Net 0 goal found</t>
  </si>
  <si>
    <t>no_science_based</t>
  </si>
  <si>
    <t>science_based</t>
  </si>
  <si>
    <t>total</t>
  </si>
  <si>
    <t>net_0</t>
  </si>
  <si>
    <t>no_net_0</t>
  </si>
  <si>
    <t>re100</t>
  </si>
  <si>
    <t>no_re100</t>
  </si>
  <si>
    <t>No RE100 commitent</t>
  </si>
  <si>
    <t>Ctrl1</t>
  </si>
  <si>
    <t>Ctrl2</t>
  </si>
  <si>
    <t>no_scope3</t>
  </si>
  <si>
    <t>scope_3</t>
  </si>
  <si>
    <t>Added Adbobe scope 3 - 574034 in 2018</t>
  </si>
  <si>
    <t>Updated scope3 in 2018</t>
  </si>
  <si>
    <t>Ctrl3</t>
  </si>
  <si>
    <t>TOTAL</t>
  </si>
  <si>
    <t>Column1</t>
  </si>
  <si>
    <t>Evolution vs. LY</t>
  </si>
  <si>
    <t>Net earnings post carbon price @85/t</t>
  </si>
  <si>
    <t>Carbon costs in % revenue</t>
  </si>
  <si>
    <t>Carbon costs ($/t)</t>
  </si>
  <si>
    <t>Threshold for performance (in % revenue)</t>
  </si>
  <si>
    <t>under_perf</t>
  </si>
  <si>
    <t>over_perf</t>
  </si>
  <si>
    <t>Under_Performance</t>
  </si>
  <si>
    <t>%under_perf</t>
  </si>
  <si>
    <t>ISIN</t>
  </si>
  <si>
    <t>US00724F1012</t>
  </si>
  <si>
    <t>US09062X1037</t>
  </si>
  <si>
    <t>US17275R1023</t>
  </si>
  <si>
    <t>US1941621039</t>
  </si>
  <si>
    <t>US1266501006</t>
  </si>
  <si>
    <t>US59156R1086</t>
  </si>
  <si>
    <t>US7134481081</t>
  </si>
  <si>
    <t>US7170811035</t>
  </si>
  <si>
    <t>US7181721090</t>
  </si>
  <si>
    <t>US7427181091</t>
  </si>
  <si>
    <t>US9311421039</t>
  </si>
  <si>
    <t>US6541061031</t>
  </si>
  <si>
    <t>US87612E1064</t>
  </si>
  <si>
    <t>US5801351017</t>
  </si>
  <si>
    <t>US02209S1033</t>
  </si>
  <si>
    <t>US57636Q1040</t>
  </si>
  <si>
    <t>US5007541064</t>
  </si>
  <si>
    <t>IE00B4BNMY34</t>
  </si>
  <si>
    <t>US70450Y1038</t>
  </si>
  <si>
    <t>US00206R1023</t>
  </si>
  <si>
    <t>US92343V1044</t>
  </si>
  <si>
    <t>US5949181045</t>
  </si>
  <si>
    <t>US1912161007</t>
  </si>
  <si>
    <t>US8552441094</t>
  </si>
  <si>
    <t>US00287Y1091</t>
  </si>
  <si>
    <t>US0028241000</t>
  </si>
  <si>
    <t>US0200021014</t>
  </si>
  <si>
    <t>US02079K3059</t>
  </si>
  <si>
    <t>US0231351067</t>
  </si>
  <si>
    <t>US0311621009</t>
  </si>
  <si>
    <t>US03027X1000</t>
  </si>
  <si>
    <t>US0268747849</t>
  </si>
  <si>
    <t>US0258161092</t>
  </si>
  <si>
    <t>US0378331005</t>
  </si>
  <si>
    <t>US0605051046</t>
  </si>
  <si>
    <t>US0846707026</t>
  </si>
  <si>
    <t>US09247X1019</t>
  </si>
  <si>
    <t>US0970231058</t>
  </si>
  <si>
    <t>US1667641005</t>
  </si>
  <si>
    <t>US09857L1089</t>
  </si>
  <si>
    <t>US1101221083</t>
  </si>
  <si>
    <t>US14040H1059</t>
  </si>
  <si>
    <t>US1491231015</t>
  </si>
  <si>
    <t>US16119P1084</t>
  </si>
  <si>
    <t>company_id</t>
  </si>
  <si>
    <t>Activities</t>
  </si>
  <si>
    <t>Sectors</t>
  </si>
  <si>
    <t>Industries</t>
  </si>
  <si>
    <t>Primary activity</t>
  </si>
  <si>
    <t>Primary sector</t>
  </si>
  <si>
    <t>Primary industry</t>
  </si>
  <si>
    <t>Tickers</t>
  </si>
  <si>
    <t>short_name</t>
  </si>
  <si>
    <t>company_name</t>
  </si>
  <si>
    <t>Sector1</t>
  </si>
  <si>
    <t>Country</t>
  </si>
  <si>
    <t>United States of America</t>
  </si>
  <si>
    <t xml:space="preserve"> Benchmark, CCGR1800, Continuity Climate Change, FTSE All-World, Global 500, MSCI ACWI, S&amp;P 500</t>
  </si>
  <si>
    <t xml:space="preserve"> Health care facilities, Health care services, Health care supplies, Medical equipment, Other food processing, Pharmaceuticals</t>
  </si>
  <si>
    <t xml:space="preserve"> Biotech &amp; pharma, Food &amp; beverage processing, Health care provision, Medical equipment &amp; supplies, Other services</t>
  </si>
  <si>
    <t>Medical equipment</t>
  </si>
  <si>
    <t>Medical equipment &amp; supplies</t>
  </si>
  <si>
    <t>Biotech, health care &amp; pharma</t>
  </si>
  <si>
    <t>ABT US</t>
  </si>
  <si>
    <t xml:space="preserve"> US0028241000</t>
  </si>
  <si>
    <t xml:space="preserve"> ABT US</t>
  </si>
  <si>
    <t xml:space="preserve"> Benchmark, CCGR1800, Continuity Climate Change, Environmental, FTSE All-World, Global 500, MSCI ACWI, S&amp;P 500</t>
  </si>
  <si>
    <t xml:space="preserve"> Electronic components, Fabricated metal components, Health care supplies, Paper products, Specialty chemicals</t>
  </si>
  <si>
    <t xml:space="preserve"> Chemicals, Electrical &amp; electronic equipment, Medical equipment &amp; supplies, Metal products manufacturing, Paper products &amp; packaging</t>
  </si>
  <si>
    <t xml:space="preserve"> Biotech, health care &amp; pharma, Manufacturing, Materials</t>
  </si>
  <si>
    <t>Specialty chemicals</t>
  </si>
  <si>
    <t>MMM US</t>
  </si>
  <si>
    <t>US88579Y1010</t>
  </si>
  <si>
    <t xml:space="preserve"> US88579Y1010</t>
  </si>
  <si>
    <t xml:space="preserve"> MMM US</t>
  </si>
  <si>
    <t xml:space="preserve"> Energy utility networks, Thermal power generation</t>
  </si>
  <si>
    <t>Infrastructure</t>
  </si>
  <si>
    <t xml:space="preserve"> Software</t>
  </si>
  <si>
    <t xml:space="preserve"> IT &amp; software development</t>
  </si>
  <si>
    <t>IT &amp; software development</t>
  </si>
  <si>
    <t>Services</t>
  </si>
  <si>
    <t>ADBE US</t>
  </si>
  <si>
    <t xml:space="preserve"> US00724F1012</t>
  </si>
  <si>
    <t xml:space="preserve"> ADBE US</t>
  </si>
  <si>
    <t xml:space="preserve"> Electronic components</t>
  </si>
  <si>
    <t xml:space="preserve"> Electrical &amp; electronic equipment</t>
  </si>
  <si>
    <t>Electronic components</t>
  </si>
  <si>
    <t>Electrical &amp; electronic equipment</t>
  </si>
  <si>
    <t>Manufacturing</t>
  </si>
  <si>
    <t xml:space="preserve"> Insurance</t>
  </si>
  <si>
    <t xml:space="preserve"> Financial services</t>
  </si>
  <si>
    <t>Financial services</t>
  </si>
  <si>
    <t xml:space="preserve"> Asset managers</t>
  </si>
  <si>
    <t>Asset managers</t>
  </si>
  <si>
    <t xml:space="preserve"> Pharmaceuticals</t>
  </si>
  <si>
    <t xml:space="preserve"> Biotech &amp; pharma</t>
  </si>
  <si>
    <t>Pharmaceuticals</t>
  </si>
  <si>
    <t>Biotech &amp; pharma</t>
  </si>
  <si>
    <t>ALL US</t>
  </si>
  <si>
    <t xml:space="preserve"> US0200021014</t>
  </si>
  <si>
    <t xml:space="preserve"> ALL US</t>
  </si>
  <si>
    <t>CCGT generation</t>
  </si>
  <si>
    <t>Thermal power generation</t>
  </si>
  <si>
    <t>Power generation</t>
  </si>
  <si>
    <t xml:space="preserve"> Alcoholic beverages, Tobacco products</t>
  </si>
  <si>
    <t xml:space="preserve"> Food &amp; beverage processing, Tobacco</t>
  </si>
  <si>
    <t>Tobacco products</t>
  </si>
  <si>
    <t>Food, beverage &amp; agriculture</t>
  </si>
  <si>
    <t>MO US</t>
  </si>
  <si>
    <t xml:space="preserve"> US02209S1033</t>
  </si>
  <si>
    <t xml:space="preserve"> MO US</t>
  </si>
  <si>
    <t>Transportation services</t>
  </si>
  <si>
    <t xml:space="preserve"> Banks, Other financial</t>
  </si>
  <si>
    <t xml:space="preserve"> Financial services, Specialized professional services</t>
  </si>
  <si>
    <t>AXP US</t>
  </si>
  <si>
    <t xml:space="preserve"> US0258161092</t>
  </si>
  <si>
    <t xml:space="preserve"> AXP US</t>
  </si>
  <si>
    <t>AIG US</t>
  </si>
  <si>
    <t xml:space="preserve"> US0268747849</t>
  </si>
  <si>
    <t xml:space="preserve"> AIG US</t>
  </si>
  <si>
    <t xml:space="preserve"> Benchmark, CCGR1800, Continuity Climate Change, Fixed Income, FTSE All-World, Global 500, MSCI ACWI, S&amp;P 500</t>
  </si>
  <si>
    <t xml:space="preserve"> Communications equipment, Utility line construction</t>
  </si>
  <si>
    <t xml:space="preserve"> Construction, Electrical &amp; electronic equipment</t>
  </si>
  <si>
    <t>Utility line construction</t>
  </si>
  <si>
    <t>Construction</t>
  </si>
  <si>
    <t>AMT US</t>
  </si>
  <si>
    <t xml:space="preserve"> US03027X1000</t>
  </si>
  <si>
    <t xml:space="preserve"> AMT US</t>
  </si>
  <si>
    <t xml:space="preserve"> Biotechnology</t>
  </si>
  <si>
    <t>Biotechnology</t>
  </si>
  <si>
    <t>AMGN US</t>
  </si>
  <si>
    <t xml:space="preserve"> US0311621009</t>
  </si>
  <si>
    <t xml:space="preserve"> AMGN US</t>
  </si>
  <si>
    <t xml:space="preserve"> Benchmark, CCGR1800, Continuity Climate Change, Environmental, Fixed Income, FTSE All-World, Global 500, MSCI ACWI, S&amp;P 500</t>
  </si>
  <si>
    <t xml:space="preserve"> Communications equipment, Computer hardware, Discretionary delivery retail, Electronic equipment</t>
  </si>
  <si>
    <t xml:space="preserve"> Discretionary retail, Electrical &amp; electronic equipment</t>
  </si>
  <si>
    <t>Communications equipment</t>
  </si>
  <si>
    <t>AAPL US</t>
  </si>
  <si>
    <t xml:space="preserve"> US0378331005</t>
  </si>
  <si>
    <t xml:space="preserve"> AAPL US</t>
  </si>
  <si>
    <t>Food &amp; beverage processing</t>
  </si>
  <si>
    <t xml:space="preserve"> Health care services, Insurance</t>
  </si>
  <si>
    <t xml:space="preserve"> Financial services, Other services</t>
  </si>
  <si>
    <t xml:space="preserve"> Communications equipment, Marketing, Media, Telecommunications services</t>
  </si>
  <si>
    <t xml:space="preserve"> Electrical &amp; electronic equipment, Media, telecommunications &amp; data center services, Web &amp; marketing services</t>
  </si>
  <si>
    <t>Telecommunications services</t>
  </si>
  <si>
    <t>Media, telecommunications &amp; data center services</t>
  </si>
  <si>
    <t>T US</t>
  </si>
  <si>
    <t xml:space="preserve"> US00206R1023</t>
  </si>
  <si>
    <t xml:space="preserve"> T US</t>
  </si>
  <si>
    <t>Other financial</t>
  </si>
  <si>
    <t>Specialized professional services</t>
  </si>
  <si>
    <t>REIT</t>
  </si>
  <si>
    <t xml:space="preserve"> Asset managers, Banks, Insurance</t>
  </si>
  <si>
    <t>BAC US</t>
  </si>
  <si>
    <t xml:space="preserve"> US0605051046</t>
  </si>
  <si>
    <t xml:space="preserve"> BAC US</t>
  </si>
  <si>
    <t xml:space="preserve"> Asset managers, Banks</t>
  </si>
  <si>
    <t>BK US</t>
  </si>
  <si>
    <t>US0640581007</t>
  </si>
  <si>
    <t xml:space="preserve"> US0640581007</t>
  </si>
  <si>
    <t xml:space="preserve"> BK US</t>
  </si>
  <si>
    <t xml:space="preserve"> Specialist retail</t>
  </si>
  <si>
    <t xml:space="preserve"> Discretionary retail</t>
  </si>
  <si>
    <t>Specialist retail</t>
  </si>
  <si>
    <t>Discretionary retail</t>
  </si>
  <si>
    <t>BIIB US</t>
  </si>
  <si>
    <t xml:space="preserve"> US09062X1037</t>
  </si>
  <si>
    <t xml:space="preserve"> BIIB US</t>
  </si>
  <si>
    <t>BLK US</t>
  </si>
  <si>
    <t xml:space="preserve"> US09247X1019</t>
  </si>
  <si>
    <t xml:space="preserve"> BLK US</t>
  </si>
  <si>
    <t xml:space="preserve"> Aerospace, Banks, Transportation support services</t>
  </si>
  <si>
    <t xml:space="preserve"> Financial services, Industrial support services, Transportation equipment</t>
  </si>
  <si>
    <t>Aerospace</t>
  </si>
  <si>
    <t>Transportation equipment</t>
  </si>
  <si>
    <t>BA US</t>
  </si>
  <si>
    <t xml:space="preserve"> US0970231058</t>
  </si>
  <si>
    <t xml:space="preserve"> BA US</t>
  </si>
  <si>
    <t>Engines &amp; motors</t>
  </si>
  <si>
    <t>Powered machinery</t>
  </si>
  <si>
    <t>BMY US</t>
  </si>
  <si>
    <t xml:space="preserve"> US1101221083</t>
  </si>
  <si>
    <t xml:space="preserve"> BMY US</t>
  </si>
  <si>
    <t xml:space="preserve"> Food &amp; beverage processing</t>
  </si>
  <si>
    <t>Intermodal transport &amp; logistics</t>
  </si>
  <si>
    <t>Other food processing</t>
  </si>
  <si>
    <t xml:space="preserve"> Banks</t>
  </si>
  <si>
    <t>COF US</t>
  </si>
  <si>
    <t xml:space="preserve"> US14040H1059</t>
  </si>
  <si>
    <t xml:space="preserve"> COF US</t>
  </si>
  <si>
    <t>Other services</t>
  </si>
  <si>
    <t>Media</t>
  </si>
  <si>
    <t>Personal care &amp; household products</t>
  </si>
  <si>
    <t xml:space="preserve"> Communications equipment, IT services, Other professional services, Software</t>
  </si>
  <si>
    <t xml:space="preserve"> Electrical &amp; electronic equipment, IT &amp; software development, Specialized professional services</t>
  </si>
  <si>
    <t>CSCO US</t>
  </si>
  <si>
    <t xml:space="preserve"> US17275R1023</t>
  </si>
  <si>
    <t xml:space="preserve"> CSCO US</t>
  </si>
  <si>
    <t>Health care services</t>
  </si>
  <si>
    <t>C US</t>
  </si>
  <si>
    <t>US1729674242</t>
  </si>
  <si>
    <t xml:space="preserve"> US1729674242</t>
  </si>
  <si>
    <t xml:space="preserve"> C US</t>
  </si>
  <si>
    <t xml:space="preserve"> Animal processing, Personal care &amp; household products</t>
  </si>
  <si>
    <t xml:space="preserve"> Chemicals, Food &amp; beverage processing</t>
  </si>
  <si>
    <t>CL US</t>
  </si>
  <si>
    <t xml:space="preserve"> US1941621039</t>
  </si>
  <si>
    <t xml:space="preserve"> CL US</t>
  </si>
  <si>
    <t xml:space="preserve"> Non-alcoholic beverages</t>
  </si>
  <si>
    <t>Non-alcoholic beverages</t>
  </si>
  <si>
    <t>KO US</t>
  </si>
  <si>
    <t xml:space="preserve"> US1912161007</t>
  </si>
  <si>
    <t xml:space="preserve"> KO US</t>
  </si>
  <si>
    <t xml:space="preserve"> Marketing, Media, Recreation &amp; entertainment facilities</t>
  </si>
  <si>
    <t xml:space="preserve"> Entertainment facilities, Media, telecommunications &amp; data center services, Web &amp; marketing services</t>
  </si>
  <si>
    <t>CMCSA US</t>
  </si>
  <si>
    <t>US20030N1019</t>
  </si>
  <si>
    <t xml:space="preserve"> US20030N1019</t>
  </si>
  <si>
    <t xml:space="preserve"> CMCSA US</t>
  </si>
  <si>
    <t xml:space="preserve"> Other food processing</t>
  </si>
  <si>
    <t xml:space="preserve"> Natural gas extraction, Oil &amp; gas extraction</t>
  </si>
  <si>
    <t xml:space="preserve"> Oil &amp; gas extraction &amp; production</t>
  </si>
  <si>
    <t>Oil &amp; gas extraction</t>
  </si>
  <si>
    <t>Oil &amp; gas extraction &amp; production</t>
  </si>
  <si>
    <t>Fossil Fuels</t>
  </si>
  <si>
    <t>COP US</t>
  </si>
  <si>
    <t>US20825C1045</t>
  </si>
  <si>
    <t xml:space="preserve"> US20825C1045</t>
  </si>
  <si>
    <t xml:space="preserve"> COP US</t>
  </si>
  <si>
    <t xml:space="preserve"> Benchmark, CCGR1800, Continuity Climate Change, Environmental, FAIRR, FTSE All-World, Global 500, MSCI ACWI, S&amp;P 500</t>
  </si>
  <si>
    <t xml:space="preserve"> Hypermarkets &amp; superstores, Supermarkets, food &amp; drugstores</t>
  </si>
  <si>
    <t xml:space="preserve"> Convenience retail</t>
  </si>
  <si>
    <t>Hypermarkets &amp; superstores</t>
  </si>
  <si>
    <t>Convenience retail</t>
  </si>
  <si>
    <t>COST US</t>
  </si>
  <si>
    <t>US22160K1051</t>
  </si>
  <si>
    <t xml:space="preserve"> US22160K1051</t>
  </si>
  <si>
    <t xml:space="preserve"> COST US</t>
  </si>
  <si>
    <t xml:space="preserve"> Rail freight, Transportation support services</t>
  </si>
  <si>
    <t xml:space="preserve"> Industrial support services, Rail transport</t>
  </si>
  <si>
    <t>Rail freight</t>
  </si>
  <si>
    <t>Rail transport</t>
  </si>
  <si>
    <t xml:space="preserve"> Health care services, Health care supplies, Insurance, Supermarkets, food &amp; drugstores</t>
  </si>
  <si>
    <t xml:space="preserve"> Convenience retail, Financial services, Medical equipment &amp; supplies, Other services</t>
  </si>
  <si>
    <t>Health care supplies</t>
  </si>
  <si>
    <t>CVS US</t>
  </si>
  <si>
    <t xml:space="preserve"> US1266501006</t>
  </si>
  <si>
    <t xml:space="preserve"> CVS US</t>
  </si>
  <si>
    <t xml:space="preserve"> Biotechnology, Other base chemicals, Specialty chemicals</t>
  </si>
  <si>
    <t xml:space="preserve"> Biotech &amp; pharma, Chemicals</t>
  </si>
  <si>
    <t>Other base chemicals</t>
  </si>
  <si>
    <t xml:space="preserve"> CCGT generation, Coal generation, Hydro generation</t>
  </si>
  <si>
    <t xml:space="preserve"> Renewable power generation, Thermal power generation</t>
  </si>
  <si>
    <t>DUK US</t>
  </si>
  <si>
    <t>US26441C2044</t>
  </si>
  <si>
    <t xml:space="preserve"> US26441C2044</t>
  </si>
  <si>
    <t xml:space="preserve"> DUK US</t>
  </si>
  <si>
    <t>Electrical equipment</t>
  </si>
  <si>
    <t>LLY US</t>
  </si>
  <si>
    <t>US5324571083</t>
  </si>
  <si>
    <t xml:space="preserve"> US5324571083</t>
  </si>
  <si>
    <t xml:space="preserve"> LLY US</t>
  </si>
  <si>
    <t xml:space="preserve"> CCGT generation, Electricity networks, Gas utilities, Nuclear generation</t>
  </si>
  <si>
    <t xml:space="preserve"> Energy utility networks, Nuclear power generation, Thermal power generation</t>
  </si>
  <si>
    <t>Nuclear generation</t>
  </si>
  <si>
    <t>Nuclear power generation</t>
  </si>
  <si>
    <t>EXC US</t>
  </si>
  <si>
    <t>US30161N1019</t>
  </si>
  <si>
    <t xml:space="preserve"> US30161N1019</t>
  </si>
  <si>
    <t xml:space="preserve"> EXC US</t>
  </si>
  <si>
    <t xml:space="preserve"> Air freight, Logistics - 3rd party, Logistics - transport, Road freight, Transportation support services</t>
  </si>
  <si>
    <t xml:space="preserve"> Air transport, Industrial support services, Intermodal transport &amp; logistics, Road transport</t>
  </si>
  <si>
    <t>Logistics - transport</t>
  </si>
  <si>
    <t>FDX US</t>
  </si>
  <si>
    <t>US31428X1063</t>
  </si>
  <si>
    <t xml:space="preserve"> US31428X1063</t>
  </si>
  <si>
    <t xml:space="preserve"> FDX US</t>
  </si>
  <si>
    <t xml:space="preserve"> Automobiles, Banks</t>
  </si>
  <si>
    <t xml:space="preserve"> Financial services, Transportation equipment</t>
  </si>
  <si>
    <t>Automobiles</t>
  </si>
  <si>
    <t>F US</t>
  </si>
  <si>
    <t>US3453708600</t>
  </si>
  <si>
    <t xml:space="preserve"> US3453708600</t>
  </si>
  <si>
    <t xml:space="preserve"> F US</t>
  </si>
  <si>
    <t xml:space="preserve"> Aerospace, Electrical equipment, Heavy vehicles, Munitions, Other professional services, Shipbuilding, Transportation support services</t>
  </si>
  <si>
    <t xml:space="preserve"> Electrical &amp; electronic equipment, Industrial support services, Light manufacturing, Specialized professional services, Transportation equipment</t>
  </si>
  <si>
    <t>GD US</t>
  </si>
  <si>
    <t>US3695501086</t>
  </si>
  <si>
    <t xml:space="preserve"> US3695501086</t>
  </si>
  <si>
    <t xml:space="preserve"> GD US</t>
  </si>
  <si>
    <t xml:space="preserve"> Benchmark, CCGR1800, Continuity Climate Change, FAIRR, FTSE All-World, Global 500, MSCI ACWI, S&amp;P 500</t>
  </si>
  <si>
    <t>GM US</t>
  </si>
  <si>
    <t>US37045V1008</t>
  </si>
  <si>
    <t xml:space="preserve"> US37045V1008</t>
  </si>
  <si>
    <t xml:space="preserve"> GM US</t>
  </si>
  <si>
    <t xml:space="preserve"> Banks, Electrical equipment, Energy services &amp; equipment, Engines &amp; motors, Industrial machinery, Medical equipment, Other renewable energy equipment, Railroad rolling stock</t>
  </si>
  <si>
    <t xml:space="preserve"> Electrical &amp; electronic equipment, Financial services, Industrial support services, Medical equipment &amp; supplies, Powered machinery, Renewable energy equipment, Transportation equipment</t>
  </si>
  <si>
    <t>GE US</t>
  </si>
  <si>
    <t>US3696041033</t>
  </si>
  <si>
    <t xml:space="preserve"> US3696041033</t>
  </si>
  <si>
    <t xml:space="preserve"> GE US</t>
  </si>
  <si>
    <t>GILD US</t>
  </si>
  <si>
    <t>US3755581036</t>
  </si>
  <si>
    <t xml:space="preserve"> US3755581036</t>
  </si>
  <si>
    <t xml:space="preserve"> GILD US</t>
  </si>
  <si>
    <t>GS US</t>
  </si>
  <si>
    <t>US38141G1040</t>
  </si>
  <si>
    <t xml:space="preserve"> US38141G1040</t>
  </si>
  <si>
    <t xml:space="preserve"> GS US</t>
  </si>
  <si>
    <t xml:space="preserve"> Marketing, Software, Web-based services</t>
  </si>
  <si>
    <t xml:space="preserve"> IT &amp; software development, Web &amp; marketing services</t>
  </si>
  <si>
    <t>Web-based services</t>
  </si>
  <si>
    <t>Web &amp; marketing services</t>
  </si>
  <si>
    <t>GOOGL US</t>
  </si>
  <si>
    <t xml:space="preserve"> GOOG US, GOOGL US</t>
  </si>
  <si>
    <t xml:space="preserve"> Electrical &amp; electronic equipment, Specialized professional services</t>
  </si>
  <si>
    <t xml:space="preserve"> Bars, hotels &amp; restaurants</t>
  </si>
  <si>
    <t>Bars, hotels &amp; restaurants</t>
  </si>
  <si>
    <t>HD US</t>
  </si>
  <si>
    <t>US4370761029</t>
  </si>
  <si>
    <t xml:space="preserve"> US4370761029</t>
  </si>
  <si>
    <t xml:space="preserve"> HD US</t>
  </si>
  <si>
    <t xml:space="preserve"> Dealers, wholesalers &amp; distributors, Electrical equipment, Engines &amp; motors, Other vehicle equipment &amp; systems, Specialty chemicals</t>
  </si>
  <si>
    <t xml:space="preserve"> Chemicals, Electrical &amp; electronic equipment, Powered machinery, Trading, wholesale, distribution, rental &amp; leasing</t>
  </si>
  <si>
    <t>HON US</t>
  </si>
  <si>
    <t>US4385161066</t>
  </si>
  <si>
    <t xml:space="preserve"> US4385161066</t>
  </si>
  <si>
    <t xml:space="preserve"> HON US</t>
  </si>
  <si>
    <t xml:space="preserve"> REIT</t>
  </si>
  <si>
    <t xml:space="preserve"> Banks, Computer hardware, IT services, Other professional services, Software</t>
  </si>
  <si>
    <t xml:space="preserve"> Electrical &amp; electronic equipment, Financial services, IT &amp; software development, Specialized professional services</t>
  </si>
  <si>
    <t>IT services</t>
  </si>
  <si>
    <t>IBM US</t>
  </si>
  <si>
    <t>US4592001014</t>
  </si>
  <si>
    <t xml:space="preserve"> US4592001014</t>
  </si>
  <si>
    <t xml:space="preserve"> IBM US</t>
  </si>
  <si>
    <t xml:space="preserve"> Electronic components, Software</t>
  </si>
  <si>
    <t xml:space="preserve"> Electrical &amp; electronic equipment, IT &amp; software development</t>
  </si>
  <si>
    <t>INTC US</t>
  </si>
  <si>
    <t>US4581401001</t>
  </si>
  <si>
    <t xml:space="preserve"> US4581401001</t>
  </si>
  <si>
    <t xml:space="preserve"> INTC US</t>
  </si>
  <si>
    <t xml:space="preserve"> Health care services, Health care supplies, Medical equipment, Personal care &amp; household products, Pharmaceuticals</t>
  </si>
  <si>
    <t xml:space="preserve"> Biotech &amp; pharma, Chemicals, Medical equipment &amp; supplies, Other services</t>
  </si>
  <si>
    <t>JNJ US</t>
  </si>
  <si>
    <t>US4781601046</t>
  </si>
  <si>
    <t xml:space="preserve"> US4781601046</t>
  </si>
  <si>
    <t xml:space="preserve"> JNJ US</t>
  </si>
  <si>
    <t>JPM US</t>
  </si>
  <si>
    <t>US46625H1005</t>
  </si>
  <si>
    <t xml:space="preserve"> US46625H1005</t>
  </si>
  <si>
    <t xml:space="preserve"> JPM US</t>
  </si>
  <si>
    <t>Supermarkets, food &amp; drugstores</t>
  </si>
  <si>
    <t>10820</t>
  </si>
  <si>
    <t xml:space="preserve"> Aerospace, Electrical equipment, Munitions</t>
  </si>
  <si>
    <t xml:space="preserve"> Electrical &amp; electronic equipment, Light manufacturing, Transportation equipment</t>
  </si>
  <si>
    <t>LMT US</t>
  </si>
  <si>
    <t>US5398301094</t>
  </si>
  <si>
    <t xml:space="preserve"> US5398301094</t>
  </si>
  <si>
    <t xml:space="preserve"> LMT US</t>
  </si>
  <si>
    <t>LOW US</t>
  </si>
  <si>
    <t>US5486611073</t>
  </si>
  <si>
    <t xml:space="preserve"> US5486611073</t>
  </si>
  <si>
    <t xml:space="preserve"> LOW US</t>
  </si>
  <si>
    <t xml:space="preserve"> Other financial, Other professional services</t>
  </si>
  <si>
    <t xml:space="preserve"> Specialized professional services</t>
  </si>
  <si>
    <t>MA US</t>
  </si>
  <si>
    <t xml:space="preserve"> US57636Q1040</t>
  </si>
  <si>
    <t xml:space="preserve"> MA US</t>
  </si>
  <si>
    <t xml:space="preserve"> Fast food</t>
  </si>
  <si>
    <t>Fast food</t>
  </si>
  <si>
    <t>MCD US</t>
  </si>
  <si>
    <t xml:space="preserve"> US5801351017</t>
  </si>
  <si>
    <t xml:space="preserve"> MCD US</t>
  </si>
  <si>
    <t>MRK US</t>
  </si>
  <si>
    <t>US58933Y1055</t>
  </si>
  <si>
    <t xml:space="preserve"> US58933Y1055</t>
  </si>
  <si>
    <t xml:space="preserve"> MRK US</t>
  </si>
  <si>
    <t>MET US</t>
  </si>
  <si>
    <t xml:space="preserve"> US59156R1086</t>
  </si>
  <si>
    <t xml:space="preserve"> MET US</t>
  </si>
  <si>
    <t>MSFT US</t>
  </si>
  <si>
    <t xml:space="preserve"> US5949181045</t>
  </si>
  <si>
    <t xml:space="preserve"> MSFT US</t>
  </si>
  <si>
    <t>MS US</t>
  </si>
  <si>
    <t>US6174464486</t>
  </si>
  <si>
    <t xml:space="preserve"> US6174464486</t>
  </si>
  <si>
    <t xml:space="preserve"> MS US</t>
  </si>
  <si>
    <t xml:space="preserve"> Accessories manufacture, Apparel &amp; footwear, Clothing manufacture</t>
  </si>
  <si>
    <t xml:space="preserve"> Accessories, Textiles &amp; fabric goods</t>
  </si>
  <si>
    <t>Apparel &amp; footwear</t>
  </si>
  <si>
    <t>Textiles &amp; fabric goods</t>
  </si>
  <si>
    <t>Apparel</t>
  </si>
  <si>
    <t>NKE US</t>
  </si>
  <si>
    <t xml:space="preserve"> US6541061031</t>
  </si>
  <si>
    <t xml:space="preserve"> NKE US</t>
  </si>
  <si>
    <t>NVDA US</t>
  </si>
  <si>
    <t>US67066G1040</t>
  </si>
  <si>
    <t xml:space="preserve"> US67066G1040</t>
  </si>
  <si>
    <t xml:space="preserve"> NVDA US</t>
  </si>
  <si>
    <t xml:space="preserve"> Natural gas extraction, Oil &amp; gas extraction, Oil &amp; gas pipelines &amp; storage, Other base chemicals</t>
  </si>
  <si>
    <t xml:space="preserve"> Chemicals, Oil &amp; gas extraction &amp; production, Oil &amp; gas storage &amp; transportation</t>
  </si>
  <si>
    <t>OXY US</t>
  </si>
  <si>
    <t>US6745991058</t>
  </si>
  <si>
    <t xml:space="preserve"> US6745991058</t>
  </si>
  <si>
    <t xml:space="preserve"> OXY US</t>
  </si>
  <si>
    <t xml:space="preserve"> IT services, Other professional services, Servers &amp; data centers, Software</t>
  </si>
  <si>
    <t xml:space="preserve"> IT &amp; software development, Media, telecommunications &amp; data center services, Specialized professional services</t>
  </si>
  <si>
    <t>ORCL US</t>
  </si>
  <si>
    <t>US68389X1054</t>
  </si>
  <si>
    <t xml:space="preserve"> US68389X1054</t>
  </si>
  <si>
    <t xml:space="preserve"> ORCL US</t>
  </si>
  <si>
    <t xml:space="preserve"> Baked goods &amp; cereals, Non-alcoholic beverages, Other food processing</t>
  </si>
  <si>
    <t>PEP US</t>
  </si>
  <si>
    <t xml:space="preserve"> US7134481081</t>
  </si>
  <si>
    <t xml:space="preserve"> PEP US</t>
  </si>
  <si>
    <t>PFE US</t>
  </si>
  <si>
    <t xml:space="preserve"> US7170811035</t>
  </si>
  <si>
    <t xml:space="preserve"> PFE US</t>
  </si>
  <si>
    <t xml:space="preserve"> Tobacco products</t>
  </si>
  <si>
    <t xml:space="preserve"> Tobacco</t>
  </si>
  <si>
    <t>PM US</t>
  </si>
  <si>
    <t xml:space="preserve"> US7181721090</t>
  </si>
  <si>
    <t xml:space="preserve"> PM US</t>
  </si>
  <si>
    <t xml:space="preserve"> Fabricated metal components, Paper products, Personal care &amp; household products</t>
  </si>
  <si>
    <t xml:space="preserve"> Chemicals, Metal products manufacturing, Paper products &amp; packaging</t>
  </si>
  <si>
    <t>PG US</t>
  </si>
  <si>
    <t xml:space="preserve"> US7427181091</t>
  </si>
  <si>
    <t xml:space="preserve"> PG US</t>
  </si>
  <si>
    <t xml:space="preserve"> CCGT generation, Coal generation, Gas utilities</t>
  </si>
  <si>
    <t xml:space="preserve"> Electronic components, Other professional services</t>
  </si>
  <si>
    <t>QCOM US</t>
  </si>
  <si>
    <t>US7475251036</t>
  </si>
  <si>
    <t xml:space="preserve"> US7475251036</t>
  </si>
  <si>
    <t xml:space="preserve"> QCOM US</t>
  </si>
  <si>
    <t xml:space="preserve"> Other professional services, Software</t>
  </si>
  <si>
    <t xml:space="preserve"> IT &amp; software development, Specialized professional services</t>
  </si>
  <si>
    <t>CRM US</t>
  </si>
  <si>
    <t>US79466L3024</t>
  </si>
  <si>
    <t xml:space="preserve"> US79466L3024</t>
  </si>
  <si>
    <t xml:space="preserve"> CRM US</t>
  </si>
  <si>
    <t>SPG US</t>
  </si>
  <si>
    <t>US8288061091</t>
  </si>
  <si>
    <t xml:space="preserve"> US8288061091</t>
  </si>
  <si>
    <t xml:space="preserve"> SPG US</t>
  </si>
  <si>
    <t xml:space="preserve"> Food &amp; beverage amenities, Food &amp; beverage wholesale</t>
  </si>
  <si>
    <t xml:space="preserve"> Bars, hotels &amp; restaurants, Trading, wholesale, distribution, rental &amp; leasing</t>
  </si>
  <si>
    <t>Food &amp; beverage amenities</t>
  </si>
  <si>
    <t>SBUX US</t>
  </si>
  <si>
    <t xml:space="preserve"> US8552441094</t>
  </si>
  <si>
    <t xml:space="preserve"> SBUX US</t>
  </si>
  <si>
    <t xml:space="preserve"> Medical equipment &amp; supplies, Other services</t>
  </si>
  <si>
    <t>TGT US</t>
  </si>
  <si>
    <t xml:space="preserve"> US87612E1064</t>
  </si>
  <si>
    <t xml:space="preserve"> TGT US</t>
  </si>
  <si>
    <t>TXN US</t>
  </si>
  <si>
    <t>US8825081040</t>
  </si>
  <si>
    <t xml:space="preserve"> US8825081040</t>
  </si>
  <si>
    <t xml:space="preserve"> TXN US</t>
  </si>
  <si>
    <t>SO US</t>
  </si>
  <si>
    <t>US8425871071</t>
  </si>
  <si>
    <t xml:space="preserve"> US8425871071</t>
  </si>
  <si>
    <t xml:space="preserve"> SO US</t>
  </si>
  <si>
    <t>USB US</t>
  </si>
  <si>
    <t>US9029733048</t>
  </si>
  <si>
    <t xml:space="preserve"> US9029733048</t>
  </si>
  <si>
    <t xml:space="preserve"> USB US</t>
  </si>
  <si>
    <t>UNP US</t>
  </si>
  <si>
    <t>US9078181081</t>
  </si>
  <si>
    <t xml:space="preserve"> US9078181081</t>
  </si>
  <si>
    <t xml:space="preserve"> UNP US</t>
  </si>
  <si>
    <t>UNH US</t>
  </si>
  <si>
    <t>US91324P1021</t>
  </si>
  <si>
    <t xml:space="preserve"> US91324P1021</t>
  </si>
  <si>
    <t xml:space="preserve"> UNH US</t>
  </si>
  <si>
    <t>UPS US</t>
  </si>
  <si>
    <t>US9113121068</t>
  </si>
  <si>
    <t xml:space="preserve"> US9113121068</t>
  </si>
  <si>
    <t xml:space="preserve"> UPS US</t>
  </si>
  <si>
    <t xml:space="preserve"> Communications equipment, Telecommunications services</t>
  </si>
  <si>
    <t xml:space="preserve"> Electrical &amp; electronic equipment, Media, telecommunications &amp; data center services</t>
  </si>
  <si>
    <t>VZ US</t>
  </si>
  <si>
    <t xml:space="preserve"> US92343V1044</t>
  </si>
  <si>
    <t xml:space="preserve"> VZ US</t>
  </si>
  <si>
    <t>DIS US</t>
  </si>
  <si>
    <t>US2546871060</t>
  </si>
  <si>
    <t xml:space="preserve"> US2546871060</t>
  </si>
  <si>
    <t xml:space="preserve"> DIS US</t>
  </si>
  <si>
    <t xml:space="preserve"> Dealers, wholesalers &amp; distributors, Supermarkets, food &amp; drugstores</t>
  </si>
  <si>
    <t xml:space="preserve"> Convenience retail, Trading, wholesale, distribution, rental &amp; leasing</t>
  </si>
  <si>
    <t>WBA US</t>
  </si>
  <si>
    <t>US9314271084</t>
  </si>
  <si>
    <t xml:space="preserve"> US9314271084</t>
  </si>
  <si>
    <t xml:space="preserve"> WBA US</t>
  </si>
  <si>
    <t>WMT US</t>
  </si>
  <si>
    <t xml:space="preserve"> US9311421039</t>
  </si>
  <si>
    <t xml:space="preserve"> WMT US</t>
  </si>
  <si>
    <t>WFC US</t>
  </si>
  <si>
    <t>US9497461015</t>
  </si>
  <si>
    <t xml:space="preserve"> US9497461015</t>
  </si>
  <si>
    <t xml:space="preserve"> WFC US</t>
  </si>
  <si>
    <t>V US</t>
  </si>
  <si>
    <t>US92826C8394</t>
  </si>
  <si>
    <t xml:space="preserve"> US92826C8394</t>
  </si>
  <si>
    <t xml:space="preserve"> V US</t>
  </si>
  <si>
    <t xml:space="preserve"> IT services, Other professional services</t>
  </si>
  <si>
    <t xml:space="preserve"> Chocolate confection, Coffee, Dairy &amp; egg products, Non-chocolate confection, Other food processing</t>
  </si>
  <si>
    <t>MDLZ US</t>
  </si>
  <si>
    <t>US6092071058</t>
  </si>
  <si>
    <t xml:space="preserve"> US6092071058</t>
  </si>
  <si>
    <t xml:space="preserve"> MDLZ US</t>
  </si>
  <si>
    <t>ABBV US</t>
  </si>
  <si>
    <t xml:space="preserve"> US00287Y1091</t>
  </si>
  <si>
    <t xml:space="preserve"> ABBV US</t>
  </si>
  <si>
    <t>PYPL US</t>
  </si>
  <si>
    <t xml:space="preserve"> US70450Y1038</t>
  </si>
  <si>
    <t xml:space="preserve"> PYPL US</t>
  </si>
  <si>
    <t>KHC US</t>
  </si>
  <si>
    <t xml:space="preserve"> US5007541064</t>
  </si>
  <si>
    <t xml:space="preserve"> KHC US</t>
  </si>
  <si>
    <t xml:space="preserve"> Coal generation, Oil &amp; gas extraction, Other base chemicals, Specialty chemicals</t>
  </si>
  <si>
    <t xml:space="preserve"> Chemicals, Oil &amp; gas extraction &amp; production, Thermal power generation</t>
  </si>
  <si>
    <t>DWDP US</t>
  </si>
  <si>
    <t>US26078J1007</t>
  </si>
  <si>
    <t xml:space="preserve"> US26078J1007</t>
  </si>
  <si>
    <t xml:space="preserve"> DWDP US</t>
  </si>
  <si>
    <t>cdp_account</t>
  </si>
  <si>
    <t>Ireland</t>
  </si>
  <si>
    <t xml:space="preserve"> Health care services, Health care supplies, Medical equipment</t>
  </si>
  <si>
    <t>MDT US</t>
  </si>
  <si>
    <t>IE00BTN1Y115</t>
  </si>
  <si>
    <t xml:space="preserve"> IE00BTN1Y115</t>
  </si>
  <si>
    <t xml:space="preserve"> MDT UN, MDT US</t>
  </si>
  <si>
    <t>ACN US</t>
  </si>
  <si>
    <t xml:space="preserve"> IE00B4BNMY34</t>
  </si>
  <si>
    <t xml:space="preserve"> ACN US</t>
  </si>
  <si>
    <t>primary_isin</t>
  </si>
  <si>
    <t>primary_ticker</t>
  </si>
  <si>
    <t>benchmark</t>
  </si>
  <si>
    <t>Period</t>
  </si>
  <si>
    <t>Revenue</t>
  </si>
  <si>
    <t>Net earnings</t>
  </si>
  <si>
    <t>Reporting year</t>
  </si>
  <si>
    <t>start_date</t>
  </si>
  <si>
    <t>end_date</t>
  </si>
  <si>
    <t>gross_scope_1_yale</t>
  </si>
  <si>
    <t>difference_cdp_yale</t>
  </si>
  <si>
    <t>difference_cdp_yale%</t>
  </si>
  <si>
    <t>gross_scope_2_yale</t>
  </si>
  <si>
    <t>gross_scope_3_yale</t>
  </si>
  <si>
    <t>2019-01-01</t>
  </si>
  <si>
    <t>2019-12-31</t>
  </si>
  <si>
    <t>2018-06-01</t>
  </si>
  <si>
    <t>2019-05-31</t>
  </si>
  <si>
    <t>2019-11-30</t>
  </si>
  <si>
    <t>2018-12-01</t>
  </si>
  <si>
    <t>scope1_start_date</t>
  </si>
  <si>
    <t>scope_1_end_date</t>
  </si>
  <si>
    <t>difference_cdp_yale_scope_1</t>
  </si>
  <si>
    <t>difference_cdp_yale_scope_1%</t>
  </si>
  <si>
    <t>gross_capgoods_scope3</t>
  </si>
  <si>
    <t>gross_purchgs_scope3</t>
  </si>
  <si>
    <t>gross_mkt_scope2</t>
  </si>
  <si>
    <t>gross_loc_scope2</t>
  </si>
  <si>
    <t>gross_fuelener_scope3</t>
  </si>
  <si>
    <t>gross_uptransdis_scope3</t>
  </si>
  <si>
    <t>gross_waste_scope3</t>
  </si>
  <si>
    <t>gross_bustravel_scope3</t>
  </si>
  <si>
    <t>gross_empcommut_scope3</t>
  </si>
  <si>
    <t>gross_upleasedassets_scope3</t>
  </si>
  <si>
    <t>gross_downtransdis_scope3</t>
  </si>
  <si>
    <t>gross_procsoldprod_scope3</t>
  </si>
  <si>
    <t>gross_usesoldprod_scope3</t>
  </si>
  <si>
    <t>gross_eoltreat_scope3</t>
  </si>
  <si>
    <t>gross_downleasedassets_scope3</t>
  </si>
  <si>
    <t>gross_franch_scope3</t>
  </si>
  <si>
    <t>gross_inv_scope3</t>
  </si>
  <si>
    <t>gross_upother_scope3</t>
  </si>
  <si>
    <t>gross_downother_scope3</t>
  </si>
  <si>
    <t>gross_total_scope_3</t>
  </si>
  <si>
    <t>gross_total_scope1</t>
  </si>
  <si>
    <t>NF</t>
  </si>
  <si>
    <t>NA</t>
  </si>
  <si>
    <t>https://www.bms.com/about-us/sustainability/goals-and-key-indicators/key-performance-indicators.html</t>
  </si>
  <si>
    <t>GHG2019</t>
  </si>
  <si>
    <t>PNG</t>
  </si>
  <si>
    <t>US2358511028</t>
  </si>
  <si>
    <t>US2605571031</t>
  </si>
  <si>
    <t>US2910111044</t>
  </si>
  <si>
    <t>US30231G1022</t>
  </si>
  <si>
    <t>US30303M1027</t>
  </si>
  <si>
    <t xml:space="preserve"> US02079K1079</t>
  </si>
  <si>
    <t>target_type</t>
  </si>
  <si>
    <t>scope</t>
  </si>
  <si>
    <t>scope_cdp</t>
  </si>
  <si>
    <t>intensity_metric</t>
  </si>
  <si>
    <t>year_target_was_set</t>
  </si>
  <si>
    <t>target_coverage</t>
  </si>
  <si>
    <t>base_year</t>
  </si>
  <si>
    <t>intensity_base_year</t>
  </si>
  <si>
    <t>base_year_emissions_covered_by_target</t>
  </si>
  <si>
    <t>base_year_emissions_covered_by_target%</t>
  </si>
  <si>
    <t>target_year</t>
  </si>
  <si>
    <t>targeted_reduction_from_base_year</t>
  </si>
  <si>
    <t>intensity_target_year</t>
  </si>
  <si>
    <t>covered_emissions_in_target_year_auto</t>
  </si>
  <si>
    <t>covered_emissions_in_reporting_year</t>
  </si>
  <si>
    <t>intensity_reporting_year</t>
  </si>
  <si>
    <t>target_achieved%_auto</t>
  </si>
  <si>
    <t>target_status</t>
  </si>
  <si>
    <t>sbti_target</t>
  </si>
  <si>
    <t>Comments</t>
  </si>
  <si>
    <t>Absolute</t>
  </si>
  <si>
    <t>S1+S2</t>
  </si>
  <si>
    <t>Scope 1+2 (location-based)</t>
  </si>
  <si>
    <t>Company-wide</t>
  </si>
  <si>
    <t>Underway</t>
  </si>
  <si>
    <t>No, but we anticipate setting one in the next 2 years</t>
  </si>
  <si>
    <t>As a science-based company, 3M bases our business, goals, and commitments on verified scientific data and projections — including those related to climate.  We  use the World Resources Institute (WRI)/World Business Council for Sustainable Development (WBCSD) GHG Protocol Corporate Accounting and Reporting Standard to set GHG emission reduction targets, we've participated as part of the Intergovernmental Panel on Climate Change (IPCC) in establishing the processes, and we're committed to continuous improvement across our operations, supply chain, and products.  For this reason, we are incorporating the findings of the Special Report on Global Warming of 1.5°C, published by IPCC, in setting our goals and actions. Even though we have seen global emissions decrease temporarily as a result of the unprecedented global COVID-19 pandemic, climate change remains an existential threat. Its impacts are widespread, and its risks are not limited by continent, industry, or even species. Our Strategic Sustainability Framework directs our efforts to areas where we can make the biggest impact. Within the Science for Climate pillar of this framework, we will continue to focus on innovating to decarbonize industry, accelerating global climate solutions, and improving our environmental footprint. We'll continue to drive climate solutions in our operations, in our products, and in communities around the world.3M is in a GHG leadership position due to our early actions to reduce our GHG emissions, which started in 2000. We are committed to continuing that leadership even as we grow the company in order to help our customers address the issue of climate change.  We are committed to ensure GHG emissions at least 50% below our 2002 baseline, while growing our business by 2025.  Since 2002, we have achieved a 68.1% reduction in absolute Scope 1 and 2 location-based GHG emissions.In 2019, we raised the bar as part of our strategic focus on empowering Science for Climate. We increased our interim target from 25% to 50% renewable electricity by 2025, toward our ultimate goal of 100% renewable electricity by 2050.</t>
  </si>
  <si>
    <t>Scope 1+2 (market-based)</t>
  </si>
  <si>
    <t>In 2016 AbbVie decided to take a leadership approach to climate change by setting new aggressive targets to reduce emissions.  Our GHG reduction target is to reduce emissions 25% absolute, by 2025 with a 2015 baseline.  All GHG targets are combined scope 1 and 2 market based.  All quantities reported in this section are in Metric Tons of CO2e.  It should be noted that the CO2e emissions associated with the acquisition of Stemcentrx and Pharmacyclics as well as a new R&amp;D center in Cambridge, MA are not included in the target calculation because they were not included in the 2015 baseline.  The CO2 emissions from these three businesses account for less than 1% of the total AbbVie CO2e emissions. In early 2020 AbbVie initiated the process of setting a science-based carbon target.  We anticipate setting a science-based target within two years.</t>
  </si>
  <si>
    <t>In 2016 AbbVie decided to take a leadership approach to climate change by setting new aggressive targets to reduce emissions.  Our GHG reduction target is to reduce emissions 50% absolute, by 2035 with a 2015 baseline.  All GHG targets are combined scope 1 and 2 market based.  All quantities reported in this section are in Metric Tons of CO2e.  It should be noted that the CO2e emissions associated with the acquisition of Stemcentrx and Pharmacyclics as well as a new R&amp;D center in Cambridge, MA are not included in the target calculation because they were not included in the 2015 baseline.  The CO2 emissions from these three businesses account for less than 1% of the total AbbVie CO2e emissions. In early 2020 AbbVie initiated the process of setting a science-based carbon target.  We anticipate setting a science-based target within two years.</t>
  </si>
  <si>
    <t>Scope 1+2 (market-based) +3 (upstream)</t>
  </si>
  <si>
    <t>Yes, this target has been approved as science-based by the Science-Based Targets initiative</t>
  </si>
  <si>
    <t>By the end of fiscal 2025, we will reduce our absolute greenhouse gas emissions by 11% from our fiscal 2016 base year, which represents a 65% absolute reduction in scope 1 and 2 emissions, and represents a 40% per unit of revenue intensity reduction for scope 1, 2 and 3 GHG emissions over the same time period. This target relates to company-wide scope 1+2 (market-based) + scope 3 (upstream) emissions.</t>
  </si>
  <si>
    <t>Abs1 is the short- to mid-term goal with Abs2, below, being the long term goal.  Both include renewable energy.  It includes Adobe commits to reduce absolute global scope 1 and 2 emissions 25% by 2025 from 2015 levels.  We have to point out that, Adobe has experienced substantial growth in business since 2015: +133% (revenues), FTE +64%; and in 2019 (w/ two multi-billion US$ acquisitions in 2018 (Magento &amp; Marketo) and Allgorithmic SAS in 2019) we DECREASED our absolute emissions approximately -4% (location-based), -11% (market-based) and DECREASED our CO2e/FTE (carbon intensity) by -39% (location) and -48% (market) YoY from FY2018.  Adobe achieved an absolute reduction of -1% (location) and -14% (market) of Scope 1+2 emissions from our 2015 baseline.  This is not by luck or ''happenstance”:  Adobe is committed to operational excellence and a focus on energy efficiency throughout our workspaces as well as throughout our digital supply chain with progress on consolidation (ex. Moving server labs to CoLos that commit to run on RE), virtualization (ex. From many CoLos to clouds the commit to run on RE), and regular technology refreshes (entire supply chain).  Additionally, through directly renewable energy and efficiency policy advocacy, with our NGO partners (ex. Ceres) and our peers, we are collaboratively working to decarbonize the grids we live and work on.  Essentially, we are managing our carbon footprint despite major business growth and we anticipate progress on both short- and long-term SBTs and our ambitious RE100 goals that do not rely on offsets but instead depend on true renewable energy additionality.   And, since we are ONLY using true grid-scale RE as an offset to absolute emissions, projects such as our open-access Bangalore solar PPA launched 2017, our aggregation with Facebook in a virtual PPA for 10MW of a wind farm in Nebraska in 2018, and Community Choice Aggregations (CCAs, "SJ Clean Energy" and "CleanPower SF"), 2019 green tariffs in Lehi, UT and Hillsboro, OR, 2019 on-site solar in Lehi, and other tools to deploy RE are up-and-running and are intended to meet our goals.  It is important to note that in 2019 Adobe began the process of raising the ambition on our SBTs (Scope 1+2 from 25% to 35%) and this will be reported on in 2020.</t>
  </si>
  <si>
    <t>Abs2 is our long-term SBTi goal.  Adobe commits to reduce absolute global scope 1 and 2 emissions by 80% by 2040 from 2015 levels.  As above, in 2019, we DECREASED our absolute emissions approximately -4% (location-based), -11% (market-based) and DECREASED our CO2e/FTE (carbon intensity) by -39% (location) and -48% (market) YoY from FY2018.  Adobe achieved an absolute reduction of -1% (location) and -14% (market) of Scope 1+2 emissions from our 2015 baseline.   Essentially, we are managing our carbon footprint despite major business growth but we anticipate progress on both short- and long-term SBTs in the coming years.   Important note:  in 2019 Adobe raised the ambition on our SBTs from "greater than 2C ambition" to "greater than 1.5C ambition":  Scope 1+2 from 25% to 35% by 2025.  These new, raised ambition targets will be verified, and progress reported against it in CDP,  in 2020.  We will be reviewing this goal (Abs 2) in 2020 to determine if 80% by 2035 is at the right level of ambition given Adobe does not purchase offsets or unbundled RECs and our RE100 goal is set to 2035.</t>
  </si>
  <si>
    <t>S3</t>
  </si>
  <si>
    <t>Scope 3 (downstream)</t>
  </si>
  <si>
    <t>Achieved</t>
  </si>
  <si>
    <t>No, but we are reporting another target that is science-based</t>
  </si>
  <si>
    <t>Abs3 is our target is SBTi goal 1 of 2 for Scope 3 emissions from downstream supply chain operations:  elimination of emissions (and resource consumption) in moving from a physical to 100% digital supply chain.  In 2012 Adobe adopted a cloud strategy for all products which not only made it easier and more efficient for customers to use Adobe products, but it also dematerialized our entire physical supply chain, eliminated all downstream waste and emissions from the businesses, all material waste and emissions from transportation and logistics throughout each product's lifecycle, and decreased the environmental impact of the customers by a minimum of 70% (at that time), with an average greater than 90% reduction, and greater than 95% when customers use Adobe products from a mobile device. The goal has been to achieve 100% digital download of products by 2020 -- this goal was achieved in early 2019 with 100% of all Adobe products delivered digitally and zero emissions from all previous physical supply chains.  An added benefit of putting this upstream purchased goods &amp; services goal in place has been to engage with suppliers throughout the value chain to help them set and meet RE100 and SBT goals.  Because of this, in 2019 Adobe set a brand new Scope 3 emissions SBT of committing that 55% of suppliers (by spend) will set SBTs by 2025 (this is equivalent to 66% of purchased goods &amp; services and capital goods emissions for approximately 52 suppliers).  This SBT was put into place in late 2019 and will be verified by the SBTi in 2020.</t>
  </si>
  <si>
    <t>No, and we do not anticipate setting one in the next 2 years</t>
  </si>
  <si>
    <t>Every year, we have a goal of being carbon neutral. As of December 31, 2019, we reached carbon neutrality for 100% of our FY2019 operational emissions, which represent Scope 1 + Scope 2 (market-based) + Scope 3 (business travel, candidate travel, and employee commuting).Abs1 covers Scope 1 + Scope 2 (market-based) + Scope 3 (business travel, candidate travel, and employee commuting). We committed to being carbon neutral in 2007 and we have achieved this goal each year since then. We maintain our commitment to carbon neutrality of our operational footprint first through energy efficiency, second, by signing long-term contracts for renewable energy directly from our utility providers and from renewable energy facilities in the same grid regions as our data centers, and lastly, by investing in high-quality carbon offset projects.We understand that CDP does not acknowledge carbon offsets as a way to reduce emissions, however, we do recognize offsets as a viable and important approach for mitigating our carbon emissions impact, as well as a critical component of our three-tiered carbon neutrality strategy.</t>
  </si>
  <si>
    <t>Abs2 includes Scope 1 emissions, and is our interim target for Abs3. On July 27, 2015, Google committed to tripling our purchases of renewables (then 1.1GW) by 2025 (see: https://www.whitehouse.gov/the-press-office/2015/07/27/fact-sheet-white-house-launches-american-business-act-climate-pledge). This was expected to result in installed production capacity of 3.4GW of renewable power and an annual GHG emissions reduction of approximately 2.7 million tCO2 by 2025, of which an increase of 1.8 million tCO2 in our annual GHG emissions reduction (from 0.9 million tCO2/year to 2.7 million tCO2/year) will be achieved by 2025.We exceeded this target in 2018, seven years early. From 2010 to 2019, we've signed 52 agreements totaling nearly 5.5 gigawatts of renewable energy. As of the end of 2019, our annual greenhouse gas emissions reductions from our renewable energy projects were 4.3 million metric tons, which puts us 238% of the way towards this goal from an emissions reduction perspective, and 191% of the way towards this goal from a renewable energy perspective. Our calculations assume that the grid emissions factors in the target year remain the same.Our overall energy usage from base year to target year is expected to increase, so this target is expected to result in an equivalent annual reduction of emissions from base year to target year of 124% by 2025, though we have written 100% as that is the maximum value possible for this field. Our % reduction from base year represents annual emissions reductions in our target year due to additional purchases of renewables (1.8 million tCO2), as compared to our annual base year emissions covered by this target (1.5 million tCO2). [(1.8 million tCO2/1.5 million tCO2) x 100 = 124%]. Our market-based Scope 2 emissions represented 92.2% of our combined Scope 1 and market-based Scope 2 emissions in 2019.</t>
  </si>
  <si>
    <t>Abs3 includes Low1, as well as Scope 1 emissions. In 2012, we set a long-term goal to purchase enough renewable energy to match all the electricity we consume globally on an annual basis. For the past three years (2017-2019) we achieved it: Google's total purchase of energy from sources like wind and solar exceeded the amount of electricity used by our operations around the world, including offices, data centers, and networking infrastructure. While we're still drawing power from the grid, some of which is from fossil fuel resources, we're purchasing enough wind and solar energy to match every megawatt-hour (MWh) of electricity our data center and office operations consume annually. In 2019, our annual GHG reductions from our renewable energy projects were 4.3 million metric tons. This puts us 191% of the way towards this goal from an emissions reduction perspective. Google is the largest cumulative corporate purchaser of renewable energy in the world. From 2010 to 2019, we've signed 52 agreements totaling nearly 5.5 gigawatts of renewable energy. Reaching our 100% renewable purchasing goal means that Google buys on an annual basis the same amount of MWh of renewable energy—both the physical energy and its corresponding renewable energy certificates (RECs)—as the amount of MWh of electricity that we consume for our operations around the world. Where possible, we buy this energy directly from our utility providers and from renewable energy facilities in the same grid regions as our data centers.Since we're using Abs2 as our interim target for Abs3 and it would be difficult to predict our emissions in 2040, we used most of the same data here for Abs3 as we did for Abs2. We know we'll increase our annual GHG emissions reduction by at least 1.8 million tCO2 of emissions (our Abs2 target) sometime before 2040. The actual reduction in tCO2 will likely be greater as we believe our Scope 2 emissions will grow between our base year and 2040. Matching 100% renewable energy is just the beginning. We'll continue to buy renewable energy to match our growing electricity load. And in those regions where we can't yet buy renewables, we'll keep working on ways to help open the market. At the same time, we're pursuing a longer-term ambition: to match every hour of our electricity consumption at every data center location with carbon-free electricity on the same grid.</t>
  </si>
  <si>
    <t>This target is company-wide; set at the Altria-level and includes all subsidiaries. The target was achieved in 2019 and replaced with a new 2030 target, which was validated by the Science Based Targets initiative.</t>
  </si>
  <si>
    <t>Scope 3 (upstream &amp; downstream)</t>
  </si>
  <si>
    <t>Revised</t>
  </si>
  <si>
    <t>This target is company-wide and includes all relevant Scope 3 categories. The target was revised in 2019 to include the investments category, changing base year inventories. The revised target was validated by the Science Based Targets initiative.</t>
  </si>
  <si>
    <t>New</t>
  </si>
  <si>
    <t>This target is company-wide; set at the Altria-level and includes all subsidiaries. This target was officially validated by the Science Based Targets initiative as consistent with reductions required to keep warming to 1.5°C.</t>
  </si>
  <si>
    <t>This target is company-wide and includes all relevant Scope 3 categories and was officially validated by the Science Based Targets initiative.</t>
  </si>
  <si>
    <t>S1+S2+S3</t>
  </si>
  <si>
    <t>Other, please specify: Scope 1+2 (market-based)+Scope 3 (business travel)</t>
  </si>
  <si>
    <t>Yes, we consider this a science-based target, but this target has not been approved as science-based by the Science-Based Targets initiative</t>
  </si>
  <si>
    <t>We are committing to achieve carbon neutrality for our operations Scope 1 and 2 (market-based) and 3 (business travel) (employee business travel, including third-party air, rail and rental cars) by 2025. Operations include all our managed facilities, field sites and data centers. To help us achieve this GHG goal, we are implementing energy efficiency projects and procuring renewable energy at our facilities. We also have an operational goal to reduce energy use by 35% across our global managed portfolio from 2011 to 2025. For unavoidable emissions we invest in certified carbon offsets to achieve the carbon neutrality commitment.</t>
  </si>
  <si>
    <t>We are committing to maintaining carbon neutrality for our operations Scope 1 and 2 (market-based) and 3 (business travel) (employee business travel, including third-party air, rail and rental cars) through at least 2040. Operations include all our managed facilities, field sites and data centers. To help us achieve this GHG goal, we are implementing energy efficiency projects and procuring renewable energy at our facilities. We also have an operational goal to reduce energy use by 35% across our global managed portfolio from 2011 to 2025. For unavoidable emissions we invest in certified carbon offsets to achieve the carbon neutrality commitment.</t>
  </si>
  <si>
    <t>Country/region</t>
  </si>
  <si>
    <t>AIG is a supporter of the UK Carbon Reduction Commitment (CRC) in the UK, and has committed to reducing the Carbon emissions associated with its UK business operations by 20% by the year 2020.  AIG's UK operations have exceeded the target commitment, reducing overall Scope 1 and Scope 2 emissions by 69 percent, more than three times the target. The CRC expired on 2020, so there won't be future reporting.</t>
  </si>
  <si>
    <t>S1</t>
  </si>
  <si>
    <t>Scope 1</t>
  </si>
  <si>
    <t>As a result of the significant efforts detailed in our 2019 Corporate Sustainability Report, the Company reduced actual annual diesel consumption by approximately 34 million liters from our 2017 baseline and by approximately 65 million liters after normalizing 2019 consumption for site acquisitions and new builds in 2018 and 2019 (normalization calculations make certain assumptions and estimates for newly acquired or built sites based on applying the average 2017 diesel usage per site). This normalized reduction represents the equivalent of 163,000 avoided metric tons of carbon dioxide equivalent (MTCO2e) and moves us 46% of the way to fulfilling our 10-year goal. The 65 million liter reduction is the equivalent of taking more than 35,000 cars off the road for a year or helping to preserve more than 65,000 acres of forest. Recognizing the significant positive environmental impact, American Tower will build on this early success and continue our methodical approach to decreasing fossil fuel consumption in all areas.  See the Energy section of our report below:https://www.americantower.com/corporate-responsibility/index.htmlORhttps://bit.ly/30BKrE2</t>
  </si>
  <si>
    <t>We set a 2020 target to reduce carbon emissions from our facilities (on-site combustion (scope 1) and purchased energy (scope 2) by 10% of baseline year 2012.  These sources accounted for 94% of our total Scope 1 and Scope 2 emissions in baseline year 2012. We have achieved our 2020 target ahead of schedule and we are currently in the process of setting our next iteration of carbon reduction targets. In the interim, we have set internal reduction targets to continue progress in reducing greenhouse gas emissions from our operations.</t>
  </si>
  <si>
    <t>Using the sectoral decarbonization approach (SDA) methodology, a medium term science-based reduction target would require Apple to reduce its Scope 1 and 2 emissions by 7 percent by 2020, relative to 2012 baseline emissions. We have reduced our Scope 1 and Scope 2 emissions by 68 percent since 2012, well surpassing what science-based targets call for. While we recognize we have already reached these science-based targets, we continue to drive down our emissions.  As of April 2020, we are carbon neutral for scope 1, 2, and scope 3 emissions relating to Apple's operations (employee commute and business travel) beginning in fiscal year 2021. And we also set an ambitious target to be carbon neutral by 2030 and reduce emissions by 75 percent, including our entire product life cycle scope 3 emissions.</t>
  </si>
  <si>
    <t>Using the sectoral decarbonization approach (SDA) methodology, a long-term science-based reduction target would require Apple to reduce its Scope 1 and 2 emissions by 52% by 2036, relative to 2012 baseline emissions. We have reduced our Scope 1 and Scope 2 emissions by 68 percent since 2012, surpassing the science-based target 17 years faster than what the approach dictates. While we recognize we have already reached these science-based targets, we continue to make yearly progress further reducing emissions within relevant boundaries.  As of April 2020, we are carbon neutral for scope 1, 2, and scope 3 emissions relating to Apple's operations (employee commute and business travel) beginning in fiscal year 2021. And we also set an ambitious target to be carbon neutral by 2030 and reduce emissions by 75 percent, including our entire product life cycle scope 3 emissions.</t>
  </si>
  <si>
    <t>S2</t>
  </si>
  <si>
    <t>Scope 2 (market-based)</t>
  </si>
  <si>
    <t>This target of reducing 100 percent of Scope 2 emissions for all of our worldwide facilities (by powering our facilities worldwide with 100 percent renewable energy) applies to all Apple corporate facilities, data centers, and retail stores worldwide. All reductions to be achieved primarily by energy efficiency projects and new Apple-created renewable generation projects and the direct procurement of bundled renewable energy. We achieved our 100 percent Scope 2 emissions reduction target for all of our worldwide facilities in January 2018, and have maintained it through fiscal year 2019.</t>
  </si>
  <si>
    <t>Scope 1+2 (market-based) +3 (upstream &amp; downstream)</t>
  </si>
  <si>
    <t>In 2020, we set a new goal to become carbon neutral for our entire carbon footprint by 2030. We plan to reduce emissions by 75 percent by 2030, compared to 2015 levels, through product design and engineering, energy efficiency and renewable energy, and direct emissions abatement. A science-based target aligned with 1.5 C trajectory calls for a 4.2% annual linear reduction. Since this equates to a 47% reduction over our target period, we consider our target to well-exceed the requirements for a science-based target.</t>
  </si>
  <si>
    <t>We have set an absolute Scope 1 GHG emissions reduction goal to reduce our emissions by 20% by EOY 2020, using an adjusted 2008 Scope 1 baseline of 1,354,054.  The adjusted baseline accounts for DIRECTV historical baseline Scope 1 emissions, and estimates for previously missing refrigerant emissions data.  We surpassed this goal, realizing a 26.8% reduction. AT&amp;T now has an SBTi-approved goal for Scope 1 emissions.  See below.</t>
  </si>
  <si>
    <t>AT&amp;T originally set a target to increase its Alternative Fuel Vehicle fleet. As time passed our traditional vehicle fleet became more efficient making our AFV goal less relevant in regards to emissions. AT&amp;T has set a new goal that is technology agnostic but focused on the end goal of reduced emissions. AT&amp;T has established a goal of a 30% emissions reduction for Domestic Fleet by the end of 2020. We surpassed this goal, realizing a 31% reduction.</t>
  </si>
  <si>
    <t>Approved by SBTi in 2020</t>
  </si>
  <si>
    <t>In 2019, we reached our goal of becoming carbon neutral for Scope 1 and 2 emissions, one year ahead of our plan. To reach this goal, we started by reducing our location-based emissions by 56% since 2010. Second, we have focused on purchasing renewable electricity in a way that supports new solar and wind. This is being done through installing onsite solar and long-term agreements for tax equity investments and small projects in underserved communities as well as signing power purchase agreements. Finally, for unavoidable emissions we purchased superior carbon offsets in each region in which we operate.</t>
  </si>
  <si>
    <t>We are committing to maintain carbon neutrality through at least 2040.</t>
  </si>
  <si>
    <t>In tandem with the carbon neutrality goal, we are committing to reduce our location-based emissions by 50%.</t>
  </si>
  <si>
    <t>For more information, see our target on sciencebasedtargets.org.  Full wording of our target is as follows: ''Biogen commits to a 35% reduction of absolute emissions across its entire value chain (scopes 1, 2 and 3) by 2030 from a 2013 base-year.Biogen adjusted its approach to engaging suppliers in 2017 to align with standard best practices. Scope 3 emissions are noticeably higher as they are no longer 100% matched with renewable energy certificates. Consequently, Biogen is evaluating its strategy towards achieving its 35% Absolute Reduction by 2030 target.</t>
  </si>
  <si>
    <t>BlackRock committed to reducing facility location-based GHG emissions by 30% by 2020. Due to the growth and acquisition of several companies since 2014, our base year, while we have continuously reduced our emissions YOY, and our square footage footprint has increased by 15% and headcount by 40.1%, we achieved 73% of our target with a 22% emissions reduction in 2019 compared with the base year.</t>
  </si>
  <si>
    <t>Historically, BNY Mellon had a Scope 1 and 2 target of 40% for globally owned or controlled locations excluding data centers by 2020 relative to 2008. On track to meet and exceed that goal, in 2018 emissions had been reduced by 55%. In 2019 BNY Mellon undertook the initiative of setting a new SBTi-based target that aligns with a well-below 2C scenario. The new target is inclusive of all global Scope 1 and 2 emissions, as well as those at data centers.Regarding the Target status as of 2019, it is both new since last year, and also underway in the sense that 2019 is the first year of data toward the new goal.</t>
  </si>
  <si>
    <t>As part of the company's carbon neutral commitment, BNY Mellon has plans to procure renewable energy for all Scope 2 electricity use through until 2020. In 2014, emissions from electricity made up 96% of BNY Mellon's total Scope 2 market-based emissions; therefore, procuring renewable electricity for all of the company's electricity needs would represent a 96% reduction in emissions compared to 2014 when no renewable electricity was purchased.In 2015 and 2016, BNY Mellon purchased 290,000,000 MkWh of Green-e Certified Renewable Energy Credits (RECs), 31,000,000 kMWh of Guarantees of Origin (GO) and 45,000,000 MkWh of PowerPlus Green Power to match the company's entire Scope 2 electricity use. In 2017, the company purchased 257,000 MWh of RECs, 34,000 MWh of GOs, 5,899 MWh of International Renewable Electricity Credits (I-RECs) and 35,919 MWh of PowerPlus Instruments to match BNY Mellon's entire Scope 2 electricity use. In 2018, BNY Mellon purchased 264,000 MWh of RECs, 28,500 MWh of Renewable Energy Guarantees of Origin (REGOs), 3,779 MWh of I-RECs, and 39,863 MWh of PowerPlus Instruments to match the company's entire Scope 2 electricity use. In 2019, BNY Mellon purchased 268,000 MWh of RECs, 28,185 MWh of Renewable Energy Guarantees of Origin (REGOs), 5,593 MWh of I-RECs, and 36,972 MWh of PowerPlus Instruments to match the company's entire Scope 2 electricity use.Rebaselined 2014 emissions include a change in methodology for emissions from steam.</t>
  </si>
  <si>
    <t>As part of the company's carbon neutral commitment, BNY Mellon has plans to procure renewable energy for all Scope 2 electricity use until 2020. BNY Mellon will consider continuing this program into 2040 and beyond. In 2014, emissions from electricity made up 92% of the company's total Scope 1 and 2 market-based emissions; therefore procuring renewable electricity for all of BNY Mellon's electricity needs would represent a 92% reduction in emissions compared to 2014 when no renewable electricity was purchased.In 2015 and 2016, BNY Mellon purchased 290,000 MWh of Green-e Certified Renewable Energy Credits (RECs), 31,000 MWh of Guarantees of Origin (GO) and 45,000 MWh of PowerPlus Green Power to match the company's entire Scope 2 electricity use. In 2017, the company purchased 257,000 MWh of RECs, 34,000 MWh of GOs, 5,899 MWh of International Renewable Electricity Credits (I-RECs) and 35,919 MWh of PowerPlus Instruments to match BNY Mellon's entire Scope 2 electricity use. In 2018, BNY Mellon purchased 264,000 MWh of RECs, 28,500 MWh of Renewable Energy Guarantees of Origin (REGOs), 3,779 MWh of I-RECs, and 39,863 MWh of PowerPlus Instruments to match the company's entire Scope 2 electricity use. In 2019, BNY Mellon purchased 268,000 MWh of RECs, 28,185 MWh of Renewable Energy Guarantees of Origin (REGOs), 5,593 MWh of I-RECs, and 36,972 MWh of PowerPlus Instruments to match the company's entire Scope 2 electricity use.Rebaselined 2014 emissions include a change in methodology for emissions from steam.</t>
  </si>
  <si>
    <t>The 25 percent GHG target is set for the large majority of Boeing's manufacturing facility operations, accounting for roughly 70 percent of Boeing's global Scope 1 and 2 GHG emissions inventory.  This target was developed using SBTi Sector-based approach.</t>
  </si>
  <si>
    <t>We have a 2020 Target to reduce our absolute scope 1 and 2 greenhouse gas emissions by 5% from a 2015 baseline. In 2019, BMS increased the reduction compared to the baseline for a total 21% reduction.</t>
  </si>
  <si>
    <t>Capital One has a year over year goal to be carbon neutral for Scope 1, 2 (market based) emissions. 11,719 MT of base year 2017 Scope 1 emissions where 0 due to purchased carbon offsets. The majority of 2017 Base year Scope 2 (market based) emissions were neutralized through REC purchases  as part of our 100 % renewable energy goal. The remaining 150 MT was from steam which equaled 1% of  the total Scope 1 and Scope 2 (market based)  emissions for 2017. In 2019 all Scope 1 was neutralized through carbon offsets. Scope 2 market based electricity was 0 due to REC purchases. Scope 2 steam was 0 due to carbon offsets</t>
  </si>
  <si>
    <t>Scope 3: Business travel</t>
  </si>
  <si>
    <t>Capital One has a year over year goal to be carbon neutral for Scope 3 business travel emissions.  Base year 2017 business travel emissions were 62,340 MT of CO2e and were neutralized through purchased carbon offsets. 34,539 MT of 2018 Business travel emissions were neutralized through carbon offsets</t>
  </si>
  <si>
    <t>These goals were set at the end of FY2017 following on the completion of our previous 5 year goals. These 5-year goals cover 100% of our Scope 1 and 2 emissions and exceeds the recommended 2.1% year-on-year emissions reduction. By 2019 we had reduced our Scope 1 and Scope 2 emissions by 49% absolute compared to our 2007 baseline. Our organization submitted this target to SBTi in April 2018 and it was successfully approved.</t>
  </si>
  <si>
    <t>Scope 3: Use of sold products</t>
  </si>
  <si>
    <t>Product-level</t>
  </si>
  <si>
    <t>Our Scope 3 product energy use goal is: Improve system power efficiency—as measured from the input from the facility to the board-mounted ASICs, memory and other chip devices—from 77 to 87% by FY2022 for large, rack-mounted equipment. This efficiency target will result in 13% absolute reductions in GHG emissions from network and facilities equipment operations by FY2022 from a FY2016 base-year.See question C6.5 for new methodology on calculation for Use of Sold products. Although our GHG emissions have decreased from 2016 to the most recent submission, we believe that may be have more to do with the new methodology and estimates that we're made going back further into the past.</t>
  </si>
  <si>
    <t>As part of our Operations goals, we have emission goals for Citi's global footprint. Our 2020 goal is to reduce carbon emissions by 35% and energy consumption by 30%, with an annual carbon reduction rate of 2.33%. As of 2019, we have surpassed this goal and achieved a 43.5% reduction. This is a science-based interim goal proportioned out so that the firm is on track to meet its long term science-based goal in 2050 of an 80% absolute reduction in emissions. Our 2020 goal is a medium term goal of 15 years and our long term goal is 45 years, both with a base year of 2005 and start year of 2006. Since Citi is part of the global initiative RE100 and committed to source 100% renewable electricity by 2020, the carbon reduction rate increases significantly, surpassing 2.1%.</t>
  </si>
  <si>
    <t>As part of our Operations goals, we have long term emission goals for Citi's global footprint. Our 2050 science-based goal is based upon our portfolio mix and is created to maintain reductions needed to cap global temperature increase at 2 degrees Celsius, taking into account the latest IPCC assessment. Though our long term science-based goal of an 80% reduction by the year 2050 gave an annual carbon reduction of 1.78%,  as Citi is part of the global initiative RE100 and committed to source 100% renewable electricity by 2020, the carbon reduction rate increases significantly, surpassing 2.1%.</t>
  </si>
  <si>
    <t>Through 2018, we achieved a 29.7% reduction in our Scope 1 (without fugitive emissions) + Scope 2 (Market Based) emissions versus our 2020 goal of 25% reduction. By 2019 we reached a 31% reduction from the 2002 baseline, continuing to surpass our target.Fugitive emissions are not included in our 2020 goal as they are a small fraction of our Scope 1 + Scope 2 market-based emissions (1.4%) and are not included in the approved Science-Based targets. However, fugitive emissions are measured, third party reviewed and reported.It is noted that approximately 95% of our Scope 1 + Scope 2 (Market Based) emissions are included in this target. The emission sources that are not covered by this target include fugitive emissions, a number of Colgate owned offices, warehouses and mobile sources (cars and trucks). In an effort to improve our reporting methodologies this year we reviewed those emission sources during our third-party verifications and will be included in our new commitment with the Science Based Targets and future reports.Our climate strategy is anchored in setting and achieving science-based goals to reduce greenhouse gases. As part of our 2015 to 2020 Sustainability Strategy, Colgate developed the 2020 and 2050 science-based goals to reduce absolute greenhouse gas emissions by 25% and 50%, respectively, compared to 2002. Colgate collaborated with CDP to develop these goals. Early on, CDP reviewed these goals and indicated that the 2020 and 2050 targets exceeded the requirements of the ''Linear Approach” to a science-based goal, which is based on the Intergovernmental Panel on Climate Change's ''RCP 2.6 Carbon Pathway,” one of the climate trajectories used for modeling and research. Our 2020 target also exceeds the requirements of the ''Sectoral Decarbonization Approach” to a science-based goal, which is based on the 2°C change in global average temperature scenario developed by the International Energy Agency (IEA). This target was officially approved by SBTi in 2017.  Now, Colgate is joining the Science Based Targets initiative, UN Global Compact and the We Mean Business Coalition's Business Ambition for 1.5°C campaign and has received approval for a new SBTs including Scope 1, 2 and 3 targets for 2025 and 2030, using 2018 as baseline that are aligned with limiting global temperature rise to 1.5°C above pre-industrial levels.</t>
  </si>
  <si>
    <t>Our climate strategy is anchored in setting and achieving science-based goals to reduce greenhouse gases. As part of our 2015 to 2020 Sustainability Strategy, Colgate developed 2020 and 2050 science-based goals to reduce absolute greenhouse gas emissions by 25% and 50%, respectively, compared to 2002. Colgate collaborated with CDP to develop these goals. Early on, CDP reviewed these goals and indicated that the 2020 and 2050 targets exceeded the requirements of the ''Linear Approach” to a science-based goal, which is based on the Intergovernmental Panel on Climate Change's ''RCP 2.6 Carbon Pathway,” one of the climate trajectories used for modeling and research. Our 2020 target also exceeds the requirements of the ''Sectoral Decarbonization Approach” to a science-based goal, which is based on the 2°C change in global average temperature scenario developed by the International Energy Agency (IEA).  This target was officially approved by SBTi in 2017.To meet the 50% reduction goal of Scope 1 + Scope 2 emissions by 2050 with 2002 base year, we should have achieved the percent reduction of Scope1 + Scope 2 emissions that we attained through 2019 by 2028 indicating that we are ahead of schedule to accomplish that goal.Now, Colgate is joining the Science Based Targets initiative, UN Global Compact and the We Mean Business Coalition's Business Ambition for 1.5°C campaign and has received approval for a new SBTs including Scope 1, 2 and 3 targets for 2025 and 2030, using 2018 as baseline that are aligned with limiting global temperature rise to 1.5°C above pre-industrial levels.</t>
  </si>
  <si>
    <t>In 2017, the SBTi approved Colgate's science based target which included a Scope 3 aspect related to consumer use of our products: ''Colgate-Palmolive Company commits to reduce absolute Scope 1 and 2 greenhouse gas emissions from manufacturing by 25% from 2002 to 2020, with a longer term goal of a 50% reduction by 2050. Colgate also commits, as a way to reduce our most significant Scope 3 greenhouse gas emissions, to promote water conservation awareness to 100% of our global consumers and reduce emissions associated with consumer behaviour by up to 5% from 2016 to 2022, and increase the recycled content of our packaging to 50% by 2020.”We achieved a median value of 5% reduction in emissions associated with consumer behaviour, relative to a 2016 baseline and based on consumer survey results from 2019. Reduction estimates range from 3-7% due to inherent variability in consumer behaviours.</t>
  </si>
  <si>
    <t>Scope 1+2 (location-based) +3 (upstream &amp; downstream)</t>
  </si>
  <si>
    <t>Business division</t>
  </si>
  <si>
    <t>SkyZero is a 2030 Zero Carbon goal that applies only to the Sky business unit.  This target covers Sky's Scope 1, 2, and 3 emissions and is in line with a 1.5 degree C trajectory.</t>
  </si>
  <si>
    <t>Comcast has established an aspirational goal to have zero emissions. This goal is not time-bound, nor is it measured to a static base year; rather, this goal is evaluated at a point in time. For this response, we have assessed our progress for calendar year 2019. 388,377 metric tons CO2e represents the Comcast Cable fleet (not including Sky or NBCUniversal) at the close of 2017 and will serve as the base for this evaluation.</t>
  </si>
  <si>
    <t>Comcast has established an aspirational goal to source 100% renewable energy. This goal is not time-bound, nor is it measured to a static base year; rather, this goal is evaluated at a point in time. For this response, we have assessed our progress for calendar year 2019. 1,925,233 metric tons CO2e represents only Comcast Cable and NBCUniversal at the close of 2017 and will serve as the base for this evaluation.</t>
  </si>
  <si>
    <t>During 2019, we continued our aggressive emissions reduction measures in order to meet the science-based target we set forth in 2017 to reduce our combined Scope 1 and 2 market-based emissions 36 percent by 2030 over the 2010 baseline and we achieved it. This target has been approved by the Science-Based Targets initiative (SBTi). Through 2019 we achieved a 37 percent absolute reduction in market-based Scope 1 and 2 emissions over the 2010 baseline.</t>
  </si>
  <si>
    <t>During 2019, we continued our aggressive emissions reduction measures in order to meet the science-based target we set forth in 2017 to reduce our combined Scope 1 and 2 market-based emissions 56 percent by 2050 over the 2010 baseline. This target has been approved by the SBTi. Through 2019 we achieved a 37 percent absolute reduction in market-based Scope 1 and 2 emissions over the 2010 baseline.</t>
  </si>
  <si>
    <t>Duke Energy's current plan to achieve a 50% reduction in our Scope 1 CO2 emissions from electricity generation by 2030 is consistent with a pathway to achieve a science-based two-degree target.  See our 2020 Climate Report for more details.This target equates to a reduction from 138 million metric tons of CO2 in 2005 to 69 million metric tons of CO2 in 2030.  As of 2019, our generation fleet emitted 84.4 million metric tons of CO2. This reduction (138 - 84.4 = 53.6) is 78.4% of our target reduction of 69 million metric tons.</t>
  </si>
  <si>
    <t>In 2019, Duke Energy established this target of net-zero Scope 1 CO2 emissions from the company's electricity generation by 2050.  As of 2019, our generation fleet emitted 84.4 million metric tons of CO2. This reduction (138 - 84 = 53.5) is approximately 39% of our target reduction of 138.8 million metric tons. Duke Energy's current plan to achieve net-zero Scope 1 CO2 emissions from electricity generation by 2050 is consistent with a pathway to achieve a science-based two-degree target.  See our 2020 Climate Report for more details.</t>
  </si>
  <si>
    <t>Scope 1+2 (location-based) +3 (upstream)</t>
  </si>
  <si>
    <t>We have committed to reduce our greenhouse Gas (GHGs) emissions 30% including sourcing 60% of electricity from renewable energy. Our emissions target covers all Scope 1 and Scope 2 greenhouse gas emissions as well as mobile fuels (Scope 3, Category 3). In the future we may consider market-based Scope 2 emissions in addition to/instead of location-based Scope 2 emissions covered in this target.The impact of climate change is widespread across both human populations and natural ecosystems. Addressing climate change, and the greenhouse gas (GHG) emissions that contribute to it, requires urgent action and long-term commitments by every segment of society. With this commitment, we will act to drive down our GHG emissions at a pace that is aligned with climate science. We will procure our electricity from more renewable sources, ramp up our work on energy efficiency projects that deliver the most value and advocate for consistent, predictable policy and regulatory environments that foster innovation, investment and economic growth.</t>
  </si>
  <si>
    <t>We have committed to delivering carbon neutral operations by 2050. Our emissions target covers all Scope 1 and Scope 2 greenhouse gas emissions as well as mobile fuels (Scope 3, Category 3). In the future we may consider market-based Scope 2 emissions in addition to/instead of location-based Scope 2 emissions covered in this target.The impact of climate change is widespread across both human populations and natural ecosystems. Addressing climate change, and the greenhouse gas (GHG) emissions that contribute to it, requires urgent action and long-term commitments by every segment of society. With this commitment, we will act to drive down our GHG emissions at a pace that is aligned with climate science. We will procure our electricity from more renewable sources, ramp up our work on energy efficiency projects that deliver the most value and advocate for consistent, predictable policy and regulatory environments that foster innovation, investment and economic growth.</t>
  </si>
  <si>
    <t>Other, please specify: Scope 1 &amp; 2 Controllable Operations</t>
  </si>
  <si>
    <t>Exelon established this third generation GHG goal in 2017 to reduce 100% of its emissions from internal operations (emissions controllable by our employees and processes) 15% from a 2015 baseline by 2022 (2.2% reduction per year).   At the time, a 2.2% reduction was recommended by the EPA to be in line with the Paris Accord. Our goal was intended to be achieved be despite new equipment coming online due to business growth expected in 2018.  The actual public facing goal is on Market-driven emissions, allowing for use of clean energy purchases to be part of performance, but per CDP requirements, the goal is being reported here based on absolute location-based emissions.  Emissions sources covered by this goal include all building and support equipment electricity uses, emergency and auxiliary stationary combustion sources, fleet vehicles, natural gas distribution systems, SF6 electrical insulated equipment, and refrigerant sources.  Emissions not included under this goal are those we own but do not have direct control over and which are measured and managed under different GHG emissions programs.  These emission sources include our Scope 1 emissions from electric generation since the level of operation for these units is determined by grid demand for electricity and resulting plant dispatch as determined by the grid balancing authority (outside of our full operational control since we have a commitment to the grid to be available as needed to meet demand); and Scope 2 emissions associated with transmission and distribution line losses since these emissions are primarily driven by the volume of electricity required to be delivered to utility customers (similarly outside of our full day-to-day operational control since we have a commitment to the public utility commissions to deliver power as needed). It should be noted, that for these other sources, Exelon does maintain performance management indicators such as lbs/MWh generated and % loss of MWh delivered are used to ensure a continued focus on GHG emission reduction efforts being implemented.  Looking across these three performance programs ensures ongoing management of emissions across 100% of our corporate-wide GHG inventory.</t>
  </si>
  <si>
    <t>An original goal was set in 2010, aiming to reduce the company's global carbon dioxide emissions from manufacturing operations by 30 percent per vehicle produced by 2025. Ford achieved that goal in 2017, eight years ahead of schedule. A new goal has been developed using science-based methodology and 2DS.  With 2017 as the baseline year, an absolute target has been set for an absolute tCO2e reduction of 16.2% by 2023.  (SBTi). We plan on submitting targets for Scope 1, 2, and 3 (use of sold products) for SBTi approval within 2 years.Progress: ABSOLUTE TARGET 1 is a 16.2% reduction in Scope 1+Scope 2(location-based) between 2017 and 2023.  The 2017 base year emissions are 4168442 t CO2e. 16.2% of 4168442 is 675287.6 tCO2e reduction required by 2023.In 2019 our S1+S2(loc) emissions are 3636301 t CO2e, which is 4,168,442-3,636,301=532,141 t CO2e lower than 2017.  We have reduced 532,141 t out of the 675,287.6 t needed to meet the reduction target.  532,141 /675,287.6=0.788=78.8% of the reduction target has been achieved.</t>
  </si>
  <si>
    <t>An original goal was set in 2010, aiming to reduce the company's global carbon dioxide emissions from manufacturing operations by 30 percent per vehicle produced by 2025. Ford achieved that goal in 2017, eight years ahead of schedule. A new goal has been developed using science-based methodology and 2DS.  With 2017 as the baseline year, our goal of 100% renewable scope 2 energy at manufacturing locations gives us 75% reduction in scope 1+scope 2 absolute tCO2e by 2035.  We plan on submitting targets for Scope 1, 2, and 3 (use of sold products) for SBTi approval within 2 years.  Ford intends to establish targets and metrics for select suppliers starting in early 2021. Progress: ABSOLUTE TARGET 2 is a 75% reduction in Scope 1+Scope 2(location-based) between 2017 and 2035.  The 2017 base year emissions are 4,168,442 t CO2e. 75% of 4,168,442 is 3,126,332 tCO2e reduction required by 2035.In 2019 our S1+S2(loc) emissions are 3,636,301 t CO2e, which is 4,168,442-3,636,301=532,141 t CO2e lower than 2017.  We have reduced 532,141 t out of the 3,126,332  t needed to meet the reduction target.  532,141/3,126,332 = 0.17=17% of the reduction target has been achieved.</t>
  </si>
  <si>
    <t>GE's goal for GHG reductions is a 20% absolute reduction from a 2011 baseline of operational GHG emissions by 2020 and was developed in concert with ''The 3% Solution,” a science-based methodology from the World Wildlife Fund (WWF) and CDP.</t>
  </si>
  <si>
    <t>GM met our Scope 1 and 2 GHG 2020 goal in 2017 and developed an absolute goal to 2010-2030, based on science, to limit global temperature rise to below 2 degrees Celsius above pre-industrial levels. Energy efficiency in our operations and RE100 provide the methods to meet our goal in the future.  The model used is from Ecofys and is consistent with Science Based Initiative ("SBTi") 2DS for general industry for Scope 1 and 2 and is based on market-based emissions.  As we are working on scope 3 SBTi, along with other OEMs, we will apply for SBTi when scope 3 goals are finalized and update this goal using a well below 2-degree model.  In 2019, GM's Scope 1 and 2 emissions are 5.3 Million tons and pathway of 6.2 Million tons, so we are ahead of pathway.</t>
  </si>
  <si>
    <t>GM is implementing a short-term goal to reduce vehicle emissions with advanced technologies: Stop-Start, Downsized Turbo, and Advanced Transmissions for GM vehicles in use by our customers.  The goal will be met with aggressive penetration into vehicle markets by 2021.  It is based on reducing GHG emissions during the use phase of sold vehicles starting at annual US GHG emissions in 2016 and reducing an absolute amount of 390,290 metric tons on GHG by 2021.   With 259,493 metric tons GHG reduced by 2019 with advanced technologies, we are at 81% or our goal.</t>
  </si>
  <si>
    <t>This Scope 1+2 absolute reduction target aligns with/exceeds SBTi's April 2019 criteria for the well below 2 degrees Celsius pathway of ~2.5% linear reduction per year.</t>
  </si>
  <si>
    <t>We have a commitment to remain carbon neutral (i.e. net zero carbon emissions) from 2015 onward. This carbon neutrality commitment includes all global facilities within our operational control (i.e. offices, data centers) and business travel emissions within our supply chain.  To achieve this commitment, we follow our Carbon Reduction Framework, which includes ambitious targets to implement energy efficiency and procure renewable energy at our facilities.  The energy efficiency (10% absolute energy reduction from 2013 to 2020) and renewable energy (100% renewable electricity by 2020) targets are further detailed in C4.2 of this CDP response.  Recognizing that these activities alone will not achieve net zero carbon emissions, we invest in certified carbon offsets to achieve the carbon neutrality commitment.  It is instructive to note that the 2019 base year emissions provided for Abs1 are the gross market-based emissions (before offsets) within the defined target boundary and consequently the certified offsets purchased are equivalent to these gross emissions. To maximize our transparency to CDP stakeholders, we have reported Abs1 with the understanding that CDP guidance requests that carbon offsets are not reported in C4.1. We have taken this approach as we believe it is an important component of disclosing our progress.  Furthermore, we are confident that our reporting of Abs2, Abs3, and energy and renewable energy targets in C4.2 provides CDP with targets that satisfy the reporting guidance as they do not include carbon offsets.We have achieved our carbon neutrality commitment in 2019 through a combination of energy efficient operations and the purchase of renewable electricity and the purchase of carbon offsets.</t>
  </si>
  <si>
    <t>Abs2 is the result of two operational commitments, detailed in C4.2 in this CDP response, and includes 100 percent of our Scope 1 and Scope 2 (market-based) emissions.  To achieve this commitment, we follow our Carbon Reduction Framework, which includes ambitious targets to implement energy efficiency and renewable energy at our facilities. The reduction during this target period will be achieved through the combination of our energy efficiency (10% absolute energy reduction from 2013 to 2020) and renewable energy (100% renewable electricity by 2020) targets which are further detailed in C4.2 of this CDP response.  Achievement of these commitments will far outpace the CDP leadership requirement of 2.1% year-on-year emissions reductions between base year (2013) and target year (2020).We have achieved an 91% reduction in 2019 compared to 2013. This performance is significantly ahead of the 2.1% year-to-year reduction requirement and already exceeds the 15% reduction target by 2020.  We are committed to maintaining and exceeding this level of performance in the years to come.</t>
  </si>
  <si>
    <t>Abs3 is the result of two operational commitments, detailed in C4.2 in this CDP response, and includes 100 percent of our Scope 1 and Scope 2 (market-based) emissions. To achieve this commitment, we follow our Carbon Reduction Framework, which includes ambitious targets to implement energy efficiency and renewable energy at our facilities. The reduction during this target period will be achieved through the combination of our energy efficiency (10% absolute energy reduction from 2013 to 2020) and renewable energy (100% renewable electricity by 2036) targets which are further detailed in C4.2 of this CDP response.  Achievement of these commitments will far outpace the CDP leadership requirement of 2.1% year-on-year emissions reductions between base year (2013) and target year (2036).We have achieved an 91% reduction in 2019 compared to 2013. This performance is significantly ahead of the 2.1% year-to-year reduction requirement and already exceeds the 50% reduction target by 2036.  We are committed to maintaining and exceeding this level of performance in the years to come.</t>
  </si>
  <si>
    <t>Other, please specify: Target includes Scope 1 (stationary fuel combustion) emissions, Scope 2 emissions (market-based) and Scope 3 (co-location data centers) emissions.</t>
  </si>
  <si>
    <t>IBM's target is developed based on science and in-line with IPCC assessments and recommendations. However, we did not pursue, nor do we believe necessary to seeking "approval" by the Science-Basted Targets initiative.IBM's fourth-generation GHG emissions reduction goal is to reduce emissions associated with IBM's energy consumption 40% by 2025 against the 2005 baseline, adjusted for divestitures and acquisitions. The target covers IBM's Scope 1 and Scope 2 emissions (market-based) associated with IBM's operational use of energy, and emissions associated with the electricity IBM consumes at its data centers located in third party managed facilities, categorized as Scope 3 emissions of "Purchased goods and services".Achieving the IBM goal requires a 2 % per year absolute reduction in GHG emissions over the period of the goal. This is in line with the generally referenced target of an annualized reduction rate of 2% or higher to meet the goal of maintaining global temperature increases to 2 degrees Celsius or less.</t>
  </si>
  <si>
    <t>2010</t>
  </si>
  <si>
    <t>This target was set in 2010 as a long-term goal.  In 2015 it was evaluated to determine if it was in alignment with science-based targets.  The evaluation concluded that our original goal was consistent with a 2-degree pathway and also provided us with additional information for setting a long-term 2050 goal.  Additionally, our next generation goal (scopes 1, 2 and 3) has been pre-approved by the Science-based Targets Initiative and will be launched in the next year.  While we do not currently have a quantitative CO2 reduction goal for Scope 3 emissions, we continue to drive improvement across our supply base through our Sustainable Procurement Program.  Our Health for Humanity 2020 Goal is to enroll suppliers covering 80% of spend in our Sustainable Procurement Program by 2020. To achieve this, we set incremental annual targets for percentage of spend with suppliers enrolled in our Sustainable Procurement Program.  In 2019 the top 71% of suppliers within the annual percentage spend target participated. Participating suppliers must conform to our Responsibility Standards for Suppliers and fulfil one or more of four requirements listed below, determined for each supplier category by category leadership: 1) Transparency: publicly reporting two or more sustainability goals and tracking progress over time;  2) Disclosure to Action: annual participation in CDP Supply Chain disclosure;  3) Sustainability Excellence: achieving a high performers assessment score (using industry standard methods); 4) Leadership: implementing category-specific goals that support relevant industry trends, practices or innovative ideas to which suppliers and others may contribute.  We then use this data to identify opportunities to collaborate with our suppliers on emission reduction activities.</t>
  </si>
  <si>
    <t>In addition to our 2020 Goal, we have a goal to reduce absolute carbon emissions 80% by 2050.  This target was evaluated in 2015 and found to be in alignment with the 2-degree pathway science-based targets using the Sectoral Decarbonization Approach (SDA) model.</t>
  </si>
  <si>
    <t>Replaced</t>
  </si>
  <si>
    <t>This target was achieved/exceeded in 2017 and replaced with a 100% renewable energy consumption target. Net emissions reductions (using market-based Scope 2) over the 2005 baseline totalled 54% through 2019. [(637,798-1,392,704) / 1,392,704 = 54% This reduction represents a 108% completion of our goal to reduce emissions 50% by 2020 over the 2005 baseline. (54% / 50%=108%).</t>
  </si>
  <si>
    <t>Lockheed Martin's absolute target includes Scope 1 and 2 emissions of CO2, CH4, N2O, and HFC from the following sources: electricity generation, natural gas, chilled water, jet fuel, gasoline, diesel, propane, #2 fuel oil, and refrigerants.  We define our Go Green year as a twelve-month period from November 1 through October 30 to align with our internal reporting requirements while taking into account time for utility company invoicing. Lockheed Martin takes a comprehensive approach to energy reduction and GHG management. When establishing our reduction targets, we consider past performance, the goals of our primary customers, projected business growth and the material issues of our key stakeholders. We have also evaluated our performance through tools for science-based goal setting approaches including: 1) ''Science-Based GHG Performance Model” developed by the Center for Sustainable Organizations (CSO); 2) ''Sectoral Decarbonization Approach (SDA) published by the Science Based Targets Initiative (SBTI), Ecofys, CDP, World Wildlife Fund (WWF) and World Resources Institute (WRI); and 3) ''The 3% Solution Calculator” developed by CDP, WWF and McKinsey &amp; Company. The outcomes projected by these tools reflect that our targets and performance to date produce stronger results and are more aggressive than the science-based method.</t>
  </si>
  <si>
    <t>This target encompasses all Scope 1 and Scope 2 emissions produced by Lowe's and our subsidiaries. Emissions reduced can be attributed to significant improvements in energy efficiency from the LED retrofitting.  The scope of work of these projects has increased since the first installations. Also, EPA grid factors within the US has helped reduce our Scope 2 emissions as well. Additional efforts with our supply chain route optimization and investments in additional bulk distribution centers have reduced our emission impact around delivering products to stores/consumers.</t>
  </si>
  <si>
    <t>Even before the formal approval of our Science Based Targets, Mastercard implemented a cohesive strategy to achieve our 2025 emission reduction goals.  In 2019, Mastercard expanded their sustainability department by creating a Sustainability Analyst role who is responsible for data tracking, greenhouse reduction project tracking and support for various scope 3 activities. This individual will be fully integrated into our Real Estate Services division.  For example, we are currently exploring monitoring-based commissioning and advanced energy analytics, low-carbon technology and onsite renewable generation projects at our larger campuses. Please note that the base year was updated in accordance with Mastercard's Inventory Management Plan.</t>
  </si>
  <si>
    <t>In preparation for our commitment to Science Based Targets, Mastercard implemented a cohesive strategy to achieve our 2025 emission reduction goals.  This included the creation of a Global Sustainability Supply Chain Specialist position, who is responsible for quantifying, targeting, and reducing carbon emissions throughout our supply chain.  Starting by identifying our top emitters by spend, we are now working directly with these suppliers to calculate actual emissions resulting from our purchase of goods and services.  We increased our CDP Supply Chain requested participation from 12 suppliers in 2016, to a service provider base that constituted 60% of our global spend in 2017.  Our goal for 2019 is 75% of global spend.  This specialist is working hand in hand with first time CDP reporters to help guide them through the process and create more accurate emission calculation methodologies. Please note that the base year was updated in accordance with Mastercard's Inventory Management Plan.</t>
  </si>
  <si>
    <t>Other, please specify: Other, please specify: Scope 1+2 (market-based) +3 (waste generated in operations)</t>
  </si>
  <si>
    <t>The Company will partner with Franchisees to reduce greenhouse gas emissions related to McDonald's restaurants and offices by 36% by 2030 from a 2015 base year.The target includes all Company-wide Scope 1 &amp; 2 emissions, as well as operational waste (upstream Scope 3) for all restaurants (Company-owned and franchised) and Scope 1&amp;2 emissions for Franchisee restaurants (downstream Scope 3).We continue to be on track to meet the restaurant and offices portion of our Science-Based Target. Absolute emissions related to restaurants and offices have reduced from our 2015 base year despite an increase in total restaurants worldwide through 2019. Beyond the progress reported here, once online, the US VPPA deals referenced in section C4.3b are expected to contribute an additional 16% reduction from the 2015 baseline (or 43% of the restaurants and offices portion of our global Science-Based Target).These figures reflect the latest enhancements to our 2015 base year emissions and 2018 emissions estimates, which have been updated based on best practice guidance on leveraging the latest methodology and data available. Having recalculated the 2018 emissions data with updated methodology, we have seen a lower reduction than previously reported and have adjusted our progress reporting accordingly.As we continue to enhance our methodology and data quality in future years, we can expect the baseline and annual progress figures to further adjust in future reporting cycles.</t>
  </si>
  <si>
    <t>Our goal is a 40% absolute reduction in GHG emissions from 2015 to 2025. We used the "Sectoral Decarbonization Approach" to calculate and set this goal as allowed by the SBTi.  The base year emissions have been adjusted in accordance with the Greenhouse Gas Protocol: A Corporate Accounting and Reporting Standard (Revised Edition) to include changes in our operating boundary and any new information that allows us to quantify emissions more accurately.  The most significant contributors to decreasing our GHG emissions were demand reduction and conservation, energy-efficiency projects, consolidation of our office, lab and manufacturing spaces; and the shift of some of our power supply from purchased electricity to on-site-generated electricity through combined heat and power systems, as well as a large increase in utilization of renewable energy.</t>
  </si>
  <si>
    <t>In late 2015, MetLife established a 10% location-based GHG reduction target by 2020 (2012 baseline year). This reduction target applies to MetLife's global owned and leased offices, the Auto &amp; Home business automobile fleet, and business travel.  This target was reported for the past few years through the CDP. This reduction target is part of a broader carbon neutrality commitment (also announced in 2015) to achieve and maintain carbon neutrality for all Scope 1 and 2 GHG emissions from MetLife's owned and leased office facilities around the world, from the Auto and Home Vehicle Fleet, and from Scope 3 business travel by the end of 2016. In conjunction with this goal, MetLife set a 10% global energy reduction target by 2020 (2012 baseline) and a goal to require 100 of our suppliers to disclose their GHG emissions data and emission-reduction activities.  Currently the 2019 emissions indicate that MetLife has achieved and exceed the 10% emission reduction goal.  The 2019 emissions are 129,852 metric tons CO2e.  As a financial services company, the methodology for setting science-based targets is still evolving. A commitment to carbon neutrality aligns with forward-looking scenarios to limit average global temperature increases to 2°C and demonstrates MetLife's immediate and long-term concern for providing a healthy environment for our customers. Our additional 10% energy reduction target, 10% location-based GHG reduction target, and supply chain engagement goal by 2020 further show our commitment to making actual reductions in the short-term and are aligned with climate science. MetLife looks forward to seeing how the Science-Based Target (SBT) initiative for financial service companies will evolve in coming years, so that we can set science-based targets in alignment with approved methodology. Emissions reductions reflected to date have been achieved through various emissions reduction strategies, including energy efficiency capital projects, integration of sustainability practices into new workspaces, office space consolidation in metropolitan markets to reduce bottom line expenses and maximize operational and environmental performance, and increased use of collaboration tools, such as telepresence, videoconferencing, web-ex, and more, to offset employee travel.</t>
  </si>
  <si>
    <t>In late 2015, MetLife set a goal to achieve and maintain carbon neutrality for all Scope 1 and 2 GHG emissions from MetLife's owned and leased office facilities around the world, the Auto and Home Vehicle Fleet, and Scope 3 business travel by the end of 2016.  In conjunction with this goal, MetLife set a 10% global energy reduction target by 2020 (2012 baseline) and a goal to require 100 of our suppliers to disclose their GHG emissions data and emission-reduction activities. MetLife first achieved this carbon neutrality goal in December of 2016, achieved again in 2017, 2018, 2019 and intends to maintain this status moving forward. For the purpose of this report, we are reporting carbon neutrality as a year over year 100% reduction in Scope 1 +2 market-based emissions and Scope 3 business travel. The base year emissions are MetLife's 2019 location-based emission figures, which as a result of purchasing renewable energy credits and third-party certified carbon credits in MetLife's markets of operation become neutralized. As a financial services company, the methodology for setting SBTs is still evolving. A commitment to carbon neutrality by 2016 aligns with forward-looking scenarios to limit average global temperature increases to 2°C and demonstrates MetLife's immediate and long-term concern for providing a healthy environment for our customers. Our additional 10% energy reduction target, 10% location-based GHG reduction target, and supply chain engagement goal by 2020 further show our commitment to making actual reductions in the short-term and are aligned with climate science. MetLife looks forward to seeing how the SBT initiative will evolve in coming years, so that we can set science-based targets in alignment with approved methodology. Emissions reductions reflected to date have been achieved through various emissions reduction strategies, including energy efficiency capital projects, integration of sustainability best practices into new workspaces, office space consolidation in metropolitan markets to reduce bottom line expenses and maximize operational and environmental performance, and increased use of collaboration tools, such as telepresence, videoconferencing, web-ex, and more, to offset employee travel. MetLife continues to evaluate the progress of our 2020 target by collaborating with business partners to collect and aggregate data.</t>
  </si>
  <si>
    <t>Other, please specify: Scope 1 + Scope 2 (market-based) + Scope 3 (upstream business air travel only)</t>
  </si>
  <si>
    <t>Starting in July 2012, Microsoft had a target to be carbon neutral every year from fiscal year (FY) 2013 onward. We achieved carbon neutrality in FY19 (the reporting period) through a combination of onsite renewable electricity generation, internal energy efficiency projects, and purchases of renewable electricity and carbon offsets. We understand that CDP guidance requests that companies not consider carbon offsets when reporting targets in C4.1. However, we have elected to report offsets in order to communicate these GHG emissions management activities; we have also reported additional targets that do not use offsets (see Abs2 and Abs3). Note that the start, base, and target years reported are based on the Microsoft fiscal year. Our start year for this commitment is FY13—the first year in which we achieved carbon neutrality—and we committed to achieving carbon neutrality in all subsequent years. Because our commitment is ongoing and achieved annually, the base year (FY18) is the year prior to the target year (FY19, the reporting year). The FY18 base year emissions reported here are zero because we achieved our carbon neutral target in FY18. In FY20, Microsoft committed to shift our carbon-offsetting activity to accredited carbon removals, consistent with an emerging non-governmental organization (NGO) definition of net-zero emissions. Additionally, in January 2020, Microsoft announced that, by 2030, we will become carbon negative, annually removing more emissions from the atmosphere than our total scope 1, 2, and 3 emissions combined, and by 2050, we will remove all the carbon the company has emitted either directly or by electrical consumption since it was founded in 1975. This will be achieved through both reductions in our scope 1, 2 and 3 emissions and a portfolio of negative emission technologies (NET), potentially including afforestation and reforestation, soil carbon sequestration, bioenergy with carbon capture and storage (BECCs), and direct air capture (DAC).</t>
  </si>
  <si>
    <t>In 2017, Microsoft committed to reducing absolute scope 1 + scope 2 (market-based) emissions by 75 percent by 2030, against a 2013 baseline. This would help avoid more than 10 million metrics tons of carbon emissions by 2030. This puts Microsoft on a path, as a company, to meet the goals set in the Paris climate agreement, which is a level of decarbonization that many scientists believe is necessary to keep global temperature increase below 2 degrees Celsius. Additionally, in September 2019, the Science Based Targets Initiative (SBTI) certified Microsoft's target to reduce scope 3 GHG emissions intensity per unit of revenue 30 percent by 2030 from a 2017 base year and to avoid growth in absolute scope 3 emissions. And in January 2020, we announced a bolder goal of reducing our scope 1 and 2 emissions to near zero by 2025, which we will achieve through energy efficiency, energy decarbonization (100 percent renewable energy by 2025), and fleet electrification. We also announced that we will take our scope 3 ambitions a step even further, reducing our total scope 3 emissions by 55 percent by 2030.</t>
  </si>
  <si>
    <t>Abs3 is not a standalone target but rather the outcome of our carbon neutral (now net-zero) (Abs1) and renewable electricity commitments; it is an extension of Abs2. As a result of our indefinite commitment to renewable electricity and our new commitment to reduce our scope 1 and 2 emissions to near zero by 2025, we will maintain or exceed a 75 percent scope 1 and scope 2 (market-based) decrease from our FY13 base year beyond the 2030 target year in Abs2.</t>
  </si>
  <si>
    <t>In 2015, we established new 2020 sustainability goals that placed us at the forefront of the fight against climate change and support our 2020 ambition to be the leader in well-being snacks while driving down costs and creating efficiencies to accelerate our growth. We used the science-based targets methodology to set absolute CO2 from energy emissions reduction goals from manufacturing by 15% from base year 2013 as part of our ambitious end-to-end approach. We consulted with the science-based target setting organisations at the time and supported the We Mean Business coalition in 2015. However, this goal is not validated by the current SBT Initiative and does not cover Scope 3 emissions.  In our Snaking Made Right 2019 Progress Report, we report our 2020 CO2 reduction goal as 'achieved' on the basis that the reduction reported above is 15% when rounded to the nearest percentage point.</t>
  </si>
  <si>
    <t>Our Science-Based Target is to reduce absolute Full Scope GHG emissions 10 % by 2025 from a 2018 base year, with a scope 3 focus on the main source of impacts, purchased goods and services, including emissions from land-use change.The combined scope 3 target(s) cover 79% of total scope 1, 2 and 3 emissions, corresponding to the following categories: Purchased Goods and Services and Waste Generated in Operations. Purchased goods and services represent on their own 78% of our scope 3 emissions, together with waste generation in operations, our scope 3 targets cover 79% of scope 3 emissions, significantly above the 2/3 threshold required by the SBTi criteria. We defined a focused scope 3 strategy aiming at significantly reducing  food impact, through actions to reduce emissions from agricultural production and deforestation in key raw material supply chains, as well as food waste. Since integrating the impacts of land-use change into our GHG reporting in our 2019 CDP Climate submission, we also include land-use change in the scope of our Science-Based Target. We do not report performance for 2019 in this question. Changes in 2019 scope 3 emissions from the prior year are mainly driven by data improvements and methodological changes.  A better year-over-year comparison will be available next year following our baseline re-evaluation.</t>
  </si>
  <si>
    <t>Other, please specify: S1+2 (market-based)+3 (Business Travel)</t>
  </si>
  <si>
    <t>In September 2017, Morgan Stanley announced a new goal of carbon neutrality for global operations by 2022. The goal (Abs1) covers 100 percent of global Scope 1, Scope 2 market-based, and Scope 3 business travel emissions. Morgan Stanley recognizes this target is not eligible for CDP consideration because it will involve the purchase of carbon offsets, but we are reporting it here to communicate the goal publicly and to our investors. Our additional absolute targets (Abs2 and Abs3) reported below do not involve carbon offsets and will help us achieve our broader goal of carbon neutrality.</t>
  </si>
  <si>
    <t>Abs2 results from two public targets associated with our commitment to achieve carbon neutrality for global operations by 2022. These public targets are (1) our commitment to source 100 percent of global electricity needs from renewable electricity by 2022 (See "Renewable Energy Consumption" in C4.2) and (2) our aim to achieve 20 percent reduction in energy usage by 2022 from a 2012 baseline, on an absolute basis (See "Energy Usage" in C4.2). Translated into carbon terms, these commitments cover 100 percent of our Scope 1 + 2 (market-based) emissions, and they will result in an absolute reduction of more than 90% from our base year 2012 emissions. We consider this a science-based target because it exceeds the 2.1% year-on-year emissions reductions required by CDP as well as the high-end projection of 72% absolute emissions reduction by 2050 from 2010 levels required to stay under 2 degrees Celsius outlined in IPCC Fifth Assessment Report RCP2.6.</t>
  </si>
  <si>
    <t>Abs3 results from two public targets associated with our commitment to achieve carbon neutrality for global operations by 2022. These public targets are (1) our commitment to source 100 percent of global electricity needs from renewable electricity by 2022 (See "Renewable Energy Consumption" in C4.2) and (2) our aim to achieve 20 percent reduction in energy usage by 2022 from a 2012 baseline, on an absolute basis (See "Energy Usage" in C4.2). Translated into carbon terms, these commitments cover 100 percent of our Scope 1 + 2 (market-based) emissions, and they will result in an absolute reduction of more than 90% from our base year 2012 emissions. We consider this a science-based target because it exceeds the 2.1% year-on-year emissions reductions required by CDP as well as the high-end projection of 72% absolute emissions reduction by 2050 from 2010 levels required to stay under 2 degrees Celsius outlined in IPCC Fifth Assessment Report RCP2.6. We are committed to this target over the medium-term (Abs2) and long-term (Abs3).</t>
  </si>
  <si>
    <t>This target covers facilities and vehicles in our scope 1 and 2 footprint. In our owned or operated facilities, we aim to use 100% renewable electricity by the end of FY25 as part of our effort to control absolute emissions. These goals are aligned with the level of mitigation needed to limit average global temperature to a rise of no more than 2°C above the pre-Industrial Revolution average. Linear progress is not expected on this target. Nike committed to SBTs in 2017 and set the scope 1 and 2 SBT in 2019.</t>
  </si>
  <si>
    <t>The target was based off historic chemicals production-related performance over six years to establish a baseline. The target was determined by using a percentage of OxyChem's best performance, using a weighted average.</t>
  </si>
  <si>
    <t>Oracle self-assessed this target to be a mid-term science-based target.</t>
  </si>
  <si>
    <t>Oracle self-assessed this target to be a long-term science-based target. Oracle would achieve a 2.95% average reduction year-over-year in our absolute scope 1 and 2 emissions.</t>
  </si>
  <si>
    <t>Oracle has a goal in place to achieve a 20% reduction in absolute Scope 1 + Scope 2 emissions by 2020 for its real estate and facilities operations, which accounted for 81% of total emissions in the base year (2015). As of 2018, we had achieved this goal.</t>
  </si>
  <si>
    <t>Oracle self-assessed this target to be a medium-term target, the coverage includes Oracle's Scope 3 business travel emissions.</t>
  </si>
  <si>
    <t>PepsiCo announced in 2016 our goal to reduce our absolute emissions across our entire value chain by 20% by 2030 (against a 2015 baseline). This goal has been approved by the Science Based Targets Initiative (SBTi) and is aligned to a 2C pathway. In April 2020, we signed the Business Ambition for 1.5C pledge committing to raise our ambition towards a long-term net zero goal. We are currently actively working on our new target.</t>
  </si>
  <si>
    <t>We have achieved a &gt;20% reduction, however since energy use and GHG emissions were projected to increase slightly in 2020 as a result of production increases, we have decided not to claim goal achievement until the end of the goal period.  Driving operational improvements through capital projects, operational efficiency improvements and transformative efforts (e.g., new manufacturing technology) remains the cornerstone of our focus.</t>
  </si>
  <si>
    <t>Pfizer has an aspirational goal of reducing our GHG footprint 60-80% by 2050 from a 2000 base year.  To achieve this Pfizer sets shorter term goals and has previously achieved two GHG reduction goals (2000-2007 and 2007-2012).  It is our intention to continue this process of setting interim goals that help drive towards this larger goal that aligns with the level of ambition needed to limit global temperature rise.</t>
  </si>
  <si>
    <t>This target covers scope 1 and 2 emissions from owned and operated buildings, factories and fleet. In 2016 we submitted this target and it was approved by the Science Based Target initiative (SBTi) in 2017.In 2019 we achieved 39% reduction versus our 2010 baseline and thus 98% achieved (39%/40%*100=98%). This achievement has been possible thanks to increased energy efficiency in our factories, on-site renewable investments, sourcing power from renewable resources and a program to reduce emissions in our vehicles fleet.</t>
  </si>
  <si>
    <t>This target covers scope 1 and 2 emissions from owned and operated buildings, factories and fleet. In 2016 we submitted this target and it was approved by the Science Based Target initiative (SBTi) in 2017.In 2019 we achieved a 39% reduction versus our 2010 baseline and thus 60% achieved (39%/60%*100=65%). This achievement has been possible thanks to increased energy efficiency in our factories, on-site renewable investments, sourcing power from renewable resources and a program to reduce emissions in our vehicles fleet.</t>
  </si>
  <si>
    <t>This target covers scope 1, 2 and 3 emissions from all operations and our entire value chain. In 2016 we submitted the target that was approved by the Science Based Target initiative in 2017 (SBTi).In 2019 we achieved a 42% reduction versus our 2010 baseline and thus 105% achieved (42%/40%*100=105%). This achievement has been possible thanks to progress in reducing our environmental impact across our value chain: in our factories and fleet where our carbon footprint is relatively small compared to other industries, as well as beyond the factory gates. That includes looking at both our upstream supply chain activities (currently focusing on tobacco farming and direct materials) and downstream, following our product and packaging environmental impacts to end-of-use.</t>
  </si>
  <si>
    <t>The data reflects what was reported in 2019 Sustainability report which reflects fiscal year ended June 30, 2019.    Starting July 1, 2019 we began using 100% renewable electricity in all facilities in the U.S., Canada and Europe.   This allow us to achieve the goal in calendar year 2019.</t>
  </si>
  <si>
    <t>This new goal was announced as part of the company's Ambition 2030 sustainability goals.</t>
  </si>
  <si>
    <t>Qualcomm's base year inventory was calculated prior to The Climate Registry's guidance on market- vs location-based Scope 2 reporting. During the base year Qualcomm did not haveany electricity purchases that would have been considered low carbon but did use supplier specific emission factors where available. Therefore, we consider our 2014 inventory reflective of a Scope 1+2 (market-based) base year.</t>
  </si>
  <si>
    <t>In early FY18, we achieved our target of net-zero Scope 1+2 (market-based) emissions through a combination of internal energy efficiency projects and purchases of renewable energy and carbon offsets. We took this further to deliver our customers a carbon neutral cloud by including indirect emissions (Scope 3) within our data center supply chain, such as the manufacture of servers, production and distribution of energy use at our data centers, and the impact of our customers using Salesforce on their personal devices. We aim to maintain this goal and commitment every year moving forward. Although CDP guidance indicates that this question requests gross emissions which excludes carbon offsets, we have chosen to include offsets as we have met our net-zero target. Although our total Scope 1 + 2 (market based) emissions totaled 140,062 in the reporting year, after reconciliation with our high quality carbon offset purchases the total is 0 emissions.  Therefore we consider this target to be 100% achieved, as reflected in our verification statements (note due to the auto calculate cells, the 100% will not be reflected).Targets Abs2 and Abs3 below are targets that exclude offsets. All years listed are our fiscal years (e.g. FY20 was Feb 1, 2019 – Jan 31, 2020). We feel strongly that carbon credits are a viable way to mitigate our impacts on the climate as we prioritize emissions reductions and avoidance. In FY20 we also set an SBTi-approved science-based target that aligns with 1.5 degree emission reduction trajectory for Scope 1+2 (market-based emissions), reported in Abs 4. We will, however, continue to purchase high quality carbon credits to continually achieve our net-zero goal.</t>
  </si>
  <si>
    <t>Retired</t>
  </si>
  <si>
    <t>This target is a result of our net-zero Scope 1 + 2 target and public commitment to 100% renewable energy, which is to procure electricity from renewable energy resources equivalent to 100% of what we use globally. Although we met our net-zero target in FY19, the growth of our business resulted in an increase in gross emissions and we did not achieve a reduction for this 52% Scope 1 + 2 absolute target when calculated in line with CDP guidance of not factoring in offsets. (To note, the 52% reduction target aligns with the average 2.1% annual reduction requirement by CDP to align with climate science.) All years listed are our fiscal years (e.g. FY19 was Feb 1, 2018 – Jan 31, 2019). In FY20 we set an SBTi-approved science-based target for Scope 1+2 (market-based emissions), which replaced Abs 2, and have therefore retired this goal.</t>
  </si>
  <si>
    <t>This target is a result of our net-zero Scope 1 + 2 target and public commitment to RE100 (100% renewable electricity). Although we met our net-zero target in FY19, the growth of our business resulted in an increase in gross emissions and we did not achieve a reduction for this 27% Scope 1 + 2 absolute target when calculated in line with CDP guidance of not factoring in offsets. (To note, the 27% reduction target aligns with the average 2.1% annual reduction requirement by CDP to align with climate science.) All years listed are our fiscal years (e.g. FY19 was Feb 1, 2018 – Jan 31, 2019). In FY20 we set an SBTi-approved science-based target for Scope 1+2 (market-based emissions), which replaced Abs 3, and have therefore retired this goal.</t>
  </si>
  <si>
    <t>In FY20, we committed to set 1.5°C science-based emissions reduction targets aligned with a zero carbon future.  This is the first year we are reporting our progress against this target. All years listed are our fiscal years (e.g. FY20 was Feb 1, 2019 – Jan 31, 2020). We have retired the CDP-aligned targets Abs2 and Abs3 as they are now addressed by this new and more ambitious SBTi-approved target.</t>
  </si>
  <si>
    <t>Scope 3: Fuel and energy-related activities (not included in Scopes 1 or 2)</t>
  </si>
  <si>
    <t>This is a new target, FY21 will be the first year where we report progress towards this goal.  We are reporting on location-based fuel and energy related activities (FERA) for this year's target reporting. However, moving forward, we may change our approach to reflect market-based results to track progress against our target (similar to using Scope 2 MB to track against targets). This year, we start reporting market based FERA emissions in Section C6.5 to reflect the emission reduction impact of our procured renewable energy.</t>
  </si>
  <si>
    <t>Simon Property Group commits to reduce absolute Scope 1 &amp; 2 GHG emissions 68% by 2035 from a 2019 base year.</t>
  </si>
  <si>
    <t>Simon has reached the target that was established and is currently working on setting a new target.</t>
  </si>
  <si>
    <t>By 2030, Target will reduce its absolute Scope 1 and 2 greenhouse gas emissions by 30% percent below 2017 levels.  In 2017, Target's Scope 1 and 2 GHG emissions were 2,567,880 mt CO2e (market-based).  Target restated the 2017 baseline Scope 1 and 2 inventory in 2020 due to a corrected chilled water and steam billing error. Target received approval of our Scope 1, 2, and 3 Climate goals by SBTi in January of 2019.</t>
  </si>
  <si>
    <t>Other, please specify: Scope 3: Retail Purchased goods &amp; services</t>
  </si>
  <si>
    <t>By 2030, Target will reduce its absolute Scope 3 Retail Purchased goods &amp; services greenhouse gas emissions by 30% percent below 2017 levels.   Target also commits that 80% of its suppliers by spend covering all purchased goods and services will set science-based scope 1 and scope 2 targets by 2023. Target received approval of our Scope 1, 2, and 3 Climate goals by SBTi in January of 2019.</t>
  </si>
  <si>
    <t>TI has implemented several planned projects throughout the last 5 years, designed to achieve the absolute target by the end of 2020. Most of these projects are capital expenditure intensive and require some time to implement, and therefore it has taken some time to see the effects of the planned GHG reductions. The impact of these projects has become more evident as the project implementations have come to a close. Due to the capital expenditure involved, equipment was installed on a planned implementation schedule per quarter over the last 4 years. In 2019, we realized a significant decrease in absolute emissions due to our emissions reduction strategies. When normalizing our emissions on a per chip basis we were able to achieve close to 5.8% GHG emission reductions in 2019, which is indicative of  the effectiveness our GHG management and energy efficiency programs.</t>
  </si>
  <si>
    <t>Reduce energy use at owned facilities 20% by 2020. Percentages are calculated based on changes in energy consumption (btu) over time and therefore differ from changes in emissions over time. Note, base year emissions have been adjusted to reflect structural changes. This target was achieved in 2014 and is maintained each year. We anticipate a continued reduction in our real estate footprint as our remote workforce increases.As we explore setting new targets for our Scope 1 and 2 emissions, we are considering options for developing targets based on climate science, with guidance from the Science-Based Targets Initiative (SBTi). This process is underway and is expected to continue through the remainder of 2020.</t>
  </si>
  <si>
    <t>We continue to evaluate and make changes in our operations and throughout the Coca-Cola system value chain to reduce our climate impact. This target is a Coca-Cola System level target, including The Coca-Cola Company and its bottling partners. The target brings our diverse sustainability initiatives under one goal to reduce the carbon footprint across the Coca-Cola system's full value chain by 25% by 2030, in absolute terms. Progress toward reducing the greenhouse gas emissions across our manufacturing processes, packaging formats, delivery fleet, refrigeration equipment and ingredient sourcing has been measured under an intensity target (target Int 1) from 2010 to 2020. This target, recently made public in 2019, is a Science-Based Target, and an absolute reduction target in line with a well-below 2C global average temperature rise scenario. Due to the nature of our franchise bottling system, in this CDP response, our manufacturing emissions are normally split between Scopes 1 and 2 for company-owned facilities and Scope 3 for bottling partner facilities. However, in our ''drink in your hand” (intensity target) calculations, as well as this absolute reduction target, we consider the full Coca-Cola system (including franchise bottling partners) in the calculation of our manufacturing, distribution and refrigeration emissions.</t>
  </si>
  <si>
    <t>The current absolute target is to maintain emissions of all GHGs below 2006 level through 2025. Dow has remained below this target. Though we will grow globally over the next 10 years, Dow's absolute greenhouse gas emissions will not exceed our 2006 baseline.  Dow's greenhouse gas intensity (lbs of CO2 per lb of product) has reduced by 17% since 2006.Though not set in the reporting year, Dow recently announced a new set of carbon reduction targets that will be included in next year's report:o	By 2030, Dow will reduce our net annual carbon emissions by 5 million metric tons versus our 2020 baseline (15% reduction).  By 2050, Dow intends to be carbon neutral (Scopes 1 + 2 + 3 plus product benefits).With respect to the question as to whether or not our existing target is science-based, we have selected ‘No, but we anticipate setting one in the next two years', as the reduction of 5 million metric tons by 2030 meets the absolute reduction target for a 2°C pathway.</t>
  </si>
  <si>
    <t>This reflects a store total energy use reduction of 20% by 2020.  The Home Depot has reduced our absolute Scope 1 + Scope 2 (location-based) emissions by 37%, exceeding our goal of a 20% reduction from 2010 to 2020.</t>
  </si>
  <si>
    <t>This reflects an annual 2.1% emissions reduction from our base year, with a medium-term timeframe for the target of 12 years (from our start year) in accordance with CDP criteria. The Home Depot has reduced our absolute Scope 1 + Scope 2 (location-based) emissions by 36% between 2011 and 2019 (4.4% annual reduction), exceeding the necessary 2.1% annual reduction. We consider this to be a science-based target as when the target was set, SBTi's guidance notes that per IPCC AR5 RCP 2.6, the minimum reduction required is 49% absolute emissions reduction from 2010 to 2050. This translates to a linear 1.23% reduction per year on average, which The Home Depot target exceeds.  We will continue to explore targets that are in alignment with SBTi's new criteria that the minimum reduction required for targets in line with well-below 2°C scenarios is 2.5% in annual linear terms.</t>
  </si>
  <si>
    <t>This reflects an annual 2.1% emissions reduction from our base year, with a long-term timeframe for the target of 17 years (from the start year) in accordance with CDP criteria. The Home Depot has reduced our absolute Scope 1 + Scope 2 (location-based) emissions by 36% between 2011 and 2019 (4.4% annual reduction), exceeding the necessary 2.1% annual reduction. We consider this to be a science-based target as when the target was set, SBTi's guidance notes that per IPCC AR5 RCP 2.6, the minimum reduction required is 49% absolute emissions reduction from 2010 to 2050. This translates to a linear 1.23% reduction per year on average, which The Home Depot target exceeds.  We will continue to explore targets that are in alignment with SBTi's new criteria that the minimum reduction required for targets in line with well-below 2°C scenarios is 2.5% in annual linear terms.</t>
  </si>
  <si>
    <t>Business activity</t>
  </si>
  <si>
    <t>In 2018, we set emission reduction goals that were aligned with strategies designed to address the long-term reduction of carbon emissions and our commitment to a leadership role in developing solutions that make technological and economic sense. The goals established in 2018 were to reduce GHG emissions by 50% (from 2007 levels) by 2030 and to achieve low-to-no GHG emissions by 2050. These are enterprise-wide goals that encompass the Scope 1 emissions from our electric and natural gas operations. In 2020, we revised our long-term goal to achieve  net zero GHG emissions by 2050.The goals are informed by the results of our integrated resource plans, which are designed to plan for an appropriate mix of generation resources to meet energy and capacity needs at a reasonable cost for our customers.  These goals are also consistent with actions needed to potentially limit the global average temperature rise to less than 1.5 degrees Celsius above pre-industrial times--see EPRI's ''Grounding Decisions: A scientific foundation for companies considering global climate scenarios and greenhouse gas goals” and ''Review of 1.5°C and Other Newer Global Emissions Scenarios: Insights for Company and Financial Climate Low-Carbon Transition Risk Assessment and Greenhouse Goal Setting” reports. Southern Company will continue to use a portfolio approach as we seek to decarbonize.  We expect our path to net zero to be comprised of several key elements: continued coal transition, utilization of natural gas to enable the fleet transition, further growth in our portfolio of zero-carbon resources, negative carbon solutions, enhanced energy efficiency initiatives and continued investment in R&amp;D focused on clean energy technologies. Our approach is driven by thoughtful scenario planning, long-term integrated resources plans, and constructive regulatory decisions-making.  We are also engaging with policymakers, customers and other stakeholders to support outcomes that lead to a net zero future.</t>
  </si>
  <si>
    <t>We followed CDP recommendations to set two targets, one pre-2035 and one post-2035.  We also followed the CDP guidance for targets to align with the science-based target framework since our industry does not qualify for science-based target certification.</t>
  </si>
  <si>
    <t>Other, please specify: U.S. Administrative Portfolio, U.S. Large Pharmaceutical Sites and directly managed international sites</t>
  </si>
  <si>
    <t>In 2019, a new multi-year goal to reduce 2017 Scope 1 and Scope 2 (Market-Based) GHG emission by 3% by the end of 2023 (for our U.S. Administrative Portfolio, U.S. Large Pharmaceutical Sites and directly managed international sites) has been established.</t>
  </si>
  <si>
    <t>We have established a goal to reduce absolute GHG emissions 12 percent by 2025 throughout our global ground operations. This goal builds on our ongoing efforts to achieve a 20 percent reduction in GHG intensity by 2020, which we will continue to measure and report. The use of renewable energy will be critical to reaching this absolute emissions reduction target. We engaged with leading environmental organizations and other stakeholders to establish a meaningful target using the science-based methodology most appropriate for our business. This  goal will advance our commitment to alternative fuels and technologies. This goal currently does not include our airline fuel usage because of the economic and commercial availability limitations of aviation bio-fuel.</t>
  </si>
  <si>
    <t>Verizon has committed to going carbon neutral for our scope 1 and 2 operational emissions by 2035.</t>
  </si>
  <si>
    <t>Scope 2 (location-based)</t>
  </si>
  <si>
    <t>By 2025, Verizon will source or generate renewable energy equivalent to 50% of our total electricity usage.</t>
  </si>
  <si>
    <t>Approved by the Science Based Targets initiative in October and announced publicly in November 2016. Approved goal language is as follows: Walmart commits to reduce its absolute scope 1 and 2 emissions 18% by 2025, from 2015 levels. Walmart will also work to reduce CO2e emissions from upstream and downstream scope 3 sources by one billion metric tons between 2015 and 2030. On an adjusted basis, between 2015 calendar year baseline and 2019, Walmart reduced its absolute Scope 1 and 2 emissions by 10.15%, equivalent to 1.98 million metric tons of CO2e.  Several factors contributed to this reduction. These include, but are not limited to, reductions in electricity and transport fuel related emissions as a result of investments in energy efficiency projects, renewable energy sourcing and fleet efficiency strategies.</t>
  </si>
  <si>
    <t>Approved by the Science Based Targets initiative in October and announced publicly in November 2016. Approved goal language is as follows: Walmart commits to reduce its absolute scope 1 and 2 emissions 18% by 2025, from 2015 levels. Walmart will also work to reduce CO2e emissions from upstream and downstream scope 3 sources by one billion metric tons between 2015 and 2030. This target is often referred to our Walmart's Gigaton Goal. Walmart launched Project Gigaton in April of 2017 to engage suppliers to commit to emissions reductions across pillars including energy, waste, packaging, deforestation and product use. Collectively, these actions can help us to achieve our science-based emissions target and to reduce or avoid emissions throughout our value chain by 1 billion metric tons by 2030. Since its launch three years ago, over 2,300 Walmart suppliers from 40 countries have signed up to participate in Project Gigaton.  Suppliers reported cumulative avoided emissions of over 230 million metric tons of GHG emissions (calculated in accordance with Walmart's Project Gigaton Methodology.</t>
  </si>
  <si>
    <t>Our greenhouse gas target is by 2020, reduce net emissions by 50% compared to total gross emissions in 2012. In 2019, Disney reduced its GHG emissions by 47% below 2012 gross emissions levels. Covered emissions in base year are gross emissions (business as usual). Covered emissions in reporting year are net emissions inclusive of all investments in emissions reductions, including third party carbon credits.  Emissions are measured and reported based on the company's fiscal year.</t>
  </si>
  <si>
    <t>Note that the Scope 3 component of our goal only includes air travel from Scope 3: Business travel. We surpassed our 2020 goal in 2019 by reducing our emissions 51.8% compared to the base year.</t>
  </si>
  <si>
    <t>Intensity</t>
  </si>
  <si>
    <t>Metric tons CO2e per USD($) value-added</t>
  </si>
  <si>
    <t>Energy efficiency improvements help address rising energy use, costs, and climate impacts.  3M reviews its Strategic Energy Management Plan annually to prioritize programs and meet global goals. The plan uses input from stakeholders, including manufacturing directors, plant managers, operations employees, and executive management. Goals of the plan include: continuously improve results, leverage engineering expertise and advances, drive facility-level efficiency improvements, maintain top management support and protect 3M's reputation.3M has taken a broad approach to managing our energy footprint, which includes evaluating the impact of our products, manufacturing processes, equipment, and sites as well as reducing the energy footprint of our existing manufacturing and administrative sites. In addition, we actively share information about our energy management program with external stakeholders, such as suppliers, customers, and other interested organizations.Since 2005, 3M has reduced our total energy usage, indexed to net sales, by 31.3%.</t>
  </si>
  <si>
    <t>Metric tons CO2e per unit revenue</t>
  </si>
  <si>
    <t>All environmental data have been adjusted to account for acquisitions and divestitures, in accordance with the methodology prescribed in the World Resources Institute/World Business Council for Sustainable Development (WRI/WBCSD) Greenhouse Gas Protocol (GHGP). We report data from acquisitions as soon as practical. To that end, these data include the acquisitions of Glomed, St. Jude Medical and Alere, Inc. Furthermore, these data reflect the divestiture of Abbott Medical Optics.Our 2020 carbon emission reduction target to reduce our Scope 1 and 2 emissions by 40 percent against 2010 levels, adjusted for sales, is evidence of our commitment to address and reduce emissions. Abbott has tracked progress towards our 2020 carbon goal utilizing the World Resources Institute/World Business Council for Sustainable Development (WRI/WBCSD) Greenhouse Gas Protocol (GHGP) since the goals implementation in 2012. In 2019, we achieved a 43 percent reduction, adjusted for sales since 2010. Scope 1 and 2 emissions were calculated using the World Resources Council (WRI) Greenhouse Gas Protocol (GHGP). To calculate our Scope 2 emissions, we use the GHGP market-based methodology. Where market-based information is not available, location-based results have been used as proxy. We have reported the results of the location- and market-based methodologies in both the text and metrics sections of our Global Sustainability Reports since 2015. In our 2019 Global Sustainability Report, these metrics can be found on pages 103 to 124.</t>
  </si>
  <si>
    <t>Metric tons CO2e per unit FTE employee</t>
  </si>
  <si>
    <t>Yes, this target has been approved as science-based by the Science Based Targets initiative</t>
  </si>
  <si>
    <t>Int1 is our verified SBTi goal for reducing Scope 3 emissions business travel.  Adobe will strive to reduce scope 3 business travel emissions per employee by 5% by 2025 from 2015 levels. Regarding our scope 3 business travel to reduce emissions per employee by 5% from 2015 to 2025, Adobe has experienced strong business growth since 2015 (+133% Revenues, +64% FTE) and therefore travel growth. As a result, our emissions per employee intensity goal would allow us to focus on reducing travel per employee while still allowing for business growth. Looking at our growth projection, we determined that a 5% reduction in normalized emissions per passenger was an aggressive target that over the long term would be challenging to achieve.  Although IEA models predict that per-mile air travel emission factors will decrease due to reduced carbon intensity, we are not relying on emission factor reductions to achieve our goal. Rather, the way we worked to achieve this goal is to focus on reducing business travel and the resulting airline miles traveled per employee.   Important to note:  in 2019 we are using new methodologies for calculating our business air travel to account for "Radiative Forcing".  In doing so, we believe we are much more accurately attempting to address true emissions from air travel, report it more transparently, and reduce it more aggressively.  This has, however, raised our 2019 numbers to ~2.5x what they were 2015-2018, and given a "% of target" outcome this is a meaningful comparison.  For 2019, we met and exceeded our Scope 3 Science-Based Target but it is important to note that in 2019 we worked to raise the ambition and in 2020 our new goal will be an absolute 30% reduction in Business Travel emissions by 2025.  Since the existing verified SBT is an intensity goal and the new one will be absolute and verified by the SBTi, this goal will be retired and replaced with the new verified target in 2020.</t>
  </si>
  <si>
    <t>Metric tons CO2e per square foot</t>
  </si>
  <si>
    <t>Int2 is our verified SBTi goal for reducing Scope 3 emissions from FERA sources.  Adobe's science-based target to reduce greenhouse gas emissions includes a goal to reduce our Scope 3 Fuel and Energy-Related Emissions per square foot by 15% by 2025 from our 2015 baseline:  year-to-year change = (0.003026-0.003574)/0.003574 = .15, or 15%. During FY19, Adobe made significant progress against this goal as we have achieved 102% of our 15% targeted reduction.  While this is an SBTi verified Scope 3 emissions goal, we do not believe it is a useful goal in addressing climate change, Adobe's commitment to becoming a zero-carbon business, or in pushing ourselves and others in taking meaningful action -- FERA emissions are approximately 3% of our total Scope 3 emissions. We chose this goal as we were an early adopter in addressing Science-Based Targets. In 2020 this goal will be retired and replaced with a Scope 3 Purchased Goods &amp; Services (PG&amp;S) goal that will better address over 66% of our Scope 3 emissions.</t>
  </si>
  <si>
    <t>As an original participant in the 2013 NYC Carbon Challenge, AIG committed to reduce the carbon emissions associated with its NYC operations by 30 percent from 2011 levels within 10 years, or by 2023. As of December 31, 2019, AIG met and exceeded the target commitment four years early by reducing scope 2 emissions by 40%, ten percentage points above the target.</t>
  </si>
  <si>
    <t>other</t>
  </si>
  <si>
    <t>Other, please specify: Other: Estimated customer-related carbon emissions reductions as a result of AT&amp;T connectivity</t>
  </si>
  <si>
    <t>Other, please specify: Other: Estimated customer-related carbon emissions reductions as a result of AT&amp;T connectivity / total combined AT&amp;T Scope 1 + Scope 2 emissions</t>
  </si>
  <si>
    <t>We have set a goal to enable customer carbon savings 10x the carbon footprint of our operations. This goal demonstrates our commitment to addressing climate change. It combines our efforts to reduce our operational emissions (Scopes 1 and 2) with our efforts to develop  technology solutions that can help our customers reduce their emissions. This goal compares our scope 1 &amp; 2 GHG inventory to the technology-enabled GHG reductions realized by our customers each year. This goal was set in 2015 and we compare these emissions numbers each year as we progress toward the target year of 2025. We reported progress in 2018 and plan to do so again in 2020.</t>
  </si>
  <si>
    <t>Site/facility</t>
  </si>
  <si>
    <t>To date we have exceeded the goal. We achieved this reduction by 2015 by relocating our data centers, however, we have committed to staying in the Mayor's Carbon Challenge through 2023 understanding that our headcount and building needs might change as market positions and business growth strategy evolves. We also continue to find ways to reduce energy, including the implementation of Nantum sensor technology to reduce electricity, re-organization of seating and LED lighting retrofits. We have reduced Scope 2 emissions per employee in NYC by 73% as of 2019.</t>
  </si>
  <si>
    <t>BlackRock has committed to reducing facility location-based GHG emissions (electricity, stationary combustion, and refrigerants) per FTE employee 45% by 2020.</t>
  </si>
  <si>
    <t>BlackRock has committed to reducing air travel GHG emissions per FTE employee 20% by 2020.  We exceeded that target by reducing air travel emissions per FTE by 32%.</t>
  </si>
  <si>
    <t>Other, please specify: kg CO2e per Barrel of Oil Equivalent (BOE)</t>
  </si>
  <si>
    <t>We have a long-term target to reduce our GHG emissions intensity from five to 15% by 2030 from a Jan. 1, 2017 baseline. The target will support innovation on efficiency and emissions reduction, GHG regulatory risk mitigation and climate-related risk management throughout the lifecycles of our assets.The target informs climate goals at the business level. Our performance will be based on gross operated GHG emissions, stated in carbon dioxide-equivalent terms, divided by our gross operated production, stated in barrels of oil equivalent. The target is set in relation to our scope 1 emissions and scope 2 gross operated emissions as these are the emissions over which we have the most control. The target covers all GHGs, but in practice will likely apply to carbon dioxide and methane emissions as our emissions of other greenhouse gases are a small fraction of the total. For comparability purposes we exclude exploration and transportation services (i.e. Polar Tankers and Global Aviation) which are not directly related to oil or gas production, from our emissions totals. This may give rise to small differences between the intensity we report for our GHG target purposes and the intensity we report in our annual Sustainability Report. Our current metrics also do not include the use of carbon offsets. We report our progress against the target on an annual, calendar-year basis.  We intend to review and adjust our performance target at least every five years.Science-Based Targets require us to include Scope 3 emissions. For E&amp;P companies, the emissions from use of sold products is not in the scope of our control and leads tosignificant double-counting.</t>
  </si>
  <si>
    <t>Other, please specify: Facility energy scope 1 + 2 (location-based) emissions</t>
  </si>
  <si>
    <t>Our goal is a 20% reduction of facility energy GHG emissions (Scope 1 onsite fuel combustion and location-based Scope 2) per square foot by the end of 2020, with 2012 as the base year. Our 2019 performance was 34.8 metric tonnes CO2e per 1000 square feet. This is a 16% reduction from base year performance (or 80% progress toward the 20% reduction target).  The base year emissions and area are adjusted to account for acquisitions, divestitures, updated factors, reporting boundary changes, and changes in estimation methodology. Any significant changes to the calculation methods or the factors must be agreed to by the Lilly Corporate Energy Management Team before implementation.</t>
  </si>
  <si>
    <t>Other, please specify: Pounds of CO2 per available-ton-mile</t>
  </si>
  <si>
    <t>We have been working to reduce aircraft emissions since 2005, our baseline year, and announced our first reduction goal of 20% by 2020 in 2008. Three years later, in 2011, we revised this target upwards to 30%.This target was reported to CDP in 2017 and its progress is being reported again against the same target in 2019.Since 2005, our aircraft emissions intensity has decreased by more than 24 percent. However, as we have previously reported, our progress is falling short of the overall improvements needed to meet our revised 30% reduction goal. Continued higher e-commerce and other shipping volumes, and the need to maintain older aircraft marked for retirement while we await production of more efficient replacements, have presented ongoing challenges toward our goal.</t>
  </si>
  <si>
    <t>Grams CO2e per revenue passenger kilometer</t>
  </si>
  <si>
    <t>We previously had an internal 2°C planning target for light-duty vehicles sold in the U.S., EU.  We consider this a science-based target, but it was not approved as science-based by the Science Based Targets initiative.   As part of our regular 5-year review cadence, we are updating to a well-below 2°C target, to align with recent climate science recommendations.  We plan to set targets using the Science Based Targets Initiative guidance and submit for SBTi approval.</t>
  </si>
  <si>
    <t>Overall, Honeywell's sustainability program has reduced greenhouse gas intensity by more than 90%. In 2019, the Company set its fourth goal, a new five-year ''10-10-10” target to reduce global greenhouse gas emissions by an additional 10%, indexed to revenue, from 2018 levels; to deploy on at least 10 renewable energy opportunities; and to achieve certification to ISO's 50001 Energy Management Standard at 10 facilities, all by 2024.</t>
  </si>
  <si>
    <t>Metric tons CO2e per unit of production</t>
  </si>
  <si>
    <t>Our target has been focused on reducing direct GHG emissions by 10% on a per production unit basis by 2020 from 2010 levels. Through the end of 2019, we reduced our direct GHG emissions by 39% on a per unit, or ''intensity” basis from 2010 levels, significantly exceeding our 2020 target. The intensity metric is a normalized production index based on the number of die produced and made available for sale. Although this target is not an approved science-based target, through the achievement of this direct GHG intensity-based target, along with Scope 2 emissions reductions achieved through our renewable energy and energy conservation programs, we have maintained combined Scope 1 and 2 emissions below the science-based 2 degrees Celsius pathway through 2019 based on a year 2000 baseline. We have tracked our Scope 1 and 2 emissions against science-based carbon targets from a baseline year of 2000 for many years, as reported annually in our Corporate Responsibility report.The anticipated change in Scope 1 &amp; 2 emissions is based on comparison of combined Scope 1 &amp; 2 emissions in the reporting year against that in the base year because the target was based fully on an intensity metric, without a specified absolute target, and the reporting year represents the close-out/target year for this goal. While absolute Scope 1 and 2 emissions increased 19% between 2010 and the end of 2019, Intel experienced significant growth over this time (&gt;100% increase in manufacturing output), illustrating that this target facilitated substantial increases in efficiencyWe have set a new 2030 target to drive an additional 10% reduction in our absolute Scope 1 and 2 carbon emissions as we grow. We track our carbon emissions against science-based carbon targets and our new climate goals are informed by climate science. However, due to our (and our industry's) early actions to reduce absolute emissions and the continued growth of demand for semiconductors, it remains challenging to gain formal approval for a target under the existing methodology of the Science-Based Targets Initiative. We see an opportunity to work with our industry and stakeholders to identify innovative approaches to reduce emissions. The ultimate goal is to expand the number of companies in our sector (as well as other manufacturing industries) setting approved science-based targets.</t>
  </si>
  <si>
    <t>Other, please specify: Other, please specify: All emissions from purchased beef, dairy, cheese, chicken and packaging products and transportation/distribution</t>
  </si>
  <si>
    <t>Metric tons CO2e per metric ton of product</t>
  </si>
  <si>
    <t>Through collaboration and partnership with our suppliers and producers, the Company also commits to a 31% reduction in emissions intensity (per metric ton of food and packaging) across our supply chain by 2030 from 2015 levels. Our target includes all emissions from purchased food, beverage and packaging products sold to customers.We have developed a system to take the best available data sources across the range of commodities and markets in which McDonald's operates and sources from worldwide.We are pleased to report our supply chain emissions intensity has reduced between our baseline in 2015 and the 2019 reporting year.We continue to communicate the importance of taking positive action on climate to our suppliers and we are confident that the Company has the right strategy in place in partnership with our suppliers to accelerate progress in the years ahead. We are seeing an increase in the number of our suppliers setting climate targets and implementing strategies to reduce emissions intensity that are tailored to and relevant for their own supply chains. We work with CDP to encourage over 100 of our key global suppliers across our largest categories of emissions to set targets, measure emissions, make reductions, and report progress to CDP.These figures reflect our current 2015 and 2019 emissions estimates, which have been calculated based on best practice guidance on leveraging the latest methodology and data available. As we continue to enhance our methodology and data quality in future years, we can expect the baseline and annual progress figures to further adjust in future reporting cycles.</t>
  </si>
  <si>
    <t>The GHG reduction goal of 15% normalized to revenue is set for 2020. Medtronic is planning it's new set of long term environmental goals and will be communicated externally in the FY20 Medtronic Integrated Performance Report that should be published by November of 2020% change anticipated in  absolute scope 1&amp;2 emissions from FY13 base year to FY2020 is stated above. Although no scope 3 emission targets have been established, the direction and % change anticipated in absolute scope 3 emissions is estimated to be approximately the same as that identified for scope 1&amp;2 emissions.</t>
  </si>
  <si>
    <t>Other, please specify: Key operations represent finished goods manufacturing, inbound and outbound logistics, DCs, HQs, and NIKE-owned retail.</t>
  </si>
  <si>
    <t>This target covers key operations (finished goods manufacturing, inbound and outbound logistics, distribution centers, headquarter locations, and NIKE-owned retail).</t>
  </si>
  <si>
    <t>Scope 3 (upstream)</t>
  </si>
  <si>
    <t>Other, please specify: metric tonnes CO2e/kg in materials dyeing/finishing</t>
  </si>
  <si>
    <t>Other, please specify: Tier 2 focus suppliers only (Textile Dyeing and Finishing)</t>
  </si>
  <si>
    <t>Measure includes focus suppliers only. Focus suppliers represent key suppliers involved in the dyeing and/or finishing of materials which directly support finished product assembly.</t>
  </si>
  <si>
    <t>Other, please specify: Metric tonnes CO2e per Headcount</t>
  </si>
  <si>
    <t>The target was set during our fiscal year 2015. The baseline for our goal is our fiscal year 2014 (Jan 28, 2013 to Jan 26, 2014). Our target year aligns with our fiscal year 2020. Our intensity target is based on headcount, which includes seated contractors rather than just full time employees (FTE), as we feel that it better represents the number of people using our operational sites.</t>
  </si>
  <si>
    <t>Metric tons CO2e per barrel of oil equivalent (BOE)</t>
  </si>
  <si>
    <t>As a member company of the Oil and Gas Climate Initiative (OGCI), Occidental is committed to reducing our upstream oil and gas production related GHG emissions (CO2 + methane). The target represents a reduction of between 36 and 52 million tonnes of CO2e per year by 2025. This carbon intensity target is intended to reduce the collective average carbon intensity of OGCI member companies' aggregated upstream oil and gas operations to between 20 kg and 21 kg CO2e/boe by 2025, from a collective baseline of 23 kg CO2e/boe in 2017. The range is consistent with the reduction needed across the oil and gas industry by 2025 to support the Paris Agreement goals.</t>
  </si>
  <si>
    <t>Other, please specify: Metric ton methane (CH4) per thousand BOE</t>
  </si>
  <si>
    <t>As a member company of the OGCI, Occidental is committed to reducing our methane emissions. This methane intensity target is intended to reduce by 2025 the collective average methane intensity of its aggregated upstream gas and oil operations by one-fifth to below 0.25%, with the ambition to achieve 0.2%. Achieving the intensity target of 0.25% by the end of 2025 would reduce collective emissions by 350,000 tonnes/year of methane, compared with the baseline of 0.32% in 2017. The target aims to be consistent with the reduction needed to support the Paris Agreement goals.</t>
  </si>
  <si>
    <t>This target was established using historical production-related data to set the baseline.  The target was determined by using a percentage of our best performance, using a weighted average.  The data is from emission factors from scientific, peer-reviewed sources. However, we do not follow the Science-based Target Initiative.</t>
  </si>
  <si>
    <t>Metric tons CO2e per megawatt hour (MWh)</t>
  </si>
  <si>
    <t>Oracle has a goal to achieve a 55% reduction in emissions per unit of energy consumed by 2025 (base year 2015).</t>
  </si>
  <si>
    <t>Scope 1+2 (market-based) + 3 (upstream and downstream)</t>
  </si>
  <si>
    <t>Other, please specify: kg CO2e per million cigarette equivalent sold</t>
  </si>
  <si>
    <t>This target covers scope 1, 2 and 3 emissions from all operations and our full value chain per million of cigarette equivalent sold. From 2018 onwards we are reporting energy intensity based on sold units of equivalent cigarettes (versus produced units of cigarettes equivalent previously).In 2019 we achieved a 32% reduction versus our 2010 baseline (8,706 kg CO2 per million of equivalent cigarettes sold) and thus 106% achieved (32%/30%*100=106%). This achievement has been possible due to progress in reducing our environmental impact across our value chain: in our factories and fleet where our carbon footprint is relatively small compared to other industries, as well asbeyond the factory gates. That includes looking at both our upstream supply chain activities (currently focusing on tobacco farming and direct materials) and downstream, following our product and packaging environmental impacts to end-of-use.% change anticipated in absolute scope 1+2 and scope 3 emissions are dependent on 2020 production volumes and ratio between conventional cigarettes vs smoke-free products, that is rapidly changing due to the growth of our smoke-free products. The % anticipated change in emissions in scopes 1, 2 and 3 have been calculated based on achieved reductions in 2019, which exceeds the original 2020 intensity target, and we expect to further improve this reduction by 2020.</t>
  </si>
  <si>
    <t>Other, please specify: Grams CO2e per liter of beverage sold</t>
  </si>
  <si>
    <t>We continue to evaluate and make changes in our operations and throughout the Coca-Cola system value chain to reduce our climate impact. This target is a Coca-Cola System level target, including The Coca-Cola Company and its bottling partners. The target brings our diverse sustainability initiatives under one goal to reduce the carbon footprint of the "drink in your hand” by 25 percent by 2020. Progress toward reducing the greenhouse gas emissions across our manufacturing processes, packaging formats, delivery fleet, refrigeration equipment and ingredient sourcing is now being measured toward the ''drink in your hand” goal.The calculation of progress toward our ''drink in your hand” goal has been internally vetted using accepted and relevant scientific and technical methodologies, which are aligned with GHG Protocol scopes 1, 2 and 3. Due to the nature of our franchise bottling system, in this CDP response, our manufacturing emissions are normally split between Scopes 1 and 2 for company-owned facilities and Scope 3 for bottling partner facilities. However, in our ''drink in your hand” calculations, we consider the full Coca-Cola system (including franchise bottling partners) in the calculation of our manufacturing, distribution and refrigeration emissions.</t>
  </si>
  <si>
    <t>We are currently going through the process of re-evaluating our base year data and that of other years. We will  communicate any changes to our previously reported normalized base year emission values in next year's Climate survey disclosure cycle.</t>
  </si>
  <si>
    <t>Other, please specify: Mass MTCO2e per 1000 gross ton mile</t>
  </si>
  <si>
    <t>Union Pacific is committed to reducing  locomotive fuel consumption by 1.5% between 2018 and 2020, as measured on a gross ton-miles basis, which would result in a greenhouse gas emissions reduction of 0.5% for locomotive emissions annually. In 2019, Union Pacific decreased its fuel consumption rate, measured in gallons of fuel per thousand gross ton miles, by 2% as compared to 2018. While this intensity has decreased since 2018, it has increased slightly over 2017, meaning progress from the base year has not yet been made. In 2019, Union Pacific increased fuel combustion by 3% from 2017 due to heavy congestion across the system for much of the year. Normalized base year target emissions are locomotive emissions per thousand gross ton-miles. These include emissions from Alton &amp; Southern Railway, a wholly owned subsidiary of Union Pacific. The fuel initiatives group will continue to evaluate Union Pacific's fuel consumption goal while adjusting to changing market conditions. Union Pacific has committed to setting science-based targets within the next two years that will help the company determine what further actions are necessary to reduce GHG emissions to support the goals outlined by the Paris Agreement.</t>
  </si>
  <si>
    <t>Other, please specify: Lbs of CO2e per unit of service provided</t>
  </si>
  <si>
    <t>The UPS Transportation Intensity Index (TII) combines three separate carbon intensity ratios from our largest business operations: U.S. Package Operations, UPS Airlines and U.S. Supply Chain &amp; Freight.  We assign each ratio a percentage weight within the Transportation Intensity Index, to make them proportional to the emissions their respective components actually generate.  UPS's goal is a 20% reduction in the TII from the baseline by 2020.</t>
  </si>
  <si>
    <t>Other, please specify: Lbs. of CO2 per Available Ton-mile</t>
  </si>
  <si>
    <t>Base year CO2/ATM = 1.54 (as measured in nautical miles) Target year CO2/ATM = 1.24.   The base year emissions (6,044,000) is calculated in CO2e for the purpose of the CDP.  The  actual metric as measured by UPS is pounds of CO2.</t>
  </si>
  <si>
    <t>Other, please specify: MT CO2e per Terabyte of Data</t>
  </si>
  <si>
    <t>During 2016 we reached our goal by achieving a 54% reduction to our baseline intensity.As demand for data continues to grow, so do the energy demands upon our network, while we are continuing to drive energy and carbon efficiencies throughout our organization, we expect our ability to reduce our absolute carbon emissions to be more challenging year on year.</t>
  </si>
  <si>
    <t>Other, please specify: Metric tonnes CO2e per Terabyte of Data</t>
  </si>
  <si>
    <t>During 2019, we achieved our 2025 carbon intensity goal with a 53% reduction in CO2e per terabyte of data. After 2019, we will be retiring our intensity target in favor of operational carbon neutrality and 50% renewable energy goals.</t>
  </si>
  <si>
    <t>Walgreens is supporting this commitment through improved heating, ventilation, air conditioning and refrigeration efficiency, conversions to LED lighting and using data to pinpoint areas for improvement. The Walgreens Intensity Target 1 has been calibrated to conform to the energy intensity reduction goal, which was disclosed as part of Walgreens commitment to the U.S. Department of Energy Better Buildings Challenge. As of August 31, 2019, Walgreens intensity metric improved by 16 percent, which is equivalent to a 81 percent completion of the emissions metric objective of the goal. Considering the 10-year time frame of the intensity goal in the Better Buildings Challenge commitment, Walgreens anticipates that the net effects of energy management initiatives will drive emissions to decline, or otherwise approximate the magnitude of base year emissions. The goal expresses that normalized emissions will decline relative to the organic growth of Walgreens through construction of new facilities and acquisitions. The target covers less than 100 percent of emissions, as it applies only to Walgreens, the largest business unit of WBA.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</si>
</sst>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quot;$&quot;#,##0"/>
    <numFmt numFmtId="165" formatCode="_(* #,##0_);_(* \(#,##0\);_(* &quot;-&quot;??_);_(@_)"/>
    <numFmt numFmtId="166" formatCode="0.0%"/>
  </numFmts>
  <fonts count="17" x14ac:knownFonts="1">
    <font>
      <sz val="10"/>
      <color rgb="FF000000"/>
      <name val="Arial"/>
    </font>
    <font>
      <sz val="11"/>
      <color theme="1"/>
      <name val="Arial"/>
      <family val="2"/>
      <scheme val="minor"/>
    </font>
    <font>
      <u/>
      <sz val="10"/>
      <color theme="10"/>
      <name val="Arial"/>
      <family val="2"/>
    </font>
    <font>
      <b/>
      <sz val="10"/>
      <color rgb="FF000000"/>
      <name val="Arial"/>
      <family val="2"/>
    </font>
    <font>
      <sz val="10"/>
      <color rgb="FF000000"/>
      <name val="Arial"/>
      <family val="2"/>
    </font>
    <font>
      <sz val="10"/>
      <color rgb="FF000000"/>
      <name val="Arial"/>
      <family val="2"/>
    </font>
    <font>
      <sz val="10"/>
      <color rgb="FFFF0000"/>
      <name val="Arial"/>
      <family val="2"/>
    </font>
    <font>
      <sz val="8"/>
      <name val="Arial"/>
      <family val="2"/>
    </font>
    <font>
      <i/>
      <sz val="10"/>
      <color rgb="FF000000"/>
      <name val="Arial"/>
      <family val="2"/>
    </font>
    <font>
      <b/>
      <sz val="10"/>
      <color theme="1"/>
      <name val="Arial"/>
      <family val="2"/>
    </font>
    <font>
      <sz val="10"/>
      <color rgb="FF000000"/>
      <name val="Arial"/>
      <family val="2"/>
    </font>
    <font>
      <sz val="11"/>
      <color rgb="FF000000"/>
      <name val="Calibri"/>
      <family val="2"/>
    </font>
    <font>
      <sz val="7"/>
      <color rgb="FF000000"/>
      <name val="Arial"/>
      <family val="2"/>
    </font>
    <font>
      <sz val="24"/>
      <color rgb="FF000000"/>
      <name val="Calibri"/>
      <family val="2"/>
    </font>
    <font>
      <sz val="24"/>
      <color rgb="FF000000"/>
      <name val="Arial"/>
      <family val="2"/>
    </font>
    <font>
      <sz val="24"/>
      <color rgb="FF4D5156"/>
      <name val="Arial"/>
      <family val="2"/>
    </font>
    <font>
      <sz val="24"/>
      <color rgb="FF333333"/>
      <name val="Arial"/>
      <family val="2"/>
    </font>
  </fonts>
  <fills count="14">
    <fill>
      <patternFill patternType="none"/>
    </fill>
    <fill>
      <patternFill patternType="gray125"/>
    </fill>
    <fill>
      <patternFill patternType="solid">
        <fgColor rgb="FFDDEBF7"/>
        <bgColor indexed="64"/>
      </patternFill>
    </fill>
    <fill>
      <patternFill patternType="solid">
        <fgColor rgb="FFE2EFDA"/>
        <bgColor indexed="64"/>
      </patternFill>
    </fill>
    <fill>
      <patternFill patternType="solid">
        <fgColor rgb="FFFFF2CC"/>
        <bgColor indexed="64"/>
      </patternFill>
    </fill>
    <fill>
      <patternFill patternType="solid">
        <fgColor rgb="FFD6DCE4"/>
        <bgColor indexed="64"/>
      </patternFill>
    </fill>
    <fill>
      <patternFill patternType="solid">
        <fgColor rgb="FFFCE4D6"/>
        <bgColor indexed="6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39997558519241921"/>
        <bgColor indexed="64"/>
      </patternFill>
    </fill>
  </fills>
  <borders count="2">
    <border>
      <left/>
      <right/>
      <top/>
      <bottom/>
      <diagonal/>
    </border>
    <border>
      <left/>
      <right/>
      <top style="thin">
        <color theme="4" tint="0.39997558519241921"/>
      </top>
      <bottom/>
      <diagonal/>
    </border>
  </borders>
  <cellStyleXfs count="7">
    <xf numFmtId="0" fontId="0" fillId="0" borderId="0"/>
    <xf numFmtId="0" fontId="2" fillId="0" borderId="0" applyNumberFormat="0" applyFill="0" applyBorder="0" applyAlignment="0" applyProtection="0"/>
    <xf numFmtId="44" fontId="4" fillId="0" borderId="0" applyFont="0" applyFill="0" applyBorder="0" applyAlignment="0" applyProtection="0"/>
    <xf numFmtId="43" fontId="5" fillId="0" borderId="0" applyFont="0" applyFill="0" applyBorder="0" applyAlignment="0" applyProtection="0"/>
    <xf numFmtId="9" fontId="10" fillId="0" borderId="0" applyFont="0" applyFill="0" applyBorder="0" applyAlignment="0" applyProtection="0"/>
    <xf numFmtId="0" fontId="11" fillId="0" borderId="0"/>
    <xf numFmtId="0" fontId="1" fillId="0" borderId="0"/>
  </cellStyleXfs>
  <cellXfs count="87">
    <xf numFmtId="0" fontId="0" fillId="0" borderId="0" xfId="0" applyFont="1" applyAlignment="1"/>
    <xf numFmtId="0" fontId="3" fillId="0" borderId="0" xfId="0" applyFont="1" applyAlignment="1"/>
    <xf numFmtId="0" fontId="3" fillId="0" borderId="0" xfId="0" applyFont="1" applyAlignment="1">
      <alignment wrapText="1"/>
    </xf>
    <xf numFmtId="0" fontId="0" fillId="0" borderId="0" xfId="0" applyFont="1" applyAlignment="1">
      <alignment wrapText="1"/>
    </xf>
    <xf numFmtId="0" fontId="4" fillId="0" borderId="0" xfId="0" applyFont="1" applyAlignment="1"/>
    <xf numFmtId="164" fontId="0" fillId="0" borderId="0" xfId="2" applyNumberFormat="1" applyFont="1" applyAlignment="1"/>
    <xf numFmtId="3" fontId="0" fillId="0" borderId="0" xfId="0" applyNumberFormat="1" applyFont="1" applyAlignment="1">
      <alignment wrapText="1"/>
    </xf>
    <xf numFmtId="0" fontId="0" fillId="0" borderId="0" xfId="0" quotePrefix="1" applyFont="1" applyAlignment="1"/>
    <xf numFmtId="1" fontId="3" fillId="0" borderId="0" xfId="0" applyNumberFormat="1" applyFont="1" applyAlignment="1">
      <alignment wrapText="1"/>
    </xf>
    <xf numFmtId="1" fontId="0" fillId="0" borderId="0" xfId="2" applyNumberFormat="1" applyFont="1" applyAlignment="1"/>
    <xf numFmtId="1" fontId="0" fillId="0" borderId="0" xfId="0" applyNumberFormat="1" applyFont="1" applyAlignment="1"/>
    <xf numFmtId="6" fontId="0" fillId="0" borderId="0" xfId="0" applyNumberFormat="1" applyFont="1" applyAlignment="1"/>
    <xf numFmtId="165" fontId="4" fillId="0" borderId="0" xfId="3" applyNumberFormat="1" applyFont="1" applyAlignment="1">
      <alignment wrapText="1"/>
    </xf>
    <xf numFmtId="165" fontId="0" fillId="0" borderId="0" xfId="3" applyNumberFormat="1" applyFont="1" applyAlignment="1">
      <alignment wrapText="1"/>
    </xf>
    <xf numFmtId="0" fontId="4" fillId="0" borderId="0" xfId="0" quotePrefix="1" applyFont="1" applyAlignment="1">
      <alignment wrapText="1"/>
    </xf>
    <xf numFmtId="3" fontId="4" fillId="0" borderId="0" xfId="0" applyNumberFormat="1" applyFont="1" applyAlignment="1">
      <alignment wrapText="1"/>
    </xf>
    <xf numFmtId="0" fontId="4" fillId="0" borderId="0" xfId="0" quotePrefix="1" applyFont="1" applyAlignment="1"/>
    <xf numFmtId="165" fontId="0" fillId="0" borderId="0" xfId="3" applyNumberFormat="1" applyFont="1" applyAlignment="1"/>
    <xf numFmtId="0" fontId="0" fillId="0" borderId="0" xfId="0" quotePrefix="1" applyFont="1" applyAlignment="1">
      <alignment wrapText="1"/>
    </xf>
    <xf numFmtId="3" fontId="0" fillId="0" borderId="0" xfId="0" applyNumberFormat="1" applyFont="1" applyAlignment="1"/>
    <xf numFmtId="0" fontId="2" fillId="0" borderId="0" xfId="1" applyAlignment="1">
      <alignment wrapText="1"/>
    </xf>
    <xf numFmtId="0" fontId="0" fillId="0" borderId="0" xfId="0" applyFont="1" applyFill="1" applyAlignment="1"/>
    <xf numFmtId="0" fontId="6" fillId="0" borderId="0" xfId="0" applyFont="1" applyAlignment="1"/>
    <xf numFmtId="0" fontId="3" fillId="2" borderId="0" xfId="0" applyFont="1" applyFill="1" applyAlignment="1">
      <alignment wrapText="1"/>
    </xf>
    <xf numFmtId="0" fontId="3" fillId="3" borderId="0" xfId="0" applyFont="1" applyFill="1" applyAlignment="1">
      <alignment wrapText="1"/>
    </xf>
    <xf numFmtId="0" fontId="3" fillId="4" borderId="0" xfId="0" applyFont="1" applyFill="1" applyAlignment="1">
      <alignment wrapText="1"/>
    </xf>
    <xf numFmtId="0" fontId="3" fillId="5" borderId="0" xfId="0" applyFont="1" applyFill="1" applyAlignment="1">
      <alignment wrapText="1"/>
    </xf>
    <xf numFmtId="0" fontId="3" fillId="6" borderId="0" xfId="0" applyFont="1" applyFill="1" applyAlignment="1">
      <alignment wrapText="1"/>
    </xf>
    <xf numFmtId="9" fontId="0" fillId="0" borderId="0" xfId="0" applyNumberFormat="1" applyFont="1" applyAlignment="1"/>
    <xf numFmtId="49" fontId="0" fillId="0" borderId="0" xfId="0" applyNumberFormat="1" applyFont="1" applyFill="1" applyAlignment="1"/>
    <xf numFmtId="0" fontId="4" fillId="0" borderId="0" xfId="0" applyFont="1" applyAlignment="1">
      <alignment wrapText="1"/>
    </xf>
    <xf numFmtId="164" fontId="4" fillId="0" borderId="0" xfId="2" applyNumberFormat="1" applyFont="1" applyAlignment="1"/>
    <xf numFmtId="0" fontId="4" fillId="0" borderId="0" xfId="0" applyFont="1" applyFill="1" applyAlignment="1"/>
    <xf numFmtId="49" fontId="4" fillId="0" borderId="0" xfId="0" applyNumberFormat="1" applyFont="1" applyFill="1" applyAlignment="1"/>
    <xf numFmtId="0" fontId="0" fillId="0" borderId="0" xfId="0"/>
    <xf numFmtId="0" fontId="0" fillId="0" borderId="0" xfId="0" applyAlignment="1">
      <alignment wrapText="1"/>
    </xf>
    <xf numFmtId="3" fontId="4" fillId="0" borderId="0" xfId="0" applyNumberFormat="1" applyFont="1" applyAlignment="1"/>
    <xf numFmtId="164" fontId="4" fillId="0" borderId="0" xfId="0" applyNumberFormat="1" applyFont="1" applyAlignment="1"/>
    <xf numFmtId="1" fontId="4" fillId="0" borderId="0" xfId="0" applyNumberFormat="1" applyFont="1" applyAlignment="1"/>
    <xf numFmtId="165" fontId="4" fillId="0" borderId="0" xfId="0" applyNumberFormat="1" applyFont="1" applyAlignment="1">
      <alignment wrapText="1"/>
    </xf>
    <xf numFmtId="0" fontId="0" fillId="0" borderId="0" xfId="0" applyFont="1" applyAlignment="1">
      <alignment horizontal="left"/>
    </xf>
    <xf numFmtId="0" fontId="4" fillId="8" borderId="0" xfId="0" applyFont="1" applyFill="1" applyAlignment="1"/>
    <xf numFmtId="0" fontId="8" fillId="0" borderId="0" xfId="0" applyFont="1" applyAlignment="1"/>
    <xf numFmtId="0" fontId="3" fillId="0" borderId="0" xfId="0" applyFont="1" applyAlignment="1">
      <alignment vertical="top"/>
    </xf>
    <xf numFmtId="0" fontId="9" fillId="7" borderId="1" xfId="0" applyFont="1" applyFill="1" applyBorder="1" applyAlignment="1">
      <alignment horizontal="left"/>
    </xf>
    <xf numFmtId="0" fontId="9" fillId="7" borderId="1" xfId="0" applyNumberFormat="1" applyFont="1" applyFill="1" applyBorder="1" applyAlignment="1">
      <alignment horizontal="center"/>
    </xf>
    <xf numFmtId="0" fontId="0" fillId="0" borderId="0" xfId="0" applyFont="1" applyAlignment="1">
      <alignment horizontal="center"/>
    </xf>
    <xf numFmtId="0" fontId="3" fillId="9" borderId="0" xfId="0" applyFont="1" applyFill="1" applyAlignment="1"/>
    <xf numFmtId="0" fontId="3" fillId="9" borderId="0" xfId="0" applyFont="1" applyFill="1" applyAlignment="1">
      <alignment horizontal="center"/>
    </xf>
    <xf numFmtId="0" fontId="0" fillId="8" borderId="0" xfId="0" applyFont="1" applyFill="1" applyAlignment="1"/>
    <xf numFmtId="165" fontId="4" fillId="8" borderId="0" xfId="3" applyNumberFormat="1" applyFont="1" applyFill="1" applyAlignment="1">
      <alignment wrapText="1"/>
    </xf>
    <xf numFmtId="166" fontId="0" fillId="0" borderId="0" xfId="4" applyNumberFormat="1" applyFont="1" applyAlignment="1"/>
    <xf numFmtId="166" fontId="4" fillId="0" borderId="0" xfId="4" applyNumberFormat="1" applyFont="1" applyAlignment="1"/>
    <xf numFmtId="166" fontId="0" fillId="0" borderId="0" xfId="4" applyNumberFormat="1" applyFont="1" applyAlignment="1">
      <alignment wrapText="1"/>
    </xf>
    <xf numFmtId="166" fontId="0" fillId="0" borderId="0" xfId="4" applyNumberFormat="1" applyFont="1" applyAlignment="1">
      <alignment horizontal="center"/>
    </xf>
    <xf numFmtId="166" fontId="3" fillId="9" borderId="0" xfId="4" applyNumberFormat="1" applyFont="1" applyFill="1" applyAlignment="1">
      <alignment horizontal="center"/>
    </xf>
    <xf numFmtId="166" fontId="9" fillId="7" borderId="1" xfId="4" applyNumberFormat="1" applyFont="1" applyFill="1" applyBorder="1" applyAlignment="1">
      <alignment horizontal="center"/>
    </xf>
    <xf numFmtId="0" fontId="0" fillId="10" borderId="0" xfId="0" applyFont="1" applyFill="1" applyAlignment="1"/>
    <xf numFmtId="0" fontId="12" fillId="0" borderId="0" xfId="0" applyFont="1" applyAlignment="1"/>
    <xf numFmtId="0" fontId="12" fillId="12" borderId="0" xfId="0" applyFont="1" applyFill="1" applyAlignment="1">
      <alignment horizontal="center"/>
    </xf>
    <xf numFmtId="0" fontId="12" fillId="10" borderId="0" xfId="0" applyFont="1" applyFill="1" applyAlignment="1"/>
    <xf numFmtId="0" fontId="12" fillId="0" borderId="0" xfId="0" applyFont="1" applyAlignment="1">
      <alignment horizontal="center"/>
    </xf>
    <xf numFmtId="43" fontId="12" fillId="0" borderId="0" xfId="3" applyFont="1" applyAlignment="1">
      <alignment horizontal="center"/>
    </xf>
    <xf numFmtId="165" fontId="12" fillId="0" borderId="0" xfId="3" applyNumberFormat="1" applyFont="1" applyAlignment="1">
      <alignment horizontal="center"/>
    </xf>
    <xf numFmtId="165" fontId="0" fillId="0" borderId="0" xfId="3" applyNumberFormat="1" applyFont="1" applyAlignment="1">
      <alignment horizontal="center"/>
    </xf>
    <xf numFmtId="165" fontId="0" fillId="10" borderId="0" xfId="3" applyNumberFormat="1" applyFont="1" applyFill="1" applyAlignment="1">
      <alignment horizontal="center"/>
    </xf>
    <xf numFmtId="165" fontId="12" fillId="0" borderId="0" xfId="0" applyNumberFormat="1" applyFont="1" applyAlignment="1"/>
    <xf numFmtId="43" fontId="12" fillId="0" borderId="0" xfId="0" applyNumberFormat="1" applyFont="1" applyAlignment="1"/>
    <xf numFmtId="166" fontId="12" fillId="0" borderId="0" xfId="4" applyNumberFormat="1" applyFont="1" applyAlignment="1"/>
    <xf numFmtId="166" fontId="12" fillId="13" borderId="0" xfId="4" applyNumberFormat="1" applyFont="1" applyFill="1" applyAlignment="1"/>
    <xf numFmtId="0" fontId="12" fillId="10" borderId="0" xfId="0" applyFont="1" applyFill="1" applyAlignment="1">
      <alignment horizontal="center"/>
    </xf>
    <xf numFmtId="43" fontId="0" fillId="0" borderId="0" xfId="0" applyNumberFormat="1" applyFont="1" applyAlignment="1"/>
    <xf numFmtId="165" fontId="0" fillId="0" borderId="0" xfId="0" applyNumberFormat="1" applyFont="1" applyAlignment="1"/>
    <xf numFmtId="0" fontId="12" fillId="0" borderId="0" xfId="3" applyNumberFormat="1" applyFont="1" applyAlignment="1">
      <alignment horizontal="center"/>
    </xf>
    <xf numFmtId="0" fontId="0" fillId="10" borderId="0" xfId="0" applyFont="1" applyFill="1" applyAlignment="1">
      <alignment wrapText="1"/>
    </xf>
    <xf numFmtId="165" fontId="0" fillId="10" borderId="0" xfId="3" applyNumberFormat="1" applyFont="1" applyFill="1" applyAlignment="1">
      <alignment horizontal="center" wrapText="1"/>
    </xf>
    <xf numFmtId="0" fontId="13" fillId="0" borderId="0" xfId="5" applyFont="1"/>
    <xf numFmtId="0" fontId="14" fillId="0" borderId="0" xfId="0" applyFont="1" applyAlignment="1"/>
    <xf numFmtId="0" fontId="15" fillId="0" borderId="0" xfId="0" applyFont="1" applyAlignment="1"/>
    <xf numFmtId="0" fontId="16" fillId="0" borderId="0" xfId="0" applyFont="1" applyAlignment="1"/>
    <xf numFmtId="0" fontId="16" fillId="11" borderId="0" xfId="0" applyFont="1" applyFill="1" applyAlignment="1"/>
    <xf numFmtId="0" fontId="14" fillId="11" borderId="0" xfId="0" applyFont="1" applyFill="1" applyAlignment="1"/>
    <xf numFmtId="0" fontId="12" fillId="10" borderId="0" xfId="0" applyFont="1" applyFill="1"/>
    <xf numFmtId="0" fontId="12" fillId="0" borderId="0" xfId="0" applyFont="1"/>
    <xf numFmtId="1" fontId="12" fillId="0" borderId="0" xfId="0" applyNumberFormat="1" applyFont="1" applyAlignment="1">
      <alignment horizontal="center"/>
    </xf>
    <xf numFmtId="0" fontId="0" fillId="0" borderId="0" xfId="0" applyAlignment="1">
      <alignment horizontal="center"/>
    </xf>
    <xf numFmtId="0" fontId="12" fillId="0" borderId="0" xfId="0" applyNumberFormat="1" applyFont="1" applyAlignment="1">
      <alignment horizontal="center"/>
    </xf>
  </cellXfs>
  <cellStyles count="7">
    <cellStyle name="Comma" xfId="3" builtinId="3"/>
    <cellStyle name="Currency" xfId="2" builtinId="4"/>
    <cellStyle name="Hyperlink" xfId="1" builtinId="8"/>
    <cellStyle name="Normal" xfId="0" builtinId="0"/>
    <cellStyle name="Normal 2" xfId="5" xr:uid="{BE0117DB-6834-4480-85BC-8AD244C5ED12}"/>
    <cellStyle name="Normal 3" xfId="6" xr:uid="{F5E3D956-98D8-417B-BB84-D051A8C88C5D}"/>
    <cellStyle name="Percent" xfId="4" builtinId="5"/>
  </cellStyles>
  <dxfs count="88">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6" formatCode="0.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6" formatCode="0.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6" formatCode="0.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ont>
        <b val="0"/>
        <i/>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0"/>
        <color rgb="FF000000"/>
        <name val="Arial"/>
        <family val="2"/>
        <scheme val="none"/>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24FFCF-A1E3-48CF-933B-0806807F1D49}" name="Table1" displayName="Table1" ref="A1:BD102" totalsRowCount="1" headerRowDxfId="87" dataDxfId="86">
  <sortState xmlns:xlrd2="http://schemas.microsoft.com/office/spreadsheetml/2017/richdata2" ref="A2:BC101">
    <sortCondition ref="A1:A101"/>
  </sortState>
  <tableColumns count="56">
    <tableColumn id="1" xr3:uid="{398EA38E-C384-4BDD-9E09-25FC1FF0C7C7}" name="Company Name" dataDxfId="85" totalsRowDxfId="41"/>
    <tableColumn id="69" xr3:uid="{537EA2F0-2F2A-42E9-859D-B5A35F2F38C8}" name="Shorthand Company Name" dataDxfId="84" totalsRowDxfId="40"/>
    <tableColumn id="2" xr3:uid="{71B1879C-D438-4C5C-8ADA-01AF3F0C5AF0}" name="Sector"/>
    <tableColumn id="3" xr3:uid="{0C2C7332-081E-4A7F-88D9-2982C2DE2235}" name="Industry" dataDxfId="83" totalsRowDxfId="39"/>
    <tableColumn id="4" xr3:uid="{77C2697E-E2C2-487F-AB09-8EA64EF7DF20}" name="Size (2019 Revenue)" dataDxfId="82" totalsRowDxfId="38" dataCellStyle="Currency"/>
    <tableColumn id="49" xr3:uid="{D40DADBB-A044-4461-A1A8-D1FE4CE1C38E}" name="Net earnings post carbon price @85/t" dataDxfId="81" totalsRowDxfId="37" dataCellStyle="Currency">
      <calculatedColumnFormula>IF(ISNUMBER(Table1[[#This Row],[2019 Scope 3 ]]),IF(Table1[[#This Row],[Net Earnings/Income (2019)]]-k_cost*Table1[[#This Row],[2019 Total Scope 1, 2 + 3]]&lt;0,"Y","N"),"NA")</calculatedColumnFormula>
    </tableColumn>
    <tableColumn id="50" xr3:uid="{2C932F36-92A3-4C39-A624-43EFB70E56ED}" name="Carbon costs in % revenue" dataDxfId="80" totalsRowDxfId="36" dataCellStyle="Currency">
      <calculatedColumnFormula>IF(ISNUMBER(Table1[[#This Row],[2019 Scope 3 ]]),IF(k_cost*Table1[[#This Row],[2019 Total Scope 1, 2 + 3]]/Table1[[#This Row],[Size (2019 Revenue)]]&gt;k_rev_max,"Y","N"),"NA")</calculatedColumnFormula>
    </tableColumn>
    <tableColumn id="51" xr3:uid="{65B9C052-3930-4EA1-8D26-A79EEADEEF7D}" name="Under_Performance" dataDxfId="79" totalsRowDxfId="35" dataCellStyle="Percent">
      <calculatedColumnFormula>IF(OR(Table1[[#This Row],[Net earnings post carbon price @85/t]]="Y",Table1[[#This Row],[Carbon costs in % revenue]] = "Y"),"Y",IF(OR(Table1[[#This Row],[Net earnings post carbon price @85/t]]="NA",Table1[[#This Row],[Carbon costs in % revenue]]="NA"),"NA","N"))</calculatedColumnFormula>
    </tableColumn>
    <tableColumn id="5" xr3:uid="{8F2FF33B-2525-4FB4-A163-5E2571D8B502}" name="Net Earnings/Income (2019)" dataDxfId="78" totalsRowDxfId="34" dataCellStyle="Currency"/>
    <tableColumn id="6" xr3:uid="{CE4200D0-58F6-4F2E-8A32-5ABF8AD49FC4}" name="IPO Year" dataDxfId="77" totalsRowDxfId="33" dataCellStyle="Currency"/>
    <tableColumn id="7" xr3:uid="{4528A40F-3394-4A74-8194-AAFC08C6C072}" name="S&amp;P 100? (Y/N)" dataDxfId="76" totalsRowDxfId="32" dataCellStyle="Currency"/>
    <tableColumn id="8" xr3:uid="{C56AFEC0-BAA3-4F42-BE5B-32940CD8CF1C}" name="Carbon Neutral Goal? (Y/N)"/>
    <tableColumn id="9" xr3:uid="{5A8D5E3F-216C-4049-AF7D-284D43E0BB47}" name="Science-Based Target? (Y/N)"/>
    <tableColumn id="10" xr3:uid="{D571FC94-7AF2-431D-AC48-04599689158B}" name="Carbon Neutral by.... (year)"/>
    <tableColumn id="11" xr3:uid="{4A38C53F-CE16-460B-B710-A9A7A92686B4}" name="Carbon Neutral Announcement (year)"/>
    <tableColumn id="12" xr3:uid="{2E5B117F-AE37-408C-BB2D-14CC69D0A39E}" name="Carbon Goal (if non-zero)"/>
    <tableColumn id="13" xr3:uid="{7BBB9DC0-8C94-449D-9B4F-35C56437727A}" name="Reliance on Offsets? (Y/N)"/>
    <tableColumn id="14" xr3:uid="{A1985EC7-50A3-491A-A7E9-D9F6EB155545}" name="RE100 Commitment? (Y/N)"/>
    <tableColumn id="15" xr3:uid="{55B44FD0-A4F9-4855-ADAD-3F4FC6FE2407}" name="100% Renewable Energy by... (year)"/>
    <tableColumn id="47" xr3:uid="{3F2FA197-63B2-4DC6-B104-4D5620F0BEA8}" name="Evolution vs. LY" dataDxfId="75" dataCellStyle="Percent">
      <calculatedColumnFormula>IFERROR((Table1[[#This Row],[2019 Total Scope 1, 2 + 3]])/Table1[[#This Row],[2018 Total Scope 1, 2 + Scope 3]]-1,"NA")</calculatedColumnFormula>
    </tableColumn>
    <tableColumn id="46" xr3:uid="{36C24F84-0C22-4E46-8C90-A05B16EEE562}" name="Column1"/>
    <tableColumn id="16" xr3:uid="{F3CCBB0D-7275-48EB-A472-9BE1DF1DC5E6}" name="2019 Scope 1 (MeT Co2)" dataDxfId="74" totalsRowDxfId="31" dataCellStyle="Comma"/>
    <tableColumn id="17" xr3:uid="{3AAB91F8-5653-4BA9-B8A2-534E8E5D2B69}" name="2019 Scope 2 " dataDxfId="73" totalsRowDxfId="30" dataCellStyle="Comma"/>
    <tableColumn id="18" xr3:uid="{F14E36A1-FF38-41E0-B480-1B2CB14DE342}" name="2019 Offsets Purchased" dataDxfId="72" totalsRowDxfId="29" dataCellStyle="Comma"/>
    <tableColumn id="19" xr3:uid="{CE5E2375-DA7C-4F58-A701-3FAA145D84B7}" name="2019 Net Scope 1 + 2 Emissions" dataDxfId="71" totalsRowDxfId="28" dataCellStyle="Comma">
      <calculatedColumnFormula>IFERROR(V2+W2-X2,"")</calculatedColumnFormula>
    </tableColumn>
    <tableColumn id="20" xr3:uid="{F9A03DDB-CFFE-4D15-9111-7324364D552B}" name="2019 Scope 3 " dataDxfId="70" totalsRowDxfId="27" dataCellStyle="Comma"/>
    <tableColumn id="62" xr3:uid="{842F8120-486C-488E-BB06-83C15C9B2D83}" name="2019 Total Scope 1, 2 + 3" dataDxfId="69" totalsRowDxfId="26" dataCellStyle="Comma">
      <calculatedColumnFormula>IFERROR(Y2+Z2,"")</calculatedColumnFormula>
    </tableColumn>
    <tableColumn id="21" xr3:uid="{46CB6DCC-3475-40D9-A426-F32EBF168D6D}" name="2018 Scope 1" dataDxfId="68" totalsRowDxfId="25" dataCellStyle="Comma"/>
    <tableColumn id="22" xr3:uid="{E48FFEA6-F944-4042-A53A-BBE0B66FC329}" name="2018 Scope 2" dataDxfId="67" totalsRowDxfId="24" dataCellStyle="Comma"/>
    <tableColumn id="23" xr3:uid="{EE846130-6D2D-45E1-8D82-07C6BA87A779}" name="2018 Offsets Purchased" dataDxfId="66" totalsRowDxfId="23" dataCellStyle="Comma"/>
    <tableColumn id="24" xr3:uid="{F794873A-5F80-4E88-B5AE-80CD8BCDFAAF}" name="2018 Net Scope 1 + 2 Emissions" dataDxfId="65" totalsRowDxfId="22" dataCellStyle="Comma">
      <calculatedColumnFormula>IFERROR(AB2+AC2-AD2,"")</calculatedColumnFormula>
    </tableColumn>
    <tableColumn id="25" xr3:uid="{29A4C0E0-3FAD-4F63-8E5F-88E1F32EA37F}" name="2018 Scope 3" dataDxfId="64" totalsRowDxfId="21" dataCellStyle="Comma"/>
    <tableColumn id="61" xr3:uid="{C45762E3-4919-4A70-8B64-588CE24F1BD0}" name="2018 Total Scope 1, 2 + Scope 3" dataDxfId="63" totalsRowDxfId="20" dataCellStyle="Comma">
      <calculatedColumnFormula>IFERROR(AE2+AF2,"")</calculatedColumnFormula>
    </tableColumn>
    <tableColumn id="26" xr3:uid="{68E54195-066F-49CB-AACD-19A8A2478DF9}" name="2017 Scope 1" dataDxfId="62" totalsRowDxfId="19" dataCellStyle="Comma"/>
    <tableColumn id="27" xr3:uid="{AFD0D8F0-0DD8-4C68-AEE3-452E5FCF0780}" name="2017 Scope 2" dataDxfId="61" totalsRowDxfId="18" dataCellStyle="Comma"/>
    <tableColumn id="28" xr3:uid="{C50834F2-FE8F-4E66-A200-C70133A87101}" name="2017 Offsets Purchased" dataDxfId="60" totalsRowDxfId="17" dataCellStyle="Comma"/>
    <tableColumn id="29" xr3:uid="{18284B08-2E15-4CE2-8A33-5D0BE59C64D8}" name="2017 Net Scope 1 + 2 Emissions" dataDxfId="59" totalsRowDxfId="16" dataCellStyle="Comma">
      <calculatedColumnFormula>IFERROR(AH2+AI2-AJ2,"")</calculatedColumnFormula>
    </tableColumn>
    <tableColumn id="30" xr3:uid="{E2B2A7F0-002B-4018-A9DE-16C831A16512}" name="2017 Scope 3" dataDxfId="58" totalsRowDxfId="15" dataCellStyle="Comma"/>
    <tableColumn id="63" xr3:uid="{9A757284-2687-46CF-BF9A-D5CB4D8ED432}" name="2017 Total Scope 1, 2 + 3" dataDxfId="57" totalsRowDxfId="14" dataCellStyle="Comma">
      <calculatedColumnFormula>IFERROR(AK2+AL2,"")</calculatedColumnFormula>
    </tableColumn>
    <tableColumn id="31" xr3:uid="{6B018613-C9C4-4BA6-B7EB-3B1BAFDC5EB3}" name="2016 Scope 1" dataDxfId="56" totalsRowDxfId="13" dataCellStyle="Comma"/>
    <tableColumn id="32" xr3:uid="{568AC599-B73D-41EC-BE15-016AE6E1318C}" name="2016 Scope 2" dataDxfId="55" totalsRowDxfId="12" dataCellStyle="Comma"/>
    <tableColumn id="33" xr3:uid="{7541ACA9-BF60-40D5-986B-A67F0E46B8A5}" name="2016 Offsets Purchased" dataDxfId="54" totalsRowDxfId="11" dataCellStyle="Comma"/>
    <tableColumn id="34" xr3:uid="{9FD1F91F-0D90-46B4-8568-8D912EB51435}" name="2016 Net Scope 1 + 2 Emissions" dataDxfId="53" totalsRowDxfId="10" dataCellStyle="Comma">
      <calculatedColumnFormula>IFERROR(AN2+AO2-AP2,"")</calculatedColumnFormula>
    </tableColumn>
    <tableColumn id="35" xr3:uid="{EF22F29A-C551-42CD-8BFD-165D4DA5A80E}" name="2016 Scope 3" dataDxfId="52" totalsRowDxfId="9" dataCellStyle="Comma"/>
    <tableColumn id="64" xr3:uid="{9895AAE3-98CB-406B-A7BF-34F6590C1931}" name="2016 Total Scope 1, 2 + 3" dataDxfId="51" totalsRowDxfId="8" dataCellStyle="Comma">
      <calculatedColumnFormula>IFERROR(AQ2+AR2,"")</calculatedColumnFormula>
    </tableColumn>
    <tableColumn id="36" xr3:uid="{86BC0C75-4244-4E3E-AD91-39CCE9C443A5}" name="2015 Scope 1" dataDxfId="50" totalsRowDxfId="7" dataCellStyle="Comma"/>
    <tableColumn id="37" xr3:uid="{F3B728F3-195C-4AC6-87B9-BDA0074BE45A}" name="2015 Scope 2" dataDxfId="49" totalsRowDxfId="6" dataCellStyle="Comma"/>
    <tableColumn id="38" xr3:uid="{D8FE239B-38CE-4586-BBE6-BC85E8FF6511}" name="2015 Offsets Purchased" dataDxfId="48" totalsRowDxfId="5" dataCellStyle="Comma"/>
    <tableColumn id="39" xr3:uid="{AD0FEE62-ADB7-4A66-8746-EF8285EE1F2D}" name="2015 Net Scope 1 + 2 Emissions" dataDxfId="47" totalsRowDxfId="4" dataCellStyle="Comma">
      <calculatedColumnFormula>IFERROR(AT2+AU2-AV2,"")</calculatedColumnFormula>
    </tableColumn>
    <tableColumn id="40" xr3:uid="{36258CC5-840E-44AB-82F0-2AA91A7E1684}" name="2015 Scope 3" dataDxfId="46" totalsRowDxfId="3" dataCellStyle="Comma"/>
    <tableColumn id="65" xr3:uid="{5ADFCADD-520F-4F49-AEEB-D141C30EC90A}" name="2015 Total Scope 1, 2 + 3" dataDxfId="45" totalsRowDxfId="2" dataCellStyle="Comma">
      <calculatedColumnFormula>IFERROR(AW2+AX2,"")</calculatedColumnFormula>
    </tableColumn>
    <tableColumn id="41" xr3:uid="{0097CD94-3DD0-403D-A540-8B881D50B476}" name="Policy Arm?"/>
    <tableColumn id="42" xr3:uid="{733772B4-6C09-49A3-B92D-04311A832694}" name="Initiatives for Carbon Neutrality" dataDxfId="44" totalsRowDxfId="1"/>
    <tableColumn id="43" xr3:uid="{5736213F-B696-47D2-9295-2E1950A63B45}" name="Notes"/>
    <tableColumn id="44" xr3:uid="{1B4075C5-7613-4AD8-9BC2-A0D6BC03AFAD}" name="Sources" dataDxfId="43" totalsRowDxfId="0"/>
    <tableColumn id="45" xr3:uid="{EF0849B6-891F-4298-AA26-3B12CD662AE5}" name="Modifications" dataDxfId="42"/>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5.bin"/><Relationship Id="rId1" Type="http://schemas.openxmlformats.org/officeDocument/2006/relationships/hyperlink" Target="https://ir-capitalone.gcs-web.com/news-releases/news-release-details/capital-one-reports-fourth-quarter-2019-net-income-12-billion-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2A46-41A9-4CEF-8F9D-72C16BEA2FA9}">
  <dimension ref="A2:B3"/>
  <sheetViews>
    <sheetView workbookViewId="0">
      <selection activeCell="B3" sqref="B3"/>
    </sheetView>
  </sheetViews>
  <sheetFormatPr defaultRowHeight="12.5" x14ac:dyDescent="0.25"/>
  <cols>
    <col min="1" max="1" width="34.26953125" bestFit="1" customWidth="1"/>
  </cols>
  <sheetData>
    <row r="2" spans="1:2" x14ac:dyDescent="0.25">
      <c r="A2" t="s">
        <v>506</v>
      </c>
      <c r="B2">
        <v>85</v>
      </c>
    </row>
    <row r="3" spans="1:2" x14ac:dyDescent="0.25">
      <c r="A3" t="s">
        <v>507</v>
      </c>
      <c r="B3" s="28">
        <v>0.05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4103-F822-449A-ACC8-59863F902887}">
  <dimension ref="A1:D26"/>
  <sheetViews>
    <sheetView workbookViewId="0">
      <selection activeCell="C7" sqref="C7"/>
    </sheetView>
  </sheetViews>
  <sheetFormatPr defaultRowHeight="12.5" x14ac:dyDescent="0.25"/>
  <cols>
    <col min="1" max="1" width="29.54296875" bestFit="1" customWidth="1"/>
    <col min="2" max="2" width="33.81640625" bestFit="1" customWidth="1"/>
    <col min="3" max="3" width="35.54296875" bestFit="1" customWidth="1"/>
  </cols>
  <sheetData>
    <row r="1" spans="1:4" ht="31" x14ac:dyDescent="0.7">
      <c r="A1" t="s">
        <v>62</v>
      </c>
      <c r="B1" s="76" t="s">
        <v>585</v>
      </c>
      <c r="C1" s="77" t="str">
        <f>VLOOKUP(A1,companies!$B:$D,3,FALSE)</f>
        <v xml:space="preserve"> US88579Y1010</v>
      </c>
      <c r="D1" t="b">
        <f t="shared" ref="D1:D26" si="0">C1=B1</f>
        <v>0</v>
      </c>
    </row>
    <row r="2" spans="1:4" ht="31" x14ac:dyDescent="0.7">
      <c r="A2" t="s">
        <v>65</v>
      </c>
      <c r="B2" s="76" t="s">
        <v>538</v>
      </c>
      <c r="C2" s="77" t="str">
        <f>VLOOKUP(A2,companies!$B:$D,3,FALSE)</f>
        <v xml:space="preserve"> US0028241000</v>
      </c>
      <c r="D2" t="b">
        <f t="shared" si="0"/>
        <v>0</v>
      </c>
    </row>
    <row r="3" spans="1:4" ht="31" x14ac:dyDescent="0.7">
      <c r="A3" t="s">
        <v>68</v>
      </c>
      <c r="B3" s="76" t="s">
        <v>537</v>
      </c>
      <c r="C3" s="77" t="str">
        <f>VLOOKUP(A3,companies!$B:$D,3,FALSE)</f>
        <v xml:space="preserve"> US00287Y1091</v>
      </c>
      <c r="D3" t="b">
        <f t="shared" si="0"/>
        <v>0</v>
      </c>
    </row>
    <row r="4" spans="1:4" ht="31" x14ac:dyDescent="0.7">
      <c r="A4" t="s">
        <v>71</v>
      </c>
      <c r="B4" s="76" t="s">
        <v>530</v>
      </c>
      <c r="C4" s="77" t="str">
        <f>VLOOKUP(A4,companies!$B:$D,3,FALSE)</f>
        <v xml:space="preserve"> IE00B4BNMY34</v>
      </c>
      <c r="D4" t="b">
        <f t="shared" si="0"/>
        <v>0</v>
      </c>
    </row>
    <row r="5" spans="1:4" ht="31" x14ac:dyDescent="0.7">
      <c r="A5" s="21" t="s">
        <v>73</v>
      </c>
      <c r="B5" s="76" t="s">
        <v>513</v>
      </c>
      <c r="C5" s="77" t="str">
        <f>VLOOKUP(A5,companies!$B:$D,3,FALSE)</f>
        <v xml:space="preserve"> US00724F1012</v>
      </c>
      <c r="D5" t="b">
        <f t="shared" si="0"/>
        <v>0</v>
      </c>
    </row>
    <row r="6" spans="1:4" ht="29.5" x14ac:dyDescent="0.55000000000000004">
      <c r="A6" s="4" t="s">
        <v>75</v>
      </c>
      <c r="B6" s="78" t="s">
        <v>539</v>
      </c>
      <c r="C6" s="77" t="str">
        <f>VLOOKUP(A6,companies!$B:$D,3,FALSE)</f>
        <v xml:space="preserve"> US0200021014</v>
      </c>
      <c r="D6" t="b">
        <f t="shared" si="0"/>
        <v>0</v>
      </c>
    </row>
    <row r="7" spans="1:4" ht="29.5" x14ac:dyDescent="0.55000000000000004">
      <c r="A7" t="s">
        <v>78</v>
      </c>
      <c r="B7" s="80" t="s">
        <v>540</v>
      </c>
      <c r="C7" s="81" t="str">
        <f>VLOOKUP(A7,companies!$B:$D,3,FALSE)</f>
        <v xml:space="preserve"> US02079K1079</v>
      </c>
      <c r="D7" t="b">
        <f t="shared" si="0"/>
        <v>0</v>
      </c>
    </row>
    <row r="8" spans="1:4" ht="29.5" x14ac:dyDescent="0.55000000000000004">
      <c r="A8" t="s">
        <v>81</v>
      </c>
      <c r="B8" s="79" t="s">
        <v>527</v>
      </c>
      <c r="C8" s="77" t="str">
        <f>VLOOKUP(A8,companies!$B:$D,3,FALSE)</f>
        <v xml:space="preserve"> US02209S1033</v>
      </c>
      <c r="D8" t="b">
        <f t="shared" si="0"/>
        <v>0</v>
      </c>
    </row>
    <row r="9" spans="1:4" ht="29.5" x14ac:dyDescent="0.55000000000000004">
      <c r="A9" t="s">
        <v>84</v>
      </c>
      <c r="B9" s="79" t="s">
        <v>541</v>
      </c>
      <c r="C9" s="77">
        <f>VLOOKUP(A9,companies!$B:$D,3,FALSE)</f>
        <v>0</v>
      </c>
      <c r="D9" t="b">
        <f t="shared" si="0"/>
        <v>0</v>
      </c>
    </row>
    <row r="10" spans="1:4" ht="29.5" x14ac:dyDescent="0.55000000000000004">
      <c r="A10" t="s">
        <v>88</v>
      </c>
      <c r="B10" s="79" t="s">
        <v>545</v>
      </c>
      <c r="C10" s="77" t="str">
        <f>VLOOKUP(A10,companies!$B:$D,3,FALSE)</f>
        <v xml:space="preserve"> US0258161092</v>
      </c>
      <c r="D10" t="b">
        <f t="shared" si="0"/>
        <v>0</v>
      </c>
    </row>
    <row r="11" spans="1:4" ht="29.5" x14ac:dyDescent="0.55000000000000004">
      <c r="A11" s="4" t="s">
        <v>414</v>
      </c>
      <c r="B11" s="79" t="s">
        <v>544</v>
      </c>
      <c r="C11" s="77" t="str">
        <f>VLOOKUP(A11,companies!$B:$D,3,FALSE)</f>
        <v xml:space="preserve"> US0268747849</v>
      </c>
      <c r="D11" t="b">
        <f t="shared" si="0"/>
        <v>0</v>
      </c>
    </row>
    <row r="12" spans="1:4" ht="29.5" x14ac:dyDescent="0.55000000000000004">
      <c r="A12" s="21" t="s">
        <v>91</v>
      </c>
      <c r="B12" s="79" t="s">
        <v>543</v>
      </c>
      <c r="C12" s="77" t="str">
        <f>VLOOKUP(A12,companies!$B:$D,3,FALSE)</f>
        <v xml:space="preserve"> US03027X1000</v>
      </c>
      <c r="D12" t="b">
        <f t="shared" si="0"/>
        <v>0</v>
      </c>
    </row>
    <row r="13" spans="1:4" ht="29.5" x14ac:dyDescent="0.55000000000000004">
      <c r="A13" t="s">
        <v>93</v>
      </c>
      <c r="B13" s="79" t="s">
        <v>542</v>
      </c>
      <c r="C13" s="77" t="str">
        <f>VLOOKUP(A13,companies!$B:$D,3,FALSE)</f>
        <v xml:space="preserve"> US0311621009</v>
      </c>
      <c r="D13" t="b">
        <f t="shared" si="0"/>
        <v>0</v>
      </c>
    </row>
    <row r="14" spans="1:4" ht="29.5" x14ac:dyDescent="0.55000000000000004">
      <c r="A14" t="s">
        <v>95</v>
      </c>
      <c r="B14" s="79" t="s">
        <v>546</v>
      </c>
      <c r="C14" s="77" t="str">
        <f>VLOOKUP(A14,companies!$B:$D,3,FALSE)</f>
        <v xml:space="preserve"> US0378331005</v>
      </c>
      <c r="D14" t="b">
        <f t="shared" si="0"/>
        <v>0</v>
      </c>
    </row>
    <row r="15" spans="1:4" ht="29.5" x14ac:dyDescent="0.55000000000000004">
      <c r="A15" t="s">
        <v>98</v>
      </c>
      <c r="B15" s="79" t="s">
        <v>532</v>
      </c>
      <c r="C15" s="77" t="str">
        <f>VLOOKUP(A15,companies!$B:$D,3,FALSE)</f>
        <v xml:space="preserve"> US00206R1023</v>
      </c>
      <c r="D15" t="b">
        <f t="shared" si="0"/>
        <v>0</v>
      </c>
    </row>
    <row r="16" spans="1:4" ht="29.5" x14ac:dyDescent="0.55000000000000004">
      <c r="A16" t="s">
        <v>102</v>
      </c>
      <c r="B16" s="79" t="s">
        <v>547</v>
      </c>
      <c r="C16" s="77" t="str">
        <f>VLOOKUP(A16,companies!$B:$D,3,FALSE)</f>
        <v xml:space="preserve"> US0605051046</v>
      </c>
      <c r="D16" t="b">
        <f t="shared" si="0"/>
        <v>0</v>
      </c>
    </row>
    <row r="17" spans="1:4" ht="29.5" x14ac:dyDescent="0.55000000000000004">
      <c r="A17" s="21" t="s">
        <v>106</v>
      </c>
      <c r="B17" s="79" t="s">
        <v>548</v>
      </c>
      <c r="C17" s="77">
        <f>VLOOKUP(A17,companies!$B:$D,3,FALSE)</f>
        <v>0</v>
      </c>
      <c r="D17" t="b">
        <f t="shared" si="0"/>
        <v>0</v>
      </c>
    </row>
    <row r="18" spans="1:4" ht="29.5" x14ac:dyDescent="0.55000000000000004">
      <c r="A18" s="21" t="s">
        <v>107</v>
      </c>
      <c r="B18" s="79" t="s">
        <v>514</v>
      </c>
      <c r="C18" s="77" t="str">
        <f>VLOOKUP(A18,companies!$B:$D,3,FALSE)</f>
        <v xml:space="preserve"> US09062X1037</v>
      </c>
      <c r="D18" t="b">
        <f t="shared" si="0"/>
        <v>0</v>
      </c>
    </row>
    <row r="19" spans="1:4" ht="29.5" x14ac:dyDescent="0.55000000000000004">
      <c r="A19" s="21" t="s">
        <v>108</v>
      </c>
      <c r="B19" s="78" t="s">
        <v>549</v>
      </c>
      <c r="C19" s="77" t="str">
        <f>VLOOKUP(A19,companies!$B:$D,3,FALSE)</f>
        <v xml:space="preserve"> US09247X1019</v>
      </c>
      <c r="D19" t="b">
        <f t="shared" si="0"/>
        <v>0</v>
      </c>
    </row>
    <row r="20" spans="1:4" ht="29.5" x14ac:dyDescent="0.55000000000000004">
      <c r="A20" s="21" t="s">
        <v>111</v>
      </c>
      <c r="B20" s="79" t="s">
        <v>550</v>
      </c>
      <c r="C20" s="77" t="str">
        <f>VLOOKUP(A20,companies!$B:$D,3,FALSE)</f>
        <v xml:space="preserve"> US0970231058</v>
      </c>
      <c r="D20" t="b">
        <f t="shared" si="0"/>
        <v>0</v>
      </c>
    </row>
    <row r="21" spans="1:4" ht="29.5" x14ac:dyDescent="0.55000000000000004">
      <c r="A21" s="21" t="s">
        <v>113</v>
      </c>
      <c r="B21" s="79" t="s">
        <v>552</v>
      </c>
      <c r="C21" s="77" t="str">
        <f>VLOOKUP(A21,companies!$B:$D,3,FALSE)</f>
        <v>US09857L1089</v>
      </c>
      <c r="D21" t="b">
        <f t="shared" si="0"/>
        <v>1</v>
      </c>
    </row>
    <row r="22" spans="1:4" ht="29.5" x14ac:dyDescent="0.55000000000000004">
      <c r="A22" s="21" t="s">
        <v>115</v>
      </c>
      <c r="B22" s="79" t="s">
        <v>553</v>
      </c>
      <c r="C22" s="77" t="str">
        <f>VLOOKUP(A22,companies!$B:$D,3,FALSE)</f>
        <v xml:space="preserve"> US1101221083</v>
      </c>
      <c r="D22" t="b">
        <f t="shared" si="0"/>
        <v>0</v>
      </c>
    </row>
    <row r="23" spans="1:4" ht="29.5" x14ac:dyDescent="0.55000000000000004">
      <c r="A23" s="21" t="s">
        <v>117</v>
      </c>
      <c r="B23" s="79" t="s">
        <v>554</v>
      </c>
      <c r="C23" s="77" t="str">
        <f>VLOOKUP(A23,companies!$B:$D,3,FALSE)</f>
        <v xml:space="preserve"> US14040H1059</v>
      </c>
      <c r="D23" t="b">
        <f t="shared" si="0"/>
        <v>0</v>
      </c>
    </row>
    <row r="24" spans="1:4" ht="29.5" x14ac:dyDescent="0.55000000000000004">
      <c r="A24" s="21" t="s">
        <v>120</v>
      </c>
      <c r="B24" s="79" t="s">
        <v>555</v>
      </c>
      <c r="C24" s="77" t="str">
        <f>VLOOKUP(A24,companies!$B:$D,3,FALSE)</f>
        <v>US1491231015</v>
      </c>
      <c r="D24" t="b">
        <f t="shared" si="0"/>
        <v>1</v>
      </c>
    </row>
    <row r="25" spans="1:4" ht="29.5" x14ac:dyDescent="0.55000000000000004">
      <c r="A25" s="21" t="s">
        <v>123</v>
      </c>
      <c r="B25" s="79" t="s">
        <v>556</v>
      </c>
      <c r="C25" s="77" t="str">
        <f>VLOOKUP(A25,companies!$B:$D,3,FALSE)</f>
        <v>US16119P1084</v>
      </c>
      <c r="D25" t="b">
        <f t="shared" si="0"/>
        <v>1</v>
      </c>
    </row>
    <row r="26" spans="1:4" ht="29.5" x14ac:dyDescent="0.55000000000000004">
      <c r="A26" s="21" t="s">
        <v>125</v>
      </c>
      <c r="B26" s="79" t="s">
        <v>551</v>
      </c>
      <c r="C26" s="77" t="str">
        <f>VLOOKUP(A26,companies!$B:$D,3,FALSE)</f>
        <v>US1667641005</v>
      </c>
      <c r="D26" t="b">
        <f t="shared" si="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80746-FE96-423E-B267-A4AA2C85E34F}">
  <dimension ref="A1:G1048576"/>
  <sheetViews>
    <sheetView showGridLines="0" workbookViewId="0">
      <selection activeCell="D5" sqref="D5"/>
    </sheetView>
  </sheetViews>
  <sheetFormatPr defaultRowHeight="9" x14ac:dyDescent="0.2"/>
  <cols>
    <col min="1" max="1" width="12.81640625" style="58" bestFit="1" customWidth="1"/>
    <col min="2" max="2" width="29.54296875" style="58" customWidth="1"/>
    <col min="3" max="4" width="21.36328125" style="58" customWidth="1"/>
    <col min="5" max="6" width="13.90625" style="58" customWidth="1"/>
    <col min="7" max="16384" width="8.7265625" style="58"/>
  </cols>
  <sheetData>
    <row r="1" spans="1:7" x14ac:dyDescent="0.2">
      <c r="A1" s="60" t="s">
        <v>557</v>
      </c>
      <c r="B1" s="60" t="s">
        <v>566</v>
      </c>
      <c r="C1" s="60" t="s">
        <v>565</v>
      </c>
      <c r="D1" s="60" t="s">
        <v>512</v>
      </c>
      <c r="E1" s="60" t="s">
        <v>564</v>
      </c>
      <c r="F1" s="60" t="s">
        <v>1050</v>
      </c>
      <c r="G1" s="60" t="s">
        <v>1051</v>
      </c>
    </row>
    <row r="2" spans="1:7" x14ac:dyDescent="0.2">
      <c r="A2" s="59">
        <v>1</v>
      </c>
      <c r="B2" s="58" t="s">
        <v>62</v>
      </c>
      <c r="C2" s="58" t="s">
        <v>62</v>
      </c>
      <c r="D2" s="58" t="s">
        <v>586</v>
      </c>
      <c r="E2" s="58" t="s">
        <v>587</v>
      </c>
      <c r="F2" s="58" t="s">
        <v>585</v>
      </c>
      <c r="G2" s="58" t="s">
        <v>584</v>
      </c>
    </row>
    <row r="3" spans="1:7" x14ac:dyDescent="0.2">
      <c r="A3" s="59">
        <f>A2+1</f>
        <v>2</v>
      </c>
      <c r="B3" s="58" t="s">
        <v>65</v>
      </c>
      <c r="C3" s="58" t="s">
        <v>65</v>
      </c>
      <c r="D3" s="58" t="s">
        <v>577</v>
      </c>
      <c r="E3" s="58" t="s">
        <v>578</v>
      </c>
      <c r="F3" s="58" t="s">
        <v>538</v>
      </c>
      <c r="G3" s="58" t="s">
        <v>576</v>
      </c>
    </row>
    <row r="4" spans="1:7" x14ac:dyDescent="0.2">
      <c r="A4" s="59">
        <f t="shared" ref="A4:A67" si="0">A3+1</f>
        <v>3</v>
      </c>
      <c r="B4" s="58" t="s">
        <v>68</v>
      </c>
      <c r="C4" s="58" t="s">
        <v>454</v>
      </c>
      <c r="D4" s="58" t="s">
        <v>1026</v>
      </c>
      <c r="E4" s="58" t="s">
        <v>1027</v>
      </c>
      <c r="F4" s="58" t="s">
        <v>537</v>
      </c>
      <c r="G4" s="58" t="s">
        <v>1025</v>
      </c>
    </row>
    <row r="5" spans="1:7" x14ac:dyDescent="0.2">
      <c r="A5" s="59">
        <f t="shared" si="0"/>
        <v>4</v>
      </c>
      <c r="B5" s="58" t="s">
        <v>71</v>
      </c>
      <c r="C5" s="58" t="s">
        <v>71</v>
      </c>
      <c r="D5" s="58" t="s">
        <v>1048</v>
      </c>
      <c r="E5" s="58" t="s">
        <v>1049</v>
      </c>
      <c r="F5" s="58" t="s">
        <v>530</v>
      </c>
      <c r="G5" s="58" t="s">
        <v>1047</v>
      </c>
    </row>
    <row r="6" spans="1:7" x14ac:dyDescent="0.2">
      <c r="A6" s="59">
        <f t="shared" si="0"/>
        <v>5</v>
      </c>
      <c r="B6" s="58" t="s">
        <v>73</v>
      </c>
      <c r="C6" s="58" t="s">
        <v>463</v>
      </c>
      <c r="D6" s="58" t="s">
        <v>595</v>
      </c>
      <c r="E6" s="58" t="s">
        <v>596</v>
      </c>
      <c r="F6" s="58" t="s">
        <v>513</v>
      </c>
      <c r="G6" s="58" t="s">
        <v>594</v>
      </c>
    </row>
    <row r="7" spans="1:7" x14ac:dyDescent="0.2">
      <c r="A7" s="59">
        <f t="shared" si="0"/>
        <v>6</v>
      </c>
      <c r="B7" s="58" t="s">
        <v>75</v>
      </c>
      <c r="C7" s="58" t="s">
        <v>459</v>
      </c>
      <c r="D7" s="58" t="s">
        <v>612</v>
      </c>
      <c r="E7" s="58" t="s">
        <v>613</v>
      </c>
      <c r="F7" s="58" t="s">
        <v>539</v>
      </c>
      <c r="G7" s="58" t="s">
        <v>611</v>
      </c>
    </row>
    <row r="8" spans="1:7" x14ac:dyDescent="0.2">
      <c r="A8" s="59">
        <f t="shared" si="0"/>
        <v>7</v>
      </c>
      <c r="B8" s="58" t="s">
        <v>78</v>
      </c>
      <c r="C8" s="58" t="s">
        <v>482</v>
      </c>
      <c r="D8" s="58" t="s">
        <v>1105</v>
      </c>
      <c r="E8" s="58" t="s">
        <v>828</v>
      </c>
      <c r="F8" s="58" t="s">
        <v>540</v>
      </c>
      <c r="G8" s="58" t="s">
        <v>827</v>
      </c>
    </row>
    <row r="9" spans="1:7" x14ac:dyDescent="0.2">
      <c r="A9" s="59">
        <f t="shared" si="0"/>
        <v>8</v>
      </c>
      <c r="B9" s="58" t="s">
        <v>81</v>
      </c>
      <c r="C9" s="58" t="s">
        <v>474</v>
      </c>
      <c r="D9" s="58" t="s">
        <v>622</v>
      </c>
      <c r="E9" s="58" t="s">
        <v>623</v>
      </c>
      <c r="F9" s="58" t="s">
        <v>527</v>
      </c>
      <c r="G9" s="58" t="s">
        <v>621</v>
      </c>
    </row>
    <row r="10" spans="1:7" customFormat="1" ht="12.5" x14ac:dyDescent="0.25">
      <c r="A10" s="59">
        <f t="shared" si="0"/>
        <v>9</v>
      </c>
      <c r="B10" s="58" t="s">
        <v>84</v>
      </c>
      <c r="C10" s="58" t="s">
        <v>408</v>
      </c>
      <c r="D10" s="58"/>
      <c r="E10" s="58"/>
      <c r="F10" s="58" t="s">
        <v>541</v>
      </c>
      <c r="G10" s="58"/>
    </row>
    <row r="11" spans="1:7" x14ac:dyDescent="0.2">
      <c r="A11" s="59">
        <f t="shared" si="0"/>
        <v>10</v>
      </c>
      <c r="B11" s="58" t="s">
        <v>88</v>
      </c>
      <c r="C11" s="58" t="s">
        <v>88</v>
      </c>
      <c r="D11" s="58" t="s">
        <v>628</v>
      </c>
      <c r="E11" s="58" t="s">
        <v>629</v>
      </c>
      <c r="F11" s="58" t="s">
        <v>545</v>
      </c>
      <c r="G11" s="58" t="s">
        <v>627</v>
      </c>
    </row>
    <row r="12" spans="1:7" x14ac:dyDescent="0.2">
      <c r="A12" s="59">
        <f t="shared" si="0"/>
        <v>11</v>
      </c>
      <c r="B12" s="58" t="s">
        <v>414</v>
      </c>
      <c r="C12" s="58" t="s">
        <v>390</v>
      </c>
      <c r="D12" s="58" t="s">
        <v>631</v>
      </c>
      <c r="E12" s="58" t="s">
        <v>632</v>
      </c>
      <c r="F12" s="58" t="s">
        <v>544</v>
      </c>
      <c r="G12" s="58" t="s">
        <v>630</v>
      </c>
    </row>
    <row r="13" spans="1:7" x14ac:dyDescent="0.2">
      <c r="A13" s="59">
        <f t="shared" si="0"/>
        <v>12</v>
      </c>
      <c r="B13" s="58" t="s">
        <v>91</v>
      </c>
      <c r="C13" s="58" t="s">
        <v>91</v>
      </c>
      <c r="D13" s="58" t="s">
        <v>639</v>
      </c>
      <c r="E13" s="58" t="s">
        <v>640</v>
      </c>
      <c r="F13" s="58" t="s">
        <v>543</v>
      </c>
      <c r="G13" s="58" t="s">
        <v>638</v>
      </c>
    </row>
    <row r="14" spans="1:7" x14ac:dyDescent="0.2">
      <c r="A14" s="59">
        <f t="shared" si="0"/>
        <v>13</v>
      </c>
      <c r="B14" s="58" t="s">
        <v>93</v>
      </c>
      <c r="C14" s="58" t="s">
        <v>456</v>
      </c>
      <c r="D14" s="58" t="s">
        <v>644</v>
      </c>
      <c r="E14" s="58" t="s">
        <v>645</v>
      </c>
      <c r="F14" s="58" t="s">
        <v>542</v>
      </c>
      <c r="G14" s="58" t="s">
        <v>643</v>
      </c>
    </row>
    <row r="15" spans="1:7" x14ac:dyDescent="0.2">
      <c r="A15" s="59">
        <f t="shared" si="0"/>
        <v>14</v>
      </c>
      <c r="B15" s="58" t="s">
        <v>95</v>
      </c>
      <c r="C15" s="58" t="s">
        <v>402</v>
      </c>
      <c r="D15" s="58" t="s">
        <v>651</v>
      </c>
      <c r="E15" s="58" t="s">
        <v>652</v>
      </c>
      <c r="F15" s="58" t="s">
        <v>546</v>
      </c>
      <c r="G15" s="58" t="s">
        <v>650</v>
      </c>
    </row>
    <row r="16" spans="1:7" x14ac:dyDescent="0.2">
      <c r="A16" s="59">
        <f t="shared" si="0"/>
        <v>15</v>
      </c>
      <c r="B16" s="58" t="s">
        <v>98</v>
      </c>
      <c r="C16" s="58" t="s">
        <v>404</v>
      </c>
      <c r="D16" s="58" t="s">
        <v>661</v>
      </c>
      <c r="E16" s="58" t="s">
        <v>662</v>
      </c>
      <c r="F16" s="58" t="s">
        <v>532</v>
      </c>
      <c r="G16" s="58" t="s">
        <v>660</v>
      </c>
    </row>
    <row r="17" spans="1:7" x14ac:dyDescent="0.2">
      <c r="A17" s="59">
        <f t="shared" si="0"/>
        <v>16</v>
      </c>
      <c r="B17" s="58" t="s">
        <v>102</v>
      </c>
      <c r="C17" s="58" t="s">
        <v>102</v>
      </c>
      <c r="D17" s="58" t="s">
        <v>668</v>
      </c>
      <c r="E17" s="58" t="s">
        <v>669</v>
      </c>
      <c r="F17" s="58" t="s">
        <v>547</v>
      </c>
      <c r="G17" s="58" t="s">
        <v>667</v>
      </c>
    </row>
    <row r="18" spans="1:7" customFormat="1" ht="12.5" x14ac:dyDescent="0.25">
      <c r="A18" s="59">
        <f t="shared" si="0"/>
        <v>17</v>
      </c>
      <c r="B18" s="58" t="s">
        <v>106</v>
      </c>
      <c r="C18" s="58" t="s">
        <v>395</v>
      </c>
      <c r="D18" s="58"/>
      <c r="E18" s="58"/>
      <c r="F18" s="58" t="s">
        <v>548</v>
      </c>
      <c r="G18" s="58"/>
    </row>
    <row r="19" spans="1:7" x14ac:dyDescent="0.2">
      <c r="A19" s="59">
        <f t="shared" si="0"/>
        <v>18</v>
      </c>
      <c r="B19" s="58" t="s">
        <v>107</v>
      </c>
      <c r="C19" s="58" t="s">
        <v>460</v>
      </c>
      <c r="D19" s="58" t="s">
        <v>680</v>
      </c>
      <c r="E19" s="58" t="s">
        <v>681</v>
      </c>
      <c r="F19" s="58" t="s">
        <v>514</v>
      </c>
      <c r="G19" s="58" t="s">
        <v>679</v>
      </c>
    </row>
    <row r="20" spans="1:7" x14ac:dyDescent="0.2">
      <c r="A20" s="59">
        <f t="shared" si="0"/>
        <v>19</v>
      </c>
      <c r="B20" s="58" t="s">
        <v>108</v>
      </c>
      <c r="C20" s="58" t="s">
        <v>396</v>
      </c>
      <c r="D20" s="58" t="s">
        <v>683</v>
      </c>
      <c r="E20" s="58" t="s">
        <v>684</v>
      </c>
      <c r="F20" s="58" t="s">
        <v>549</v>
      </c>
      <c r="G20" s="58" t="s">
        <v>682</v>
      </c>
    </row>
    <row r="21" spans="1:7" x14ac:dyDescent="0.2">
      <c r="A21" s="59">
        <f t="shared" si="0"/>
        <v>20</v>
      </c>
      <c r="B21" s="58" t="s">
        <v>111</v>
      </c>
      <c r="C21" s="58" t="s">
        <v>111</v>
      </c>
      <c r="D21" s="58" t="s">
        <v>690</v>
      </c>
      <c r="E21" s="58" t="s">
        <v>691</v>
      </c>
      <c r="F21" s="58" t="s">
        <v>550</v>
      </c>
      <c r="G21" s="58" t="s">
        <v>689</v>
      </c>
    </row>
    <row r="22" spans="1:7" customFormat="1" ht="12.5" x14ac:dyDescent="0.25">
      <c r="A22" s="59">
        <f t="shared" si="0"/>
        <v>21</v>
      </c>
      <c r="B22" s="58" t="s">
        <v>113</v>
      </c>
      <c r="C22" s="58" t="s">
        <v>461</v>
      </c>
      <c r="D22" s="58" t="s">
        <v>552</v>
      </c>
      <c r="E22" s="58"/>
      <c r="F22" s="58" t="s">
        <v>552</v>
      </c>
      <c r="G22" s="58"/>
    </row>
    <row r="23" spans="1:7" x14ac:dyDescent="0.2">
      <c r="A23" s="59">
        <f t="shared" si="0"/>
        <v>22</v>
      </c>
      <c r="B23" s="58" t="s">
        <v>115</v>
      </c>
      <c r="C23" s="58" t="s">
        <v>115</v>
      </c>
      <c r="D23" s="58" t="s">
        <v>695</v>
      </c>
      <c r="E23" s="58" t="s">
        <v>696</v>
      </c>
      <c r="F23" s="58" t="s">
        <v>553</v>
      </c>
      <c r="G23" s="58" t="s">
        <v>694</v>
      </c>
    </row>
    <row r="24" spans="1:7" x14ac:dyDescent="0.2">
      <c r="A24" s="59">
        <f t="shared" si="0"/>
        <v>23</v>
      </c>
      <c r="B24" s="58" t="s">
        <v>117</v>
      </c>
      <c r="C24" s="58" t="s">
        <v>466</v>
      </c>
      <c r="D24" s="58" t="s">
        <v>702</v>
      </c>
      <c r="E24" s="58" t="s">
        <v>703</v>
      </c>
      <c r="F24" s="58" t="s">
        <v>554</v>
      </c>
      <c r="G24" s="58" t="s">
        <v>701</v>
      </c>
    </row>
    <row r="25" spans="1:7" customFormat="1" ht="12.5" x14ac:dyDescent="0.25">
      <c r="A25" s="59">
        <f t="shared" si="0"/>
        <v>24</v>
      </c>
      <c r="B25" s="58" t="s">
        <v>120</v>
      </c>
      <c r="C25" s="58" t="s">
        <v>447</v>
      </c>
      <c r="D25" s="58" t="s">
        <v>555</v>
      </c>
      <c r="E25" s="58"/>
      <c r="F25" s="58" t="s">
        <v>555</v>
      </c>
      <c r="G25" s="58"/>
    </row>
    <row r="26" spans="1:7" customFormat="1" ht="12.5" x14ac:dyDescent="0.25">
      <c r="A26" s="59">
        <f t="shared" si="0"/>
        <v>25</v>
      </c>
      <c r="B26" s="58" t="s">
        <v>123</v>
      </c>
      <c r="C26" s="58" t="s">
        <v>397</v>
      </c>
      <c r="D26" s="58" t="s">
        <v>556</v>
      </c>
      <c r="E26" s="58"/>
      <c r="F26" s="58" t="s">
        <v>556</v>
      </c>
      <c r="G26" s="58"/>
    </row>
    <row r="27" spans="1:7" customFormat="1" ht="12.5" x14ac:dyDescent="0.25">
      <c r="A27" s="59">
        <f t="shared" si="0"/>
        <v>26</v>
      </c>
      <c r="B27" s="58" t="s">
        <v>125</v>
      </c>
      <c r="C27" s="58" t="s">
        <v>125</v>
      </c>
      <c r="D27" s="58" t="s">
        <v>551</v>
      </c>
      <c r="E27" s="58"/>
      <c r="F27" s="58" t="s">
        <v>551</v>
      </c>
      <c r="G27" s="58"/>
    </row>
    <row r="28" spans="1:7" x14ac:dyDescent="0.2">
      <c r="A28" s="59">
        <f t="shared" si="0"/>
        <v>27</v>
      </c>
      <c r="B28" s="58" t="s">
        <v>128</v>
      </c>
      <c r="C28" s="58" t="s">
        <v>407</v>
      </c>
      <c r="D28" s="58" t="s">
        <v>710</v>
      </c>
      <c r="E28" s="58" t="s">
        <v>711</v>
      </c>
      <c r="F28" s="58" t="s">
        <v>515</v>
      </c>
      <c r="G28" s="58" t="s">
        <v>709</v>
      </c>
    </row>
    <row r="29" spans="1:7" x14ac:dyDescent="0.2">
      <c r="A29" s="59">
        <f t="shared" si="0"/>
        <v>28</v>
      </c>
      <c r="B29" s="58" t="s">
        <v>130</v>
      </c>
      <c r="C29" s="58" t="s">
        <v>453</v>
      </c>
      <c r="D29" s="58" t="s">
        <v>715</v>
      </c>
      <c r="E29" s="58" t="s">
        <v>716</v>
      </c>
      <c r="F29" s="58" t="s">
        <v>714</v>
      </c>
      <c r="G29" s="58" t="s">
        <v>713</v>
      </c>
    </row>
    <row r="30" spans="1:7" x14ac:dyDescent="0.2">
      <c r="A30" s="59">
        <f t="shared" si="0"/>
        <v>29</v>
      </c>
      <c r="B30" s="58" t="s">
        <v>132</v>
      </c>
      <c r="C30" s="58" t="s">
        <v>477</v>
      </c>
      <c r="D30" s="58" t="s">
        <v>725</v>
      </c>
      <c r="E30" s="58" t="s">
        <v>726</v>
      </c>
      <c r="F30" s="58" t="s">
        <v>535</v>
      </c>
      <c r="G30" s="58" t="s">
        <v>724</v>
      </c>
    </row>
    <row r="31" spans="1:7" x14ac:dyDescent="0.2">
      <c r="A31" s="59">
        <f t="shared" si="0"/>
        <v>30</v>
      </c>
      <c r="B31" s="58" t="s">
        <v>135</v>
      </c>
      <c r="C31" s="58" t="s">
        <v>135</v>
      </c>
      <c r="D31" s="58" t="s">
        <v>720</v>
      </c>
      <c r="E31" s="58" t="s">
        <v>721</v>
      </c>
      <c r="F31" s="58" t="s">
        <v>516</v>
      </c>
      <c r="G31" s="58" t="s">
        <v>719</v>
      </c>
    </row>
    <row r="32" spans="1:7" x14ac:dyDescent="0.2">
      <c r="A32" s="59">
        <f t="shared" si="0"/>
        <v>31</v>
      </c>
      <c r="B32" s="58" t="s">
        <v>138</v>
      </c>
      <c r="C32" s="58" t="s">
        <v>138</v>
      </c>
      <c r="D32" s="58" t="s">
        <v>731</v>
      </c>
      <c r="E32" s="58" t="s">
        <v>732</v>
      </c>
      <c r="F32" s="58" t="s">
        <v>730</v>
      </c>
      <c r="G32" s="58" t="s">
        <v>729</v>
      </c>
    </row>
    <row r="33" spans="1:7" x14ac:dyDescent="0.2">
      <c r="A33" s="59">
        <f t="shared" si="0"/>
        <v>32</v>
      </c>
      <c r="B33" s="58" t="s">
        <v>139</v>
      </c>
      <c r="C33" s="58" t="s">
        <v>139</v>
      </c>
      <c r="D33" s="58" t="s">
        <v>741</v>
      </c>
      <c r="E33" s="58" t="s">
        <v>742</v>
      </c>
      <c r="F33" s="58" t="s">
        <v>740</v>
      </c>
      <c r="G33" s="58" t="s">
        <v>739</v>
      </c>
    </row>
    <row r="34" spans="1:7" x14ac:dyDescent="0.2">
      <c r="A34" s="59">
        <f t="shared" si="0"/>
        <v>33</v>
      </c>
      <c r="B34" s="58" t="s">
        <v>141</v>
      </c>
      <c r="C34" s="58" t="s">
        <v>141</v>
      </c>
      <c r="D34" s="58" t="s">
        <v>750</v>
      </c>
      <c r="E34" s="58" t="s">
        <v>751</v>
      </c>
      <c r="F34" s="58" t="s">
        <v>749</v>
      </c>
      <c r="G34" s="58" t="s">
        <v>748</v>
      </c>
    </row>
    <row r="35" spans="1:7" x14ac:dyDescent="0.2">
      <c r="A35" s="59">
        <f t="shared" si="0"/>
        <v>34</v>
      </c>
      <c r="B35" s="58" t="s">
        <v>143</v>
      </c>
      <c r="C35" s="58" t="s">
        <v>391</v>
      </c>
      <c r="D35" s="58" t="s">
        <v>760</v>
      </c>
      <c r="E35" s="58" t="s">
        <v>761</v>
      </c>
      <c r="F35" s="58" t="s">
        <v>517</v>
      </c>
      <c r="G35" s="58" t="s">
        <v>759</v>
      </c>
    </row>
    <row r="36" spans="1:7" customFormat="1" ht="12.5" x14ac:dyDescent="0.25">
      <c r="A36" s="59">
        <f t="shared" si="0"/>
        <v>35</v>
      </c>
      <c r="B36" s="58" t="s">
        <v>145</v>
      </c>
      <c r="C36" s="58" t="s">
        <v>145</v>
      </c>
      <c r="D36" s="58" t="s">
        <v>1100</v>
      </c>
      <c r="E36" s="58"/>
      <c r="F36" s="58"/>
      <c r="G36" s="58"/>
    </row>
    <row r="37" spans="1:7" customFormat="1" ht="12.5" x14ac:dyDescent="0.25">
      <c r="A37" s="59">
        <f t="shared" si="0"/>
        <v>36</v>
      </c>
      <c r="B37" s="58" t="s">
        <v>147</v>
      </c>
      <c r="C37" s="58" t="s">
        <v>440</v>
      </c>
      <c r="D37" s="58" t="s">
        <v>1101</v>
      </c>
      <c r="E37" s="58"/>
      <c r="F37" s="58"/>
      <c r="G37" s="58"/>
    </row>
    <row r="38" spans="1:7" x14ac:dyDescent="0.2">
      <c r="A38" s="59">
        <f t="shared" si="0"/>
        <v>37</v>
      </c>
      <c r="B38" s="58" t="s">
        <v>150</v>
      </c>
      <c r="C38" s="58" t="s">
        <v>150</v>
      </c>
      <c r="D38" s="58" t="s">
        <v>769</v>
      </c>
      <c r="E38" s="58" t="s">
        <v>770</v>
      </c>
      <c r="F38" s="58" t="s">
        <v>768</v>
      </c>
      <c r="G38" s="58" t="s">
        <v>767</v>
      </c>
    </row>
    <row r="39" spans="1:7" x14ac:dyDescent="0.2">
      <c r="A39" s="59">
        <f t="shared" si="0"/>
        <v>38</v>
      </c>
      <c r="B39" s="58" t="s">
        <v>152</v>
      </c>
      <c r="C39" s="58" t="s">
        <v>152</v>
      </c>
      <c r="D39" s="58" t="s">
        <v>1038</v>
      </c>
      <c r="E39" s="58" t="s">
        <v>1039</v>
      </c>
      <c r="F39" s="58" t="s">
        <v>1037</v>
      </c>
      <c r="G39" s="58" t="s">
        <v>1036</v>
      </c>
    </row>
    <row r="40" spans="1:7" x14ac:dyDescent="0.2">
      <c r="A40" s="59">
        <f t="shared" si="0"/>
        <v>39</v>
      </c>
      <c r="B40" s="58" t="s">
        <v>154</v>
      </c>
      <c r="C40" s="58" t="s">
        <v>154</v>
      </c>
      <c r="D40" s="58" t="s">
        <v>774</v>
      </c>
      <c r="E40" s="58" t="s">
        <v>775</v>
      </c>
      <c r="F40" s="58" t="s">
        <v>773</v>
      </c>
      <c r="G40" s="58" t="s">
        <v>772</v>
      </c>
    </row>
    <row r="41" spans="1:7" customFormat="1" ht="12.5" x14ac:dyDescent="0.25">
      <c r="A41" s="59">
        <f t="shared" si="0"/>
        <v>40</v>
      </c>
      <c r="B41" s="58" t="s">
        <v>156</v>
      </c>
      <c r="C41" s="58" t="s">
        <v>156</v>
      </c>
      <c r="D41" s="58" t="s">
        <v>1102</v>
      </c>
      <c r="E41" s="58"/>
      <c r="F41" s="58"/>
      <c r="G41" s="58"/>
    </row>
    <row r="42" spans="1:7" x14ac:dyDescent="0.2">
      <c r="A42" s="59">
        <f t="shared" si="0"/>
        <v>41</v>
      </c>
      <c r="B42" s="58" t="s">
        <v>158</v>
      </c>
      <c r="C42" s="58" t="s">
        <v>158</v>
      </c>
      <c r="D42" s="58" t="s">
        <v>782</v>
      </c>
      <c r="E42" s="58" t="s">
        <v>783</v>
      </c>
      <c r="F42" s="58" t="s">
        <v>781</v>
      </c>
      <c r="G42" s="58" t="s">
        <v>780</v>
      </c>
    </row>
    <row r="43" spans="1:7" customFormat="1" ht="12.5" x14ac:dyDescent="0.25">
      <c r="A43" s="59">
        <f t="shared" si="0"/>
        <v>42</v>
      </c>
      <c r="B43" s="58" t="s">
        <v>160</v>
      </c>
      <c r="C43" s="58" t="s">
        <v>160</v>
      </c>
      <c r="D43" s="58" t="s">
        <v>1103</v>
      </c>
      <c r="E43" s="58"/>
      <c r="F43" s="58"/>
      <c r="G43" s="58"/>
    </row>
    <row r="44" spans="1:7" customFormat="1" ht="12.5" x14ac:dyDescent="0.25">
      <c r="A44" s="59">
        <f t="shared" si="0"/>
        <v>43</v>
      </c>
      <c r="B44" s="58" t="s">
        <v>162</v>
      </c>
      <c r="C44" s="58" t="s">
        <v>403</v>
      </c>
      <c r="D44" s="58" t="s">
        <v>1104</v>
      </c>
      <c r="E44" s="58"/>
      <c r="F44" s="58"/>
      <c r="G44" s="58"/>
    </row>
    <row r="45" spans="1:7" x14ac:dyDescent="0.2">
      <c r="A45" s="59">
        <f t="shared" si="0"/>
        <v>44</v>
      </c>
      <c r="B45" s="58" t="s">
        <v>164</v>
      </c>
      <c r="C45" s="58" t="s">
        <v>164</v>
      </c>
      <c r="D45" s="58" t="s">
        <v>789</v>
      </c>
      <c r="E45" s="58" t="s">
        <v>790</v>
      </c>
      <c r="F45" s="58" t="s">
        <v>788</v>
      </c>
      <c r="G45" s="58" t="s">
        <v>787</v>
      </c>
    </row>
    <row r="46" spans="1:7" x14ac:dyDescent="0.2">
      <c r="A46" s="59">
        <f t="shared" si="0"/>
        <v>45</v>
      </c>
      <c r="B46" s="58" t="s">
        <v>167</v>
      </c>
      <c r="C46" s="58" t="s">
        <v>475</v>
      </c>
      <c r="D46" s="58" t="s">
        <v>796</v>
      </c>
      <c r="E46" s="58" t="s">
        <v>797</v>
      </c>
      <c r="F46" s="58" t="s">
        <v>795</v>
      </c>
      <c r="G46" s="58" t="s">
        <v>794</v>
      </c>
    </row>
    <row r="47" spans="1:7" x14ac:dyDescent="0.2">
      <c r="A47" s="59">
        <f t="shared" si="0"/>
        <v>46</v>
      </c>
      <c r="B47" s="58" t="s">
        <v>171</v>
      </c>
      <c r="C47" s="58" t="s">
        <v>171</v>
      </c>
      <c r="D47" s="58" t="s">
        <v>802</v>
      </c>
      <c r="E47" s="58" t="s">
        <v>803</v>
      </c>
      <c r="F47" s="58" t="s">
        <v>801</v>
      </c>
      <c r="G47" s="58" t="s">
        <v>800</v>
      </c>
    </row>
    <row r="48" spans="1:7" x14ac:dyDescent="0.2">
      <c r="A48" s="59">
        <f t="shared" si="0"/>
        <v>47</v>
      </c>
      <c r="B48" s="58" t="s">
        <v>173</v>
      </c>
      <c r="C48" s="58" t="s">
        <v>392</v>
      </c>
      <c r="D48" s="58" t="s">
        <v>813</v>
      </c>
      <c r="E48" s="58" t="s">
        <v>814</v>
      </c>
      <c r="F48" s="58" t="s">
        <v>812</v>
      </c>
      <c r="G48" s="58" t="s">
        <v>811</v>
      </c>
    </row>
    <row r="49" spans="1:7" x14ac:dyDescent="0.2">
      <c r="A49" s="59">
        <f t="shared" si="0"/>
        <v>48</v>
      </c>
      <c r="B49" s="58" t="s">
        <v>174</v>
      </c>
      <c r="C49" s="58" t="s">
        <v>393</v>
      </c>
      <c r="D49" s="58" t="s">
        <v>807</v>
      </c>
      <c r="E49" s="58" t="s">
        <v>808</v>
      </c>
      <c r="F49" s="58" t="s">
        <v>806</v>
      </c>
      <c r="G49" s="58" t="s">
        <v>805</v>
      </c>
    </row>
    <row r="50" spans="1:7" x14ac:dyDescent="0.2">
      <c r="A50" s="59">
        <f t="shared" si="0"/>
        <v>49</v>
      </c>
      <c r="B50" s="58" t="s">
        <v>175</v>
      </c>
      <c r="C50" s="58" t="s">
        <v>398</v>
      </c>
      <c r="D50" s="58" t="s">
        <v>817</v>
      </c>
      <c r="E50" s="58" t="s">
        <v>818</v>
      </c>
      <c r="F50" s="58" t="s">
        <v>816</v>
      </c>
      <c r="G50" s="58" t="s">
        <v>815</v>
      </c>
    </row>
    <row r="51" spans="1:7" x14ac:dyDescent="0.2">
      <c r="A51" s="59">
        <f t="shared" si="0"/>
        <v>50</v>
      </c>
      <c r="B51" s="58" t="s">
        <v>177</v>
      </c>
      <c r="C51" s="58" t="s">
        <v>464</v>
      </c>
      <c r="D51" s="58" t="s">
        <v>821</v>
      </c>
      <c r="E51" s="58" t="s">
        <v>822</v>
      </c>
      <c r="F51" s="58" t="s">
        <v>820</v>
      </c>
      <c r="G51" s="58" t="s">
        <v>819</v>
      </c>
    </row>
    <row r="52" spans="1:7" x14ac:dyDescent="0.2">
      <c r="A52" s="59">
        <f t="shared" si="0"/>
        <v>51</v>
      </c>
      <c r="B52" s="58" t="s">
        <v>180</v>
      </c>
      <c r="C52" s="58" t="s">
        <v>180</v>
      </c>
      <c r="D52" s="58" t="s">
        <v>834</v>
      </c>
      <c r="E52" s="58" t="s">
        <v>835</v>
      </c>
      <c r="F52" s="58" t="s">
        <v>833</v>
      </c>
      <c r="G52" s="58" t="s">
        <v>832</v>
      </c>
    </row>
    <row r="53" spans="1:7" x14ac:dyDescent="0.2">
      <c r="A53" s="59">
        <f t="shared" si="0"/>
        <v>52</v>
      </c>
      <c r="B53" s="58" t="s">
        <v>184</v>
      </c>
      <c r="C53" s="58" t="s">
        <v>446</v>
      </c>
      <c r="D53" s="58" t="s">
        <v>840</v>
      </c>
      <c r="E53" s="58" t="s">
        <v>841</v>
      </c>
      <c r="F53" s="58" t="s">
        <v>839</v>
      </c>
      <c r="G53" s="58" t="s">
        <v>838</v>
      </c>
    </row>
    <row r="54" spans="1:7" x14ac:dyDescent="0.2">
      <c r="A54" s="59">
        <f t="shared" si="0"/>
        <v>53</v>
      </c>
      <c r="B54" s="58" t="s">
        <v>188</v>
      </c>
      <c r="C54" s="58" t="s">
        <v>470</v>
      </c>
      <c r="D54" s="58" t="s">
        <v>848</v>
      </c>
      <c r="E54" s="58" t="s">
        <v>849</v>
      </c>
      <c r="F54" s="58" t="s">
        <v>847</v>
      </c>
      <c r="G54" s="58" t="s">
        <v>846</v>
      </c>
    </row>
    <row r="55" spans="1:7" x14ac:dyDescent="0.2">
      <c r="A55" s="59">
        <f t="shared" si="0"/>
        <v>54</v>
      </c>
      <c r="B55" s="58" t="s">
        <v>193</v>
      </c>
      <c r="C55" s="58" t="s">
        <v>443</v>
      </c>
      <c r="D55" s="58" t="s">
        <v>854</v>
      </c>
      <c r="E55" s="58" t="s">
        <v>855</v>
      </c>
      <c r="F55" s="58" t="s">
        <v>853</v>
      </c>
      <c r="G55" s="58" t="s">
        <v>852</v>
      </c>
    </row>
    <row r="56" spans="1:7" x14ac:dyDescent="0.2">
      <c r="A56" s="59">
        <f t="shared" si="0"/>
        <v>55</v>
      </c>
      <c r="B56" s="58" t="s">
        <v>197</v>
      </c>
      <c r="C56" s="58" t="s">
        <v>481</v>
      </c>
      <c r="D56" s="58" t="s">
        <v>860</v>
      </c>
      <c r="E56" s="58" t="s">
        <v>861</v>
      </c>
      <c r="F56" s="58" t="s">
        <v>859</v>
      </c>
      <c r="G56" s="58" t="s">
        <v>858</v>
      </c>
    </row>
    <row r="57" spans="1:7" x14ac:dyDescent="0.2">
      <c r="A57" s="59">
        <f t="shared" si="0"/>
        <v>56</v>
      </c>
      <c r="B57" s="58" t="s">
        <v>201</v>
      </c>
      <c r="C57" s="58" t="s">
        <v>472</v>
      </c>
      <c r="D57" s="58" t="s">
        <v>864</v>
      </c>
      <c r="E57" s="58" t="s">
        <v>865</v>
      </c>
      <c r="F57" s="58" t="s">
        <v>863</v>
      </c>
      <c r="G57" s="58" t="s">
        <v>862</v>
      </c>
    </row>
    <row r="58" spans="1:7" customFormat="1" ht="12.5" x14ac:dyDescent="0.25">
      <c r="A58" s="59">
        <f t="shared" si="0"/>
        <v>57</v>
      </c>
      <c r="B58" s="58" t="s">
        <v>204</v>
      </c>
      <c r="C58" s="58" t="s">
        <v>399</v>
      </c>
      <c r="D58" s="58"/>
      <c r="E58" s="58"/>
      <c r="F58" s="58"/>
      <c r="G58" s="58"/>
    </row>
    <row r="59" spans="1:7" x14ac:dyDescent="0.2">
      <c r="A59" s="59">
        <f t="shared" si="0"/>
        <v>58</v>
      </c>
      <c r="B59" s="58" t="s">
        <v>208</v>
      </c>
      <c r="C59" s="58" t="s">
        <v>450</v>
      </c>
      <c r="D59" s="58" t="s">
        <v>1032</v>
      </c>
      <c r="E59" s="58" t="s">
        <v>1033</v>
      </c>
      <c r="F59" s="58" t="s">
        <v>529</v>
      </c>
      <c r="G59" s="58" t="s">
        <v>1031</v>
      </c>
    </row>
    <row r="60" spans="1:7" x14ac:dyDescent="0.2">
      <c r="A60" s="59">
        <f t="shared" si="0"/>
        <v>59</v>
      </c>
      <c r="B60" s="58" t="s">
        <v>211</v>
      </c>
      <c r="C60" s="58" t="s">
        <v>471</v>
      </c>
      <c r="D60" s="58" t="s">
        <v>872</v>
      </c>
      <c r="E60" s="58" t="s">
        <v>873</v>
      </c>
      <c r="F60" s="58" t="s">
        <v>871</v>
      </c>
      <c r="G60" s="58" t="s">
        <v>870</v>
      </c>
    </row>
    <row r="61" spans="1:7" x14ac:dyDescent="0.2">
      <c r="A61" s="59">
        <f t="shared" si="0"/>
        <v>60</v>
      </c>
      <c r="B61" s="58" t="s">
        <v>217</v>
      </c>
      <c r="C61" s="58" t="s">
        <v>476</v>
      </c>
      <c r="D61" s="58" t="s">
        <v>876</v>
      </c>
      <c r="E61" s="58" t="s">
        <v>877</v>
      </c>
      <c r="F61" s="58" t="s">
        <v>875</v>
      </c>
      <c r="G61" s="58" t="s">
        <v>874</v>
      </c>
    </row>
    <row r="62" spans="1:7" x14ac:dyDescent="0.2">
      <c r="A62" s="59">
        <f t="shared" si="0"/>
        <v>61</v>
      </c>
      <c r="B62" s="58" t="s">
        <v>221</v>
      </c>
      <c r="C62" s="58" t="s">
        <v>467</v>
      </c>
      <c r="D62" s="58" t="s">
        <v>881</v>
      </c>
      <c r="E62" s="58" t="s">
        <v>882</v>
      </c>
      <c r="F62" s="58" t="s">
        <v>528</v>
      </c>
      <c r="G62" s="58" t="s">
        <v>880</v>
      </c>
    </row>
    <row r="63" spans="1:7" x14ac:dyDescent="0.2">
      <c r="A63" s="59">
        <f t="shared" si="0"/>
        <v>62</v>
      </c>
      <c r="B63" s="58" t="s">
        <v>226</v>
      </c>
      <c r="C63" s="58" t="s">
        <v>473</v>
      </c>
      <c r="D63" s="58" t="s">
        <v>886</v>
      </c>
      <c r="E63" s="58" t="s">
        <v>887</v>
      </c>
      <c r="F63" s="58" t="s">
        <v>526</v>
      </c>
      <c r="G63" s="58" t="s">
        <v>885</v>
      </c>
    </row>
    <row r="64" spans="1:7" x14ac:dyDescent="0.2">
      <c r="A64" s="59">
        <f t="shared" si="0"/>
        <v>63</v>
      </c>
      <c r="B64" s="58" t="s">
        <v>231</v>
      </c>
      <c r="C64" s="58" t="s">
        <v>231</v>
      </c>
      <c r="D64" s="58" t="s">
        <v>1045</v>
      </c>
      <c r="E64" s="58" t="s">
        <v>1046</v>
      </c>
      <c r="F64" s="58" t="s">
        <v>1044</v>
      </c>
      <c r="G64" s="58" t="s">
        <v>1043</v>
      </c>
    </row>
    <row r="65" spans="1:7" x14ac:dyDescent="0.2">
      <c r="A65" s="59">
        <f t="shared" si="0"/>
        <v>64</v>
      </c>
      <c r="B65" s="58" t="s">
        <v>235</v>
      </c>
      <c r="C65" s="58" t="s">
        <v>469</v>
      </c>
      <c r="D65" s="58" t="s">
        <v>890</v>
      </c>
      <c r="E65" s="58" t="s">
        <v>891</v>
      </c>
      <c r="F65" s="58" t="s">
        <v>889</v>
      </c>
      <c r="G65" s="58" t="s">
        <v>888</v>
      </c>
    </row>
    <row r="66" spans="1:7" x14ac:dyDescent="0.2">
      <c r="A66" s="59">
        <f t="shared" si="0"/>
        <v>65</v>
      </c>
      <c r="B66" s="58" t="s">
        <v>240</v>
      </c>
      <c r="C66" s="58" t="s">
        <v>465</v>
      </c>
      <c r="D66" s="58" t="s">
        <v>893</v>
      </c>
      <c r="E66" s="58" t="s">
        <v>894</v>
      </c>
      <c r="F66" s="58" t="s">
        <v>518</v>
      </c>
      <c r="G66" s="58" t="s">
        <v>892</v>
      </c>
    </row>
    <row r="67" spans="1:7" x14ac:dyDescent="0.2">
      <c r="A67" s="59">
        <f t="shared" si="0"/>
        <v>66</v>
      </c>
      <c r="B67" s="58" t="s">
        <v>244</v>
      </c>
      <c r="C67" s="58" t="s">
        <v>468</v>
      </c>
      <c r="D67" s="58" t="s">
        <v>896</v>
      </c>
      <c r="E67" s="58" t="s">
        <v>897</v>
      </c>
      <c r="F67" s="58" t="s">
        <v>534</v>
      </c>
      <c r="G67" s="58" t="s">
        <v>895</v>
      </c>
    </row>
    <row r="68" spans="1:7" x14ac:dyDescent="0.2">
      <c r="A68" s="59">
        <f t="shared" ref="A68:A101" si="1">A67+1</f>
        <v>67</v>
      </c>
      <c r="B68" s="58" t="s">
        <v>247</v>
      </c>
      <c r="C68" s="58" t="s">
        <v>448</v>
      </c>
      <c r="D68" s="58" t="s">
        <v>1023</v>
      </c>
      <c r="E68" s="58" t="s">
        <v>1024</v>
      </c>
      <c r="F68" s="58" t="s">
        <v>1022</v>
      </c>
      <c r="G68" s="58" t="s">
        <v>1021</v>
      </c>
    </row>
    <row r="69" spans="1:7" x14ac:dyDescent="0.2">
      <c r="A69" s="59">
        <f t="shared" si="1"/>
        <v>68</v>
      </c>
      <c r="B69" s="58" t="s">
        <v>252</v>
      </c>
      <c r="C69" s="58" t="s">
        <v>252</v>
      </c>
      <c r="D69" s="58" t="s">
        <v>900</v>
      </c>
      <c r="E69" s="58" t="s">
        <v>901</v>
      </c>
      <c r="F69" s="58" t="s">
        <v>899</v>
      </c>
      <c r="G69" s="58" t="s">
        <v>898</v>
      </c>
    </row>
    <row r="70" spans="1:7" customFormat="1" ht="12.5" x14ac:dyDescent="0.25">
      <c r="A70" s="59">
        <f t="shared" si="1"/>
        <v>69</v>
      </c>
      <c r="B70" s="58" t="s">
        <v>255</v>
      </c>
      <c r="C70" s="58" t="s">
        <v>438</v>
      </c>
      <c r="D70" s="58"/>
      <c r="E70" s="58"/>
      <c r="F70" s="58"/>
      <c r="G70" s="58"/>
    </row>
    <row r="71" spans="1:7" customFormat="1" ht="12.5" x14ac:dyDescent="0.25">
      <c r="A71" s="59">
        <f t="shared" si="1"/>
        <v>70</v>
      </c>
      <c r="B71" s="58" t="s">
        <v>258</v>
      </c>
      <c r="C71" s="58" t="s">
        <v>439</v>
      </c>
      <c r="D71" s="58"/>
      <c r="E71" s="58"/>
      <c r="F71" s="58"/>
      <c r="G71" s="58"/>
    </row>
    <row r="72" spans="1:7" x14ac:dyDescent="0.2">
      <c r="A72" s="59">
        <f t="shared" si="1"/>
        <v>71</v>
      </c>
      <c r="B72" s="58" t="s">
        <v>260</v>
      </c>
      <c r="C72" s="58" t="s">
        <v>400</v>
      </c>
      <c r="D72" s="58" t="s">
        <v>908</v>
      </c>
      <c r="E72" s="58" t="s">
        <v>909</v>
      </c>
      <c r="F72" s="58" t="s">
        <v>524</v>
      </c>
      <c r="G72" s="58" t="s">
        <v>907</v>
      </c>
    </row>
    <row r="73" spans="1:7" x14ac:dyDescent="0.2">
      <c r="A73" s="59">
        <f t="shared" si="1"/>
        <v>72</v>
      </c>
      <c r="B73" s="58" t="s">
        <v>266</v>
      </c>
      <c r="C73" s="58" t="s">
        <v>266</v>
      </c>
      <c r="D73" s="58" t="s">
        <v>912</v>
      </c>
      <c r="E73" s="58" t="s">
        <v>913</v>
      </c>
      <c r="F73" s="58" t="s">
        <v>911</v>
      </c>
      <c r="G73" s="58" t="s">
        <v>910</v>
      </c>
    </row>
    <row r="74" spans="1:7" x14ac:dyDescent="0.2">
      <c r="A74" s="59">
        <f t="shared" si="1"/>
        <v>73</v>
      </c>
      <c r="B74" s="58" t="s">
        <v>271</v>
      </c>
      <c r="C74" s="58" t="s">
        <v>271</v>
      </c>
      <c r="D74" s="58" t="s">
        <v>918</v>
      </c>
      <c r="E74" s="58" t="s">
        <v>919</v>
      </c>
      <c r="F74" s="58" t="s">
        <v>917</v>
      </c>
      <c r="G74" s="58" t="s">
        <v>916</v>
      </c>
    </row>
    <row r="75" spans="1:7" x14ac:dyDescent="0.2">
      <c r="A75" s="59">
        <f t="shared" si="1"/>
        <v>74</v>
      </c>
      <c r="B75" s="58" t="s">
        <v>276</v>
      </c>
      <c r="C75" s="58" t="s">
        <v>276</v>
      </c>
      <c r="D75" s="58" t="s">
        <v>924</v>
      </c>
      <c r="E75" s="58" t="s">
        <v>925</v>
      </c>
      <c r="F75" s="58" t="s">
        <v>923</v>
      </c>
      <c r="G75" s="58" t="s">
        <v>922</v>
      </c>
    </row>
    <row r="76" spans="1:7" x14ac:dyDescent="0.2">
      <c r="A76" s="59">
        <f t="shared" si="1"/>
        <v>75</v>
      </c>
      <c r="B76" s="58" t="s">
        <v>280</v>
      </c>
      <c r="C76" s="58" t="s">
        <v>280</v>
      </c>
      <c r="D76" s="58" t="s">
        <v>1029</v>
      </c>
      <c r="E76" s="58" t="s">
        <v>1030</v>
      </c>
      <c r="F76" s="58" t="s">
        <v>531</v>
      </c>
      <c r="G76" s="58" t="s">
        <v>1028</v>
      </c>
    </row>
    <row r="77" spans="1:7" x14ac:dyDescent="0.2">
      <c r="A77" s="59">
        <f t="shared" si="1"/>
        <v>76</v>
      </c>
      <c r="B77" s="58" t="s">
        <v>285</v>
      </c>
      <c r="C77" s="58" t="s">
        <v>405</v>
      </c>
      <c r="D77" s="58" t="s">
        <v>928</v>
      </c>
      <c r="E77" s="58" t="s">
        <v>929</v>
      </c>
      <c r="F77" s="58" t="s">
        <v>519</v>
      </c>
      <c r="G77" s="58" t="s">
        <v>927</v>
      </c>
    </row>
    <row r="78" spans="1:7" x14ac:dyDescent="0.2">
      <c r="A78" s="59">
        <f t="shared" si="1"/>
        <v>77</v>
      </c>
      <c r="B78" s="58" t="s">
        <v>289</v>
      </c>
      <c r="C78" s="58" t="s">
        <v>451</v>
      </c>
      <c r="D78" s="58" t="s">
        <v>931</v>
      </c>
      <c r="E78" s="58" t="s">
        <v>932</v>
      </c>
      <c r="F78" s="58" t="s">
        <v>520</v>
      </c>
      <c r="G78" s="58" t="s">
        <v>930</v>
      </c>
    </row>
    <row r="79" spans="1:7" x14ac:dyDescent="0.2">
      <c r="A79" s="59">
        <f t="shared" si="1"/>
        <v>78</v>
      </c>
      <c r="B79" s="58" t="s">
        <v>293</v>
      </c>
      <c r="C79" s="58" t="s">
        <v>455</v>
      </c>
      <c r="D79" s="58" t="s">
        <v>936</v>
      </c>
      <c r="E79" s="58" t="s">
        <v>937</v>
      </c>
      <c r="F79" s="58" t="s">
        <v>521</v>
      </c>
      <c r="G79" s="58" t="s">
        <v>935</v>
      </c>
    </row>
    <row r="80" spans="1:7" x14ac:dyDescent="0.2">
      <c r="A80" s="59">
        <f t="shared" si="1"/>
        <v>79</v>
      </c>
      <c r="B80" s="58" t="s">
        <v>297</v>
      </c>
      <c r="C80" s="58" t="s">
        <v>478</v>
      </c>
      <c r="D80" s="58" t="s">
        <v>941</v>
      </c>
      <c r="E80" s="58" t="s">
        <v>942</v>
      </c>
      <c r="F80" s="58" t="s">
        <v>522</v>
      </c>
      <c r="G80" s="58" t="s">
        <v>940</v>
      </c>
    </row>
    <row r="81" spans="1:7" x14ac:dyDescent="0.2">
      <c r="A81" s="59">
        <f t="shared" si="1"/>
        <v>80</v>
      </c>
      <c r="B81" s="58" t="s">
        <v>302</v>
      </c>
      <c r="C81" s="58" t="s">
        <v>458</v>
      </c>
      <c r="D81" s="58" t="s">
        <v>947</v>
      </c>
      <c r="E81" s="58" t="s">
        <v>948</v>
      </c>
      <c r="F81" s="58" t="s">
        <v>946</v>
      </c>
      <c r="G81" s="58" t="s">
        <v>945</v>
      </c>
    </row>
    <row r="82" spans="1:7" customFormat="1" ht="12.5" x14ac:dyDescent="0.25">
      <c r="A82" s="59">
        <f t="shared" si="1"/>
        <v>81</v>
      </c>
      <c r="B82" s="58" t="s">
        <v>306</v>
      </c>
      <c r="C82" s="58" t="s">
        <v>449</v>
      </c>
      <c r="D82" s="58"/>
      <c r="E82" s="58"/>
      <c r="F82" s="58"/>
      <c r="G82" s="58"/>
    </row>
    <row r="83" spans="1:7" x14ac:dyDescent="0.2">
      <c r="A83" s="59">
        <f t="shared" si="1"/>
        <v>82</v>
      </c>
      <c r="B83" s="58" t="s">
        <v>311</v>
      </c>
      <c r="C83" s="58" t="s">
        <v>311</v>
      </c>
      <c r="D83" s="58" t="s">
        <v>953</v>
      </c>
      <c r="E83" s="58" t="s">
        <v>954</v>
      </c>
      <c r="F83" s="58" t="s">
        <v>952</v>
      </c>
      <c r="G83" s="58" t="s">
        <v>951</v>
      </c>
    </row>
    <row r="84" spans="1:7" customFormat="1" ht="12.5" x14ac:dyDescent="0.25">
      <c r="A84" s="59">
        <f t="shared" si="1"/>
        <v>83</v>
      </c>
      <c r="B84" s="58" t="s">
        <v>314</v>
      </c>
      <c r="C84" s="58" t="s">
        <v>445</v>
      </c>
      <c r="D84" s="58"/>
      <c r="E84" s="58"/>
      <c r="F84" s="58"/>
      <c r="G84" s="58"/>
    </row>
    <row r="85" spans="1:7" x14ac:dyDescent="0.2">
      <c r="A85" s="59">
        <f t="shared" si="1"/>
        <v>84</v>
      </c>
      <c r="B85" s="58" t="s">
        <v>317</v>
      </c>
      <c r="C85" s="58" t="s">
        <v>457</v>
      </c>
      <c r="D85" s="58" t="s">
        <v>957</v>
      </c>
      <c r="E85" s="58" t="s">
        <v>958</v>
      </c>
      <c r="F85" s="58" t="s">
        <v>956</v>
      </c>
      <c r="G85" s="58" t="s">
        <v>955</v>
      </c>
    </row>
    <row r="86" spans="1:7" x14ac:dyDescent="0.2">
      <c r="A86" s="59">
        <f t="shared" si="1"/>
        <v>85</v>
      </c>
      <c r="B86" s="58" t="s">
        <v>321</v>
      </c>
      <c r="C86" s="58" t="s">
        <v>321</v>
      </c>
      <c r="D86" s="58" t="s">
        <v>975</v>
      </c>
      <c r="E86" s="58" t="s">
        <v>976</v>
      </c>
      <c r="F86" s="58" t="s">
        <v>974</v>
      </c>
      <c r="G86" s="58" t="s">
        <v>973</v>
      </c>
    </row>
    <row r="87" spans="1:7" x14ac:dyDescent="0.2">
      <c r="A87" s="59">
        <f t="shared" si="1"/>
        <v>86</v>
      </c>
      <c r="B87" s="58" t="s">
        <v>324</v>
      </c>
      <c r="C87" s="58" t="s">
        <v>406</v>
      </c>
      <c r="D87" s="58" t="s">
        <v>963</v>
      </c>
      <c r="E87" s="58" t="s">
        <v>964</v>
      </c>
      <c r="F87" s="58" t="s">
        <v>536</v>
      </c>
      <c r="G87" s="58" t="s">
        <v>962</v>
      </c>
    </row>
    <row r="88" spans="1:7" x14ac:dyDescent="0.2">
      <c r="A88" s="59">
        <f t="shared" si="1"/>
        <v>87</v>
      </c>
      <c r="B88" s="58" t="s">
        <v>329</v>
      </c>
      <c r="C88" s="58" t="s">
        <v>444</v>
      </c>
      <c r="D88" s="58" t="s">
        <v>967</v>
      </c>
      <c r="E88" s="58" t="s">
        <v>968</v>
      </c>
      <c r="F88" s="58" t="s">
        <v>525</v>
      </c>
      <c r="G88" s="58" t="s">
        <v>966</v>
      </c>
    </row>
    <row r="89" spans="1:7" x14ac:dyDescent="0.2">
      <c r="A89" s="59">
        <f t="shared" si="1"/>
        <v>88</v>
      </c>
      <c r="B89" s="58" t="s">
        <v>334</v>
      </c>
      <c r="C89" s="58" t="s">
        <v>334</v>
      </c>
      <c r="D89" s="58" t="s">
        <v>971</v>
      </c>
      <c r="E89" s="58" t="s">
        <v>972</v>
      </c>
      <c r="F89" s="58" t="s">
        <v>970</v>
      </c>
      <c r="G89" s="58" t="s">
        <v>969</v>
      </c>
    </row>
    <row r="90" spans="1:7" x14ac:dyDescent="0.2">
      <c r="A90" s="59">
        <f t="shared" si="1"/>
        <v>89</v>
      </c>
      <c r="B90" s="58" t="s">
        <v>338</v>
      </c>
      <c r="C90" s="58" t="s">
        <v>483</v>
      </c>
      <c r="D90" s="58" t="s">
        <v>673</v>
      </c>
      <c r="E90" s="58" t="s">
        <v>674</v>
      </c>
      <c r="F90" s="58" t="s">
        <v>672</v>
      </c>
      <c r="G90" s="58" t="s">
        <v>671</v>
      </c>
    </row>
    <row r="91" spans="1:7" x14ac:dyDescent="0.2">
      <c r="A91" s="59">
        <f t="shared" si="1"/>
        <v>90</v>
      </c>
      <c r="B91" s="58" t="s">
        <v>340</v>
      </c>
      <c r="C91" s="58" t="s">
        <v>480</v>
      </c>
      <c r="D91" s="58" t="s">
        <v>1000</v>
      </c>
      <c r="E91" s="58" t="s">
        <v>1001</v>
      </c>
      <c r="F91" s="58" t="s">
        <v>999</v>
      </c>
      <c r="G91" s="58" t="s">
        <v>998</v>
      </c>
    </row>
    <row r="92" spans="1:7" customFormat="1" ht="12.5" x14ac:dyDescent="0.25">
      <c r="A92" s="59">
        <f t="shared" si="1"/>
        <v>91</v>
      </c>
      <c r="B92" s="58" t="s">
        <v>344</v>
      </c>
      <c r="C92" s="58" t="s">
        <v>452</v>
      </c>
      <c r="D92" s="58"/>
      <c r="E92" s="58"/>
      <c r="F92" s="58"/>
      <c r="G92" s="58"/>
    </row>
    <row r="93" spans="1:7" x14ac:dyDescent="0.2">
      <c r="A93" s="59">
        <f t="shared" si="1"/>
        <v>92</v>
      </c>
      <c r="B93" s="58" t="s">
        <v>347</v>
      </c>
      <c r="C93" s="58" t="s">
        <v>441</v>
      </c>
      <c r="D93" s="58" t="s">
        <v>983</v>
      </c>
      <c r="E93" s="58" t="s">
        <v>984</v>
      </c>
      <c r="F93" s="58" t="s">
        <v>982</v>
      </c>
      <c r="G93" s="58" t="s">
        <v>981</v>
      </c>
    </row>
    <row r="94" spans="1:7" x14ac:dyDescent="0.2">
      <c r="A94" s="59">
        <f t="shared" si="1"/>
        <v>93</v>
      </c>
      <c r="B94" s="58" t="s">
        <v>351</v>
      </c>
      <c r="C94" s="58" t="s">
        <v>351</v>
      </c>
      <c r="D94" s="58" t="s">
        <v>987</v>
      </c>
      <c r="E94" s="58" t="s">
        <v>988</v>
      </c>
      <c r="F94" s="58" t="s">
        <v>986</v>
      </c>
      <c r="G94" s="58" t="s">
        <v>985</v>
      </c>
    </row>
    <row r="95" spans="1:7" x14ac:dyDescent="0.2">
      <c r="A95" s="59">
        <f t="shared" si="1"/>
        <v>94</v>
      </c>
      <c r="B95" s="58" t="s">
        <v>356</v>
      </c>
      <c r="C95" s="58" t="s">
        <v>394</v>
      </c>
      <c r="D95" s="58" t="s">
        <v>991</v>
      </c>
      <c r="E95" s="58" t="s">
        <v>992</v>
      </c>
      <c r="F95" s="58" t="s">
        <v>990</v>
      </c>
      <c r="G95" s="58" t="s">
        <v>989</v>
      </c>
    </row>
    <row r="96" spans="1:7" x14ac:dyDescent="0.2">
      <c r="A96" s="59">
        <f t="shared" si="1"/>
        <v>95</v>
      </c>
      <c r="B96" s="58" t="s">
        <v>361</v>
      </c>
      <c r="C96" s="58" t="s">
        <v>361</v>
      </c>
      <c r="D96" s="58" t="s">
        <v>979</v>
      </c>
      <c r="E96" s="58" t="s">
        <v>980</v>
      </c>
      <c r="F96" s="58" t="s">
        <v>978</v>
      </c>
      <c r="G96" s="58" t="s">
        <v>977</v>
      </c>
    </row>
    <row r="97" spans="1:7" x14ac:dyDescent="0.2">
      <c r="A97" s="59">
        <f t="shared" si="1"/>
        <v>96</v>
      </c>
      <c r="B97" s="58" t="s">
        <v>366</v>
      </c>
      <c r="C97" s="58" t="s">
        <v>442</v>
      </c>
      <c r="D97" s="58" t="s">
        <v>996</v>
      </c>
      <c r="E97" s="58" t="s">
        <v>997</v>
      </c>
      <c r="F97" s="58" t="s">
        <v>533</v>
      </c>
      <c r="G97" s="58" t="s">
        <v>995</v>
      </c>
    </row>
    <row r="98" spans="1:7" x14ac:dyDescent="0.2">
      <c r="A98" s="59">
        <f t="shared" si="1"/>
        <v>97</v>
      </c>
      <c r="B98" s="58" t="s">
        <v>371</v>
      </c>
      <c r="C98" s="58" t="s">
        <v>462</v>
      </c>
      <c r="D98" s="58" t="s">
        <v>1017</v>
      </c>
      <c r="E98" s="58" t="s">
        <v>1018</v>
      </c>
      <c r="F98" s="58" t="s">
        <v>1016</v>
      </c>
      <c r="G98" s="58" t="s">
        <v>1015</v>
      </c>
    </row>
    <row r="99" spans="1:7" x14ac:dyDescent="0.2">
      <c r="A99" s="59">
        <f t="shared" si="1"/>
        <v>98</v>
      </c>
      <c r="B99" s="58" t="s">
        <v>375</v>
      </c>
      <c r="C99" s="58" t="s">
        <v>479</v>
      </c>
      <c r="D99" s="58" t="s">
        <v>1006</v>
      </c>
      <c r="E99" s="58" t="s">
        <v>1007</v>
      </c>
      <c r="F99" s="58" t="s">
        <v>1005</v>
      </c>
      <c r="G99" s="58" t="s">
        <v>1004</v>
      </c>
    </row>
    <row r="100" spans="1:7" x14ac:dyDescent="0.2">
      <c r="A100" s="59">
        <f t="shared" si="1"/>
        <v>99</v>
      </c>
      <c r="B100" s="58" t="s">
        <v>379</v>
      </c>
      <c r="C100" s="58" t="s">
        <v>379</v>
      </c>
      <c r="D100" s="58" t="s">
        <v>1009</v>
      </c>
      <c r="E100" s="58" t="s">
        <v>1010</v>
      </c>
      <c r="F100" s="58" t="s">
        <v>523</v>
      </c>
      <c r="G100" s="58" t="s">
        <v>1008</v>
      </c>
    </row>
    <row r="101" spans="1:7" x14ac:dyDescent="0.2">
      <c r="A101" s="59">
        <f t="shared" si="1"/>
        <v>100</v>
      </c>
      <c r="B101" s="58" t="s">
        <v>385</v>
      </c>
      <c r="C101" s="58" t="s">
        <v>385</v>
      </c>
      <c r="D101" s="58" t="s">
        <v>1013</v>
      </c>
      <c r="E101" s="58" t="s">
        <v>1014</v>
      </c>
      <c r="F101" s="58" t="s">
        <v>1012</v>
      </c>
      <c r="G101" s="58" t="s">
        <v>1011</v>
      </c>
    </row>
    <row r="102" spans="1:7" x14ac:dyDescent="0.2">
      <c r="A102" s="59"/>
    </row>
    <row r="103" spans="1:7" x14ac:dyDescent="0.2">
      <c r="A103" s="59"/>
    </row>
    <row r="104" spans="1:7" x14ac:dyDescent="0.2">
      <c r="A104" s="59"/>
    </row>
    <row r="105" spans="1:7" x14ac:dyDescent="0.2">
      <c r="A105" s="59"/>
    </row>
    <row r="106" spans="1:7" x14ac:dyDescent="0.2">
      <c r="A106" s="59"/>
    </row>
    <row r="107" spans="1:7" x14ac:dyDescent="0.2">
      <c r="A107" s="59"/>
    </row>
    <row r="108" spans="1:7" x14ac:dyDescent="0.2">
      <c r="A108" s="59"/>
    </row>
    <row r="109" spans="1:7" x14ac:dyDescent="0.2">
      <c r="A109" s="59"/>
    </row>
    <row r="110" spans="1:7" x14ac:dyDescent="0.2">
      <c r="A110" s="59"/>
    </row>
    <row r="111" spans="1:7" x14ac:dyDescent="0.2">
      <c r="A111" s="59"/>
    </row>
    <row r="112" spans="1:7" x14ac:dyDescent="0.2">
      <c r="A112" s="59"/>
    </row>
    <row r="113" spans="1:1" x14ac:dyDescent="0.2">
      <c r="A113" s="59"/>
    </row>
    <row r="114" spans="1:1" x14ac:dyDescent="0.2">
      <c r="A114" s="59"/>
    </row>
    <row r="115" spans="1:1" x14ac:dyDescent="0.2">
      <c r="A115" s="59"/>
    </row>
    <row r="116" spans="1:1" x14ac:dyDescent="0.2">
      <c r="A116" s="59"/>
    </row>
    <row r="1048545" spans="1:1" x14ac:dyDescent="0.2">
      <c r="A1048545" s="60"/>
    </row>
    <row r="1048561" spans="1:1" x14ac:dyDescent="0.2">
      <c r="A1048561" s="60"/>
    </row>
    <row r="1048562" spans="1:1" x14ac:dyDescent="0.2">
      <c r="A1048562" s="59"/>
    </row>
    <row r="1048563" spans="1:1" x14ac:dyDescent="0.2">
      <c r="A1048563" s="59"/>
    </row>
    <row r="1048564" spans="1:1" x14ac:dyDescent="0.2">
      <c r="A1048564" s="59"/>
    </row>
    <row r="1048565" spans="1:1" x14ac:dyDescent="0.2">
      <c r="A1048565" s="59"/>
    </row>
    <row r="1048566" spans="1:1" x14ac:dyDescent="0.2">
      <c r="A1048566" s="59"/>
    </row>
    <row r="1048567" spans="1:1" x14ac:dyDescent="0.2">
      <c r="A1048567" s="59"/>
    </row>
    <row r="1048568" spans="1:1" x14ac:dyDescent="0.2">
      <c r="A1048568" s="59"/>
    </row>
    <row r="1048569" spans="1:1" x14ac:dyDescent="0.2">
      <c r="A1048569" s="59"/>
    </row>
    <row r="1048570" spans="1:1" x14ac:dyDescent="0.2">
      <c r="A1048570" s="59"/>
    </row>
    <row r="1048571" spans="1:1" x14ac:dyDescent="0.2">
      <c r="A1048571" s="59"/>
    </row>
    <row r="1048572" spans="1:1" x14ac:dyDescent="0.2">
      <c r="A1048572" s="59"/>
    </row>
    <row r="1048573" spans="1:1" x14ac:dyDescent="0.2">
      <c r="A1048573" s="59"/>
    </row>
    <row r="1048574" spans="1:1" x14ac:dyDescent="0.2">
      <c r="A1048574" s="59"/>
    </row>
    <row r="1048575" spans="1:1" x14ac:dyDescent="0.2">
      <c r="A1048575" s="59"/>
    </row>
    <row r="1048576" spans="1:1" x14ac:dyDescent="0.2">
      <c r="A1048576" s="5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992EC-4882-4972-9F54-30E0A3786B1B}">
  <dimension ref="A1:BA191"/>
  <sheetViews>
    <sheetView showGridLines="0" tabSelected="1" workbookViewId="0"/>
  </sheetViews>
  <sheetFormatPr defaultRowHeight="12.5" x14ac:dyDescent="0.25"/>
  <sheetData>
    <row r="1" spans="1:53" x14ac:dyDescent="0.25">
      <c r="A1" s="70" t="s">
        <v>557</v>
      </c>
      <c r="B1" s="70" t="s">
        <v>1106</v>
      </c>
      <c r="C1" s="70" t="s">
        <v>1107</v>
      </c>
      <c r="D1" s="70" t="s">
        <v>1108</v>
      </c>
      <c r="E1" s="82" t="s">
        <v>1109</v>
      </c>
      <c r="F1" s="70" t="s">
        <v>1110</v>
      </c>
      <c r="G1" s="82" t="s">
        <v>1111</v>
      </c>
      <c r="H1" s="82" t="s">
        <v>1112</v>
      </c>
      <c r="I1" s="82" t="s">
        <v>1113</v>
      </c>
      <c r="J1" s="82" t="s">
        <v>1114</v>
      </c>
      <c r="K1" s="82" t="s">
        <v>1115</v>
      </c>
      <c r="L1" s="70" t="s">
        <v>1116</v>
      </c>
      <c r="M1" s="70" t="s">
        <v>1117</v>
      </c>
      <c r="N1" s="70" t="s">
        <v>1118</v>
      </c>
      <c r="O1" s="70" t="s">
        <v>1119</v>
      </c>
      <c r="P1" s="70" t="s">
        <v>1120</v>
      </c>
      <c r="Q1" s="70" t="s">
        <v>1121</v>
      </c>
      <c r="R1" s="70" t="s">
        <v>1122</v>
      </c>
      <c r="S1" s="70" t="s">
        <v>1123</v>
      </c>
      <c r="T1" s="70" t="s">
        <v>1124</v>
      </c>
      <c r="U1" s="70" t="s">
        <v>1125</v>
      </c>
      <c r="V1" s="83"/>
      <c r="W1" s="83"/>
      <c r="X1" s="83"/>
      <c r="Y1" s="83"/>
      <c r="Z1" s="83"/>
      <c r="AA1" s="83"/>
      <c r="AB1" s="83"/>
      <c r="AC1" s="83"/>
      <c r="AD1" s="83"/>
      <c r="AE1" s="83"/>
      <c r="AF1" s="83"/>
      <c r="AG1" s="83"/>
      <c r="AH1" s="83"/>
      <c r="AI1" s="83"/>
      <c r="AJ1" s="83"/>
      <c r="AK1" s="83"/>
      <c r="AL1" s="83"/>
      <c r="AM1" s="83"/>
      <c r="AN1" s="83"/>
      <c r="AO1" s="83"/>
      <c r="AP1" s="83"/>
      <c r="AQ1" s="83"/>
      <c r="AR1" s="83"/>
      <c r="AS1" s="34"/>
      <c r="AT1" s="34"/>
      <c r="AU1" s="34"/>
      <c r="AV1" s="34"/>
      <c r="AW1" s="34"/>
      <c r="AX1" s="34"/>
      <c r="AY1" s="34"/>
      <c r="AZ1" s="34"/>
      <c r="BA1" s="34"/>
    </row>
    <row r="2" spans="1:53" x14ac:dyDescent="0.25">
      <c r="A2" s="61">
        <v>1</v>
      </c>
      <c r="B2" s="61" t="s">
        <v>1126</v>
      </c>
      <c r="C2" s="61" t="s">
        <v>1127</v>
      </c>
      <c r="D2" s="61" t="s">
        <v>1128</v>
      </c>
      <c r="E2" s="83" t="s">
        <v>1096</v>
      </c>
      <c r="F2" s="61">
        <v>2015</v>
      </c>
      <c r="G2" s="83" t="s">
        <v>1129</v>
      </c>
      <c r="H2" s="84">
        <v>2002</v>
      </c>
      <c r="I2" s="84" t="s">
        <v>1096</v>
      </c>
      <c r="J2" s="61">
        <v>18300000</v>
      </c>
      <c r="K2" s="61">
        <v>100</v>
      </c>
      <c r="L2" s="61">
        <v>2025</v>
      </c>
      <c r="M2" s="61">
        <v>50</v>
      </c>
      <c r="N2" s="84" t="s">
        <v>1096</v>
      </c>
      <c r="O2" s="61">
        <v>9150000</v>
      </c>
      <c r="P2" s="61">
        <v>5830000</v>
      </c>
      <c r="Q2" s="84" t="s">
        <v>1096</v>
      </c>
      <c r="R2" s="83">
        <v>136.28415300546447</v>
      </c>
      <c r="S2" s="83" t="s">
        <v>1130</v>
      </c>
      <c r="T2" s="83" t="s">
        <v>1131</v>
      </c>
      <c r="U2" s="83" t="s">
        <v>1132</v>
      </c>
      <c r="V2" s="83"/>
      <c r="W2" s="83"/>
      <c r="X2" s="83"/>
      <c r="Y2" s="83"/>
      <c r="Z2" s="83"/>
      <c r="AA2" s="83"/>
      <c r="AB2" s="83"/>
      <c r="AC2" s="83"/>
      <c r="AD2" s="83"/>
      <c r="AE2" s="83"/>
      <c r="AF2" s="83"/>
      <c r="AG2" s="83"/>
      <c r="AH2" s="83"/>
      <c r="AI2" s="83"/>
      <c r="AJ2" s="83"/>
      <c r="AK2" s="83"/>
      <c r="AL2" s="83"/>
      <c r="AM2" s="83"/>
      <c r="AN2" s="83"/>
      <c r="AO2" s="83"/>
      <c r="AP2" s="83"/>
      <c r="AQ2" s="83"/>
      <c r="AR2" s="83"/>
      <c r="AS2" s="34"/>
      <c r="AT2" s="34"/>
      <c r="AU2" s="34"/>
      <c r="AV2" s="34"/>
      <c r="AW2" s="34"/>
      <c r="AX2" s="34"/>
      <c r="AY2" s="34"/>
      <c r="AZ2" s="34"/>
      <c r="BA2" s="34"/>
    </row>
    <row r="3" spans="1:53" x14ac:dyDescent="0.25">
      <c r="A3" s="61">
        <v>3</v>
      </c>
      <c r="B3" s="61" t="s">
        <v>1126</v>
      </c>
      <c r="C3" s="61" t="s">
        <v>1127</v>
      </c>
      <c r="D3" s="61" t="s">
        <v>1133</v>
      </c>
      <c r="E3" s="83" t="s">
        <v>1096</v>
      </c>
      <c r="F3" s="61">
        <v>2016</v>
      </c>
      <c r="G3" s="83" t="s">
        <v>1129</v>
      </c>
      <c r="H3" s="84">
        <v>2015</v>
      </c>
      <c r="I3" s="84" t="s">
        <v>1096</v>
      </c>
      <c r="J3" s="61">
        <v>665467</v>
      </c>
      <c r="K3" s="61">
        <v>100</v>
      </c>
      <c r="L3" s="61">
        <v>2025</v>
      </c>
      <c r="M3" s="61">
        <v>25</v>
      </c>
      <c r="N3" s="84" t="s">
        <v>1096</v>
      </c>
      <c r="O3" s="61">
        <v>499100.25</v>
      </c>
      <c r="P3" s="61">
        <v>558105</v>
      </c>
      <c r="Q3" s="84" t="s">
        <v>1096</v>
      </c>
      <c r="R3" s="83">
        <v>64.53332772323796</v>
      </c>
      <c r="S3" s="83" t="s">
        <v>1130</v>
      </c>
      <c r="T3" s="83" t="s">
        <v>1131</v>
      </c>
      <c r="U3" s="83" t="s">
        <v>1134</v>
      </c>
      <c r="V3" s="83"/>
      <c r="W3" s="83"/>
      <c r="X3" s="83"/>
      <c r="Y3" s="83"/>
      <c r="Z3" s="83"/>
      <c r="AA3" s="83"/>
      <c r="AB3" s="83"/>
      <c r="AC3" s="83"/>
      <c r="AD3" s="83"/>
      <c r="AE3" s="83"/>
      <c r="AF3" s="83"/>
      <c r="AG3" s="83"/>
      <c r="AH3" s="83"/>
      <c r="AI3" s="83"/>
      <c r="AJ3" s="83"/>
      <c r="AK3" s="83"/>
      <c r="AL3" s="83"/>
      <c r="AM3" s="83"/>
      <c r="AN3" s="83"/>
      <c r="AO3" s="83"/>
      <c r="AP3" s="83"/>
      <c r="AQ3" s="83"/>
      <c r="AR3" s="83"/>
      <c r="AS3" s="34"/>
      <c r="AT3" s="34"/>
      <c r="AU3" s="34"/>
      <c r="AV3" s="34"/>
      <c r="AW3" s="34"/>
      <c r="AX3" s="34"/>
      <c r="AY3" s="34"/>
      <c r="AZ3" s="34"/>
      <c r="BA3" s="34"/>
    </row>
    <row r="4" spans="1:53" x14ac:dyDescent="0.25">
      <c r="A4" s="61">
        <v>3</v>
      </c>
      <c r="B4" s="61" t="s">
        <v>1126</v>
      </c>
      <c r="C4" s="61" t="s">
        <v>1127</v>
      </c>
      <c r="D4" s="61" t="s">
        <v>1133</v>
      </c>
      <c r="E4" s="83" t="s">
        <v>1096</v>
      </c>
      <c r="F4" s="61">
        <v>2016</v>
      </c>
      <c r="G4" s="83" t="s">
        <v>1129</v>
      </c>
      <c r="H4" s="84">
        <v>2015</v>
      </c>
      <c r="I4" s="84" t="s">
        <v>1096</v>
      </c>
      <c r="J4" s="61">
        <v>665467</v>
      </c>
      <c r="K4" s="61">
        <v>100</v>
      </c>
      <c r="L4" s="61">
        <v>2035</v>
      </c>
      <c r="M4" s="61">
        <v>50</v>
      </c>
      <c r="N4" s="84" t="s">
        <v>1096</v>
      </c>
      <c r="O4" s="61">
        <v>332733.5</v>
      </c>
      <c r="P4" s="61">
        <v>558105</v>
      </c>
      <c r="Q4" s="84" t="s">
        <v>1096</v>
      </c>
      <c r="R4" s="83">
        <v>32.26666386161898</v>
      </c>
      <c r="S4" s="83" t="s">
        <v>1130</v>
      </c>
      <c r="T4" s="83" t="s">
        <v>1131</v>
      </c>
      <c r="U4" s="83" t="s">
        <v>1135</v>
      </c>
      <c r="V4" s="83"/>
      <c r="W4" s="83"/>
      <c r="X4" s="83"/>
      <c r="Y4" s="83"/>
      <c r="Z4" s="83"/>
      <c r="AA4" s="83"/>
      <c r="AB4" s="83"/>
      <c r="AC4" s="83"/>
      <c r="AD4" s="83"/>
      <c r="AE4" s="83"/>
      <c r="AF4" s="83"/>
      <c r="AG4" s="83"/>
      <c r="AH4" s="83"/>
      <c r="AI4" s="83"/>
      <c r="AJ4" s="83"/>
      <c r="AK4" s="83"/>
      <c r="AL4" s="83"/>
      <c r="AM4" s="83"/>
      <c r="AN4" s="83"/>
      <c r="AO4" s="83"/>
      <c r="AP4" s="83"/>
      <c r="AQ4" s="83"/>
      <c r="AR4" s="83"/>
      <c r="AS4" s="34"/>
      <c r="AT4" s="34"/>
      <c r="AU4" s="34"/>
      <c r="AV4" s="34"/>
      <c r="AW4" s="34"/>
      <c r="AX4" s="34"/>
      <c r="AY4" s="34"/>
      <c r="AZ4" s="34"/>
      <c r="BA4" s="34"/>
    </row>
    <row r="5" spans="1:53" x14ac:dyDescent="0.25">
      <c r="A5" s="61">
        <v>4</v>
      </c>
      <c r="B5" s="61" t="s">
        <v>1126</v>
      </c>
      <c r="C5" s="61" t="s">
        <v>1127</v>
      </c>
      <c r="D5" s="61" t="s">
        <v>1136</v>
      </c>
      <c r="E5" s="83" t="s">
        <v>1096</v>
      </c>
      <c r="F5" s="61">
        <v>2016</v>
      </c>
      <c r="G5" s="83" t="s">
        <v>1129</v>
      </c>
      <c r="H5" s="84">
        <v>2016</v>
      </c>
      <c r="I5" s="84" t="s">
        <v>1096</v>
      </c>
      <c r="J5" s="61">
        <v>1257636</v>
      </c>
      <c r="K5" s="61">
        <v>100</v>
      </c>
      <c r="L5" s="61">
        <v>2025</v>
      </c>
      <c r="M5" s="61">
        <v>11</v>
      </c>
      <c r="N5" s="84" t="s">
        <v>1096</v>
      </c>
      <c r="O5" s="61">
        <v>1119296.04</v>
      </c>
      <c r="P5" s="61">
        <v>1166256</v>
      </c>
      <c r="Q5" s="84" t="s">
        <v>1096</v>
      </c>
      <c r="R5" s="83">
        <v>66.05466706799686</v>
      </c>
      <c r="S5" s="83" t="s">
        <v>1130</v>
      </c>
      <c r="T5" s="83" t="s">
        <v>1137</v>
      </c>
      <c r="U5" s="83" t="s">
        <v>1138</v>
      </c>
      <c r="V5" s="83"/>
      <c r="W5" s="83"/>
      <c r="X5" s="83"/>
      <c r="Y5" s="83"/>
      <c r="Z5" s="83"/>
      <c r="AA5" s="83"/>
      <c r="AB5" s="83"/>
      <c r="AC5" s="83"/>
      <c r="AD5" s="83"/>
      <c r="AE5" s="83"/>
      <c r="AF5" s="83"/>
      <c r="AG5" s="83"/>
      <c r="AH5" s="83"/>
      <c r="AI5" s="83"/>
      <c r="AJ5" s="83"/>
      <c r="AK5" s="83"/>
      <c r="AL5" s="83"/>
      <c r="AM5" s="83"/>
      <c r="AN5" s="83"/>
      <c r="AO5" s="83"/>
      <c r="AP5" s="83"/>
      <c r="AQ5" s="83"/>
      <c r="AR5" s="83"/>
      <c r="AS5" s="34"/>
      <c r="AT5" s="34"/>
      <c r="AU5" s="34"/>
      <c r="AV5" s="34"/>
      <c r="AW5" s="34"/>
      <c r="AX5" s="34"/>
      <c r="AY5" s="34"/>
      <c r="AZ5" s="34"/>
      <c r="BA5" s="34"/>
    </row>
    <row r="6" spans="1:53" x14ac:dyDescent="0.25">
      <c r="A6" s="61">
        <v>5</v>
      </c>
      <c r="B6" s="61" t="s">
        <v>1126</v>
      </c>
      <c r="C6" s="61" t="s">
        <v>1127</v>
      </c>
      <c r="D6" s="61" t="s">
        <v>1133</v>
      </c>
      <c r="E6" s="83" t="s">
        <v>1096</v>
      </c>
      <c r="F6" s="61">
        <v>2016</v>
      </c>
      <c r="G6" s="83" t="s">
        <v>1129</v>
      </c>
      <c r="H6" s="84">
        <v>2015</v>
      </c>
      <c r="I6" s="84" t="s">
        <v>1096</v>
      </c>
      <c r="J6" s="61">
        <v>64736</v>
      </c>
      <c r="K6" s="61">
        <v>100</v>
      </c>
      <c r="L6" s="61">
        <v>2025</v>
      </c>
      <c r="M6" s="61">
        <v>25</v>
      </c>
      <c r="N6" s="84" t="s">
        <v>1096</v>
      </c>
      <c r="O6" s="61">
        <v>48552</v>
      </c>
      <c r="P6" s="61">
        <v>55710</v>
      </c>
      <c r="Q6" s="84" t="s">
        <v>1096</v>
      </c>
      <c r="R6" s="83">
        <v>55.771131982204651</v>
      </c>
      <c r="S6" s="83" t="s">
        <v>1130</v>
      </c>
      <c r="T6" s="83" t="s">
        <v>1137</v>
      </c>
      <c r="U6" s="83" t="s">
        <v>1139</v>
      </c>
      <c r="V6" s="83"/>
      <c r="W6" s="83"/>
      <c r="X6" s="83"/>
      <c r="Y6" s="83"/>
      <c r="Z6" s="83"/>
      <c r="AA6" s="83"/>
      <c r="AB6" s="83"/>
      <c r="AC6" s="83"/>
      <c r="AD6" s="83"/>
      <c r="AE6" s="83"/>
      <c r="AF6" s="83"/>
      <c r="AG6" s="83"/>
      <c r="AH6" s="83"/>
      <c r="AI6" s="83"/>
      <c r="AJ6" s="83"/>
      <c r="AK6" s="83"/>
      <c r="AL6" s="83"/>
      <c r="AM6" s="83"/>
      <c r="AN6" s="83"/>
      <c r="AO6" s="83"/>
      <c r="AP6" s="83"/>
      <c r="AQ6" s="83"/>
      <c r="AR6" s="83"/>
      <c r="AS6" s="34"/>
      <c r="AT6" s="34"/>
      <c r="AU6" s="34"/>
      <c r="AV6" s="34"/>
      <c r="AW6" s="34"/>
      <c r="AX6" s="34"/>
      <c r="AY6" s="34"/>
      <c r="AZ6" s="34"/>
      <c r="BA6" s="34"/>
    </row>
    <row r="7" spans="1:53" x14ac:dyDescent="0.25">
      <c r="A7" s="61">
        <v>5</v>
      </c>
      <c r="B7" s="61" t="s">
        <v>1126</v>
      </c>
      <c r="C7" s="61" t="s">
        <v>1127</v>
      </c>
      <c r="D7" s="61" t="s">
        <v>1133</v>
      </c>
      <c r="E7" s="83" t="s">
        <v>1096</v>
      </c>
      <c r="F7" s="61">
        <v>2016</v>
      </c>
      <c r="G7" s="83" t="s">
        <v>1129</v>
      </c>
      <c r="H7" s="84">
        <v>2015</v>
      </c>
      <c r="I7" s="84" t="s">
        <v>1096</v>
      </c>
      <c r="J7" s="61">
        <v>64736</v>
      </c>
      <c r="K7" s="61">
        <v>100</v>
      </c>
      <c r="L7" s="61">
        <v>2035</v>
      </c>
      <c r="M7" s="61">
        <v>80</v>
      </c>
      <c r="N7" s="84" t="s">
        <v>1096</v>
      </c>
      <c r="O7" s="61">
        <v>12947.2</v>
      </c>
      <c r="P7" s="61">
        <v>55710</v>
      </c>
      <c r="Q7" s="84" t="s">
        <v>1096</v>
      </c>
      <c r="R7" s="83">
        <v>17.428478744438952</v>
      </c>
      <c r="S7" s="83" t="s">
        <v>1130</v>
      </c>
      <c r="T7" s="83" t="s">
        <v>1137</v>
      </c>
      <c r="U7" s="83" t="s">
        <v>1140</v>
      </c>
      <c r="V7" s="83"/>
      <c r="W7" s="83"/>
      <c r="X7" s="83"/>
      <c r="Y7" s="83"/>
      <c r="Z7" s="83"/>
      <c r="AA7" s="83"/>
      <c r="AB7" s="83"/>
      <c r="AC7" s="83"/>
      <c r="AD7" s="83"/>
      <c r="AE7" s="83"/>
      <c r="AF7" s="83"/>
      <c r="AG7" s="83"/>
      <c r="AH7" s="83"/>
      <c r="AI7" s="83"/>
      <c r="AJ7" s="83"/>
      <c r="AK7" s="83"/>
      <c r="AL7" s="83"/>
      <c r="AM7" s="83"/>
      <c r="AN7" s="83"/>
      <c r="AO7" s="83"/>
      <c r="AP7" s="83"/>
      <c r="AQ7" s="83"/>
      <c r="AR7" s="83"/>
      <c r="AS7" s="34"/>
      <c r="AT7" s="34"/>
      <c r="AU7" s="34"/>
      <c r="AV7" s="34"/>
      <c r="AW7" s="34"/>
      <c r="AX7" s="34"/>
      <c r="AY7" s="34"/>
      <c r="AZ7" s="34"/>
      <c r="BA7" s="34"/>
    </row>
    <row r="8" spans="1:53" x14ac:dyDescent="0.25">
      <c r="A8" s="61">
        <v>5</v>
      </c>
      <c r="B8" s="61" t="s">
        <v>1126</v>
      </c>
      <c r="C8" s="61" t="s">
        <v>1141</v>
      </c>
      <c r="D8" s="61" t="s">
        <v>1142</v>
      </c>
      <c r="E8" s="83" t="s">
        <v>1096</v>
      </c>
      <c r="F8" s="61">
        <v>2014</v>
      </c>
      <c r="G8" s="83" t="s">
        <v>1129</v>
      </c>
      <c r="H8" s="84">
        <v>2013</v>
      </c>
      <c r="I8" s="84" t="s">
        <v>1096</v>
      </c>
      <c r="J8" s="61">
        <v>10444</v>
      </c>
      <c r="K8" s="61">
        <v>100</v>
      </c>
      <c r="L8" s="61">
        <v>2020</v>
      </c>
      <c r="M8" s="61">
        <v>100</v>
      </c>
      <c r="N8" s="84" t="s">
        <v>1096</v>
      </c>
      <c r="O8" s="61">
        <v>0</v>
      </c>
      <c r="P8" s="61">
        <v>0</v>
      </c>
      <c r="Q8" s="84" t="s">
        <v>1096</v>
      </c>
      <c r="R8" s="83">
        <v>100</v>
      </c>
      <c r="S8" s="83" t="s">
        <v>1143</v>
      </c>
      <c r="T8" s="83" t="s">
        <v>1144</v>
      </c>
      <c r="U8" s="83" t="s">
        <v>1145</v>
      </c>
      <c r="V8" s="83"/>
      <c r="W8" s="83"/>
      <c r="X8" s="83"/>
      <c r="Y8" s="83"/>
      <c r="Z8" s="83"/>
      <c r="AA8" s="83"/>
      <c r="AB8" s="83"/>
      <c r="AC8" s="83"/>
      <c r="AD8" s="83"/>
      <c r="AE8" s="83"/>
      <c r="AF8" s="83"/>
      <c r="AG8" s="83"/>
      <c r="AH8" s="83"/>
      <c r="AI8" s="83"/>
      <c r="AJ8" s="83"/>
      <c r="AK8" s="83"/>
      <c r="AL8" s="83"/>
      <c r="AM8" s="83"/>
      <c r="AN8" s="83"/>
      <c r="AO8" s="83"/>
      <c r="AP8" s="83"/>
      <c r="AQ8" s="83"/>
      <c r="AR8" s="83"/>
      <c r="AS8" s="34"/>
      <c r="AT8" s="34"/>
      <c r="AU8" s="34"/>
      <c r="AV8" s="34"/>
      <c r="AW8" s="34"/>
      <c r="AX8" s="34"/>
      <c r="AY8" s="34"/>
      <c r="AZ8" s="34"/>
      <c r="BA8" s="34"/>
    </row>
    <row r="9" spans="1:53" x14ac:dyDescent="0.25">
      <c r="A9" s="61">
        <v>7</v>
      </c>
      <c r="B9" s="61" t="s">
        <v>1126</v>
      </c>
      <c r="C9" s="61" t="s">
        <v>1127</v>
      </c>
      <c r="D9" s="61" t="s">
        <v>1136</v>
      </c>
      <c r="E9" s="83" t="s">
        <v>1096</v>
      </c>
      <c r="F9" s="61">
        <v>2019</v>
      </c>
      <c r="G9" s="83" t="s">
        <v>1129</v>
      </c>
      <c r="H9" s="84">
        <v>2019</v>
      </c>
      <c r="I9" s="84" t="s">
        <v>1096</v>
      </c>
      <c r="J9" s="61">
        <v>1402953</v>
      </c>
      <c r="K9" s="61">
        <v>100</v>
      </c>
      <c r="L9" s="61">
        <v>2019</v>
      </c>
      <c r="M9" s="61">
        <v>100</v>
      </c>
      <c r="N9" s="84" t="s">
        <v>1096</v>
      </c>
      <c r="O9" s="61">
        <v>0</v>
      </c>
      <c r="P9" s="61">
        <v>0</v>
      </c>
      <c r="Q9" s="84" t="s">
        <v>1096</v>
      </c>
      <c r="R9" s="83">
        <v>100</v>
      </c>
      <c r="S9" s="83" t="s">
        <v>1143</v>
      </c>
      <c r="T9" s="83" t="s">
        <v>1146</v>
      </c>
      <c r="U9" s="83" t="s">
        <v>1147</v>
      </c>
      <c r="V9" s="83"/>
      <c r="W9" s="83"/>
      <c r="X9" s="83"/>
      <c r="Y9" s="83"/>
      <c r="Z9" s="83"/>
      <c r="AA9" s="83"/>
      <c r="AB9" s="83"/>
      <c r="AC9" s="83"/>
      <c r="AD9" s="83"/>
      <c r="AE9" s="83"/>
      <c r="AF9" s="83"/>
      <c r="AG9" s="83"/>
      <c r="AH9" s="83"/>
      <c r="AI9" s="83"/>
      <c r="AJ9" s="83"/>
      <c r="AK9" s="83"/>
      <c r="AL9" s="83"/>
      <c r="AM9" s="83"/>
      <c r="AN9" s="83"/>
      <c r="AO9" s="83"/>
      <c r="AP9" s="83"/>
      <c r="AQ9" s="83"/>
      <c r="AR9" s="83"/>
      <c r="AS9" s="34"/>
      <c r="AT9" s="34"/>
      <c r="AU9" s="34"/>
      <c r="AV9" s="34"/>
      <c r="AW9" s="34"/>
      <c r="AX9" s="34"/>
      <c r="AY9" s="34"/>
      <c r="AZ9" s="34"/>
      <c r="BA9" s="34"/>
    </row>
    <row r="10" spans="1:53" x14ac:dyDescent="0.25">
      <c r="A10" s="61">
        <v>7</v>
      </c>
      <c r="B10" s="61" t="s">
        <v>1126</v>
      </c>
      <c r="C10" s="61" t="s">
        <v>1127</v>
      </c>
      <c r="D10" s="61" t="s">
        <v>1133</v>
      </c>
      <c r="E10" s="83" t="s">
        <v>1096</v>
      </c>
      <c r="F10" s="61">
        <v>2015</v>
      </c>
      <c r="G10" s="83" t="s">
        <v>1129</v>
      </c>
      <c r="H10" s="84">
        <v>2015</v>
      </c>
      <c r="I10" s="84" t="s">
        <v>1096</v>
      </c>
      <c r="J10" s="61">
        <v>1451418</v>
      </c>
      <c r="K10" s="61">
        <v>100</v>
      </c>
      <c r="L10" s="61">
        <v>2025</v>
      </c>
      <c r="M10" s="61">
        <v>100</v>
      </c>
      <c r="N10" s="84" t="s">
        <v>1096</v>
      </c>
      <c r="O10" s="61">
        <v>0</v>
      </c>
      <c r="P10" s="61">
        <v>0</v>
      </c>
      <c r="Q10" s="84" t="s">
        <v>1096</v>
      </c>
      <c r="R10" s="83">
        <v>100</v>
      </c>
      <c r="S10" s="83" t="s">
        <v>1143</v>
      </c>
      <c r="T10" s="83" t="s">
        <v>1146</v>
      </c>
      <c r="U10" s="83" t="s">
        <v>1148</v>
      </c>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34"/>
      <c r="AT10" s="34"/>
      <c r="AU10" s="34"/>
      <c r="AV10" s="34"/>
      <c r="AW10" s="34"/>
      <c r="AX10" s="34"/>
      <c r="AY10" s="34"/>
      <c r="AZ10" s="34"/>
      <c r="BA10" s="34"/>
    </row>
    <row r="11" spans="1:53" x14ac:dyDescent="0.25">
      <c r="A11" s="61">
        <v>7</v>
      </c>
      <c r="B11" s="61" t="s">
        <v>1126</v>
      </c>
      <c r="C11" s="61" t="s">
        <v>1127</v>
      </c>
      <c r="D11" s="61" t="s">
        <v>1133</v>
      </c>
      <c r="E11" s="83" t="s">
        <v>1096</v>
      </c>
      <c r="F11" s="61">
        <v>2015</v>
      </c>
      <c r="G11" s="83" t="s">
        <v>1129</v>
      </c>
      <c r="H11" s="84">
        <v>2015</v>
      </c>
      <c r="I11" s="84" t="s">
        <v>1096</v>
      </c>
      <c r="J11" s="61">
        <v>1451418</v>
      </c>
      <c r="K11" s="61">
        <v>100</v>
      </c>
      <c r="L11" s="61">
        <v>2040</v>
      </c>
      <c r="M11" s="61">
        <v>100</v>
      </c>
      <c r="N11" s="84" t="s">
        <v>1096</v>
      </c>
      <c r="O11" s="61">
        <v>0</v>
      </c>
      <c r="P11" s="61">
        <v>0</v>
      </c>
      <c r="Q11" s="84" t="s">
        <v>1096</v>
      </c>
      <c r="R11" s="83">
        <v>100</v>
      </c>
      <c r="S11" s="83" t="s">
        <v>1143</v>
      </c>
      <c r="T11" s="83" t="s">
        <v>1146</v>
      </c>
      <c r="U11" s="83" t="s">
        <v>1149</v>
      </c>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34"/>
      <c r="AT11" s="34"/>
      <c r="AU11" s="34"/>
      <c r="AV11" s="34"/>
      <c r="AW11" s="34"/>
      <c r="AX11" s="34"/>
      <c r="AY11" s="34"/>
      <c r="AZ11" s="34"/>
      <c r="BA11" s="34"/>
    </row>
    <row r="12" spans="1:53" x14ac:dyDescent="0.25">
      <c r="A12" s="61">
        <v>8</v>
      </c>
      <c r="B12" s="61" t="s">
        <v>1126</v>
      </c>
      <c r="C12" s="61" t="s">
        <v>1127</v>
      </c>
      <c r="D12" s="61" t="s">
        <v>1128</v>
      </c>
      <c r="E12" s="83" t="s">
        <v>1096</v>
      </c>
      <c r="F12" s="61">
        <v>2016</v>
      </c>
      <c r="G12" s="83" t="s">
        <v>1129</v>
      </c>
      <c r="H12" s="84">
        <v>2015</v>
      </c>
      <c r="I12" s="84" t="s">
        <v>1096</v>
      </c>
      <c r="J12" s="61">
        <v>392172</v>
      </c>
      <c r="K12" s="61">
        <v>100</v>
      </c>
      <c r="L12" s="61">
        <v>2025</v>
      </c>
      <c r="M12" s="61">
        <v>20</v>
      </c>
      <c r="N12" s="84" t="s">
        <v>1096</v>
      </c>
      <c r="O12" s="61">
        <v>313737.59999999998</v>
      </c>
      <c r="P12" s="61">
        <v>305766</v>
      </c>
      <c r="Q12" s="84" t="s">
        <v>1096</v>
      </c>
      <c r="R12" s="83">
        <v>110.16339769284902</v>
      </c>
      <c r="S12" s="83" t="s">
        <v>1143</v>
      </c>
      <c r="T12" s="83" t="s">
        <v>1144</v>
      </c>
      <c r="U12" s="83" t="s">
        <v>1150</v>
      </c>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34"/>
      <c r="AT12" s="34"/>
      <c r="AU12" s="34"/>
      <c r="AV12" s="34"/>
      <c r="AW12" s="34"/>
      <c r="AX12" s="34"/>
      <c r="AY12" s="34"/>
      <c r="AZ12" s="34"/>
      <c r="BA12" s="34"/>
    </row>
    <row r="13" spans="1:53" x14ac:dyDescent="0.25">
      <c r="A13" s="61">
        <v>8</v>
      </c>
      <c r="B13" s="61" t="s">
        <v>1126</v>
      </c>
      <c r="C13" s="61" t="s">
        <v>1141</v>
      </c>
      <c r="D13" s="61" t="s">
        <v>1151</v>
      </c>
      <c r="E13" s="83" t="s">
        <v>1096</v>
      </c>
      <c r="F13" s="61">
        <v>2018</v>
      </c>
      <c r="G13" s="83" t="s">
        <v>1129</v>
      </c>
      <c r="H13" s="84">
        <v>2017</v>
      </c>
      <c r="I13" s="84" t="s">
        <v>1096</v>
      </c>
      <c r="J13" s="61">
        <v>5264365</v>
      </c>
      <c r="K13" s="61">
        <v>100</v>
      </c>
      <c r="L13" s="61">
        <v>2030</v>
      </c>
      <c r="M13" s="61">
        <v>15</v>
      </c>
      <c r="N13" s="84" t="s">
        <v>1096</v>
      </c>
      <c r="O13" s="61">
        <v>4474710.25</v>
      </c>
      <c r="P13" s="61">
        <v>5227733</v>
      </c>
      <c r="Q13" s="84" t="s">
        <v>1096</v>
      </c>
      <c r="R13" s="83">
        <v>4.6389893811187735</v>
      </c>
      <c r="S13" s="83" t="s">
        <v>1152</v>
      </c>
      <c r="T13" s="83" t="s">
        <v>1144</v>
      </c>
      <c r="U13" s="83" t="s">
        <v>1153</v>
      </c>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34"/>
      <c r="AT13" s="34"/>
      <c r="AU13" s="34"/>
      <c r="AV13" s="34"/>
      <c r="AW13" s="34"/>
      <c r="AX13" s="34"/>
      <c r="AY13" s="34"/>
      <c r="AZ13" s="34"/>
      <c r="BA13" s="34"/>
    </row>
    <row r="14" spans="1:53" x14ac:dyDescent="0.25">
      <c r="A14" s="61">
        <v>8</v>
      </c>
      <c r="B14" s="61" t="s">
        <v>1126</v>
      </c>
      <c r="C14" s="61" t="s">
        <v>1127</v>
      </c>
      <c r="D14" s="61" t="s">
        <v>1133</v>
      </c>
      <c r="E14" s="83" t="s">
        <v>1096</v>
      </c>
      <c r="F14" s="61">
        <v>2019</v>
      </c>
      <c r="G14" s="83" t="s">
        <v>1129</v>
      </c>
      <c r="H14" s="84">
        <v>2017</v>
      </c>
      <c r="I14" s="84" t="s">
        <v>1096</v>
      </c>
      <c r="J14" s="61">
        <v>337007</v>
      </c>
      <c r="K14" s="61">
        <v>100</v>
      </c>
      <c r="L14" s="61">
        <v>2030</v>
      </c>
      <c r="M14" s="61">
        <v>55</v>
      </c>
      <c r="N14" s="84" t="s">
        <v>1096</v>
      </c>
      <c r="O14" s="61">
        <v>151653.15</v>
      </c>
      <c r="P14" s="61">
        <v>302416</v>
      </c>
      <c r="Q14" s="84" t="s">
        <v>1096</v>
      </c>
      <c r="R14" s="83">
        <v>18.662142707043852</v>
      </c>
      <c r="S14" s="83" t="s">
        <v>1154</v>
      </c>
      <c r="T14" s="83" t="s">
        <v>1137</v>
      </c>
      <c r="U14" s="83" t="s">
        <v>1155</v>
      </c>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34"/>
      <c r="AT14" s="34"/>
      <c r="AU14" s="34"/>
      <c r="AV14" s="34"/>
      <c r="AW14" s="34"/>
      <c r="AX14" s="34"/>
      <c r="AY14" s="34"/>
      <c r="AZ14" s="34"/>
      <c r="BA14" s="34"/>
    </row>
    <row r="15" spans="1:53" x14ac:dyDescent="0.25">
      <c r="A15" s="61">
        <v>8</v>
      </c>
      <c r="B15" s="61" t="s">
        <v>1126</v>
      </c>
      <c r="C15" s="61" t="s">
        <v>1141</v>
      </c>
      <c r="D15" s="61" t="s">
        <v>1151</v>
      </c>
      <c r="E15" s="83" t="s">
        <v>1096</v>
      </c>
      <c r="F15" s="61">
        <v>2019</v>
      </c>
      <c r="G15" s="83" t="s">
        <v>1129</v>
      </c>
      <c r="H15" s="84">
        <v>2017</v>
      </c>
      <c r="I15" s="84" t="s">
        <v>1096</v>
      </c>
      <c r="J15" s="61">
        <v>5264365</v>
      </c>
      <c r="K15" s="61">
        <v>100</v>
      </c>
      <c r="L15" s="61">
        <v>2030</v>
      </c>
      <c r="M15" s="61">
        <v>18</v>
      </c>
      <c r="N15" s="84" t="s">
        <v>1096</v>
      </c>
      <c r="O15" s="61">
        <v>4316779.3</v>
      </c>
      <c r="P15" s="61">
        <v>5227733</v>
      </c>
      <c r="Q15" s="84" t="s">
        <v>1096</v>
      </c>
      <c r="R15" s="83">
        <v>3.865824484265644</v>
      </c>
      <c r="S15" s="83" t="s">
        <v>1154</v>
      </c>
      <c r="T15" s="83" t="s">
        <v>1137</v>
      </c>
      <c r="U15" s="83" t="s">
        <v>1156</v>
      </c>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34"/>
      <c r="AT15" s="34"/>
      <c r="AU15" s="34"/>
      <c r="AV15" s="34"/>
      <c r="AW15" s="34"/>
      <c r="AX15" s="34"/>
      <c r="AY15" s="34"/>
      <c r="AZ15" s="34"/>
      <c r="BA15" s="34"/>
    </row>
    <row r="16" spans="1:53" x14ac:dyDescent="0.25">
      <c r="A16" s="61">
        <v>10</v>
      </c>
      <c r="B16" s="61" t="s">
        <v>1126</v>
      </c>
      <c r="C16" s="61" t="s">
        <v>1157</v>
      </c>
      <c r="D16" s="61" t="s">
        <v>1158</v>
      </c>
      <c r="E16" s="83" t="s">
        <v>1096</v>
      </c>
      <c r="F16" s="61">
        <v>2018</v>
      </c>
      <c r="G16" s="83" t="s">
        <v>1129</v>
      </c>
      <c r="H16" s="84">
        <v>2011</v>
      </c>
      <c r="I16" s="84" t="s">
        <v>1096</v>
      </c>
      <c r="J16" s="61">
        <v>188349</v>
      </c>
      <c r="K16" s="61">
        <v>100</v>
      </c>
      <c r="L16" s="61">
        <v>2025</v>
      </c>
      <c r="M16" s="61">
        <v>100</v>
      </c>
      <c r="N16" s="84" t="s">
        <v>1096</v>
      </c>
      <c r="O16" s="61">
        <v>0</v>
      </c>
      <c r="P16" s="61">
        <v>0</v>
      </c>
      <c r="Q16" s="84" t="s">
        <v>1096</v>
      </c>
      <c r="R16" s="83">
        <v>100</v>
      </c>
      <c r="S16" s="83" t="s">
        <v>1130</v>
      </c>
      <c r="T16" s="83" t="s">
        <v>1159</v>
      </c>
      <c r="U16" s="83" t="s">
        <v>1160</v>
      </c>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34"/>
      <c r="AT16" s="34"/>
      <c r="AU16" s="34"/>
      <c r="AV16" s="34"/>
      <c r="AW16" s="34"/>
      <c r="AX16" s="34"/>
      <c r="AY16" s="34"/>
      <c r="AZ16" s="34"/>
      <c r="BA16" s="34"/>
    </row>
    <row r="17" spans="1:53" x14ac:dyDescent="0.25">
      <c r="A17" s="61">
        <v>10</v>
      </c>
      <c r="B17" s="61" t="s">
        <v>1126</v>
      </c>
      <c r="C17" s="61" t="s">
        <v>1157</v>
      </c>
      <c r="D17" s="61" t="s">
        <v>1158</v>
      </c>
      <c r="E17" s="83" t="s">
        <v>1096</v>
      </c>
      <c r="F17" s="61">
        <v>2018</v>
      </c>
      <c r="G17" s="83" t="s">
        <v>1129</v>
      </c>
      <c r="H17" s="84">
        <v>2011</v>
      </c>
      <c r="I17" s="84" t="s">
        <v>1096</v>
      </c>
      <c r="J17" s="61">
        <v>188349</v>
      </c>
      <c r="K17" s="61">
        <v>100</v>
      </c>
      <c r="L17" s="61">
        <v>2040</v>
      </c>
      <c r="M17" s="61">
        <v>100</v>
      </c>
      <c r="N17" s="84" t="s">
        <v>1096</v>
      </c>
      <c r="O17" s="61">
        <v>0</v>
      </c>
      <c r="P17" s="61">
        <v>0</v>
      </c>
      <c r="Q17" s="84" t="s">
        <v>1096</v>
      </c>
      <c r="R17" s="83">
        <v>100</v>
      </c>
      <c r="S17" s="83" t="s">
        <v>1130</v>
      </c>
      <c r="T17" s="83" t="s">
        <v>1159</v>
      </c>
      <c r="U17" s="83" t="s">
        <v>1161</v>
      </c>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34"/>
      <c r="AT17" s="34"/>
      <c r="AU17" s="34"/>
      <c r="AV17" s="34"/>
      <c r="AW17" s="34"/>
      <c r="AX17" s="34"/>
      <c r="AY17" s="34"/>
      <c r="AZ17" s="34"/>
      <c r="BA17" s="34"/>
    </row>
    <row r="18" spans="1:53" x14ac:dyDescent="0.25">
      <c r="A18" s="61">
        <v>11</v>
      </c>
      <c r="B18" s="61" t="s">
        <v>1126</v>
      </c>
      <c r="C18" s="61" t="s">
        <v>1127</v>
      </c>
      <c r="D18" s="61" t="s">
        <v>1128</v>
      </c>
      <c r="E18" s="83" t="s">
        <v>1096</v>
      </c>
      <c r="F18" s="61">
        <v>2010</v>
      </c>
      <c r="G18" s="83" t="s">
        <v>1162</v>
      </c>
      <c r="H18" s="84">
        <v>2010</v>
      </c>
      <c r="I18" s="84" t="s">
        <v>1096</v>
      </c>
      <c r="J18" s="61">
        <v>3964</v>
      </c>
      <c r="K18" s="61">
        <v>23</v>
      </c>
      <c r="L18" s="61">
        <v>2020</v>
      </c>
      <c r="M18" s="61">
        <v>20</v>
      </c>
      <c r="N18" s="84" t="s">
        <v>1096</v>
      </c>
      <c r="O18" s="61">
        <v>3171.2</v>
      </c>
      <c r="P18" s="61">
        <v>1232</v>
      </c>
      <c r="Q18" s="84" t="s">
        <v>1096</v>
      </c>
      <c r="R18" s="83">
        <v>344.60141271442978</v>
      </c>
      <c r="S18" s="83" t="s">
        <v>1143</v>
      </c>
      <c r="T18" s="83" t="s">
        <v>1131</v>
      </c>
      <c r="U18" s="83" t="s">
        <v>1163</v>
      </c>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34"/>
      <c r="AT18" s="34"/>
      <c r="AU18" s="34"/>
      <c r="AV18" s="34"/>
      <c r="AW18" s="34"/>
      <c r="AX18" s="34"/>
      <c r="AY18" s="34"/>
      <c r="AZ18" s="34"/>
      <c r="BA18" s="34"/>
    </row>
    <row r="19" spans="1:53" x14ac:dyDescent="0.25">
      <c r="A19" s="61">
        <v>12</v>
      </c>
      <c r="B19" s="61" t="s">
        <v>1126</v>
      </c>
      <c r="C19" s="61" t="s">
        <v>1164</v>
      </c>
      <c r="D19" s="61" t="s">
        <v>1165</v>
      </c>
      <c r="E19" s="83" t="s">
        <v>1096</v>
      </c>
      <c r="F19" s="61">
        <v>2018</v>
      </c>
      <c r="G19" s="83"/>
      <c r="H19" s="84">
        <v>2017</v>
      </c>
      <c r="I19" s="84" t="s">
        <v>1096</v>
      </c>
      <c r="J19" s="61">
        <v>651065</v>
      </c>
      <c r="K19" s="61">
        <v>26</v>
      </c>
      <c r="L19" s="61">
        <v>2027</v>
      </c>
      <c r="M19" s="61">
        <v>60</v>
      </c>
      <c r="N19" s="84" t="s">
        <v>1096</v>
      </c>
      <c r="O19" s="61">
        <v>260426</v>
      </c>
      <c r="P19" s="61">
        <v>556281</v>
      </c>
      <c r="Q19" s="84" t="s">
        <v>1096</v>
      </c>
      <c r="R19" s="83">
        <v>24.26383438417567</v>
      </c>
      <c r="S19" s="83" t="s">
        <v>1130</v>
      </c>
      <c r="T19" s="83" t="s">
        <v>1131</v>
      </c>
      <c r="U19" s="83" t="s">
        <v>1166</v>
      </c>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34"/>
      <c r="AT19" s="34"/>
      <c r="AU19" s="34"/>
      <c r="AV19" s="34"/>
      <c r="AW19" s="34"/>
      <c r="AX19" s="34"/>
      <c r="AY19" s="34"/>
      <c r="AZ19" s="34"/>
      <c r="BA19" s="34"/>
    </row>
    <row r="20" spans="1:53" x14ac:dyDescent="0.25">
      <c r="A20" s="61">
        <v>13</v>
      </c>
      <c r="B20" s="61" t="s">
        <v>1126</v>
      </c>
      <c r="C20" s="61" t="s">
        <v>1127</v>
      </c>
      <c r="D20" s="61" t="s">
        <v>1128</v>
      </c>
      <c r="E20" s="83" t="s">
        <v>1096</v>
      </c>
      <c r="F20" s="61">
        <v>2013</v>
      </c>
      <c r="G20" s="83" t="s">
        <v>1129</v>
      </c>
      <c r="H20" s="84">
        <v>2012</v>
      </c>
      <c r="I20" s="84" t="s">
        <v>1096</v>
      </c>
      <c r="J20" s="61">
        <v>385000</v>
      </c>
      <c r="K20" s="61">
        <v>94</v>
      </c>
      <c r="L20" s="61">
        <v>2020</v>
      </c>
      <c r="M20" s="61">
        <v>10</v>
      </c>
      <c r="N20" s="84" t="s">
        <v>1096</v>
      </c>
      <c r="O20" s="61">
        <v>346500</v>
      </c>
      <c r="P20" s="61">
        <v>265588</v>
      </c>
      <c r="Q20" s="84" t="s">
        <v>1096</v>
      </c>
      <c r="R20" s="83">
        <v>310.16103896103897</v>
      </c>
      <c r="S20" s="83" t="s">
        <v>1143</v>
      </c>
      <c r="T20" s="83" t="s">
        <v>1159</v>
      </c>
      <c r="U20" s="83" t="s">
        <v>1167</v>
      </c>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34"/>
      <c r="AT20" s="34"/>
      <c r="AU20" s="34"/>
      <c r="AV20" s="34"/>
      <c r="AW20" s="34"/>
      <c r="AX20" s="34"/>
      <c r="AY20" s="34"/>
      <c r="AZ20" s="34"/>
      <c r="BA20" s="34"/>
    </row>
    <row r="21" spans="1:53" x14ac:dyDescent="0.25">
      <c r="A21" s="61">
        <v>14</v>
      </c>
      <c r="B21" s="61" t="s">
        <v>1126</v>
      </c>
      <c r="C21" s="61" t="s">
        <v>1127</v>
      </c>
      <c r="D21" s="61" t="s">
        <v>1133</v>
      </c>
      <c r="E21" s="83" t="s">
        <v>1096</v>
      </c>
      <c r="F21" s="61">
        <v>2012</v>
      </c>
      <c r="G21" s="83" t="s">
        <v>1129</v>
      </c>
      <c r="H21" s="84">
        <v>2012</v>
      </c>
      <c r="I21" s="84" t="s">
        <v>1096</v>
      </c>
      <c r="J21" s="61">
        <v>160400</v>
      </c>
      <c r="K21" s="61">
        <v>100</v>
      </c>
      <c r="L21" s="61">
        <v>2020</v>
      </c>
      <c r="M21" s="61">
        <v>7</v>
      </c>
      <c r="N21" s="84" t="s">
        <v>1096</v>
      </c>
      <c r="O21" s="61">
        <v>149172</v>
      </c>
      <c r="P21" s="61">
        <v>50550</v>
      </c>
      <c r="Q21" s="84" t="s">
        <v>1096</v>
      </c>
      <c r="R21" s="83">
        <v>978.3576772354827</v>
      </c>
      <c r="S21" s="83" t="s">
        <v>1130</v>
      </c>
      <c r="T21" s="83" t="s">
        <v>1159</v>
      </c>
      <c r="U21" s="83" t="s">
        <v>1168</v>
      </c>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34"/>
      <c r="AT21" s="34"/>
      <c r="AU21" s="34"/>
      <c r="AV21" s="34"/>
      <c r="AW21" s="34"/>
      <c r="AX21" s="34"/>
      <c r="AY21" s="34"/>
      <c r="AZ21" s="34"/>
      <c r="BA21" s="34"/>
    </row>
    <row r="22" spans="1:53" x14ac:dyDescent="0.25">
      <c r="A22" s="61">
        <v>14</v>
      </c>
      <c r="B22" s="61" t="s">
        <v>1126</v>
      </c>
      <c r="C22" s="61" t="s">
        <v>1127</v>
      </c>
      <c r="D22" s="61" t="s">
        <v>1133</v>
      </c>
      <c r="E22" s="83" t="s">
        <v>1096</v>
      </c>
      <c r="F22" s="61">
        <v>2012</v>
      </c>
      <c r="G22" s="83" t="s">
        <v>1129</v>
      </c>
      <c r="H22" s="84">
        <v>2012</v>
      </c>
      <c r="I22" s="84" t="s">
        <v>1096</v>
      </c>
      <c r="J22" s="61">
        <v>160400</v>
      </c>
      <c r="K22" s="61">
        <v>100</v>
      </c>
      <c r="L22" s="61">
        <v>2036</v>
      </c>
      <c r="M22" s="61">
        <v>52</v>
      </c>
      <c r="N22" s="84" t="s">
        <v>1096</v>
      </c>
      <c r="O22" s="61">
        <v>76992</v>
      </c>
      <c r="P22" s="61">
        <v>50550</v>
      </c>
      <c r="Q22" s="84" t="s">
        <v>1096</v>
      </c>
      <c r="R22" s="83">
        <v>131.70199501246881</v>
      </c>
      <c r="S22" s="83" t="s">
        <v>1130</v>
      </c>
      <c r="T22" s="83" t="s">
        <v>1159</v>
      </c>
      <c r="U22" s="83" t="s">
        <v>1169</v>
      </c>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34"/>
      <c r="AT22" s="34"/>
      <c r="AU22" s="34"/>
      <c r="AV22" s="34"/>
      <c r="AW22" s="34"/>
      <c r="AX22" s="34"/>
      <c r="AY22" s="34"/>
      <c r="AZ22" s="34"/>
      <c r="BA22" s="34"/>
    </row>
    <row r="23" spans="1:53" x14ac:dyDescent="0.25">
      <c r="A23" s="61">
        <v>14</v>
      </c>
      <c r="B23" s="61" t="s">
        <v>1126</v>
      </c>
      <c r="C23" s="61" t="s">
        <v>1170</v>
      </c>
      <c r="D23" s="61" t="s">
        <v>1171</v>
      </c>
      <c r="E23" s="83" t="s">
        <v>1096</v>
      </c>
      <c r="F23" s="61">
        <v>2011</v>
      </c>
      <c r="G23" s="83" t="s">
        <v>1129</v>
      </c>
      <c r="H23" s="84">
        <v>2011</v>
      </c>
      <c r="I23" s="84" t="s">
        <v>1096</v>
      </c>
      <c r="J23" s="61">
        <v>154270</v>
      </c>
      <c r="K23" s="61">
        <v>100</v>
      </c>
      <c r="L23" s="61">
        <v>2019</v>
      </c>
      <c r="M23" s="61">
        <v>100</v>
      </c>
      <c r="N23" s="84" t="s">
        <v>1096</v>
      </c>
      <c r="O23" s="61">
        <v>0</v>
      </c>
      <c r="P23" s="61">
        <v>0</v>
      </c>
      <c r="Q23" s="84" t="s">
        <v>1096</v>
      </c>
      <c r="R23" s="83">
        <v>100</v>
      </c>
      <c r="S23" s="83" t="s">
        <v>1143</v>
      </c>
      <c r="T23" s="83" t="s">
        <v>1144</v>
      </c>
      <c r="U23" s="83" t="s">
        <v>1172</v>
      </c>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34"/>
      <c r="AT23" s="34"/>
      <c r="AU23" s="34"/>
      <c r="AV23" s="34"/>
      <c r="AW23" s="34"/>
      <c r="AX23" s="34"/>
      <c r="AY23" s="34"/>
      <c r="AZ23" s="34"/>
      <c r="BA23" s="34"/>
    </row>
    <row r="24" spans="1:53" x14ac:dyDescent="0.25">
      <c r="A24" s="61">
        <v>14</v>
      </c>
      <c r="B24" s="61" t="s">
        <v>1126</v>
      </c>
      <c r="C24" s="61" t="s">
        <v>1127</v>
      </c>
      <c r="D24" s="61" t="s">
        <v>1173</v>
      </c>
      <c r="E24" s="83" t="s">
        <v>1096</v>
      </c>
      <c r="F24" s="61">
        <v>2020</v>
      </c>
      <c r="G24" s="83" t="s">
        <v>1129</v>
      </c>
      <c r="H24" s="84">
        <v>2015</v>
      </c>
      <c r="I24" s="84" t="s">
        <v>1096</v>
      </c>
      <c r="J24" s="61">
        <v>38400000</v>
      </c>
      <c r="K24" s="61">
        <v>100</v>
      </c>
      <c r="L24" s="61">
        <v>2030</v>
      </c>
      <c r="M24" s="61">
        <v>75</v>
      </c>
      <c r="N24" s="84" t="s">
        <v>1096</v>
      </c>
      <c r="O24" s="61">
        <v>9600000</v>
      </c>
      <c r="P24" s="61">
        <v>25100000</v>
      </c>
      <c r="Q24" s="84" t="s">
        <v>1096</v>
      </c>
      <c r="R24" s="83">
        <v>46.180555555555557</v>
      </c>
      <c r="S24" s="83" t="s">
        <v>1154</v>
      </c>
      <c r="T24" s="83" t="s">
        <v>1159</v>
      </c>
      <c r="U24" s="83" t="s">
        <v>1174</v>
      </c>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34"/>
      <c r="AT24" s="34"/>
      <c r="AU24" s="34"/>
      <c r="AV24" s="34"/>
      <c r="AW24" s="34"/>
      <c r="AX24" s="34"/>
      <c r="AY24" s="34"/>
      <c r="AZ24" s="34"/>
      <c r="BA24" s="34"/>
    </row>
    <row r="25" spans="1:53" x14ac:dyDescent="0.25">
      <c r="A25" s="61">
        <v>15</v>
      </c>
      <c r="B25" s="61" t="s">
        <v>1126</v>
      </c>
      <c r="C25" s="61" t="s">
        <v>1164</v>
      </c>
      <c r="D25" s="61" t="s">
        <v>1165</v>
      </c>
      <c r="E25" s="83" t="s">
        <v>1096</v>
      </c>
      <c r="F25" s="61">
        <v>2011</v>
      </c>
      <c r="G25" s="83" t="s">
        <v>1129</v>
      </c>
      <c r="H25" s="84">
        <v>2008</v>
      </c>
      <c r="I25" s="84" t="s">
        <v>1096</v>
      </c>
      <c r="J25" s="61">
        <v>1354054</v>
      </c>
      <c r="K25" s="61">
        <v>100</v>
      </c>
      <c r="L25" s="61">
        <v>2020</v>
      </c>
      <c r="M25" s="61">
        <v>20</v>
      </c>
      <c r="N25" s="84" t="s">
        <v>1096</v>
      </c>
      <c r="O25" s="61">
        <v>1083243.2</v>
      </c>
      <c r="P25" s="61">
        <v>990955</v>
      </c>
      <c r="Q25" s="84" t="s">
        <v>1096</v>
      </c>
      <c r="R25" s="83">
        <v>134.07847840632644</v>
      </c>
      <c r="S25" s="83" t="s">
        <v>1143</v>
      </c>
      <c r="T25" s="83" t="s">
        <v>1144</v>
      </c>
      <c r="U25" s="83" t="s">
        <v>1175</v>
      </c>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34"/>
      <c r="AT25" s="34"/>
      <c r="AU25" s="34"/>
      <c r="AV25" s="34"/>
      <c r="AW25" s="34"/>
      <c r="AX25" s="34"/>
      <c r="AY25" s="34"/>
      <c r="AZ25" s="34"/>
      <c r="BA25" s="34"/>
    </row>
    <row r="26" spans="1:53" x14ac:dyDescent="0.25">
      <c r="A26" s="61">
        <v>15</v>
      </c>
      <c r="B26" s="61" t="s">
        <v>1126</v>
      </c>
      <c r="C26" s="61" t="s">
        <v>1164</v>
      </c>
      <c r="D26" s="61" t="s">
        <v>1165</v>
      </c>
      <c r="E26" s="83" t="s">
        <v>1096</v>
      </c>
      <c r="F26" s="61">
        <v>2009</v>
      </c>
      <c r="G26" s="83" t="s">
        <v>1162</v>
      </c>
      <c r="H26" s="84">
        <v>2008</v>
      </c>
      <c r="I26" s="84" t="s">
        <v>1096</v>
      </c>
      <c r="J26" s="61">
        <v>865777</v>
      </c>
      <c r="K26" s="61">
        <v>64</v>
      </c>
      <c r="L26" s="61">
        <v>2020</v>
      </c>
      <c r="M26" s="61">
        <v>30</v>
      </c>
      <c r="N26" s="84" t="s">
        <v>1096</v>
      </c>
      <c r="O26" s="61">
        <v>606043.9</v>
      </c>
      <c r="P26" s="61">
        <v>597179</v>
      </c>
      <c r="Q26" s="84" t="s">
        <v>1096</v>
      </c>
      <c r="R26" s="83">
        <v>103.41308058156625</v>
      </c>
      <c r="S26" s="83" t="s">
        <v>1143</v>
      </c>
      <c r="T26" s="83" t="s">
        <v>1144</v>
      </c>
      <c r="U26" s="83" t="s">
        <v>1176</v>
      </c>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34"/>
      <c r="AT26" s="34"/>
      <c r="AU26" s="34"/>
      <c r="AV26" s="34"/>
      <c r="AW26" s="34"/>
      <c r="AX26" s="34"/>
      <c r="AY26" s="34"/>
      <c r="AZ26" s="34"/>
      <c r="BA26" s="34"/>
    </row>
    <row r="27" spans="1:53" x14ac:dyDescent="0.25">
      <c r="A27" s="61">
        <v>15</v>
      </c>
      <c r="B27" s="61" t="s">
        <v>1126</v>
      </c>
      <c r="C27" s="61" t="s">
        <v>1127</v>
      </c>
      <c r="D27" s="61" t="s">
        <v>1133</v>
      </c>
      <c r="E27" s="83" t="s">
        <v>1096</v>
      </c>
      <c r="F27" s="61">
        <v>2019</v>
      </c>
      <c r="G27" s="83" t="s">
        <v>1129</v>
      </c>
      <c r="H27" s="84">
        <v>2015</v>
      </c>
      <c r="I27" s="84" t="s">
        <v>1096</v>
      </c>
      <c r="J27" s="61">
        <v>8766803</v>
      </c>
      <c r="K27" s="61">
        <v>100</v>
      </c>
      <c r="L27" s="61">
        <v>2030</v>
      </c>
      <c r="M27" s="61">
        <v>26</v>
      </c>
      <c r="N27" s="84" t="s">
        <v>1096</v>
      </c>
      <c r="O27" s="61">
        <v>6487434.2199999997</v>
      </c>
      <c r="P27" s="61">
        <v>6525042</v>
      </c>
      <c r="Q27" s="84" t="s">
        <v>1096</v>
      </c>
      <c r="R27" s="83">
        <v>98.350079182886745</v>
      </c>
      <c r="S27" s="83" t="s">
        <v>1154</v>
      </c>
      <c r="T27" s="83" t="s">
        <v>1137</v>
      </c>
      <c r="U27" s="83" t="s">
        <v>1177</v>
      </c>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34"/>
      <c r="AT27" s="34"/>
      <c r="AU27" s="34"/>
      <c r="AV27" s="34"/>
      <c r="AW27" s="34"/>
      <c r="AX27" s="34"/>
      <c r="AY27" s="34"/>
      <c r="AZ27" s="34"/>
      <c r="BA27" s="34"/>
    </row>
    <row r="28" spans="1:53" x14ac:dyDescent="0.25">
      <c r="A28" s="61">
        <v>16</v>
      </c>
      <c r="B28" s="61" t="s">
        <v>1126</v>
      </c>
      <c r="C28" s="61" t="s">
        <v>1127</v>
      </c>
      <c r="D28" s="61" t="s">
        <v>1133</v>
      </c>
      <c r="E28" s="83" t="s">
        <v>1096</v>
      </c>
      <c r="F28" s="61">
        <v>2015</v>
      </c>
      <c r="G28" s="83" t="s">
        <v>1129</v>
      </c>
      <c r="H28" s="84">
        <v>2010</v>
      </c>
      <c r="I28" s="84" t="s">
        <v>1096</v>
      </c>
      <c r="J28" s="61">
        <v>1750939</v>
      </c>
      <c r="K28" s="61">
        <v>100</v>
      </c>
      <c r="L28" s="61">
        <v>2020</v>
      </c>
      <c r="M28" s="61">
        <v>100</v>
      </c>
      <c r="N28" s="84" t="s">
        <v>1096</v>
      </c>
      <c r="O28" s="61">
        <v>0</v>
      </c>
      <c r="P28" s="61">
        <v>0</v>
      </c>
      <c r="Q28" s="84" t="s">
        <v>1096</v>
      </c>
      <c r="R28" s="83">
        <v>100</v>
      </c>
      <c r="S28" s="83" t="s">
        <v>1130</v>
      </c>
      <c r="T28" s="83" t="s">
        <v>1159</v>
      </c>
      <c r="U28" s="83" t="s">
        <v>1178</v>
      </c>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34"/>
      <c r="AT28" s="34"/>
      <c r="AU28" s="34"/>
      <c r="AV28" s="34"/>
      <c r="AW28" s="34"/>
      <c r="AX28" s="34"/>
      <c r="AY28" s="34"/>
      <c r="AZ28" s="34"/>
      <c r="BA28" s="34"/>
    </row>
    <row r="29" spans="1:53" x14ac:dyDescent="0.25">
      <c r="A29" s="61">
        <v>16</v>
      </c>
      <c r="B29" s="61" t="s">
        <v>1126</v>
      </c>
      <c r="C29" s="61" t="s">
        <v>1127</v>
      </c>
      <c r="D29" s="61" t="s">
        <v>1133</v>
      </c>
      <c r="E29" s="83" t="s">
        <v>1096</v>
      </c>
      <c r="F29" s="61">
        <v>2015</v>
      </c>
      <c r="G29" s="83" t="s">
        <v>1129</v>
      </c>
      <c r="H29" s="61">
        <v>2010</v>
      </c>
      <c r="I29" s="84" t="s">
        <v>1096</v>
      </c>
      <c r="J29" s="61">
        <v>1750939</v>
      </c>
      <c r="K29" s="61">
        <v>100</v>
      </c>
      <c r="L29" s="61">
        <v>2040</v>
      </c>
      <c r="M29" s="61">
        <v>100</v>
      </c>
      <c r="N29" s="84" t="s">
        <v>1096</v>
      </c>
      <c r="O29" s="61">
        <v>0</v>
      </c>
      <c r="P29" s="61">
        <v>0</v>
      </c>
      <c r="Q29" s="84" t="s">
        <v>1096</v>
      </c>
      <c r="R29" s="83">
        <v>100</v>
      </c>
      <c r="S29" s="83" t="s">
        <v>1130</v>
      </c>
      <c r="T29" s="83" t="s">
        <v>1159</v>
      </c>
      <c r="U29" s="83" t="s">
        <v>1179</v>
      </c>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34"/>
      <c r="AT29" s="34"/>
      <c r="AU29" s="34"/>
      <c r="AV29" s="34"/>
      <c r="AW29" s="34"/>
      <c r="AX29" s="34"/>
      <c r="AY29" s="34"/>
      <c r="AZ29" s="34"/>
      <c r="BA29" s="34"/>
    </row>
    <row r="30" spans="1:53" x14ac:dyDescent="0.25">
      <c r="A30" s="61">
        <v>16</v>
      </c>
      <c r="B30" s="61" t="s">
        <v>1126</v>
      </c>
      <c r="C30" s="61" t="s">
        <v>1127</v>
      </c>
      <c r="D30" s="61" t="s">
        <v>1128</v>
      </c>
      <c r="E30" s="83" t="s">
        <v>1096</v>
      </c>
      <c r="F30" s="61">
        <v>2015</v>
      </c>
      <c r="G30" s="83" t="s">
        <v>1129</v>
      </c>
      <c r="H30" s="61">
        <v>2010</v>
      </c>
      <c r="I30" s="84" t="s">
        <v>1096</v>
      </c>
      <c r="J30" s="61">
        <v>1785417</v>
      </c>
      <c r="K30" s="61">
        <v>100</v>
      </c>
      <c r="L30" s="61">
        <v>2020</v>
      </c>
      <c r="M30" s="61">
        <v>50</v>
      </c>
      <c r="N30" s="84" t="s">
        <v>1096</v>
      </c>
      <c r="O30" s="61">
        <v>892708.5</v>
      </c>
      <c r="P30" s="61">
        <v>791409</v>
      </c>
      <c r="Q30" s="84" t="s">
        <v>1096</v>
      </c>
      <c r="R30" s="83">
        <v>111.34743312066593</v>
      </c>
      <c r="S30" s="83" t="s">
        <v>1130</v>
      </c>
      <c r="T30" s="83" t="s">
        <v>1159</v>
      </c>
      <c r="U30" s="83" t="s">
        <v>1180</v>
      </c>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34"/>
      <c r="AT30" s="34"/>
      <c r="AU30" s="34"/>
      <c r="AV30" s="34"/>
      <c r="AW30" s="34"/>
      <c r="AX30" s="34"/>
      <c r="AY30" s="34"/>
      <c r="AZ30" s="34"/>
      <c r="BA30" s="34"/>
    </row>
    <row r="31" spans="1:53" x14ac:dyDescent="0.25">
      <c r="A31" s="61">
        <v>18</v>
      </c>
      <c r="B31" s="61" t="s">
        <v>1126</v>
      </c>
      <c r="C31" s="61" t="s">
        <v>1127</v>
      </c>
      <c r="D31" s="61" t="s">
        <v>1173</v>
      </c>
      <c r="E31" s="83" t="s">
        <v>1096</v>
      </c>
      <c r="F31" s="61">
        <v>2016</v>
      </c>
      <c r="G31" s="83" t="s">
        <v>1129</v>
      </c>
      <c r="H31" s="84">
        <v>2013</v>
      </c>
      <c r="I31" s="84" t="s">
        <v>1096</v>
      </c>
      <c r="J31" s="61">
        <v>379288</v>
      </c>
      <c r="K31" s="61">
        <v>100</v>
      </c>
      <c r="L31" s="61">
        <v>2030</v>
      </c>
      <c r="M31" s="61">
        <v>35</v>
      </c>
      <c r="N31" s="84" t="s">
        <v>1096</v>
      </c>
      <c r="O31" s="61">
        <v>246537.2</v>
      </c>
      <c r="P31" s="61">
        <v>491674</v>
      </c>
      <c r="Q31" s="84" t="s">
        <v>1096</v>
      </c>
      <c r="R31" s="83">
        <v>-84.659376817314865</v>
      </c>
      <c r="S31" s="83" t="s">
        <v>1130</v>
      </c>
      <c r="T31" s="83" t="s">
        <v>1137</v>
      </c>
      <c r="U31" s="83" t="s">
        <v>1181</v>
      </c>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34"/>
      <c r="AT31" s="34"/>
      <c r="AU31" s="34"/>
      <c r="AV31" s="34"/>
      <c r="AW31" s="34"/>
      <c r="AX31" s="34"/>
      <c r="AY31" s="34"/>
      <c r="AZ31" s="34"/>
      <c r="BA31" s="34"/>
    </row>
    <row r="32" spans="1:53" x14ac:dyDescent="0.25">
      <c r="A32" s="61">
        <v>19</v>
      </c>
      <c r="B32" s="61" t="s">
        <v>1126</v>
      </c>
      <c r="C32" s="61" t="s">
        <v>1127</v>
      </c>
      <c r="D32" s="61" t="s">
        <v>1128</v>
      </c>
      <c r="E32" s="83" t="s">
        <v>1096</v>
      </c>
      <c r="F32" s="61">
        <v>2016</v>
      </c>
      <c r="G32" s="83" t="s">
        <v>1129</v>
      </c>
      <c r="H32" s="84">
        <v>2014</v>
      </c>
      <c r="I32" s="84" t="s">
        <v>1096</v>
      </c>
      <c r="J32" s="61">
        <v>33189.21</v>
      </c>
      <c r="K32" s="61">
        <v>100</v>
      </c>
      <c r="L32" s="61">
        <v>2020</v>
      </c>
      <c r="M32" s="61">
        <v>30</v>
      </c>
      <c r="N32" s="84" t="s">
        <v>1096</v>
      </c>
      <c r="O32" s="61">
        <v>23232.446999999996</v>
      </c>
      <c r="P32" s="61">
        <v>25958</v>
      </c>
      <c r="Q32" s="84" t="s">
        <v>1096</v>
      </c>
      <c r="R32" s="83">
        <v>72.626113527056916</v>
      </c>
      <c r="S32" s="83" t="s">
        <v>1130</v>
      </c>
      <c r="T32" s="83" t="s">
        <v>1159</v>
      </c>
      <c r="U32" s="83" t="s">
        <v>1182</v>
      </c>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34"/>
      <c r="AT32" s="34"/>
      <c r="AU32" s="34"/>
      <c r="AV32" s="34"/>
      <c r="AW32" s="34"/>
      <c r="AX32" s="34"/>
      <c r="AY32" s="34"/>
      <c r="AZ32" s="34"/>
      <c r="BA32" s="34"/>
    </row>
    <row r="33" spans="1:53" x14ac:dyDescent="0.25">
      <c r="A33" s="61">
        <v>89</v>
      </c>
      <c r="B33" s="61" t="s">
        <v>1126</v>
      </c>
      <c r="C33" s="61" t="s">
        <v>1127</v>
      </c>
      <c r="D33" s="61" t="s">
        <v>1128</v>
      </c>
      <c r="E33" s="83" t="s">
        <v>1096</v>
      </c>
      <c r="F33" s="61">
        <v>2019</v>
      </c>
      <c r="G33" s="83" t="s">
        <v>1129</v>
      </c>
      <c r="H33" s="84">
        <v>2018</v>
      </c>
      <c r="I33" s="84" t="s">
        <v>1096</v>
      </c>
      <c r="J33" s="61">
        <v>150157</v>
      </c>
      <c r="K33" s="61">
        <v>100</v>
      </c>
      <c r="L33" s="61">
        <v>2025</v>
      </c>
      <c r="M33" s="61">
        <v>20</v>
      </c>
      <c r="N33" s="84" t="s">
        <v>1096</v>
      </c>
      <c r="O33" s="61">
        <v>120125.6</v>
      </c>
      <c r="P33" s="61">
        <v>138307</v>
      </c>
      <c r="Q33" s="84" t="s">
        <v>1096</v>
      </c>
      <c r="R33" s="83">
        <v>39.458699894110836</v>
      </c>
      <c r="S33" s="83" t="s">
        <v>1130</v>
      </c>
      <c r="T33" s="83" t="s">
        <v>1137</v>
      </c>
      <c r="U33" s="83" t="s">
        <v>1183</v>
      </c>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34"/>
      <c r="AT33" s="34"/>
      <c r="AU33" s="34"/>
      <c r="AV33" s="34"/>
      <c r="AW33" s="34"/>
      <c r="AX33" s="34"/>
      <c r="AY33" s="34"/>
      <c r="AZ33" s="34"/>
      <c r="BA33" s="34"/>
    </row>
    <row r="34" spans="1:53" x14ac:dyDescent="0.25">
      <c r="A34" s="61">
        <v>89</v>
      </c>
      <c r="B34" s="61" t="s">
        <v>1126</v>
      </c>
      <c r="C34" s="61" t="s">
        <v>1170</v>
      </c>
      <c r="D34" s="61" t="s">
        <v>1171</v>
      </c>
      <c r="E34" s="83" t="s">
        <v>1096</v>
      </c>
      <c r="F34" s="61">
        <v>2015</v>
      </c>
      <c r="G34" s="83" t="s">
        <v>1129</v>
      </c>
      <c r="H34" s="84">
        <v>2014</v>
      </c>
      <c r="I34" s="84" t="s">
        <v>1096</v>
      </c>
      <c r="J34" s="61">
        <v>205197</v>
      </c>
      <c r="K34" s="61">
        <v>100</v>
      </c>
      <c r="L34" s="61">
        <v>2020</v>
      </c>
      <c r="M34" s="61">
        <v>96</v>
      </c>
      <c r="N34" s="84" t="s">
        <v>1096</v>
      </c>
      <c r="O34" s="61">
        <v>8207.8799999999992</v>
      </c>
      <c r="P34" s="61"/>
      <c r="Q34" s="84" t="s">
        <v>1096</v>
      </c>
      <c r="R34" s="83">
        <v>104.16666666666667</v>
      </c>
      <c r="S34" s="83" t="s">
        <v>1130</v>
      </c>
      <c r="T34" s="83" t="s">
        <v>1144</v>
      </c>
      <c r="U34" s="83" t="s">
        <v>1184</v>
      </c>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34"/>
      <c r="AT34" s="34"/>
      <c r="AU34" s="34"/>
      <c r="AV34" s="34"/>
      <c r="AW34" s="34"/>
      <c r="AX34" s="34"/>
      <c r="AY34" s="34"/>
      <c r="AZ34" s="34"/>
      <c r="BA34" s="34"/>
    </row>
    <row r="35" spans="1:53" x14ac:dyDescent="0.25">
      <c r="A35" s="61">
        <v>89</v>
      </c>
      <c r="B35" s="61" t="s">
        <v>1126</v>
      </c>
      <c r="C35" s="61" t="s">
        <v>1127</v>
      </c>
      <c r="D35" s="61" t="s">
        <v>1133</v>
      </c>
      <c r="E35" s="83" t="s">
        <v>1096</v>
      </c>
      <c r="F35" s="61">
        <v>2015</v>
      </c>
      <c r="G35" s="83" t="s">
        <v>1129</v>
      </c>
      <c r="H35" s="84">
        <v>2014</v>
      </c>
      <c r="I35" s="84" t="s">
        <v>1096</v>
      </c>
      <c r="J35" s="61">
        <v>214161</v>
      </c>
      <c r="K35" s="61">
        <v>100</v>
      </c>
      <c r="L35" s="61">
        <v>2040</v>
      </c>
      <c r="M35" s="61">
        <v>92</v>
      </c>
      <c r="N35" s="84" t="s">
        <v>1096</v>
      </c>
      <c r="O35" s="61">
        <v>17132.88</v>
      </c>
      <c r="P35" s="61"/>
      <c r="Q35" s="84" t="s">
        <v>1096</v>
      </c>
      <c r="R35" s="83">
        <v>108.69565217391303</v>
      </c>
      <c r="S35" s="83" t="s">
        <v>1130</v>
      </c>
      <c r="T35" s="83" t="s">
        <v>1144</v>
      </c>
      <c r="U35" s="83" t="s">
        <v>1185</v>
      </c>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34"/>
      <c r="AT35" s="34"/>
      <c r="AU35" s="34"/>
      <c r="AV35" s="34"/>
      <c r="AW35" s="34"/>
      <c r="AX35" s="34"/>
      <c r="AY35" s="34"/>
      <c r="AZ35" s="34"/>
      <c r="BA35" s="34"/>
    </row>
    <row r="36" spans="1:53" x14ac:dyDescent="0.25">
      <c r="A36" s="61">
        <v>20</v>
      </c>
      <c r="B36" s="61" t="s">
        <v>1126</v>
      </c>
      <c r="C36" s="61" t="s">
        <v>1127</v>
      </c>
      <c r="D36" s="61" t="s">
        <v>1133</v>
      </c>
      <c r="E36" s="83" t="s">
        <v>1096</v>
      </c>
      <c r="F36" s="61">
        <v>2018</v>
      </c>
      <c r="G36" s="83" t="s">
        <v>1129</v>
      </c>
      <c r="H36" s="84">
        <v>2017</v>
      </c>
      <c r="I36" s="84" t="s">
        <v>1096</v>
      </c>
      <c r="J36" s="61">
        <v>1004000</v>
      </c>
      <c r="K36" s="61">
        <v>70</v>
      </c>
      <c r="L36" s="61">
        <v>2025</v>
      </c>
      <c r="M36" s="61">
        <v>25</v>
      </c>
      <c r="N36" s="84" t="s">
        <v>1096</v>
      </c>
      <c r="O36" s="61">
        <v>753000</v>
      </c>
      <c r="P36" s="61">
        <v>976000</v>
      </c>
      <c r="Q36" s="84" t="s">
        <v>1096</v>
      </c>
      <c r="R36" s="83">
        <v>11.155378486055776</v>
      </c>
      <c r="S36" s="83" t="s">
        <v>1130</v>
      </c>
      <c r="T36" s="83" t="s">
        <v>1159</v>
      </c>
      <c r="U36" s="83" t="s">
        <v>1186</v>
      </c>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34"/>
      <c r="AT36" s="34"/>
      <c r="AU36" s="34"/>
      <c r="AV36" s="34"/>
      <c r="AW36" s="34"/>
      <c r="AX36" s="34"/>
      <c r="AY36" s="34"/>
      <c r="AZ36" s="34"/>
      <c r="BA36" s="34"/>
    </row>
    <row r="37" spans="1:53" x14ac:dyDescent="0.25">
      <c r="A37" s="61">
        <v>22</v>
      </c>
      <c r="B37" s="61" t="s">
        <v>1126</v>
      </c>
      <c r="C37" s="61" t="s">
        <v>1127</v>
      </c>
      <c r="D37" s="61" t="s">
        <v>1133</v>
      </c>
      <c r="E37" s="83" t="s">
        <v>1096</v>
      </c>
      <c r="F37" s="61">
        <v>2015</v>
      </c>
      <c r="G37" s="83" t="s">
        <v>1129</v>
      </c>
      <c r="H37" s="84">
        <v>2015</v>
      </c>
      <c r="I37" s="84" t="s">
        <v>1096</v>
      </c>
      <c r="J37" s="61">
        <v>379183.76</v>
      </c>
      <c r="K37" s="61">
        <v>100</v>
      </c>
      <c r="L37" s="61">
        <v>2020</v>
      </c>
      <c r="M37" s="61">
        <v>5</v>
      </c>
      <c r="N37" s="84" t="s">
        <v>1096</v>
      </c>
      <c r="O37" s="61">
        <v>360224.57200000004</v>
      </c>
      <c r="P37" s="61">
        <v>300349</v>
      </c>
      <c r="Q37" s="84" t="s">
        <v>1096</v>
      </c>
      <c r="R37" s="83">
        <v>415.81295570253405</v>
      </c>
      <c r="S37" s="83" t="s">
        <v>1130</v>
      </c>
      <c r="T37" s="83" t="s">
        <v>1131</v>
      </c>
      <c r="U37" s="83" t="s">
        <v>1187</v>
      </c>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34"/>
      <c r="AT37" s="34"/>
      <c r="AU37" s="34"/>
      <c r="AV37" s="34"/>
      <c r="AW37" s="34"/>
      <c r="AX37" s="34"/>
      <c r="AY37" s="34"/>
      <c r="AZ37" s="34"/>
      <c r="BA37" s="34"/>
    </row>
    <row r="38" spans="1:53" x14ac:dyDescent="0.25">
      <c r="A38" s="61">
        <v>23</v>
      </c>
      <c r="B38" s="61" t="s">
        <v>1126</v>
      </c>
      <c r="C38" s="61" t="s">
        <v>1127</v>
      </c>
      <c r="D38" s="61" t="s">
        <v>1133</v>
      </c>
      <c r="E38" s="83" t="s">
        <v>1096</v>
      </c>
      <c r="F38" s="61">
        <v>2018</v>
      </c>
      <c r="G38" s="83" t="s">
        <v>1129</v>
      </c>
      <c r="H38" s="84">
        <v>2017</v>
      </c>
      <c r="I38" s="84" t="s">
        <v>1096</v>
      </c>
      <c r="J38" s="61">
        <v>11719</v>
      </c>
      <c r="K38" s="61">
        <v>100</v>
      </c>
      <c r="L38" s="61">
        <v>2019</v>
      </c>
      <c r="M38" s="61">
        <v>100</v>
      </c>
      <c r="N38" s="84" t="s">
        <v>1096</v>
      </c>
      <c r="O38" s="61">
        <v>0</v>
      </c>
      <c r="P38" s="61">
        <v>0</v>
      </c>
      <c r="Q38" s="84" t="s">
        <v>1096</v>
      </c>
      <c r="R38" s="83">
        <v>100</v>
      </c>
      <c r="S38" s="83" t="s">
        <v>1143</v>
      </c>
      <c r="T38" s="83" t="s">
        <v>1131</v>
      </c>
      <c r="U38" s="83" t="s">
        <v>1188</v>
      </c>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34"/>
      <c r="AT38" s="34"/>
      <c r="AU38" s="34"/>
      <c r="AV38" s="34"/>
      <c r="AW38" s="34"/>
      <c r="AX38" s="34"/>
      <c r="AY38" s="34"/>
      <c r="AZ38" s="34"/>
      <c r="BA38" s="34"/>
    </row>
    <row r="39" spans="1:53" x14ac:dyDescent="0.25">
      <c r="A39" s="61">
        <v>23</v>
      </c>
      <c r="B39" s="61" t="s">
        <v>1126</v>
      </c>
      <c r="C39" s="61" t="s">
        <v>1141</v>
      </c>
      <c r="D39" s="61" t="s">
        <v>1189</v>
      </c>
      <c r="E39" s="83" t="s">
        <v>1096</v>
      </c>
      <c r="F39" s="61">
        <v>2018</v>
      </c>
      <c r="G39" s="83" t="s">
        <v>1129</v>
      </c>
      <c r="H39" s="84">
        <v>2017</v>
      </c>
      <c r="I39" s="84" t="s">
        <v>1096</v>
      </c>
      <c r="J39" s="61">
        <v>62340</v>
      </c>
      <c r="K39" s="61">
        <v>100</v>
      </c>
      <c r="L39" s="61">
        <v>2019</v>
      </c>
      <c r="M39" s="61">
        <v>100</v>
      </c>
      <c r="N39" s="84" t="s">
        <v>1096</v>
      </c>
      <c r="O39" s="61">
        <v>0</v>
      </c>
      <c r="P39" s="61">
        <v>0</v>
      </c>
      <c r="Q39" s="84" t="s">
        <v>1096</v>
      </c>
      <c r="R39" s="83">
        <v>100</v>
      </c>
      <c r="S39" s="83" t="s">
        <v>1143</v>
      </c>
      <c r="T39" s="83" t="s">
        <v>1131</v>
      </c>
      <c r="U39" s="83" t="s">
        <v>1190</v>
      </c>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34"/>
      <c r="AT39" s="34"/>
      <c r="AU39" s="34"/>
      <c r="AV39" s="34"/>
      <c r="AW39" s="34"/>
      <c r="AX39" s="34"/>
      <c r="AY39" s="34"/>
      <c r="AZ39" s="34"/>
      <c r="BA39" s="34"/>
    </row>
    <row r="40" spans="1:53" x14ac:dyDescent="0.25">
      <c r="A40" s="61">
        <v>27</v>
      </c>
      <c r="B40" s="61" t="s">
        <v>1126</v>
      </c>
      <c r="C40" s="61" t="s">
        <v>1127</v>
      </c>
      <c r="D40" s="61" t="s">
        <v>1133</v>
      </c>
      <c r="E40" s="83" t="s">
        <v>1096</v>
      </c>
      <c r="F40" s="61">
        <v>2017</v>
      </c>
      <c r="G40" s="83" t="s">
        <v>1129</v>
      </c>
      <c r="H40" s="84">
        <v>2007</v>
      </c>
      <c r="I40" s="84" t="s">
        <v>1096</v>
      </c>
      <c r="J40" s="61">
        <v>450733</v>
      </c>
      <c r="K40" s="61">
        <v>100</v>
      </c>
      <c r="L40" s="61">
        <v>2022</v>
      </c>
      <c r="M40" s="61">
        <v>60</v>
      </c>
      <c r="N40" s="84" t="s">
        <v>1096</v>
      </c>
      <c r="O40" s="61">
        <v>180293.2</v>
      </c>
      <c r="P40" s="61">
        <v>228610</v>
      </c>
      <c r="Q40" s="84" t="s">
        <v>1096</v>
      </c>
      <c r="R40" s="83">
        <v>82.133990633035523</v>
      </c>
      <c r="S40" s="83" t="s">
        <v>1130</v>
      </c>
      <c r="T40" s="83" t="s">
        <v>1137</v>
      </c>
      <c r="U40" s="83" t="s">
        <v>1191</v>
      </c>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34"/>
      <c r="AT40" s="34"/>
      <c r="AU40" s="34"/>
      <c r="AV40" s="34"/>
      <c r="AW40" s="34"/>
      <c r="AX40" s="34"/>
      <c r="AY40" s="34"/>
      <c r="AZ40" s="34"/>
      <c r="BA40" s="34"/>
    </row>
    <row r="41" spans="1:53" x14ac:dyDescent="0.25">
      <c r="A41" s="61">
        <v>27</v>
      </c>
      <c r="B41" s="61" t="s">
        <v>1126</v>
      </c>
      <c r="C41" s="61" t="s">
        <v>1141</v>
      </c>
      <c r="D41" s="61" t="s">
        <v>1192</v>
      </c>
      <c r="E41" s="83" t="s">
        <v>1096</v>
      </c>
      <c r="F41" s="61">
        <v>2017</v>
      </c>
      <c r="G41" s="83" t="s">
        <v>1193</v>
      </c>
      <c r="H41" s="84">
        <v>2016</v>
      </c>
      <c r="I41" s="84" t="s">
        <v>1096</v>
      </c>
      <c r="J41" s="61">
        <v>26233018</v>
      </c>
      <c r="K41" s="61">
        <v>100</v>
      </c>
      <c r="L41" s="61">
        <v>2022</v>
      </c>
      <c r="M41" s="61">
        <v>13</v>
      </c>
      <c r="N41" s="84" t="s">
        <v>1096</v>
      </c>
      <c r="O41" s="61">
        <v>22822725.66</v>
      </c>
      <c r="P41" s="61">
        <v>24929174</v>
      </c>
      <c r="Q41" s="84" t="s">
        <v>1096</v>
      </c>
      <c r="R41" s="83">
        <v>38.232616738071201</v>
      </c>
      <c r="S41" s="83" t="s">
        <v>1130</v>
      </c>
      <c r="T41" s="83" t="s">
        <v>1137</v>
      </c>
      <c r="U41" s="83" t="s">
        <v>1194</v>
      </c>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34"/>
      <c r="AT41" s="34"/>
      <c r="AU41" s="34"/>
      <c r="AV41" s="34"/>
      <c r="AW41" s="34"/>
      <c r="AX41" s="34"/>
      <c r="AY41" s="34"/>
      <c r="AZ41" s="34"/>
      <c r="BA41" s="34"/>
    </row>
    <row r="42" spans="1:53" x14ac:dyDescent="0.25">
      <c r="A42" s="61">
        <v>28</v>
      </c>
      <c r="B42" s="61" t="s">
        <v>1126</v>
      </c>
      <c r="C42" s="61" t="s">
        <v>1127</v>
      </c>
      <c r="D42" s="61" t="s">
        <v>1128</v>
      </c>
      <c r="E42" s="83" t="s">
        <v>1096</v>
      </c>
      <c r="F42" s="61">
        <v>2006</v>
      </c>
      <c r="G42" s="83" t="s">
        <v>1129</v>
      </c>
      <c r="H42" s="84">
        <v>2005</v>
      </c>
      <c r="I42" s="84" t="s">
        <v>1096</v>
      </c>
      <c r="J42" s="61">
        <v>1091759</v>
      </c>
      <c r="K42" s="61">
        <v>100</v>
      </c>
      <c r="L42" s="61">
        <v>2020</v>
      </c>
      <c r="M42" s="61">
        <v>35</v>
      </c>
      <c r="N42" s="84" t="s">
        <v>1096</v>
      </c>
      <c r="O42" s="61">
        <v>709643.35</v>
      </c>
      <c r="P42" s="61">
        <v>616900</v>
      </c>
      <c r="Q42" s="84" t="s">
        <v>1096</v>
      </c>
      <c r="R42" s="83">
        <v>124.27101585606346</v>
      </c>
      <c r="S42" s="83" t="s">
        <v>1143</v>
      </c>
      <c r="T42" s="83" t="s">
        <v>1159</v>
      </c>
      <c r="U42" s="83" t="s">
        <v>1195</v>
      </c>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34"/>
      <c r="AT42" s="34"/>
      <c r="AU42" s="34"/>
      <c r="AV42" s="34"/>
      <c r="AW42" s="34"/>
      <c r="AX42" s="34"/>
      <c r="AY42" s="34"/>
      <c r="AZ42" s="34"/>
      <c r="BA42" s="34"/>
    </row>
    <row r="43" spans="1:53" x14ac:dyDescent="0.25">
      <c r="A43" s="61">
        <v>28</v>
      </c>
      <c r="B43" s="61" t="s">
        <v>1126</v>
      </c>
      <c r="C43" s="61" t="s">
        <v>1127</v>
      </c>
      <c r="D43" s="61" t="s">
        <v>1128</v>
      </c>
      <c r="E43" s="83" t="s">
        <v>1096</v>
      </c>
      <c r="F43" s="61">
        <v>2006</v>
      </c>
      <c r="G43" s="83" t="s">
        <v>1129</v>
      </c>
      <c r="H43" s="84">
        <v>2005</v>
      </c>
      <c r="I43" s="84" t="s">
        <v>1096</v>
      </c>
      <c r="J43" s="61">
        <v>1091759</v>
      </c>
      <c r="K43" s="61">
        <v>100</v>
      </c>
      <c r="L43" s="61">
        <v>2050</v>
      </c>
      <c r="M43" s="61">
        <v>80</v>
      </c>
      <c r="N43" s="84" t="s">
        <v>1096</v>
      </c>
      <c r="O43" s="61">
        <v>218351.8</v>
      </c>
      <c r="P43" s="61">
        <v>616900</v>
      </c>
      <c r="Q43" s="84" t="s">
        <v>1096</v>
      </c>
      <c r="R43" s="83">
        <v>54.368569437027773</v>
      </c>
      <c r="S43" s="83" t="s">
        <v>1130</v>
      </c>
      <c r="T43" s="83" t="s">
        <v>1159</v>
      </c>
      <c r="U43" s="83" t="s">
        <v>1196</v>
      </c>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34"/>
      <c r="AT43" s="34"/>
      <c r="AU43" s="34"/>
      <c r="AV43" s="34"/>
      <c r="AW43" s="34"/>
      <c r="AX43" s="34"/>
      <c r="AY43" s="34"/>
      <c r="AZ43" s="34"/>
      <c r="BA43" s="34"/>
    </row>
    <row r="44" spans="1:53" x14ac:dyDescent="0.25">
      <c r="A44" s="61">
        <v>30</v>
      </c>
      <c r="B44" s="61" t="s">
        <v>1126</v>
      </c>
      <c r="C44" s="61" t="s">
        <v>1127</v>
      </c>
      <c r="D44" s="61" t="s">
        <v>1133</v>
      </c>
      <c r="E44" s="83" t="s">
        <v>1096</v>
      </c>
      <c r="F44" s="61">
        <v>2016</v>
      </c>
      <c r="G44" s="83" t="s">
        <v>1129</v>
      </c>
      <c r="H44" s="84">
        <v>2002</v>
      </c>
      <c r="I44" s="84" t="s">
        <v>1096</v>
      </c>
      <c r="J44" s="61">
        <v>699761</v>
      </c>
      <c r="K44" s="61">
        <v>95</v>
      </c>
      <c r="L44" s="61">
        <v>2020</v>
      </c>
      <c r="M44" s="61">
        <v>25</v>
      </c>
      <c r="N44" s="84" t="s">
        <v>1096</v>
      </c>
      <c r="O44" s="61">
        <v>524820.75</v>
      </c>
      <c r="P44" s="61">
        <v>474312</v>
      </c>
      <c r="Q44" s="84" t="s">
        <v>1096</v>
      </c>
      <c r="R44" s="83">
        <v>128.87200058305621</v>
      </c>
      <c r="S44" s="83" t="s">
        <v>1143</v>
      </c>
      <c r="T44" s="83" t="s">
        <v>1137</v>
      </c>
      <c r="U44" s="83" t="s">
        <v>1197</v>
      </c>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34"/>
      <c r="AT44" s="34"/>
      <c r="AU44" s="34"/>
      <c r="AV44" s="34"/>
      <c r="AW44" s="34"/>
      <c r="AX44" s="34"/>
      <c r="AY44" s="34"/>
      <c r="AZ44" s="34"/>
      <c r="BA44" s="34"/>
    </row>
    <row r="45" spans="1:53" x14ac:dyDescent="0.25">
      <c r="A45" s="61">
        <v>30</v>
      </c>
      <c r="B45" s="61" t="s">
        <v>1126</v>
      </c>
      <c r="C45" s="61" t="s">
        <v>1127</v>
      </c>
      <c r="D45" s="61" t="s">
        <v>1133</v>
      </c>
      <c r="E45" s="83" t="s">
        <v>1096</v>
      </c>
      <c r="F45" s="61">
        <v>2016</v>
      </c>
      <c r="G45" s="83" t="s">
        <v>1129</v>
      </c>
      <c r="H45" s="84">
        <v>2002</v>
      </c>
      <c r="I45" s="84" t="s">
        <v>1096</v>
      </c>
      <c r="J45" s="61">
        <v>699761</v>
      </c>
      <c r="K45" s="61">
        <v>95</v>
      </c>
      <c r="L45" s="61">
        <v>2050</v>
      </c>
      <c r="M45" s="61">
        <v>50</v>
      </c>
      <c r="N45" s="84" t="s">
        <v>1096</v>
      </c>
      <c r="O45" s="61">
        <v>349880.5</v>
      </c>
      <c r="P45" s="61">
        <v>474312</v>
      </c>
      <c r="Q45" s="84" t="s">
        <v>1096</v>
      </c>
      <c r="R45" s="83">
        <v>64.436000291528103</v>
      </c>
      <c r="S45" s="83" t="s">
        <v>1130</v>
      </c>
      <c r="T45" s="83" t="s">
        <v>1137</v>
      </c>
      <c r="U45" s="83" t="s">
        <v>1198</v>
      </c>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34"/>
      <c r="AT45" s="34"/>
      <c r="AU45" s="34"/>
      <c r="AV45" s="34"/>
      <c r="AW45" s="34"/>
      <c r="AX45" s="34"/>
      <c r="AY45" s="34"/>
      <c r="AZ45" s="34"/>
      <c r="BA45" s="34"/>
    </row>
    <row r="46" spans="1:53" x14ac:dyDescent="0.25">
      <c r="A46" s="61">
        <v>30</v>
      </c>
      <c r="B46" s="61" t="s">
        <v>1126</v>
      </c>
      <c r="C46" s="61" t="s">
        <v>1141</v>
      </c>
      <c r="D46" s="61" t="s">
        <v>1192</v>
      </c>
      <c r="E46" s="83" t="s">
        <v>1096</v>
      </c>
      <c r="F46" s="61">
        <v>2016</v>
      </c>
      <c r="G46" s="83" t="s">
        <v>1129</v>
      </c>
      <c r="H46" s="84">
        <v>2016</v>
      </c>
      <c r="I46" s="84" t="s">
        <v>1096</v>
      </c>
      <c r="J46" s="61">
        <v>47200000</v>
      </c>
      <c r="K46" s="61">
        <v>90</v>
      </c>
      <c r="L46" s="61">
        <v>2022</v>
      </c>
      <c r="M46" s="61">
        <v>5</v>
      </c>
      <c r="N46" s="84" t="s">
        <v>1096</v>
      </c>
      <c r="O46" s="61">
        <v>44840000</v>
      </c>
      <c r="P46" s="61">
        <v>42014727</v>
      </c>
      <c r="Q46" s="84" t="s">
        <v>1096</v>
      </c>
      <c r="R46" s="83">
        <v>219.71495762711862</v>
      </c>
      <c r="S46" s="83" t="s">
        <v>1143</v>
      </c>
      <c r="T46" s="83" t="s">
        <v>1137</v>
      </c>
      <c r="U46" s="83" t="s">
        <v>1199</v>
      </c>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34"/>
      <c r="AT46" s="34"/>
      <c r="AU46" s="34"/>
      <c r="AV46" s="34"/>
      <c r="AW46" s="34"/>
      <c r="AX46" s="34"/>
      <c r="AY46" s="34"/>
      <c r="AZ46" s="34"/>
      <c r="BA46" s="34"/>
    </row>
    <row r="47" spans="1:53" x14ac:dyDescent="0.25">
      <c r="A47" s="61">
        <v>31</v>
      </c>
      <c r="B47" s="61" t="s">
        <v>1126</v>
      </c>
      <c r="C47" s="61" t="s">
        <v>1127</v>
      </c>
      <c r="D47" s="61" t="s">
        <v>1200</v>
      </c>
      <c r="E47" s="83" t="s">
        <v>1096</v>
      </c>
      <c r="F47" s="61">
        <v>2019</v>
      </c>
      <c r="G47" s="83" t="s">
        <v>1201</v>
      </c>
      <c r="H47" s="84">
        <v>2018</v>
      </c>
      <c r="I47" s="84" t="s">
        <v>1096</v>
      </c>
      <c r="J47" s="61">
        <v>2001609</v>
      </c>
      <c r="K47" s="61">
        <v>5</v>
      </c>
      <c r="L47" s="61">
        <v>2030</v>
      </c>
      <c r="M47" s="61">
        <v>50</v>
      </c>
      <c r="N47" s="84" t="s">
        <v>1096</v>
      </c>
      <c r="O47" s="61">
        <v>1000804.5</v>
      </c>
      <c r="P47" s="61">
        <v>1974441</v>
      </c>
      <c r="Q47" s="84" t="s">
        <v>1096</v>
      </c>
      <c r="R47" s="83">
        <v>2.7146160913545057</v>
      </c>
      <c r="S47" s="83" t="s">
        <v>1154</v>
      </c>
      <c r="T47" s="83" t="s">
        <v>1159</v>
      </c>
      <c r="U47" s="83" t="s">
        <v>1202</v>
      </c>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34"/>
      <c r="AT47" s="34"/>
      <c r="AU47" s="34"/>
      <c r="AV47" s="34"/>
      <c r="AW47" s="34"/>
      <c r="AX47" s="34"/>
      <c r="AY47" s="34"/>
      <c r="AZ47" s="34"/>
      <c r="BA47" s="34"/>
    </row>
    <row r="48" spans="1:53" x14ac:dyDescent="0.25">
      <c r="A48" s="61">
        <v>31</v>
      </c>
      <c r="B48" s="61" t="s">
        <v>1126</v>
      </c>
      <c r="C48" s="61" t="s">
        <v>1164</v>
      </c>
      <c r="D48" s="61" t="s">
        <v>1165</v>
      </c>
      <c r="E48" s="83" t="s">
        <v>1096</v>
      </c>
      <c r="F48" s="61">
        <v>2018</v>
      </c>
      <c r="G48" s="83" t="s">
        <v>1201</v>
      </c>
      <c r="H48" s="84">
        <v>2017</v>
      </c>
      <c r="I48" s="84" t="s">
        <v>1096</v>
      </c>
      <c r="J48" s="61">
        <v>388377</v>
      </c>
      <c r="K48" s="61">
        <v>20</v>
      </c>
      <c r="L48" s="61">
        <v>2019</v>
      </c>
      <c r="M48" s="61">
        <v>100</v>
      </c>
      <c r="N48" s="84" t="s">
        <v>1096</v>
      </c>
      <c r="O48" s="61">
        <v>0</v>
      </c>
      <c r="P48" s="61">
        <v>367572</v>
      </c>
      <c r="Q48" s="84" t="s">
        <v>1096</v>
      </c>
      <c r="R48" s="83">
        <v>5.3569083648104803</v>
      </c>
      <c r="S48" s="83" t="s">
        <v>1130</v>
      </c>
      <c r="T48" s="83" t="s">
        <v>1131</v>
      </c>
      <c r="U48" s="83" t="s">
        <v>1203</v>
      </c>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34"/>
      <c r="AT48" s="34"/>
      <c r="AU48" s="34"/>
      <c r="AV48" s="34"/>
      <c r="AW48" s="34"/>
      <c r="AX48" s="34"/>
      <c r="AY48" s="34"/>
      <c r="AZ48" s="34"/>
      <c r="BA48" s="34"/>
    </row>
    <row r="49" spans="1:53" x14ac:dyDescent="0.25">
      <c r="A49" s="61">
        <v>31</v>
      </c>
      <c r="B49" s="61" t="s">
        <v>1126</v>
      </c>
      <c r="C49" s="61" t="s">
        <v>1127</v>
      </c>
      <c r="D49" s="61" t="s">
        <v>1128</v>
      </c>
      <c r="E49" s="83" t="s">
        <v>1096</v>
      </c>
      <c r="F49" s="61">
        <v>2017</v>
      </c>
      <c r="G49" s="83" t="s">
        <v>1201</v>
      </c>
      <c r="H49" s="84">
        <v>2017</v>
      </c>
      <c r="I49" s="84" t="s">
        <v>1096</v>
      </c>
      <c r="J49" s="61">
        <v>1925233</v>
      </c>
      <c r="K49" s="61">
        <v>95</v>
      </c>
      <c r="L49" s="61">
        <v>2019</v>
      </c>
      <c r="M49" s="61">
        <v>100</v>
      </c>
      <c r="N49" s="84" t="s">
        <v>1096</v>
      </c>
      <c r="O49" s="61">
        <v>0</v>
      </c>
      <c r="P49" s="61">
        <v>1968858</v>
      </c>
      <c r="Q49" s="84" t="s">
        <v>1096</v>
      </c>
      <c r="R49" s="83">
        <v>-2.265959496850511</v>
      </c>
      <c r="S49" s="83" t="s">
        <v>1130</v>
      </c>
      <c r="T49" s="83" t="s">
        <v>1131</v>
      </c>
      <c r="U49" s="83" t="s">
        <v>1204</v>
      </c>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34"/>
      <c r="AT49" s="34"/>
      <c r="AU49" s="34"/>
      <c r="AV49" s="34"/>
      <c r="AW49" s="34"/>
      <c r="AX49" s="34"/>
      <c r="AY49" s="34"/>
      <c r="AZ49" s="34"/>
      <c r="BA49" s="34"/>
    </row>
    <row r="50" spans="1:53" x14ac:dyDescent="0.25">
      <c r="A50" s="61">
        <v>34</v>
      </c>
      <c r="B50" s="61" t="s">
        <v>1126</v>
      </c>
      <c r="C50" s="61" t="s">
        <v>1127</v>
      </c>
      <c r="D50" s="61" t="s">
        <v>1133</v>
      </c>
      <c r="E50" s="83" t="s">
        <v>1096</v>
      </c>
      <c r="F50" s="61">
        <v>2017</v>
      </c>
      <c r="G50" s="83" t="s">
        <v>1129</v>
      </c>
      <c r="H50" s="61">
        <v>2010</v>
      </c>
      <c r="I50" s="84" t="s">
        <v>1096</v>
      </c>
      <c r="J50" s="61">
        <v>1766531</v>
      </c>
      <c r="K50" s="61">
        <v>100</v>
      </c>
      <c r="L50" s="61">
        <v>2030</v>
      </c>
      <c r="M50" s="61">
        <v>36</v>
      </c>
      <c r="N50" s="84" t="s">
        <v>1096</v>
      </c>
      <c r="O50" s="61">
        <v>1130579.8400000001</v>
      </c>
      <c r="P50" s="61">
        <v>1121031.46</v>
      </c>
      <c r="Q50" s="84" t="s">
        <v>1096</v>
      </c>
      <c r="R50" s="83">
        <v>101.50143290877874</v>
      </c>
      <c r="S50" s="83" t="s">
        <v>1143</v>
      </c>
      <c r="T50" s="83" t="s">
        <v>1137</v>
      </c>
      <c r="U50" s="83" t="s">
        <v>1205</v>
      </c>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34"/>
      <c r="AT50" s="34"/>
      <c r="AU50" s="34"/>
      <c r="AV50" s="34"/>
      <c r="AW50" s="34"/>
      <c r="AX50" s="34"/>
      <c r="AY50" s="34"/>
      <c r="AZ50" s="34"/>
      <c r="BA50" s="34"/>
    </row>
    <row r="51" spans="1:53" x14ac:dyDescent="0.25">
      <c r="A51" s="61">
        <v>34</v>
      </c>
      <c r="B51" s="61" t="s">
        <v>1126</v>
      </c>
      <c r="C51" s="61" t="s">
        <v>1127</v>
      </c>
      <c r="D51" s="61" t="s">
        <v>1133</v>
      </c>
      <c r="E51" s="83" t="s">
        <v>1096</v>
      </c>
      <c r="F51" s="61">
        <v>2017</v>
      </c>
      <c r="G51" s="83" t="s">
        <v>1129</v>
      </c>
      <c r="H51" s="61">
        <v>2010</v>
      </c>
      <c r="I51" s="84" t="s">
        <v>1096</v>
      </c>
      <c r="J51" s="61">
        <v>1766531</v>
      </c>
      <c r="K51" s="61">
        <v>100</v>
      </c>
      <c r="L51" s="61">
        <v>2050</v>
      </c>
      <c r="M51" s="61">
        <v>56</v>
      </c>
      <c r="N51" s="84" t="s">
        <v>1096</v>
      </c>
      <c r="O51" s="61">
        <v>777273.64</v>
      </c>
      <c r="P51" s="61">
        <v>1121031.46</v>
      </c>
      <c r="Q51" s="84" t="s">
        <v>1096</v>
      </c>
      <c r="R51" s="83">
        <v>65.250921155643468</v>
      </c>
      <c r="S51" s="83" t="s">
        <v>1130</v>
      </c>
      <c r="T51" s="83" t="s">
        <v>1137</v>
      </c>
      <c r="U51" s="83" t="s">
        <v>1206</v>
      </c>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34"/>
      <c r="AT51" s="34"/>
      <c r="AU51" s="34"/>
      <c r="AV51" s="34"/>
      <c r="AW51" s="34"/>
      <c r="AX51" s="34"/>
      <c r="AY51" s="34"/>
      <c r="AZ51" s="34"/>
      <c r="BA51" s="34"/>
    </row>
    <row r="52" spans="1:53" x14ac:dyDescent="0.25">
      <c r="A52" s="61">
        <v>37</v>
      </c>
      <c r="B52" s="61" t="s">
        <v>1126</v>
      </c>
      <c r="C52" s="61" t="s">
        <v>1164</v>
      </c>
      <c r="D52" s="61" t="s">
        <v>1165</v>
      </c>
      <c r="E52" s="83" t="s">
        <v>1096</v>
      </c>
      <c r="F52" s="61">
        <v>2019</v>
      </c>
      <c r="G52" s="83" t="s">
        <v>1129</v>
      </c>
      <c r="H52" s="84">
        <v>2005</v>
      </c>
      <c r="I52" s="84" t="s">
        <v>1096</v>
      </c>
      <c r="J52" s="61">
        <v>138800000</v>
      </c>
      <c r="K52" s="61">
        <v>100</v>
      </c>
      <c r="L52" s="61">
        <v>2030</v>
      </c>
      <c r="M52" s="61">
        <v>50</v>
      </c>
      <c r="N52" s="84" t="s">
        <v>1096</v>
      </c>
      <c r="O52" s="61">
        <v>69400000</v>
      </c>
      <c r="P52" s="61">
        <v>84370000</v>
      </c>
      <c r="Q52" s="84" t="s">
        <v>1096</v>
      </c>
      <c r="R52" s="83">
        <v>78.429394812680115</v>
      </c>
      <c r="S52" s="83" t="s">
        <v>1130</v>
      </c>
      <c r="T52" s="83" t="s">
        <v>1159</v>
      </c>
      <c r="U52" s="83" t="s">
        <v>1207</v>
      </c>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34"/>
      <c r="AT52" s="34"/>
      <c r="AU52" s="34"/>
      <c r="AV52" s="34"/>
      <c r="AW52" s="34"/>
      <c r="AX52" s="34"/>
      <c r="AY52" s="34"/>
      <c r="AZ52" s="34"/>
      <c r="BA52" s="34"/>
    </row>
    <row r="53" spans="1:53" x14ac:dyDescent="0.25">
      <c r="A53" s="61">
        <v>37</v>
      </c>
      <c r="B53" s="61" t="s">
        <v>1126</v>
      </c>
      <c r="C53" s="61" t="s">
        <v>1164</v>
      </c>
      <c r="D53" s="61" t="s">
        <v>1165</v>
      </c>
      <c r="E53" s="83" t="s">
        <v>1096</v>
      </c>
      <c r="F53" s="61">
        <v>2019</v>
      </c>
      <c r="G53" s="83" t="s">
        <v>1129</v>
      </c>
      <c r="H53" s="84">
        <v>2005</v>
      </c>
      <c r="I53" s="84" t="s">
        <v>1096</v>
      </c>
      <c r="J53" s="61">
        <v>138800000</v>
      </c>
      <c r="K53" s="61">
        <v>100</v>
      </c>
      <c r="L53" s="61">
        <v>2050</v>
      </c>
      <c r="M53" s="61">
        <v>100</v>
      </c>
      <c r="N53" s="84" t="s">
        <v>1096</v>
      </c>
      <c r="O53" s="61">
        <v>0</v>
      </c>
      <c r="P53" s="61">
        <v>84370000</v>
      </c>
      <c r="Q53" s="84" t="s">
        <v>1096</v>
      </c>
      <c r="R53" s="83">
        <v>39.214697406340058</v>
      </c>
      <c r="S53" s="83" t="s">
        <v>1130</v>
      </c>
      <c r="T53" s="83" t="s">
        <v>1159</v>
      </c>
      <c r="U53" s="83" t="s">
        <v>1208</v>
      </c>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34"/>
      <c r="AT53" s="34"/>
      <c r="AU53" s="34"/>
      <c r="AV53" s="34"/>
      <c r="AW53" s="34"/>
      <c r="AX53" s="34"/>
      <c r="AY53" s="34"/>
      <c r="AZ53" s="34"/>
      <c r="BA53" s="34"/>
    </row>
    <row r="54" spans="1:53" x14ac:dyDescent="0.25">
      <c r="A54" s="61">
        <v>38</v>
      </c>
      <c r="B54" s="61" t="s">
        <v>1126</v>
      </c>
      <c r="C54" s="61" t="s">
        <v>1127</v>
      </c>
      <c r="D54" s="61" t="s">
        <v>1209</v>
      </c>
      <c r="E54" s="83" t="s">
        <v>1096</v>
      </c>
      <c r="F54" s="61">
        <v>2019</v>
      </c>
      <c r="G54" s="83" t="s">
        <v>1129</v>
      </c>
      <c r="H54" s="84">
        <v>2019</v>
      </c>
      <c r="I54" s="84" t="s">
        <v>1096</v>
      </c>
      <c r="J54" s="61">
        <v>5380359</v>
      </c>
      <c r="K54" s="61">
        <v>100</v>
      </c>
      <c r="L54" s="61">
        <v>2030</v>
      </c>
      <c r="M54" s="61">
        <v>30</v>
      </c>
      <c r="N54" s="84" t="s">
        <v>1096</v>
      </c>
      <c r="O54" s="61">
        <v>3766251.3</v>
      </c>
      <c r="P54" s="61">
        <v>5380359</v>
      </c>
      <c r="Q54" s="84" t="s">
        <v>1096</v>
      </c>
      <c r="R54" s="83">
        <v>0</v>
      </c>
      <c r="S54" s="83" t="s">
        <v>1154</v>
      </c>
      <c r="T54" s="83" t="s">
        <v>1159</v>
      </c>
      <c r="U54" s="83" t="s">
        <v>1210</v>
      </c>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34"/>
      <c r="AT54" s="34"/>
      <c r="AU54" s="34"/>
      <c r="AV54" s="34"/>
      <c r="AW54" s="34"/>
      <c r="AX54" s="34"/>
      <c r="AY54" s="34"/>
      <c r="AZ54" s="34"/>
      <c r="BA54" s="34"/>
    </row>
    <row r="55" spans="1:53" x14ac:dyDescent="0.25">
      <c r="A55" s="61">
        <v>38</v>
      </c>
      <c r="B55" s="61" t="s">
        <v>1126</v>
      </c>
      <c r="C55" s="61" t="s">
        <v>1127</v>
      </c>
      <c r="D55" s="61" t="s">
        <v>1209</v>
      </c>
      <c r="E55" s="83" t="s">
        <v>1096</v>
      </c>
      <c r="F55" s="61">
        <v>2019</v>
      </c>
      <c r="G55" s="83" t="s">
        <v>1129</v>
      </c>
      <c r="H55" s="84">
        <v>2019</v>
      </c>
      <c r="I55" s="84" t="s">
        <v>1096</v>
      </c>
      <c r="J55" s="61">
        <v>5380359</v>
      </c>
      <c r="K55" s="61">
        <v>100</v>
      </c>
      <c r="L55" s="61">
        <v>2050</v>
      </c>
      <c r="M55" s="61">
        <v>100</v>
      </c>
      <c r="N55" s="84" t="s">
        <v>1096</v>
      </c>
      <c r="O55" s="61">
        <v>0</v>
      </c>
      <c r="P55" s="61">
        <v>5380359</v>
      </c>
      <c r="Q55" s="84" t="s">
        <v>1096</v>
      </c>
      <c r="R55" s="83">
        <v>0</v>
      </c>
      <c r="S55" s="83" t="s">
        <v>1154</v>
      </c>
      <c r="T55" s="83" t="s">
        <v>1159</v>
      </c>
      <c r="U55" s="83" t="s">
        <v>1211</v>
      </c>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34"/>
      <c r="AT55" s="34"/>
      <c r="AU55" s="34"/>
      <c r="AV55" s="34"/>
      <c r="AW55" s="34"/>
      <c r="AX55" s="34"/>
      <c r="AY55" s="34"/>
      <c r="AZ55" s="34"/>
      <c r="BA55" s="34"/>
    </row>
    <row r="56" spans="1:53" x14ac:dyDescent="0.25">
      <c r="A56" s="61">
        <v>41</v>
      </c>
      <c r="B56" s="61" t="s">
        <v>1126</v>
      </c>
      <c r="C56" s="61" t="s">
        <v>1127</v>
      </c>
      <c r="D56" s="61" t="s">
        <v>1212</v>
      </c>
      <c r="E56" s="83" t="s">
        <v>1096</v>
      </c>
      <c r="F56" s="61">
        <v>2017</v>
      </c>
      <c r="G56" s="83" t="s">
        <v>1129</v>
      </c>
      <c r="H56" s="84">
        <v>2015</v>
      </c>
      <c r="I56" s="84" t="s">
        <v>1096</v>
      </c>
      <c r="J56" s="61">
        <v>1133000</v>
      </c>
      <c r="K56" s="61">
        <v>100</v>
      </c>
      <c r="L56" s="61">
        <v>2022</v>
      </c>
      <c r="M56" s="61">
        <v>15</v>
      </c>
      <c r="N56" s="84" t="s">
        <v>1096</v>
      </c>
      <c r="O56" s="61">
        <v>963050</v>
      </c>
      <c r="P56" s="61">
        <v>994191</v>
      </c>
      <c r="Q56" s="84" t="s">
        <v>1096</v>
      </c>
      <c r="R56" s="83">
        <v>81.676375404530745</v>
      </c>
      <c r="S56" s="83" t="s">
        <v>1130</v>
      </c>
      <c r="T56" s="83" t="s">
        <v>1159</v>
      </c>
      <c r="U56" s="83" t="s">
        <v>1213</v>
      </c>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34"/>
      <c r="AT56" s="34"/>
      <c r="AU56" s="34"/>
      <c r="AV56" s="34"/>
      <c r="AW56" s="34"/>
      <c r="AX56" s="34"/>
      <c r="AY56" s="34"/>
      <c r="AZ56" s="34"/>
      <c r="BA56" s="34"/>
    </row>
    <row r="57" spans="1:53" x14ac:dyDescent="0.25">
      <c r="A57" s="61">
        <v>45</v>
      </c>
      <c r="B57" s="61" t="s">
        <v>1126</v>
      </c>
      <c r="C57" s="61" t="s">
        <v>1127</v>
      </c>
      <c r="D57" s="61" t="s">
        <v>1128</v>
      </c>
      <c r="E57" s="83" t="s">
        <v>1096</v>
      </c>
      <c r="F57" s="61">
        <v>2018</v>
      </c>
      <c r="G57" s="83" t="s">
        <v>1129</v>
      </c>
      <c r="H57" s="84">
        <v>2017</v>
      </c>
      <c r="I57" s="84" t="s">
        <v>1096</v>
      </c>
      <c r="J57" s="61">
        <v>4168442</v>
      </c>
      <c r="K57" s="61">
        <v>100</v>
      </c>
      <c r="L57" s="61">
        <v>2023</v>
      </c>
      <c r="M57" s="61">
        <v>16.2</v>
      </c>
      <c r="N57" s="84" t="s">
        <v>1096</v>
      </c>
      <c r="O57" s="61">
        <v>3493154.3959999997</v>
      </c>
      <c r="P57" s="61">
        <v>3636301</v>
      </c>
      <c r="Q57" s="84" t="s">
        <v>1096</v>
      </c>
      <c r="R57" s="83">
        <v>78.802127693136185</v>
      </c>
      <c r="S57" s="83" t="s">
        <v>1130</v>
      </c>
      <c r="T57" s="83" t="s">
        <v>1131</v>
      </c>
      <c r="U57" s="83" t="s">
        <v>1214</v>
      </c>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34"/>
      <c r="AT57" s="34"/>
      <c r="AU57" s="34"/>
      <c r="AV57" s="34"/>
      <c r="AW57" s="34"/>
      <c r="AX57" s="34"/>
      <c r="AY57" s="34"/>
      <c r="AZ57" s="34"/>
      <c r="BA57" s="34"/>
    </row>
    <row r="58" spans="1:53" x14ac:dyDescent="0.25">
      <c r="A58" s="61">
        <v>45</v>
      </c>
      <c r="B58" s="61" t="s">
        <v>1126</v>
      </c>
      <c r="C58" s="61" t="s">
        <v>1127</v>
      </c>
      <c r="D58" s="61" t="s">
        <v>1128</v>
      </c>
      <c r="E58" s="83" t="s">
        <v>1096</v>
      </c>
      <c r="F58" s="61">
        <v>2018</v>
      </c>
      <c r="G58" s="83" t="s">
        <v>1129</v>
      </c>
      <c r="H58" s="84">
        <v>2017</v>
      </c>
      <c r="I58" s="84" t="s">
        <v>1096</v>
      </c>
      <c r="J58" s="61">
        <v>4168442</v>
      </c>
      <c r="K58" s="61">
        <v>100</v>
      </c>
      <c r="L58" s="61">
        <v>2035</v>
      </c>
      <c r="M58" s="61">
        <v>75</v>
      </c>
      <c r="N58" s="84" t="s">
        <v>1096</v>
      </c>
      <c r="O58" s="61">
        <v>1042110.5</v>
      </c>
      <c r="P58" s="61">
        <v>3636301</v>
      </c>
      <c r="Q58" s="84" t="s">
        <v>1096</v>
      </c>
      <c r="R58" s="83">
        <v>17.02125958171742</v>
      </c>
      <c r="S58" s="83" t="s">
        <v>1130</v>
      </c>
      <c r="T58" s="83" t="s">
        <v>1131</v>
      </c>
      <c r="U58" s="83" t="s">
        <v>1215</v>
      </c>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34"/>
      <c r="AT58" s="34"/>
      <c r="AU58" s="34"/>
      <c r="AV58" s="34"/>
      <c r="AW58" s="34"/>
      <c r="AX58" s="34"/>
      <c r="AY58" s="34"/>
      <c r="AZ58" s="34"/>
      <c r="BA58" s="34"/>
    </row>
    <row r="59" spans="1:53" x14ac:dyDescent="0.25">
      <c r="A59" s="61">
        <v>47</v>
      </c>
      <c r="B59" s="61" t="s">
        <v>1126</v>
      </c>
      <c r="C59" s="61" t="s">
        <v>1127</v>
      </c>
      <c r="D59" s="61" t="s">
        <v>1133</v>
      </c>
      <c r="E59" s="83" t="s">
        <v>1096</v>
      </c>
      <c r="F59" s="61">
        <v>2015</v>
      </c>
      <c r="G59" s="83" t="s">
        <v>1129</v>
      </c>
      <c r="H59" s="84">
        <v>2011</v>
      </c>
      <c r="I59" s="84" t="s">
        <v>1096</v>
      </c>
      <c r="J59" s="61">
        <v>3005160.75</v>
      </c>
      <c r="K59" s="61">
        <v>100</v>
      </c>
      <c r="L59" s="61">
        <v>2020</v>
      </c>
      <c r="M59" s="61">
        <v>20</v>
      </c>
      <c r="N59" s="84" t="s">
        <v>1096</v>
      </c>
      <c r="O59" s="61">
        <v>2404128.6</v>
      </c>
      <c r="P59" s="61">
        <v>2385024.54</v>
      </c>
      <c r="Q59" s="84" t="s">
        <v>1096</v>
      </c>
      <c r="R59" s="83">
        <v>103.17854211293024</v>
      </c>
      <c r="S59" s="83" t="s">
        <v>1143</v>
      </c>
      <c r="T59" s="83" t="s">
        <v>1159</v>
      </c>
      <c r="U59" s="83" t="s">
        <v>1216</v>
      </c>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34"/>
      <c r="AT59" s="34"/>
      <c r="AU59" s="34"/>
      <c r="AV59" s="34"/>
      <c r="AW59" s="34"/>
      <c r="AX59" s="34"/>
      <c r="AY59" s="34"/>
      <c r="AZ59" s="34"/>
      <c r="BA59" s="34"/>
    </row>
    <row r="60" spans="1:53" x14ac:dyDescent="0.25">
      <c r="A60" s="61">
        <v>48</v>
      </c>
      <c r="B60" s="61" t="s">
        <v>1126</v>
      </c>
      <c r="C60" s="61" t="s">
        <v>1127</v>
      </c>
      <c r="D60" s="61" t="s">
        <v>1133</v>
      </c>
      <c r="E60" s="83" t="s">
        <v>1096</v>
      </c>
      <c r="F60" s="61">
        <v>2018</v>
      </c>
      <c r="G60" s="83" t="s">
        <v>1129</v>
      </c>
      <c r="H60" s="61">
        <v>2010</v>
      </c>
      <c r="I60" s="84" t="s">
        <v>1096</v>
      </c>
      <c r="J60" s="61">
        <v>6173746</v>
      </c>
      <c r="K60" s="61">
        <v>100</v>
      </c>
      <c r="L60" s="61">
        <v>2030</v>
      </c>
      <c r="M60" s="61">
        <v>31</v>
      </c>
      <c r="N60" s="84" t="s">
        <v>1096</v>
      </c>
      <c r="O60" s="61">
        <v>4259884.74</v>
      </c>
      <c r="P60" s="61">
        <v>5311575</v>
      </c>
      <c r="Q60" s="84" t="s">
        <v>1096</v>
      </c>
      <c r="R60" s="83">
        <v>45.048772239634552</v>
      </c>
      <c r="S60" s="83" t="s">
        <v>1130</v>
      </c>
      <c r="T60" s="83" t="s">
        <v>1159</v>
      </c>
      <c r="U60" s="83" t="s">
        <v>1217</v>
      </c>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34"/>
      <c r="AT60" s="34"/>
      <c r="AU60" s="34"/>
      <c r="AV60" s="34"/>
      <c r="AW60" s="34"/>
      <c r="AX60" s="34"/>
      <c r="AY60" s="34"/>
      <c r="AZ60" s="34"/>
      <c r="BA60" s="34"/>
    </row>
    <row r="61" spans="1:53" x14ac:dyDescent="0.25">
      <c r="A61" s="61">
        <v>48</v>
      </c>
      <c r="B61" s="61" t="s">
        <v>1126</v>
      </c>
      <c r="C61" s="61" t="s">
        <v>1141</v>
      </c>
      <c r="D61" s="61" t="s">
        <v>1192</v>
      </c>
      <c r="E61" s="83" t="s">
        <v>1096</v>
      </c>
      <c r="F61" s="61">
        <v>2017</v>
      </c>
      <c r="G61" s="83" t="s">
        <v>1162</v>
      </c>
      <c r="H61" s="84">
        <v>2016</v>
      </c>
      <c r="I61" s="84" t="s">
        <v>1096</v>
      </c>
      <c r="J61" s="61">
        <v>8023097</v>
      </c>
      <c r="K61" s="61">
        <v>100</v>
      </c>
      <c r="L61" s="61">
        <v>2021</v>
      </c>
      <c r="M61" s="61">
        <v>4</v>
      </c>
      <c r="N61" s="84" t="s">
        <v>1096</v>
      </c>
      <c r="O61" s="61">
        <v>7702173.1200000001</v>
      </c>
      <c r="P61" s="61">
        <v>7763604</v>
      </c>
      <c r="Q61" s="84" t="s">
        <v>1096</v>
      </c>
      <c r="R61" s="83">
        <v>80.858115014688252</v>
      </c>
      <c r="S61" s="83" t="s">
        <v>1130</v>
      </c>
      <c r="T61" s="83" t="s">
        <v>1131</v>
      </c>
      <c r="U61" s="83" t="s">
        <v>1218</v>
      </c>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34"/>
      <c r="AT61" s="34"/>
      <c r="AU61" s="34"/>
      <c r="AV61" s="34"/>
      <c r="AW61" s="34"/>
      <c r="AX61" s="34"/>
      <c r="AY61" s="34"/>
      <c r="AZ61" s="34"/>
      <c r="BA61" s="34"/>
    </row>
    <row r="62" spans="1:53" x14ac:dyDescent="0.25">
      <c r="A62" s="61">
        <v>49</v>
      </c>
      <c r="B62" s="61" t="s">
        <v>1126</v>
      </c>
      <c r="C62" s="61" t="s">
        <v>1127</v>
      </c>
      <c r="D62" s="61" t="s">
        <v>1133</v>
      </c>
      <c r="E62" s="83" t="s">
        <v>1096</v>
      </c>
      <c r="F62" s="61">
        <v>2017</v>
      </c>
      <c r="G62" s="83" t="s">
        <v>1129</v>
      </c>
      <c r="H62" s="84">
        <v>2016</v>
      </c>
      <c r="I62" s="84" t="s">
        <v>1096</v>
      </c>
      <c r="J62" s="61">
        <v>82840</v>
      </c>
      <c r="K62" s="61">
        <v>100</v>
      </c>
      <c r="L62" s="61">
        <v>2025</v>
      </c>
      <c r="M62" s="61">
        <v>25</v>
      </c>
      <c r="N62" s="84" t="s">
        <v>1096</v>
      </c>
      <c r="O62" s="61">
        <v>62130</v>
      </c>
      <c r="P62" s="61">
        <v>73735</v>
      </c>
      <c r="Q62" s="84" t="s">
        <v>1096</v>
      </c>
      <c r="R62" s="83">
        <v>43.964268469338485</v>
      </c>
      <c r="S62" s="83" t="s">
        <v>1130</v>
      </c>
      <c r="T62" s="83" t="s">
        <v>1159</v>
      </c>
      <c r="U62" s="83" t="s">
        <v>1219</v>
      </c>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34"/>
      <c r="AT62" s="34"/>
      <c r="AU62" s="34"/>
      <c r="AV62" s="34"/>
      <c r="AW62" s="34"/>
      <c r="AX62" s="34"/>
      <c r="AY62" s="34"/>
      <c r="AZ62" s="34"/>
      <c r="BA62" s="34"/>
    </row>
    <row r="63" spans="1:53" x14ac:dyDescent="0.25">
      <c r="A63" s="61">
        <v>50</v>
      </c>
      <c r="B63" s="61" t="s">
        <v>1126</v>
      </c>
      <c r="C63" s="61" t="s">
        <v>1157</v>
      </c>
      <c r="D63" s="61" t="s">
        <v>1158</v>
      </c>
      <c r="E63" s="83" t="s">
        <v>1096</v>
      </c>
      <c r="F63" s="61">
        <v>2015</v>
      </c>
      <c r="G63" s="83" t="s">
        <v>1129</v>
      </c>
      <c r="H63" s="84">
        <v>2019</v>
      </c>
      <c r="I63" s="84" t="s">
        <v>1096</v>
      </c>
      <c r="J63" s="61">
        <v>157255</v>
      </c>
      <c r="K63" s="61">
        <v>100</v>
      </c>
      <c r="L63" s="61">
        <v>2019</v>
      </c>
      <c r="M63" s="61">
        <v>100</v>
      </c>
      <c r="N63" s="84" t="s">
        <v>1096</v>
      </c>
      <c r="O63" s="61">
        <v>0</v>
      </c>
      <c r="P63" s="61">
        <v>0</v>
      </c>
      <c r="Q63" s="84" t="s">
        <v>1096</v>
      </c>
      <c r="R63" s="83">
        <v>100</v>
      </c>
      <c r="S63" s="83" t="s">
        <v>1130</v>
      </c>
      <c r="T63" s="83" t="s">
        <v>1144</v>
      </c>
      <c r="U63" s="83" t="s">
        <v>1220</v>
      </c>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34"/>
      <c r="AT63" s="34"/>
      <c r="AU63" s="34"/>
      <c r="AV63" s="34"/>
      <c r="AW63" s="34"/>
      <c r="AX63" s="34"/>
      <c r="AY63" s="34"/>
      <c r="AZ63" s="34"/>
      <c r="BA63" s="34"/>
    </row>
    <row r="64" spans="1:53" x14ac:dyDescent="0.25">
      <c r="A64" s="61">
        <v>50</v>
      </c>
      <c r="B64" s="61" t="s">
        <v>1126</v>
      </c>
      <c r="C64" s="61" t="s">
        <v>1127</v>
      </c>
      <c r="D64" s="61" t="s">
        <v>1133</v>
      </c>
      <c r="E64" s="83" t="s">
        <v>1096</v>
      </c>
      <c r="F64" s="61">
        <v>2015</v>
      </c>
      <c r="G64" s="83" t="s">
        <v>1129</v>
      </c>
      <c r="H64" s="84">
        <v>2013</v>
      </c>
      <c r="I64" s="84" t="s">
        <v>1096</v>
      </c>
      <c r="J64" s="61">
        <v>251687</v>
      </c>
      <c r="K64" s="61">
        <v>100</v>
      </c>
      <c r="L64" s="61">
        <v>2020</v>
      </c>
      <c r="M64" s="61">
        <v>15</v>
      </c>
      <c r="N64" s="84" t="s">
        <v>1096</v>
      </c>
      <c r="O64" s="61">
        <v>213933.95</v>
      </c>
      <c r="P64" s="61">
        <v>21782</v>
      </c>
      <c r="Q64" s="84" t="s">
        <v>1096</v>
      </c>
      <c r="R64" s="83">
        <v>608.97066594619525</v>
      </c>
      <c r="S64" s="83" t="s">
        <v>1130</v>
      </c>
      <c r="T64" s="83" t="s">
        <v>1159</v>
      </c>
      <c r="U64" s="83" t="s">
        <v>1221</v>
      </c>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34"/>
      <c r="AT64" s="34"/>
      <c r="AU64" s="34"/>
      <c r="AV64" s="34"/>
      <c r="AW64" s="34"/>
      <c r="AX64" s="34"/>
      <c r="AY64" s="34"/>
      <c r="AZ64" s="34"/>
      <c r="BA64" s="34"/>
    </row>
    <row r="65" spans="1:53" x14ac:dyDescent="0.25">
      <c r="A65" s="61">
        <v>50</v>
      </c>
      <c r="B65" s="61" t="s">
        <v>1126</v>
      </c>
      <c r="C65" s="61" t="s">
        <v>1127</v>
      </c>
      <c r="D65" s="61" t="s">
        <v>1133</v>
      </c>
      <c r="E65" s="83" t="s">
        <v>1096</v>
      </c>
      <c r="F65" s="61">
        <v>2015</v>
      </c>
      <c r="G65" s="83" t="s">
        <v>1129</v>
      </c>
      <c r="H65" s="84">
        <v>2013</v>
      </c>
      <c r="I65" s="84" t="s">
        <v>1096</v>
      </c>
      <c r="J65" s="61">
        <v>251687</v>
      </c>
      <c r="K65" s="61">
        <v>100</v>
      </c>
      <c r="L65" s="61">
        <v>2036</v>
      </c>
      <c r="M65" s="61">
        <v>50</v>
      </c>
      <c r="N65" s="84" t="s">
        <v>1096</v>
      </c>
      <c r="O65" s="61">
        <v>125843.5</v>
      </c>
      <c r="P65" s="61">
        <v>21782</v>
      </c>
      <c r="Q65" s="84" t="s">
        <v>1096</v>
      </c>
      <c r="R65" s="83">
        <v>182.69119978385854</v>
      </c>
      <c r="S65" s="83" t="s">
        <v>1130</v>
      </c>
      <c r="T65" s="83" t="s">
        <v>1159</v>
      </c>
      <c r="U65" s="83" t="s">
        <v>1222</v>
      </c>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34"/>
      <c r="AT65" s="34"/>
      <c r="AU65" s="34"/>
      <c r="AV65" s="34"/>
      <c r="AW65" s="34"/>
      <c r="AX65" s="34"/>
      <c r="AY65" s="34"/>
      <c r="AZ65" s="34"/>
      <c r="BA65" s="34"/>
    </row>
    <row r="66" spans="1:53" x14ac:dyDescent="0.25">
      <c r="A66" s="61">
        <v>53</v>
      </c>
      <c r="B66" s="61" t="s">
        <v>1126</v>
      </c>
      <c r="C66" s="61" t="s">
        <v>1157</v>
      </c>
      <c r="D66" s="61" t="s">
        <v>1223</v>
      </c>
      <c r="E66" s="83" t="s">
        <v>1096</v>
      </c>
      <c r="F66" s="61">
        <v>2018</v>
      </c>
      <c r="G66" s="83" t="s">
        <v>1129</v>
      </c>
      <c r="H66" s="84">
        <v>2005</v>
      </c>
      <c r="I66" s="84" t="s">
        <v>1096</v>
      </c>
      <c r="J66" s="61">
        <v>2028000</v>
      </c>
      <c r="K66" s="61">
        <v>100</v>
      </c>
      <c r="L66" s="61">
        <v>2025</v>
      </c>
      <c r="M66" s="61">
        <v>40</v>
      </c>
      <c r="N66" s="84" t="s">
        <v>1096</v>
      </c>
      <c r="O66" s="61">
        <v>1216800</v>
      </c>
      <c r="P66" s="61">
        <v>1222623</v>
      </c>
      <c r="Q66" s="84" t="s">
        <v>1096</v>
      </c>
      <c r="R66" s="83">
        <v>99.282174556213022</v>
      </c>
      <c r="S66" s="83" t="s">
        <v>1130</v>
      </c>
      <c r="T66" s="83" t="s">
        <v>1159</v>
      </c>
      <c r="U66" s="83" t="s">
        <v>1224</v>
      </c>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34"/>
      <c r="AT66" s="34"/>
      <c r="AU66" s="34"/>
      <c r="AV66" s="34"/>
      <c r="AW66" s="34"/>
      <c r="AX66" s="34"/>
      <c r="AY66" s="34"/>
      <c r="AZ66" s="34"/>
      <c r="BA66" s="34"/>
    </row>
    <row r="67" spans="1:53" x14ac:dyDescent="0.25">
      <c r="A67" s="61">
        <v>55</v>
      </c>
      <c r="B67" s="61" t="s">
        <v>1126</v>
      </c>
      <c r="C67" s="61" t="s">
        <v>1127</v>
      </c>
      <c r="D67" s="61" t="s">
        <v>1133</v>
      </c>
      <c r="E67" s="83" t="s">
        <v>1096</v>
      </c>
      <c r="F67" s="61">
        <v>2015</v>
      </c>
      <c r="G67" s="83" t="s">
        <v>1129</v>
      </c>
      <c r="H67" s="84" t="s">
        <v>1225</v>
      </c>
      <c r="I67" s="84" t="s">
        <v>1096</v>
      </c>
      <c r="J67" s="61">
        <v>1364881</v>
      </c>
      <c r="K67" s="61">
        <v>100</v>
      </c>
      <c r="L67" s="61">
        <v>2020</v>
      </c>
      <c r="M67" s="61">
        <v>20</v>
      </c>
      <c r="N67" s="84" t="s">
        <v>1096</v>
      </c>
      <c r="O67" s="61">
        <v>1091904.8</v>
      </c>
      <c r="P67" s="61">
        <v>933636</v>
      </c>
      <c r="Q67" s="84" t="s">
        <v>1096</v>
      </c>
      <c r="R67" s="83">
        <v>157.97897399113918</v>
      </c>
      <c r="S67" s="83" t="s">
        <v>1130</v>
      </c>
      <c r="T67" s="83" t="s">
        <v>1159</v>
      </c>
      <c r="U67" s="83" t="s">
        <v>1226</v>
      </c>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34"/>
      <c r="AT67" s="34"/>
      <c r="AU67" s="34"/>
      <c r="AV67" s="34"/>
      <c r="AW67" s="34"/>
      <c r="AX67" s="34"/>
      <c r="AY67" s="34"/>
      <c r="AZ67" s="34"/>
      <c r="BA67" s="34"/>
    </row>
    <row r="68" spans="1:53" x14ac:dyDescent="0.25">
      <c r="A68" s="61">
        <v>55</v>
      </c>
      <c r="B68" s="61" t="s">
        <v>1126</v>
      </c>
      <c r="C68" s="61" t="s">
        <v>1127</v>
      </c>
      <c r="D68" s="61" t="s">
        <v>1133</v>
      </c>
      <c r="E68" s="83" t="s">
        <v>1096</v>
      </c>
      <c r="F68" s="61">
        <v>2015</v>
      </c>
      <c r="G68" s="83" t="s">
        <v>1129</v>
      </c>
      <c r="H68" s="84" t="s">
        <v>1225</v>
      </c>
      <c r="I68" s="84" t="s">
        <v>1096</v>
      </c>
      <c r="J68" s="61">
        <v>1364881</v>
      </c>
      <c r="K68" s="61">
        <v>100</v>
      </c>
      <c r="L68" s="61">
        <v>2050</v>
      </c>
      <c r="M68" s="61">
        <v>80</v>
      </c>
      <c r="N68" s="84" t="s">
        <v>1096</v>
      </c>
      <c r="O68" s="61">
        <v>272976.2</v>
      </c>
      <c r="P68" s="61">
        <v>933636</v>
      </c>
      <c r="Q68" s="84" t="s">
        <v>1096</v>
      </c>
      <c r="R68" s="83">
        <v>39.494743497784782</v>
      </c>
      <c r="S68" s="83" t="s">
        <v>1130</v>
      </c>
      <c r="T68" s="83" t="s">
        <v>1159</v>
      </c>
      <c r="U68" s="83" t="s">
        <v>1227</v>
      </c>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34"/>
      <c r="AT68" s="34"/>
      <c r="AU68" s="34"/>
      <c r="AV68" s="34"/>
      <c r="AW68" s="34"/>
      <c r="AX68" s="34"/>
      <c r="AY68" s="34"/>
      <c r="AZ68" s="34"/>
      <c r="BA68" s="34"/>
    </row>
    <row r="69" spans="1:53" x14ac:dyDescent="0.25">
      <c r="A69" s="61">
        <v>56</v>
      </c>
      <c r="B69" s="61" t="s">
        <v>1126</v>
      </c>
      <c r="C69" s="61" t="s">
        <v>1127</v>
      </c>
      <c r="D69" s="61" t="s">
        <v>1133</v>
      </c>
      <c r="E69" s="83" t="s">
        <v>1096</v>
      </c>
      <c r="F69" s="61">
        <v>2008</v>
      </c>
      <c r="G69" s="83" t="s">
        <v>1129</v>
      </c>
      <c r="H69" s="84">
        <v>2005</v>
      </c>
      <c r="I69" s="84" t="s">
        <v>1096</v>
      </c>
      <c r="J69" s="61">
        <v>1392704</v>
      </c>
      <c r="K69" s="61">
        <v>100</v>
      </c>
      <c r="L69" s="61">
        <v>2020</v>
      </c>
      <c r="M69" s="61">
        <v>50</v>
      </c>
      <c r="N69" s="84" t="s">
        <v>1096</v>
      </c>
      <c r="O69" s="61">
        <v>696352</v>
      </c>
      <c r="P69" s="61">
        <v>637798</v>
      </c>
      <c r="Q69" s="84" t="s">
        <v>1096</v>
      </c>
      <c r="R69" s="83">
        <v>108.40867836956023</v>
      </c>
      <c r="S69" s="83" t="s">
        <v>1228</v>
      </c>
      <c r="T69" s="83"/>
      <c r="U69" s="83" t="s">
        <v>1229</v>
      </c>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34"/>
      <c r="AT69" s="34"/>
      <c r="AU69" s="34"/>
      <c r="AV69" s="34"/>
      <c r="AW69" s="34"/>
      <c r="AX69" s="34"/>
      <c r="AY69" s="34"/>
      <c r="AZ69" s="34"/>
      <c r="BA69" s="34"/>
    </row>
    <row r="70" spans="1:53" x14ac:dyDescent="0.25">
      <c r="A70" s="61">
        <v>59</v>
      </c>
      <c r="B70" s="61" t="s">
        <v>1126</v>
      </c>
      <c r="C70" s="61" t="s">
        <v>1127</v>
      </c>
      <c r="D70" s="61" t="s">
        <v>1128</v>
      </c>
      <c r="E70" s="83" t="s">
        <v>1096</v>
      </c>
      <c r="F70" s="61">
        <v>2012</v>
      </c>
      <c r="G70" s="83" t="s">
        <v>1129</v>
      </c>
      <c r="H70" s="84" t="s">
        <v>1225</v>
      </c>
      <c r="I70" s="84" t="s">
        <v>1096</v>
      </c>
      <c r="J70" s="61">
        <v>1271358</v>
      </c>
      <c r="K70" s="61">
        <v>96</v>
      </c>
      <c r="L70" s="61">
        <v>2020</v>
      </c>
      <c r="M70" s="61">
        <v>35</v>
      </c>
      <c r="N70" s="84" t="s">
        <v>1096</v>
      </c>
      <c r="O70" s="61">
        <v>826382.7</v>
      </c>
      <c r="P70" s="61">
        <v>771435</v>
      </c>
      <c r="Q70" s="84" t="s">
        <v>1096</v>
      </c>
      <c r="R70" s="83">
        <v>112.34848316299801</v>
      </c>
      <c r="S70" s="83" t="s">
        <v>1143</v>
      </c>
      <c r="T70" s="83" t="s">
        <v>1159</v>
      </c>
      <c r="U70" s="83" t="s">
        <v>1230</v>
      </c>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34"/>
      <c r="AT70" s="34"/>
      <c r="AU70" s="34"/>
      <c r="AV70" s="34"/>
      <c r="AW70" s="34"/>
      <c r="AX70" s="34"/>
      <c r="AY70" s="34"/>
      <c r="AZ70" s="34"/>
      <c r="BA70" s="34"/>
    </row>
    <row r="71" spans="1:53" x14ac:dyDescent="0.25">
      <c r="A71" s="61">
        <v>60</v>
      </c>
      <c r="B71" s="61" t="s">
        <v>1126</v>
      </c>
      <c r="C71" s="61" t="s">
        <v>1127</v>
      </c>
      <c r="D71" s="61" t="s">
        <v>1128</v>
      </c>
      <c r="E71" s="83" t="s">
        <v>1096</v>
      </c>
      <c r="F71" s="61">
        <v>2019</v>
      </c>
      <c r="G71" s="83" t="s">
        <v>1129</v>
      </c>
      <c r="H71" s="84">
        <v>2016</v>
      </c>
      <c r="I71" s="84" t="s">
        <v>1096</v>
      </c>
      <c r="J71" s="61">
        <v>2710148</v>
      </c>
      <c r="K71" s="61">
        <v>100</v>
      </c>
      <c r="L71" s="61">
        <v>2030</v>
      </c>
      <c r="M71" s="61">
        <v>40</v>
      </c>
      <c r="N71" s="84" t="s">
        <v>1096</v>
      </c>
      <c r="O71" s="61">
        <v>1626088.8</v>
      </c>
      <c r="P71" s="61">
        <v>2108505</v>
      </c>
      <c r="Q71" s="84" t="s">
        <v>1096</v>
      </c>
      <c r="R71" s="83">
        <v>55.499090824560135</v>
      </c>
      <c r="S71" s="83" t="s">
        <v>1130</v>
      </c>
      <c r="T71" s="83" t="s">
        <v>1146</v>
      </c>
      <c r="U71" s="83" t="s">
        <v>1231</v>
      </c>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34"/>
      <c r="AT71" s="34"/>
      <c r="AU71" s="34"/>
      <c r="AV71" s="34"/>
      <c r="AW71" s="34"/>
      <c r="AX71" s="34"/>
      <c r="AY71" s="34"/>
      <c r="AZ71" s="34"/>
      <c r="BA71" s="34"/>
    </row>
    <row r="72" spans="1:53" x14ac:dyDescent="0.25">
      <c r="A72" s="61">
        <v>61</v>
      </c>
      <c r="B72" s="61" t="s">
        <v>1126</v>
      </c>
      <c r="C72" s="61" t="s">
        <v>1127</v>
      </c>
      <c r="D72" s="61" t="s">
        <v>1128</v>
      </c>
      <c r="E72" s="83" t="s">
        <v>1096</v>
      </c>
      <c r="F72" s="61">
        <v>2018</v>
      </c>
      <c r="G72" s="83" t="s">
        <v>1129</v>
      </c>
      <c r="H72" s="84">
        <v>2016</v>
      </c>
      <c r="I72" s="84" t="s">
        <v>1096</v>
      </c>
      <c r="J72" s="61">
        <v>99214.39</v>
      </c>
      <c r="K72" s="61">
        <v>100</v>
      </c>
      <c r="L72" s="61">
        <v>2025</v>
      </c>
      <c r="M72" s="61">
        <v>38</v>
      </c>
      <c r="N72" s="84" t="s">
        <v>1096</v>
      </c>
      <c r="O72" s="61">
        <v>61512.921799999996</v>
      </c>
      <c r="P72" s="61">
        <v>56898.96</v>
      </c>
      <c r="Q72" s="84" t="s">
        <v>1096</v>
      </c>
      <c r="R72" s="83">
        <v>112.23814885808612</v>
      </c>
      <c r="S72" s="83" t="s">
        <v>1130</v>
      </c>
      <c r="T72" s="83" t="s">
        <v>1137</v>
      </c>
      <c r="U72" s="83" t="s">
        <v>1232</v>
      </c>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34"/>
      <c r="AT72" s="34"/>
      <c r="AU72" s="34"/>
      <c r="AV72" s="34"/>
      <c r="AW72" s="34"/>
      <c r="AX72" s="34"/>
      <c r="AY72" s="34"/>
      <c r="AZ72" s="34"/>
      <c r="BA72" s="34"/>
    </row>
    <row r="73" spans="1:53" x14ac:dyDescent="0.25">
      <c r="A73" s="61">
        <v>61</v>
      </c>
      <c r="B73" s="61" t="s">
        <v>1126</v>
      </c>
      <c r="C73" s="61" t="s">
        <v>1141</v>
      </c>
      <c r="D73" s="61" t="s">
        <v>1151</v>
      </c>
      <c r="E73" s="83" t="s">
        <v>1096</v>
      </c>
      <c r="F73" s="61">
        <v>2018</v>
      </c>
      <c r="G73" s="83" t="s">
        <v>1129</v>
      </c>
      <c r="H73" s="84">
        <v>2016</v>
      </c>
      <c r="I73" s="84" t="s">
        <v>1096</v>
      </c>
      <c r="J73" s="61">
        <v>848977.95</v>
      </c>
      <c r="K73" s="61">
        <v>100</v>
      </c>
      <c r="L73" s="61">
        <v>2025</v>
      </c>
      <c r="M73" s="61">
        <v>20</v>
      </c>
      <c r="N73" s="84" t="s">
        <v>1096</v>
      </c>
      <c r="O73" s="61">
        <v>679182.36</v>
      </c>
      <c r="P73" s="61">
        <v>503012.19</v>
      </c>
      <c r="Q73" s="84" t="s">
        <v>1096</v>
      </c>
      <c r="R73" s="83">
        <v>203.75426711612477</v>
      </c>
      <c r="S73" s="83" t="s">
        <v>1130</v>
      </c>
      <c r="T73" s="83" t="s">
        <v>1137</v>
      </c>
      <c r="U73" s="83" t="s">
        <v>1233</v>
      </c>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34"/>
      <c r="AT73" s="34"/>
      <c r="AU73" s="34"/>
      <c r="AV73" s="34"/>
      <c r="AW73" s="34"/>
      <c r="AX73" s="34"/>
      <c r="AY73" s="34"/>
      <c r="AZ73" s="34"/>
      <c r="BA73" s="34"/>
    </row>
    <row r="74" spans="1:53" x14ac:dyDescent="0.25">
      <c r="A74" s="61">
        <v>62</v>
      </c>
      <c r="B74" s="61" t="s">
        <v>1126</v>
      </c>
      <c r="C74" s="61" t="s">
        <v>1157</v>
      </c>
      <c r="D74" s="61" t="s">
        <v>1234</v>
      </c>
      <c r="E74" s="83" t="s">
        <v>1096</v>
      </c>
      <c r="F74" s="61">
        <v>2018</v>
      </c>
      <c r="G74" s="83" t="s">
        <v>1129</v>
      </c>
      <c r="H74" s="84">
        <v>2015</v>
      </c>
      <c r="I74" s="84" t="s">
        <v>1096</v>
      </c>
      <c r="J74" s="61">
        <v>8446246.4800000004</v>
      </c>
      <c r="K74" s="61">
        <v>100</v>
      </c>
      <c r="L74" s="61">
        <v>2030</v>
      </c>
      <c r="M74" s="61">
        <v>36</v>
      </c>
      <c r="N74" s="84" t="s">
        <v>1096</v>
      </c>
      <c r="O74" s="61">
        <v>5405597.7472000001</v>
      </c>
      <c r="P74" s="61">
        <v>8132508.3600000003</v>
      </c>
      <c r="Q74" s="84" t="s">
        <v>1096</v>
      </c>
      <c r="R74" s="83">
        <v>10.318131016439128</v>
      </c>
      <c r="S74" s="83" t="s">
        <v>1130</v>
      </c>
      <c r="T74" s="83" t="s">
        <v>1137</v>
      </c>
      <c r="U74" s="83" t="s">
        <v>1235</v>
      </c>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34"/>
      <c r="AT74" s="34"/>
      <c r="AU74" s="34"/>
      <c r="AV74" s="34"/>
      <c r="AW74" s="34"/>
      <c r="AX74" s="34"/>
      <c r="AY74" s="34"/>
      <c r="AZ74" s="34"/>
      <c r="BA74" s="34"/>
    </row>
    <row r="75" spans="1:53" x14ac:dyDescent="0.25">
      <c r="A75" s="61">
        <v>64</v>
      </c>
      <c r="B75" s="61" t="s">
        <v>1126</v>
      </c>
      <c r="C75" s="61" t="s">
        <v>1127</v>
      </c>
      <c r="D75" s="61" t="s">
        <v>1133</v>
      </c>
      <c r="E75" s="83" t="s">
        <v>1096</v>
      </c>
      <c r="F75" s="61">
        <v>2016</v>
      </c>
      <c r="G75" s="83"/>
      <c r="H75" s="84">
        <v>2015</v>
      </c>
      <c r="I75" s="84" t="s">
        <v>1096</v>
      </c>
      <c r="J75" s="61">
        <v>1458970</v>
      </c>
      <c r="K75" s="61">
        <v>100</v>
      </c>
      <c r="L75" s="61">
        <v>2025</v>
      </c>
      <c r="M75" s="61">
        <v>40</v>
      </c>
      <c r="N75" s="84" t="s">
        <v>1096</v>
      </c>
      <c r="O75" s="61">
        <v>875382</v>
      </c>
      <c r="P75" s="61">
        <v>1071970</v>
      </c>
      <c r="Q75" s="84" t="s">
        <v>1096</v>
      </c>
      <c r="R75" s="83">
        <v>66.31390638601205</v>
      </c>
      <c r="S75" s="83" t="s">
        <v>1130</v>
      </c>
      <c r="T75" s="83" t="s">
        <v>1159</v>
      </c>
      <c r="U75" s="83" t="s">
        <v>1236</v>
      </c>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34"/>
      <c r="AT75" s="34"/>
      <c r="AU75" s="34"/>
      <c r="AV75" s="34"/>
      <c r="AW75" s="34"/>
      <c r="AX75" s="34"/>
      <c r="AY75" s="34"/>
      <c r="AZ75" s="34"/>
      <c r="BA75" s="34"/>
    </row>
    <row r="76" spans="1:53" x14ac:dyDescent="0.25">
      <c r="A76" s="61">
        <v>65</v>
      </c>
      <c r="B76" s="61" t="s">
        <v>1126</v>
      </c>
      <c r="C76" s="61" t="s">
        <v>1127</v>
      </c>
      <c r="D76" s="61" t="s">
        <v>1209</v>
      </c>
      <c r="E76" s="83" t="s">
        <v>1096</v>
      </c>
      <c r="F76" s="61">
        <v>2015</v>
      </c>
      <c r="G76" s="83" t="s">
        <v>1129</v>
      </c>
      <c r="H76" s="84">
        <v>2012</v>
      </c>
      <c r="I76" s="84" t="s">
        <v>1096</v>
      </c>
      <c r="J76" s="61">
        <v>176955</v>
      </c>
      <c r="K76" s="61">
        <v>100</v>
      </c>
      <c r="L76" s="61">
        <v>2020</v>
      </c>
      <c r="M76" s="61">
        <v>10</v>
      </c>
      <c r="N76" s="84" t="s">
        <v>1096</v>
      </c>
      <c r="O76" s="61">
        <v>159259.5</v>
      </c>
      <c r="P76" s="61">
        <v>129852</v>
      </c>
      <c r="Q76" s="84" t="s">
        <v>1096</v>
      </c>
      <c r="R76" s="83">
        <v>266.18631855556498</v>
      </c>
      <c r="S76" s="83" t="s">
        <v>1143</v>
      </c>
      <c r="T76" s="83" t="s">
        <v>1146</v>
      </c>
      <c r="U76" s="83" t="s">
        <v>1237</v>
      </c>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34"/>
      <c r="AT76" s="34"/>
      <c r="AU76" s="34"/>
      <c r="AV76" s="34"/>
      <c r="AW76" s="34"/>
      <c r="AX76" s="34"/>
      <c r="AY76" s="34"/>
      <c r="AZ76" s="34"/>
      <c r="BA76" s="34"/>
    </row>
    <row r="77" spans="1:53" x14ac:dyDescent="0.25">
      <c r="A77" s="61">
        <v>65</v>
      </c>
      <c r="B77" s="61" t="s">
        <v>1126</v>
      </c>
      <c r="C77" s="61" t="s">
        <v>1157</v>
      </c>
      <c r="D77" s="61" t="s">
        <v>1136</v>
      </c>
      <c r="E77" s="83" t="s">
        <v>1096</v>
      </c>
      <c r="F77" s="61">
        <v>2015</v>
      </c>
      <c r="G77" s="83" t="s">
        <v>1129</v>
      </c>
      <c r="H77" s="84">
        <v>2019</v>
      </c>
      <c r="I77" s="84" t="s">
        <v>1096</v>
      </c>
      <c r="J77" s="61">
        <v>129852</v>
      </c>
      <c r="K77" s="61">
        <v>100</v>
      </c>
      <c r="L77" s="61">
        <v>2019</v>
      </c>
      <c r="M77" s="61">
        <v>100</v>
      </c>
      <c r="N77" s="84" t="s">
        <v>1096</v>
      </c>
      <c r="O77" s="61">
        <v>0</v>
      </c>
      <c r="P77" s="61">
        <v>129852</v>
      </c>
      <c r="Q77" s="84" t="s">
        <v>1096</v>
      </c>
      <c r="R77" s="83">
        <v>0</v>
      </c>
      <c r="S77" s="83" t="s">
        <v>1143</v>
      </c>
      <c r="T77" s="83" t="s">
        <v>1159</v>
      </c>
      <c r="U77" s="83" t="s">
        <v>1238</v>
      </c>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34"/>
      <c r="AT77" s="34"/>
      <c r="AU77" s="34"/>
      <c r="AV77" s="34"/>
      <c r="AW77" s="34"/>
      <c r="AX77" s="34"/>
      <c r="AY77" s="34"/>
      <c r="AZ77" s="34"/>
      <c r="BA77" s="34"/>
    </row>
    <row r="78" spans="1:53" x14ac:dyDescent="0.25">
      <c r="A78" s="61">
        <v>66</v>
      </c>
      <c r="B78" s="61" t="s">
        <v>1126</v>
      </c>
      <c r="C78" s="61" t="s">
        <v>1157</v>
      </c>
      <c r="D78" s="61" t="s">
        <v>1239</v>
      </c>
      <c r="E78" s="83" t="s">
        <v>1096</v>
      </c>
      <c r="F78" s="61">
        <v>2013</v>
      </c>
      <c r="G78" s="83" t="s">
        <v>1129</v>
      </c>
      <c r="H78" s="84">
        <v>2018</v>
      </c>
      <c r="I78" s="84" t="s">
        <v>1096</v>
      </c>
      <c r="J78" s="61">
        <v>0.01</v>
      </c>
      <c r="K78" s="61">
        <v>100</v>
      </c>
      <c r="L78" s="61">
        <v>2019</v>
      </c>
      <c r="M78" s="61">
        <v>100</v>
      </c>
      <c r="N78" s="84" t="s">
        <v>1096</v>
      </c>
      <c r="O78" s="61">
        <v>0</v>
      </c>
      <c r="P78" s="61">
        <v>0</v>
      </c>
      <c r="Q78" s="84" t="s">
        <v>1096</v>
      </c>
      <c r="R78" s="83">
        <v>100</v>
      </c>
      <c r="S78" s="83" t="s">
        <v>1143</v>
      </c>
      <c r="T78" s="83" t="s">
        <v>1144</v>
      </c>
      <c r="U78" s="83" t="s">
        <v>1240</v>
      </c>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34"/>
      <c r="AT78" s="34"/>
      <c r="AU78" s="34"/>
      <c r="AV78" s="34"/>
      <c r="AW78" s="34"/>
      <c r="AX78" s="34"/>
      <c r="AY78" s="34"/>
      <c r="AZ78" s="34"/>
      <c r="BA78" s="34"/>
    </row>
    <row r="79" spans="1:53" x14ac:dyDescent="0.25">
      <c r="A79" s="61">
        <v>66</v>
      </c>
      <c r="B79" s="61" t="s">
        <v>1126</v>
      </c>
      <c r="C79" s="61" t="s">
        <v>1127</v>
      </c>
      <c r="D79" s="61" t="s">
        <v>1133</v>
      </c>
      <c r="E79" s="83" t="s">
        <v>1096</v>
      </c>
      <c r="F79" s="61">
        <v>2017</v>
      </c>
      <c r="G79" s="83" t="s">
        <v>1129</v>
      </c>
      <c r="H79" s="84">
        <v>2013</v>
      </c>
      <c r="I79" s="84" t="s">
        <v>1096</v>
      </c>
      <c r="J79" s="61">
        <v>920143</v>
      </c>
      <c r="K79" s="61">
        <v>100</v>
      </c>
      <c r="L79" s="61">
        <v>2030</v>
      </c>
      <c r="M79" s="61">
        <v>75</v>
      </c>
      <c r="N79" s="84" t="s">
        <v>1096</v>
      </c>
      <c r="O79" s="61">
        <v>230035.75</v>
      </c>
      <c r="P79" s="61">
        <v>388787</v>
      </c>
      <c r="Q79" s="84" t="s">
        <v>1096</v>
      </c>
      <c r="R79" s="83">
        <v>76.996148062493191</v>
      </c>
      <c r="S79" s="83" t="s">
        <v>1130</v>
      </c>
      <c r="T79" s="83" t="s">
        <v>1159</v>
      </c>
      <c r="U79" s="83" t="s">
        <v>1241</v>
      </c>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34"/>
      <c r="AT79" s="34"/>
      <c r="AU79" s="34"/>
      <c r="AV79" s="34"/>
      <c r="AW79" s="34"/>
      <c r="AX79" s="34"/>
      <c r="AY79" s="34"/>
      <c r="AZ79" s="34"/>
      <c r="BA79" s="34"/>
    </row>
    <row r="80" spans="1:53" x14ac:dyDescent="0.25">
      <c r="A80" s="61">
        <v>66</v>
      </c>
      <c r="B80" s="61" t="s">
        <v>1126</v>
      </c>
      <c r="C80" s="61" t="s">
        <v>1127</v>
      </c>
      <c r="D80" s="61" t="s">
        <v>1133</v>
      </c>
      <c r="E80" s="83" t="s">
        <v>1096</v>
      </c>
      <c r="F80" s="61">
        <v>2017</v>
      </c>
      <c r="G80" s="83" t="s">
        <v>1129</v>
      </c>
      <c r="H80" s="84">
        <v>2013</v>
      </c>
      <c r="I80" s="84" t="s">
        <v>1096</v>
      </c>
      <c r="J80" s="61">
        <v>920143</v>
      </c>
      <c r="K80" s="61">
        <v>100</v>
      </c>
      <c r="L80" s="61">
        <v>2045</v>
      </c>
      <c r="M80" s="61">
        <v>75</v>
      </c>
      <c r="N80" s="84" t="s">
        <v>1096</v>
      </c>
      <c r="O80" s="61">
        <v>230035.75</v>
      </c>
      <c r="P80" s="61">
        <v>388787</v>
      </c>
      <c r="Q80" s="84" t="s">
        <v>1096</v>
      </c>
      <c r="R80" s="83">
        <v>76.996148062493191</v>
      </c>
      <c r="S80" s="83" t="s">
        <v>1130</v>
      </c>
      <c r="T80" s="83" t="s">
        <v>1159</v>
      </c>
      <c r="U80" s="83" t="s">
        <v>1242</v>
      </c>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34"/>
      <c r="AT80" s="34"/>
      <c r="AU80" s="34"/>
      <c r="AV80" s="34"/>
      <c r="AW80" s="34"/>
      <c r="AX80" s="34"/>
      <c r="AY80" s="34"/>
      <c r="AZ80" s="34"/>
      <c r="BA80" s="34"/>
    </row>
    <row r="81" spans="1:53" x14ac:dyDescent="0.25">
      <c r="A81" s="61">
        <v>67</v>
      </c>
      <c r="B81" s="61" t="s">
        <v>1126</v>
      </c>
      <c r="C81" s="61" t="s">
        <v>1127</v>
      </c>
      <c r="D81" s="61" t="s">
        <v>1133</v>
      </c>
      <c r="E81" s="83" t="s">
        <v>1096</v>
      </c>
      <c r="F81" s="61">
        <v>2015</v>
      </c>
      <c r="G81" s="83" t="s">
        <v>1129</v>
      </c>
      <c r="H81" s="84">
        <v>2013</v>
      </c>
      <c r="I81" s="84" t="s">
        <v>1096</v>
      </c>
      <c r="J81" s="61">
        <v>1566367</v>
      </c>
      <c r="K81" s="61">
        <v>90</v>
      </c>
      <c r="L81" s="61">
        <v>2020</v>
      </c>
      <c r="M81" s="61">
        <v>15</v>
      </c>
      <c r="N81" s="84" t="s">
        <v>1096</v>
      </c>
      <c r="O81" s="61">
        <v>1331411.95</v>
      </c>
      <c r="P81" s="61">
        <v>1336793</v>
      </c>
      <c r="Q81" s="84" t="s">
        <v>1096</v>
      </c>
      <c r="R81" s="83">
        <v>97.709753418792218</v>
      </c>
      <c r="S81" s="83" t="s">
        <v>1143</v>
      </c>
      <c r="T81" s="83" t="s">
        <v>1159</v>
      </c>
      <c r="U81" s="83" t="s">
        <v>1243</v>
      </c>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34"/>
      <c r="AT81" s="34"/>
      <c r="AU81" s="34"/>
      <c r="AV81" s="34"/>
      <c r="AW81" s="34"/>
      <c r="AX81" s="34"/>
      <c r="AY81" s="34"/>
      <c r="AZ81" s="34"/>
      <c r="BA81" s="34"/>
    </row>
    <row r="82" spans="1:53" x14ac:dyDescent="0.25">
      <c r="A82" s="61">
        <v>67</v>
      </c>
      <c r="B82" s="61" t="s">
        <v>1126</v>
      </c>
      <c r="C82" s="61" t="s">
        <v>1157</v>
      </c>
      <c r="D82" s="61" t="s">
        <v>1200</v>
      </c>
      <c r="E82" s="83" t="s">
        <v>1096</v>
      </c>
      <c r="F82" s="61">
        <v>2019</v>
      </c>
      <c r="G82" s="83" t="s">
        <v>1129</v>
      </c>
      <c r="H82" s="84">
        <v>2018</v>
      </c>
      <c r="I82" s="84" t="s">
        <v>1096</v>
      </c>
      <c r="J82" s="61">
        <v>18903340</v>
      </c>
      <c r="K82" s="61">
        <v>80</v>
      </c>
      <c r="L82" s="61">
        <v>2025</v>
      </c>
      <c r="M82" s="61">
        <v>10</v>
      </c>
      <c r="N82" s="84" t="s">
        <v>1096</v>
      </c>
      <c r="O82" s="61">
        <v>17013006</v>
      </c>
      <c r="P82" s="61"/>
      <c r="Q82" s="84" t="s">
        <v>1096</v>
      </c>
      <c r="R82" s="83">
        <v>1000</v>
      </c>
      <c r="S82" s="83" t="s">
        <v>1154</v>
      </c>
      <c r="T82" s="83" t="s">
        <v>1137</v>
      </c>
      <c r="U82" s="83" t="s">
        <v>1244</v>
      </c>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34"/>
      <c r="AT82" s="34"/>
      <c r="AU82" s="34"/>
      <c r="AV82" s="34"/>
      <c r="AW82" s="34"/>
      <c r="AX82" s="34"/>
      <c r="AY82" s="34"/>
      <c r="AZ82" s="34"/>
      <c r="BA82" s="34"/>
    </row>
    <row r="83" spans="1:53" x14ac:dyDescent="0.25">
      <c r="A83" s="61">
        <v>68</v>
      </c>
      <c r="B83" s="61" t="s">
        <v>1126</v>
      </c>
      <c r="C83" s="61" t="s">
        <v>1157</v>
      </c>
      <c r="D83" s="61" t="s">
        <v>1245</v>
      </c>
      <c r="E83" s="83" t="s">
        <v>1096</v>
      </c>
      <c r="F83" s="61">
        <v>2017</v>
      </c>
      <c r="G83" s="83" t="s">
        <v>1129</v>
      </c>
      <c r="H83" s="84">
        <v>2012</v>
      </c>
      <c r="I83" s="84" t="s">
        <v>1096</v>
      </c>
      <c r="J83" s="61">
        <v>465350</v>
      </c>
      <c r="K83" s="61">
        <v>100</v>
      </c>
      <c r="L83" s="61">
        <v>2022</v>
      </c>
      <c r="M83" s="61">
        <v>100</v>
      </c>
      <c r="N83" s="84" t="s">
        <v>1096</v>
      </c>
      <c r="O83" s="61">
        <v>0</v>
      </c>
      <c r="P83" s="61">
        <v>304200</v>
      </c>
      <c r="Q83" s="84" t="s">
        <v>1096</v>
      </c>
      <c r="R83" s="83">
        <v>34.629848501128187</v>
      </c>
      <c r="S83" s="83" t="s">
        <v>1130</v>
      </c>
      <c r="T83" s="83" t="s">
        <v>1144</v>
      </c>
      <c r="U83" s="83" t="s">
        <v>1246</v>
      </c>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34"/>
      <c r="AT83" s="34"/>
      <c r="AU83" s="34"/>
      <c r="AV83" s="34"/>
      <c r="AW83" s="34"/>
      <c r="AX83" s="34"/>
      <c r="AY83" s="34"/>
      <c r="AZ83" s="34"/>
      <c r="BA83" s="34"/>
    </row>
    <row r="84" spans="1:53" x14ac:dyDescent="0.25">
      <c r="A84" s="61">
        <v>68</v>
      </c>
      <c r="B84" s="61" t="s">
        <v>1126</v>
      </c>
      <c r="C84" s="61" t="s">
        <v>1127</v>
      </c>
      <c r="D84" s="61" t="s">
        <v>1133</v>
      </c>
      <c r="E84" s="83" t="s">
        <v>1096</v>
      </c>
      <c r="F84" s="61">
        <v>2017</v>
      </c>
      <c r="G84" s="83" t="s">
        <v>1129</v>
      </c>
      <c r="H84" s="84">
        <v>2012</v>
      </c>
      <c r="I84" s="84" t="s">
        <v>1096</v>
      </c>
      <c r="J84" s="61">
        <v>357990</v>
      </c>
      <c r="K84" s="61">
        <v>100</v>
      </c>
      <c r="L84" s="61">
        <v>2022</v>
      </c>
      <c r="M84" s="61">
        <v>90</v>
      </c>
      <c r="N84" s="84" t="s">
        <v>1096</v>
      </c>
      <c r="O84" s="61">
        <v>35799</v>
      </c>
      <c r="P84" s="61">
        <v>204500</v>
      </c>
      <c r="Q84" s="84" t="s">
        <v>1096</v>
      </c>
      <c r="R84" s="83">
        <v>47.639443684025935</v>
      </c>
      <c r="S84" s="83" t="s">
        <v>1130</v>
      </c>
      <c r="T84" s="83" t="s">
        <v>1159</v>
      </c>
      <c r="U84" s="83" t="s">
        <v>1247</v>
      </c>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34"/>
      <c r="AT84" s="34"/>
      <c r="AU84" s="34"/>
      <c r="AV84" s="34"/>
      <c r="AW84" s="34"/>
      <c r="AX84" s="34"/>
      <c r="AY84" s="34"/>
      <c r="AZ84" s="34"/>
      <c r="BA84" s="34"/>
    </row>
    <row r="85" spans="1:53" x14ac:dyDescent="0.25">
      <c r="A85" s="61">
        <v>68</v>
      </c>
      <c r="B85" s="61" t="s">
        <v>1126</v>
      </c>
      <c r="C85" s="61" t="s">
        <v>1127</v>
      </c>
      <c r="D85" s="61" t="s">
        <v>1133</v>
      </c>
      <c r="E85" s="83" t="s">
        <v>1096</v>
      </c>
      <c r="F85" s="61">
        <v>2017</v>
      </c>
      <c r="G85" s="83" t="s">
        <v>1129</v>
      </c>
      <c r="H85" s="84">
        <v>2012</v>
      </c>
      <c r="I85" s="84" t="s">
        <v>1096</v>
      </c>
      <c r="J85" s="61">
        <v>357990</v>
      </c>
      <c r="K85" s="61">
        <v>100</v>
      </c>
      <c r="L85" s="61">
        <v>2033</v>
      </c>
      <c r="M85" s="61">
        <v>90</v>
      </c>
      <c r="N85" s="84" t="s">
        <v>1096</v>
      </c>
      <c r="O85" s="61">
        <v>35799</v>
      </c>
      <c r="P85" s="61">
        <v>204500</v>
      </c>
      <c r="Q85" s="84" t="s">
        <v>1096</v>
      </c>
      <c r="R85" s="83">
        <v>47.639443684025935</v>
      </c>
      <c r="S85" s="83" t="s">
        <v>1130</v>
      </c>
      <c r="T85" s="83" t="s">
        <v>1159</v>
      </c>
      <c r="U85" s="83" t="s">
        <v>1248</v>
      </c>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34"/>
      <c r="AT85" s="34"/>
      <c r="AU85" s="34"/>
      <c r="AV85" s="34"/>
      <c r="AW85" s="34"/>
      <c r="AX85" s="34"/>
      <c r="AY85" s="34"/>
      <c r="AZ85" s="34"/>
      <c r="BA85" s="34"/>
    </row>
    <row r="86" spans="1:53" x14ac:dyDescent="0.25">
      <c r="A86" s="61">
        <v>71</v>
      </c>
      <c r="B86" s="61" t="s">
        <v>1126</v>
      </c>
      <c r="C86" s="61" t="s">
        <v>1127</v>
      </c>
      <c r="D86" s="61" t="s">
        <v>1133</v>
      </c>
      <c r="E86" s="83" t="s">
        <v>1096</v>
      </c>
      <c r="F86" s="61">
        <v>2019</v>
      </c>
      <c r="G86" s="83" t="s">
        <v>1129</v>
      </c>
      <c r="H86" s="84">
        <v>2015</v>
      </c>
      <c r="I86" s="84" t="s">
        <v>1096</v>
      </c>
      <c r="J86" s="61">
        <v>264394</v>
      </c>
      <c r="K86" s="61">
        <v>100</v>
      </c>
      <c r="L86" s="61">
        <v>2025</v>
      </c>
      <c r="M86" s="61">
        <v>65</v>
      </c>
      <c r="N86" s="84" t="s">
        <v>1096</v>
      </c>
      <c r="O86" s="61">
        <v>92537.9</v>
      </c>
      <c r="P86" s="61">
        <v>255779</v>
      </c>
      <c r="Q86" s="84" t="s">
        <v>1096</v>
      </c>
      <c r="R86" s="83">
        <v>5.0129148747120409</v>
      </c>
      <c r="S86" s="83" t="s">
        <v>1130</v>
      </c>
      <c r="T86" s="83" t="s">
        <v>1137</v>
      </c>
      <c r="U86" s="83" t="s">
        <v>1249</v>
      </c>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34"/>
      <c r="AT86" s="34"/>
      <c r="AU86" s="34"/>
      <c r="AV86" s="34"/>
      <c r="AW86" s="34"/>
      <c r="AX86" s="34"/>
      <c r="AY86" s="34"/>
      <c r="AZ86" s="34"/>
      <c r="BA86" s="34"/>
    </row>
    <row r="87" spans="1:53" x14ac:dyDescent="0.25">
      <c r="A87" s="61">
        <v>73</v>
      </c>
      <c r="B87" s="61" t="s">
        <v>1126</v>
      </c>
      <c r="C87" s="61" t="s">
        <v>1127</v>
      </c>
      <c r="D87" s="61" t="s">
        <v>1128</v>
      </c>
      <c r="E87" s="83" t="s">
        <v>1096</v>
      </c>
      <c r="F87" s="61">
        <v>2020</v>
      </c>
      <c r="G87" s="83" t="s">
        <v>1201</v>
      </c>
      <c r="H87" s="84">
        <v>2013</v>
      </c>
      <c r="I87" s="84" t="s">
        <v>1096</v>
      </c>
      <c r="J87" s="61">
        <v>8081870</v>
      </c>
      <c r="K87" s="61">
        <v>77</v>
      </c>
      <c r="L87" s="61">
        <v>2025</v>
      </c>
      <c r="M87" s="61">
        <v>4.5999999999999996</v>
      </c>
      <c r="N87" s="84" t="s">
        <v>1096</v>
      </c>
      <c r="O87" s="61">
        <v>7710103.9800000004</v>
      </c>
      <c r="P87" s="61"/>
      <c r="Q87" s="84" t="s">
        <v>1096</v>
      </c>
      <c r="R87" s="83">
        <v>2173.9130434782633</v>
      </c>
      <c r="S87" s="83" t="s">
        <v>1154</v>
      </c>
      <c r="T87" s="83" t="s">
        <v>1146</v>
      </c>
      <c r="U87" s="83" t="s">
        <v>1250</v>
      </c>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34"/>
      <c r="AT87" s="34"/>
      <c r="AU87" s="34"/>
      <c r="AV87" s="34"/>
      <c r="AW87" s="34"/>
      <c r="AX87" s="34"/>
      <c r="AY87" s="34"/>
      <c r="AZ87" s="34"/>
      <c r="BA87" s="34"/>
    </row>
    <row r="88" spans="1:53" x14ac:dyDescent="0.25">
      <c r="A88" s="61">
        <v>74</v>
      </c>
      <c r="B88" s="61" t="s">
        <v>1126</v>
      </c>
      <c r="C88" s="61" t="s">
        <v>1127</v>
      </c>
      <c r="D88" s="61" t="s">
        <v>1133</v>
      </c>
      <c r="E88" s="83" t="s">
        <v>1096</v>
      </c>
      <c r="F88" s="61">
        <v>2018</v>
      </c>
      <c r="G88" s="83" t="s">
        <v>1129</v>
      </c>
      <c r="H88" s="84">
        <v>2015</v>
      </c>
      <c r="I88" s="84" t="s">
        <v>1096</v>
      </c>
      <c r="J88" s="61">
        <v>459516</v>
      </c>
      <c r="K88" s="61">
        <v>100</v>
      </c>
      <c r="L88" s="61">
        <v>2025</v>
      </c>
      <c r="M88" s="61">
        <v>26</v>
      </c>
      <c r="N88" s="84" t="s">
        <v>1096</v>
      </c>
      <c r="O88" s="61">
        <v>340041.84</v>
      </c>
      <c r="P88" s="61">
        <v>365543</v>
      </c>
      <c r="Q88" s="84" t="s">
        <v>1096</v>
      </c>
      <c r="R88" s="83">
        <v>78.655501741966646</v>
      </c>
      <c r="S88" s="83" t="s">
        <v>1130</v>
      </c>
      <c r="T88" s="83" t="s">
        <v>1159</v>
      </c>
      <c r="U88" s="83" t="s">
        <v>1251</v>
      </c>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34"/>
      <c r="AT88" s="34"/>
      <c r="AU88" s="34"/>
      <c r="AV88" s="34"/>
      <c r="AW88" s="34"/>
      <c r="AX88" s="34"/>
      <c r="AY88" s="34"/>
      <c r="AZ88" s="34"/>
      <c r="BA88" s="34"/>
    </row>
    <row r="89" spans="1:53" x14ac:dyDescent="0.25">
      <c r="A89" s="61">
        <v>74</v>
      </c>
      <c r="B89" s="61" t="s">
        <v>1126</v>
      </c>
      <c r="C89" s="61" t="s">
        <v>1127</v>
      </c>
      <c r="D89" s="61" t="s">
        <v>1133</v>
      </c>
      <c r="E89" s="83" t="s">
        <v>1096</v>
      </c>
      <c r="F89" s="61">
        <v>2018</v>
      </c>
      <c r="G89" s="83" t="s">
        <v>1129</v>
      </c>
      <c r="H89" s="84">
        <v>2015</v>
      </c>
      <c r="I89" s="84" t="s">
        <v>1096</v>
      </c>
      <c r="J89" s="61">
        <v>459516</v>
      </c>
      <c r="K89" s="61">
        <v>100</v>
      </c>
      <c r="L89" s="61">
        <v>2050</v>
      </c>
      <c r="M89" s="61">
        <v>65</v>
      </c>
      <c r="N89" s="84" t="s">
        <v>1096</v>
      </c>
      <c r="O89" s="61">
        <v>160830.6</v>
      </c>
      <c r="P89" s="61">
        <v>365543</v>
      </c>
      <c r="Q89" s="84" t="s">
        <v>1096</v>
      </c>
      <c r="R89" s="83">
        <v>31.462200696786653</v>
      </c>
      <c r="S89" s="83" t="s">
        <v>1130</v>
      </c>
      <c r="T89" s="83" t="s">
        <v>1159</v>
      </c>
      <c r="U89" s="83" t="s">
        <v>1252</v>
      </c>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34"/>
      <c r="AT89" s="34"/>
      <c r="AU89" s="34"/>
      <c r="AV89" s="34"/>
      <c r="AW89" s="34"/>
      <c r="AX89" s="34"/>
      <c r="AY89" s="34"/>
      <c r="AZ89" s="34"/>
      <c r="BA89" s="34"/>
    </row>
    <row r="90" spans="1:53" x14ac:dyDescent="0.25">
      <c r="A90" s="61">
        <v>74</v>
      </c>
      <c r="B90" s="61" t="s">
        <v>1126</v>
      </c>
      <c r="C90" s="61" t="s">
        <v>1127</v>
      </c>
      <c r="D90" s="61" t="s">
        <v>1133</v>
      </c>
      <c r="E90" s="83" t="s">
        <v>1096</v>
      </c>
      <c r="F90" s="61">
        <v>2016</v>
      </c>
      <c r="G90" s="83" t="s">
        <v>1201</v>
      </c>
      <c r="H90" s="84">
        <v>2015</v>
      </c>
      <c r="I90" s="84" t="s">
        <v>1096</v>
      </c>
      <c r="J90" s="61">
        <v>373626</v>
      </c>
      <c r="K90" s="61">
        <v>81</v>
      </c>
      <c r="L90" s="61">
        <v>2020</v>
      </c>
      <c r="M90" s="61">
        <v>20</v>
      </c>
      <c r="N90" s="84" t="s">
        <v>1096</v>
      </c>
      <c r="O90" s="61">
        <v>298900.8</v>
      </c>
      <c r="P90" s="61">
        <v>211880</v>
      </c>
      <c r="Q90" s="84" t="s">
        <v>1096</v>
      </c>
      <c r="R90" s="83">
        <v>216.45442233677525</v>
      </c>
      <c r="S90" s="83" t="s">
        <v>1143</v>
      </c>
      <c r="T90" s="83" t="s">
        <v>1159</v>
      </c>
      <c r="U90" s="83" t="s">
        <v>1253</v>
      </c>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34"/>
      <c r="AT90" s="34"/>
      <c r="AU90" s="34"/>
      <c r="AV90" s="34"/>
      <c r="AW90" s="34"/>
      <c r="AX90" s="34"/>
      <c r="AY90" s="34"/>
      <c r="AZ90" s="34"/>
      <c r="BA90" s="34"/>
    </row>
    <row r="91" spans="1:53" x14ac:dyDescent="0.25">
      <c r="A91" s="61">
        <v>74</v>
      </c>
      <c r="B91" s="61" t="s">
        <v>1126</v>
      </c>
      <c r="C91" s="61" t="s">
        <v>1141</v>
      </c>
      <c r="D91" s="61" t="s">
        <v>1189</v>
      </c>
      <c r="E91" s="83" t="s">
        <v>1096</v>
      </c>
      <c r="F91" s="61">
        <v>2019</v>
      </c>
      <c r="G91" s="83" t="s">
        <v>1129</v>
      </c>
      <c r="H91" s="84">
        <v>2019</v>
      </c>
      <c r="I91" s="84" t="s">
        <v>1096</v>
      </c>
      <c r="J91" s="61">
        <v>173807</v>
      </c>
      <c r="K91" s="61">
        <v>100</v>
      </c>
      <c r="L91" s="61">
        <v>2025</v>
      </c>
      <c r="M91" s="61">
        <v>25</v>
      </c>
      <c r="N91" s="84" t="s">
        <v>1096</v>
      </c>
      <c r="O91" s="61">
        <v>130355.25</v>
      </c>
      <c r="P91" s="61">
        <v>173807</v>
      </c>
      <c r="Q91" s="84" t="s">
        <v>1096</v>
      </c>
      <c r="R91" s="83">
        <v>0</v>
      </c>
      <c r="S91" s="83" t="s">
        <v>1154</v>
      </c>
      <c r="T91" s="83" t="s">
        <v>1144</v>
      </c>
      <c r="U91" s="83" t="s">
        <v>1254</v>
      </c>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34"/>
      <c r="AT91" s="34"/>
      <c r="AU91" s="34"/>
      <c r="AV91" s="34"/>
      <c r="AW91" s="34"/>
      <c r="AX91" s="34"/>
      <c r="AY91" s="34"/>
      <c r="AZ91" s="34"/>
      <c r="BA91" s="34"/>
    </row>
    <row r="92" spans="1:53" x14ac:dyDescent="0.25">
      <c r="A92" s="61">
        <v>76</v>
      </c>
      <c r="B92" s="61" t="s">
        <v>1126</v>
      </c>
      <c r="C92" s="61" t="s">
        <v>1157</v>
      </c>
      <c r="D92" s="61" t="s">
        <v>1173</v>
      </c>
      <c r="E92" s="83" t="s">
        <v>1096</v>
      </c>
      <c r="F92" s="61">
        <v>2016</v>
      </c>
      <c r="G92" s="83" t="s">
        <v>1129</v>
      </c>
      <c r="H92" s="84">
        <v>2015</v>
      </c>
      <c r="I92" s="84" t="s">
        <v>1096</v>
      </c>
      <c r="J92" s="61">
        <v>58755109</v>
      </c>
      <c r="K92" s="61">
        <v>100</v>
      </c>
      <c r="L92" s="61">
        <v>2030</v>
      </c>
      <c r="M92" s="61">
        <v>20</v>
      </c>
      <c r="N92" s="84" t="s">
        <v>1096</v>
      </c>
      <c r="O92" s="61">
        <v>47004087.200000003</v>
      </c>
      <c r="P92" s="61">
        <v>55442735</v>
      </c>
      <c r="Q92" s="84" t="s">
        <v>1096</v>
      </c>
      <c r="R92" s="83">
        <v>28.187965747795658</v>
      </c>
      <c r="S92" s="83" t="s">
        <v>1130</v>
      </c>
      <c r="T92" s="83" t="s">
        <v>1137</v>
      </c>
      <c r="U92" s="83" t="s">
        <v>1255</v>
      </c>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34"/>
      <c r="AT92" s="34"/>
      <c r="AU92" s="34"/>
      <c r="AV92" s="34"/>
      <c r="AW92" s="34"/>
      <c r="AX92" s="34"/>
      <c r="AY92" s="34"/>
      <c r="AZ92" s="34"/>
      <c r="BA92" s="34"/>
    </row>
    <row r="93" spans="1:53" x14ac:dyDescent="0.25">
      <c r="A93" s="61">
        <v>77</v>
      </c>
      <c r="B93" s="61" t="s">
        <v>1126</v>
      </c>
      <c r="C93" s="61" t="s">
        <v>1127</v>
      </c>
      <c r="D93" s="61" t="s">
        <v>1128</v>
      </c>
      <c r="E93" s="83" t="s">
        <v>1096</v>
      </c>
      <c r="F93" s="61">
        <v>2013</v>
      </c>
      <c r="G93" s="83" t="s">
        <v>1129</v>
      </c>
      <c r="H93" s="84">
        <v>2012</v>
      </c>
      <c r="I93" s="84" t="s">
        <v>1096</v>
      </c>
      <c r="J93" s="61">
        <v>2005730</v>
      </c>
      <c r="K93" s="61">
        <v>100</v>
      </c>
      <c r="L93" s="61">
        <v>2020</v>
      </c>
      <c r="M93" s="61">
        <v>20</v>
      </c>
      <c r="N93" s="84" t="s">
        <v>1096</v>
      </c>
      <c r="O93" s="61">
        <v>1604584</v>
      </c>
      <c r="P93" s="61">
        <v>1496924</v>
      </c>
      <c r="Q93" s="84" t="s">
        <v>1096</v>
      </c>
      <c r="R93" s="83">
        <v>126.83810881823577</v>
      </c>
      <c r="S93" s="83" t="s">
        <v>1130</v>
      </c>
      <c r="T93" s="83" t="s">
        <v>1137</v>
      </c>
      <c r="U93" s="83" t="s">
        <v>1256</v>
      </c>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34"/>
      <c r="AT93" s="34"/>
      <c r="AU93" s="34"/>
      <c r="AV93" s="34"/>
      <c r="AW93" s="34"/>
      <c r="AX93" s="34"/>
      <c r="AY93" s="34"/>
      <c r="AZ93" s="34"/>
      <c r="BA93" s="34"/>
    </row>
    <row r="94" spans="1:53" x14ac:dyDescent="0.25">
      <c r="A94" s="61">
        <v>77</v>
      </c>
      <c r="B94" s="61" t="s">
        <v>1126</v>
      </c>
      <c r="C94" s="61" t="s">
        <v>1127</v>
      </c>
      <c r="D94" s="61" t="s">
        <v>1128</v>
      </c>
      <c r="E94" s="83" t="s">
        <v>1096</v>
      </c>
      <c r="F94" s="61">
        <v>2002</v>
      </c>
      <c r="G94" s="83" t="s">
        <v>1129</v>
      </c>
      <c r="H94" s="84">
        <v>2000</v>
      </c>
      <c r="I94" s="84" t="s">
        <v>1096</v>
      </c>
      <c r="J94" s="61">
        <v>3479388</v>
      </c>
      <c r="K94" s="61">
        <v>100</v>
      </c>
      <c r="L94" s="61">
        <v>2050</v>
      </c>
      <c r="M94" s="61">
        <v>60</v>
      </c>
      <c r="N94" s="84" t="s">
        <v>1096</v>
      </c>
      <c r="O94" s="61">
        <v>1391755.2</v>
      </c>
      <c r="P94" s="61">
        <v>1496924</v>
      </c>
      <c r="Q94" s="84" t="s">
        <v>1096</v>
      </c>
      <c r="R94" s="83">
        <v>94.962294135252137</v>
      </c>
      <c r="S94" s="83" t="s">
        <v>1130</v>
      </c>
      <c r="T94" s="83" t="s">
        <v>1137</v>
      </c>
      <c r="U94" s="83" t="s">
        <v>1257</v>
      </c>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34"/>
      <c r="AT94" s="34"/>
      <c r="AU94" s="34"/>
      <c r="AV94" s="34"/>
      <c r="AW94" s="34"/>
      <c r="AX94" s="34"/>
      <c r="AY94" s="34"/>
      <c r="AZ94" s="34"/>
      <c r="BA94" s="34"/>
    </row>
    <row r="95" spans="1:53" x14ac:dyDescent="0.25">
      <c r="A95" s="61">
        <v>78</v>
      </c>
      <c r="B95" s="61" t="s">
        <v>1126</v>
      </c>
      <c r="C95" s="61" t="s">
        <v>1127</v>
      </c>
      <c r="D95" s="61" t="s">
        <v>1133</v>
      </c>
      <c r="E95" s="83" t="s">
        <v>1096</v>
      </c>
      <c r="F95" s="61">
        <v>2016</v>
      </c>
      <c r="G95" s="83" t="s">
        <v>1129</v>
      </c>
      <c r="H95" s="61">
        <v>2010</v>
      </c>
      <c r="I95" s="84" t="s">
        <v>1096</v>
      </c>
      <c r="J95" s="61">
        <v>914050</v>
      </c>
      <c r="K95" s="61">
        <v>100</v>
      </c>
      <c r="L95" s="61">
        <v>2030</v>
      </c>
      <c r="M95" s="61">
        <v>40</v>
      </c>
      <c r="N95" s="84" t="s">
        <v>1096</v>
      </c>
      <c r="O95" s="61">
        <v>548430</v>
      </c>
      <c r="P95" s="61">
        <v>555882</v>
      </c>
      <c r="Q95" s="84" t="s">
        <v>1096</v>
      </c>
      <c r="R95" s="83">
        <v>97.96181828127564</v>
      </c>
      <c r="S95" s="83" t="s">
        <v>1130</v>
      </c>
      <c r="T95" s="83" t="s">
        <v>1137</v>
      </c>
      <c r="U95" s="83" t="s">
        <v>1258</v>
      </c>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34"/>
      <c r="AT95" s="34"/>
      <c r="AU95" s="34"/>
      <c r="AV95" s="34"/>
      <c r="AW95" s="34"/>
      <c r="AX95" s="34"/>
      <c r="AY95" s="34"/>
      <c r="AZ95" s="34"/>
      <c r="BA95" s="34"/>
    </row>
    <row r="96" spans="1:53" x14ac:dyDescent="0.25">
      <c r="A96" s="61">
        <v>78</v>
      </c>
      <c r="B96" s="61" t="s">
        <v>1126</v>
      </c>
      <c r="C96" s="61" t="s">
        <v>1127</v>
      </c>
      <c r="D96" s="61" t="s">
        <v>1133</v>
      </c>
      <c r="E96" s="83" t="s">
        <v>1096</v>
      </c>
      <c r="F96" s="61">
        <v>2016</v>
      </c>
      <c r="G96" s="83" t="s">
        <v>1129</v>
      </c>
      <c r="H96" s="61">
        <v>2010</v>
      </c>
      <c r="I96" s="84" t="s">
        <v>1096</v>
      </c>
      <c r="J96" s="61">
        <v>914050</v>
      </c>
      <c r="K96" s="61">
        <v>100</v>
      </c>
      <c r="L96" s="61">
        <v>2040</v>
      </c>
      <c r="M96" s="61">
        <v>60</v>
      </c>
      <c r="N96" s="84" t="s">
        <v>1096</v>
      </c>
      <c r="O96" s="61">
        <v>365620</v>
      </c>
      <c r="P96" s="61">
        <v>555882</v>
      </c>
      <c r="Q96" s="84" t="s">
        <v>1096</v>
      </c>
      <c r="R96" s="83">
        <v>65.30787885418377</v>
      </c>
      <c r="S96" s="83" t="s">
        <v>1130</v>
      </c>
      <c r="T96" s="83" t="s">
        <v>1137</v>
      </c>
      <c r="U96" s="83" t="s">
        <v>1259</v>
      </c>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34"/>
      <c r="AT96" s="34"/>
      <c r="AU96" s="34"/>
      <c r="AV96" s="34"/>
      <c r="AW96" s="34"/>
      <c r="AX96" s="34"/>
      <c r="AY96" s="34"/>
      <c r="AZ96" s="34"/>
      <c r="BA96" s="34"/>
    </row>
    <row r="97" spans="1:53" x14ac:dyDescent="0.25">
      <c r="A97" s="61">
        <v>78</v>
      </c>
      <c r="B97" s="61" t="s">
        <v>1126</v>
      </c>
      <c r="C97" s="61" t="s">
        <v>1157</v>
      </c>
      <c r="D97" s="61" t="s">
        <v>1173</v>
      </c>
      <c r="E97" s="83" t="s">
        <v>1096</v>
      </c>
      <c r="F97" s="61">
        <v>2016</v>
      </c>
      <c r="G97" s="83" t="s">
        <v>1129</v>
      </c>
      <c r="H97" s="61">
        <v>2010</v>
      </c>
      <c r="I97" s="84" t="s">
        <v>1096</v>
      </c>
      <c r="J97" s="61">
        <v>8062275</v>
      </c>
      <c r="K97" s="61">
        <v>100</v>
      </c>
      <c r="L97" s="61">
        <v>2030</v>
      </c>
      <c r="M97" s="61">
        <v>40</v>
      </c>
      <c r="N97" s="84" t="s">
        <v>1096</v>
      </c>
      <c r="O97" s="61">
        <v>4837365</v>
      </c>
      <c r="P97" s="61">
        <v>4682492</v>
      </c>
      <c r="Q97" s="84" t="s">
        <v>1096</v>
      </c>
      <c r="R97" s="83">
        <v>104.80239758628922</v>
      </c>
      <c r="S97" s="83" t="s">
        <v>1143</v>
      </c>
      <c r="T97" s="83" t="s">
        <v>1137</v>
      </c>
      <c r="U97" s="83" t="s">
        <v>1260</v>
      </c>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34"/>
      <c r="AT97" s="34"/>
      <c r="AU97" s="34"/>
      <c r="AV97" s="34"/>
      <c r="AW97" s="34"/>
      <c r="AX97" s="34"/>
      <c r="AY97" s="34"/>
      <c r="AZ97" s="34"/>
      <c r="BA97" s="34"/>
    </row>
    <row r="98" spans="1:53" x14ac:dyDescent="0.25">
      <c r="A98" s="61">
        <v>79</v>
      </c>
      <c r="B98" s="61" t="s">
        <v>1126</v>
      </c>
      <c r="C98" s="61" t="s">
        <v>1127</v>
      </c>
      <c r="D98" s="61" t="s">
        <v>1133</v>
      </c>
      <c r="E98" s="83" t="s">
        <v>1096</v>
      </c>
      <c r="F98" s="61">
        <v>2012</v>
      </c>
      <c r="G98" s="83" t="s">
        <v>1129</v>
      </c>
      <c r="H98" s="61">
        <v>2010</v>
      </c>
      <c r="I98" s="84" t="s">
        <v>1096</v>
      </c>
      <c r="J98" s="61">
        <v>5422275</v>
      </c>
      <c r="K98" s="61">
        <v>100</v>
      </c>
      <c r="L98" s="61">
        <v>2020</v>
      </c>
      <c r="M98" s="61">
        <v>30</v>
      </c>
      <c r="N98" s="84" t="s">
        <v>1096</v>
      </c>
      <c r="O98" s="61">
        <v>3795592.5</v>
      </c>
      <c r="P98" s="61">
        <v>4050000</v>
      </c>
      <c r="Q98" s="84" t="s">
        <v>1096</v>
      </c>
      <c r="R98" s="83">
        <v>84.360346902361101</v>
      </c>
      <c r="S98" s="83" t="s">
        <v>1130</v>
      </c>
      <c r="T98" s="83" t="s">
        <v>1137</v>
      </c>
      <c r="U98" s="83" t="s">
        <v>1261</v>
      </c>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34"/>
      <c r="AT98" s="34"/>
      <c r="AU98" s="34"/>
      <c r="AV98" s="34"/>
      <c r="AW98" s="34"/>
      <c r="AX98" s="34"/>
      <c r="AY98" s="34"/>
      <c r="AZ98" s="34"/>
      <c r="BA98" s="34"/>
    </row>
    <row r="99" spans="1:53" x14ac:dyDescent="0.25">
      <c r="A99" s="61">
        <v>79</v>
      </c>
      <c r="B99" s="61" t="s">
        <v>1126</v>
      </c>
      <c r="C99" s="61" t="s">
        <v>1127</v>
      </c>
      <c r="D99" s="61" t="s">
        <v>1133</v>
      </c>
      <c r="E99" s="83" t="s">
        <v>1096</v>
      </c>
      <c r="F99" s="61">
        <v>2018</v>
      </c>
      <c r="G99" s="83" t="s">
        <v>1129</v>
      </c>
      <c r="H99" s="61">
        <v>2010</v>
      </c>
      <c r="I99" s="84" t="s">
        <v>1096</v>
      </c>
      <c r="J99" s="61">
        <v>5422275</v>
      </c>
      <c r="K99" s="61">
        <v>100</v>
      </c>
      <c r="L99" s="61">
        <v>2030</v>
      </c>
      <c r="M99" s="61">
        <v>50</v>
      </c>
      <c r="N99" s="84" t="s">
        <v>1096</v>
      </c>
      <c r="O99" s="61">
        <v>2711137.5</v>
      </c>
      <c r="P99" s="61">
        <v>4050000</v>
      </c>
      <c r="Q99" s="84" t="s">
        <v>1096</v>
      </c>
      <c r="R99" s="83">
        <v>50.616208141416649</v>
      </c>
      <c r="S99" s="83" t="s">
        <v>1130</v>
      </c>
      <c r="T99" s="83" t="s">
        <v>1137</v>
      </c>
      <c r="U99" s="83" t="s">
        <v>1262</v>
      </c>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34"/>
      <c r="AT99" s="34"/>
      <c r="AU99" s="34"/>
      <c r="AV99" s="34"/>
      <c r="AW99" s="34"/>
      <c r="AX99" s="34"/>
      <c r="AY99" s="34"/>
      <c r="AZ99" s="34"/>
      <c r="BA99" s="34"/>
    </row>
    <row r="100" spans="1:53" x14ac:dyDescent="0.25">
      <c r="A100" s="61">
        <v>80</v>
      </c>
      <c r="B100" s="61" t="s">
        <v>1126</v>
      </c>
      <c r="C100" s="61" t="s">
        <v>1127</v>
      </c>
      <c r="D100" s="61" t="s">
        <v>1133</v>
      </c>
      <c r="E100" s="83" t="s">
        <v>1096</v>
      </c>
      <c r="F100" s="61">
        <v>2015</v>
      </c>
      <c r="G100" s="83" t="s">
        <v>1129</v>
      </c>
      <c r="H100" s="84">
        <v>2014</v>
      </c>
      <c r="I100" s="84" t="s">
        <v>1096</v>
      </c>
      <c r="J100" s="61">
        <v>230637</v>
      </c>
      <c r="K100" s="61">
        <v>100</v>
      </c>
      <c r="L100" s="61">
        <v>2025</v>
      </c>
      <c r="M100" s="61">
        <v>30</v>
      </c>
      <c r="N100" s="84" t="s">
        <v>1096</v>
      </c>
      <c r="O100" s="61">
        <v>161445.9</v>
      </c>
      <c r="P100" s="61">
        <v>189350</v>
      </c>
      <c r="Q100" s="84" t="s">
        <v>1096</v>
      </c>
      <c r="R100" s="83">
        <v>59.670969243154104</v>
      </c>
      <c r="S100" s="83" t="s">
        <v>1130</v>
      </c>
      <c r="T100" s="83" t="s">
        <v>1146</v>
      </c>
      <c r="U100" s="83" t="s">
        <v>1263</v>
      </c>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34"/>
      <c r="AT100" s="34"/>
      <c r="AU100" s="34"/>
      <c r="AV100" s="34"/>
      <c r="AW100" s="34"/>
      <c r="AX100" s="34"/>
      <c r="AY100" s="34"/>
      <c r="AZ100" s="34"/>
      <c r="BA100" s="34"/>
    </row>
    <row r="101" spans="1:53" x14ac:dyDescent="0.25">
      <c r="A101" s="61">
        <v>82</v>
      </c>
      <c r="B101" s="61" t="s">
        <v>1126</v>
      </c>
      <c r="C101" s="61" t="s">
        <v>1127</v>
      </c>
      <c r="D101" s="61" t="s">
        <v>1133</v>
      </c>
      <c r="E101" s="83" t="s">
        <v>1096</v>
      </c>
      <c r="F101" s="61">
        <v>2016</v>
      </c>
      <c r="G101" s="83" t="s">
        <v>1129</v>
      </c>
      <c r="H101" s="84">
        <v>2015</v>
      </c>
      <c r="I101" s="84" t="s">
        <v>1096</v>
      </c>
      <c r="J101" s="61">
        <v>106542</v>
      </c>
      <c r="K101" s="61">
        <v>100</v>
      </c>
      <c r="L101" s="61">
        <v>2050</v>
      </c>
      <c r="M101" s="61">
        <v>100</v>
      </c>
      <c r="N101" s="84" t="s">
        <v>1096</v>
      </c>
      <c r="O101" s="61">
        <v>0</v>
      </c>
      <c r="P101" s="61">
        <v>140506</v>
      </c>
      <c r="Q101" s="84" t="s">
        <v>1096</v>
      </c>
      <c r="R101" s="83">
        <v>-31.878508006232288</v>
      </c>
      <c r="S101" s="83" t="s">
        <v>1143</v>
      </c>
      <c r="T101" s="83" t="s">
        <v>1159</v>
      </c>
      <c r="U101" s="83" t="s">
        <v>1264</v>
      </c>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34"/>
      <c r="AT101" s="34"/>
      <c r="AU101" s="34"/>
      <c r="AV101" s="34"/>
      <c r="AW101" s="34"/>
      <c r="AX101" s="34"/>
      <c r="AY101" s="34"/>
      <c r="AZ101" s="34"/>
      <c r="BA101" s="34"/>
    </row>
    <row r="102" spans="1:53" x14ac:dyDescent="0.25">
      <c r="A102" s="61">
        <v>82</v>
      </c>
      <c r="B102" s="61" t="s">
        <v>1126</v>
      </c>
      <c r="C102" s="61" t="s">
        <v>1127</v>
      </c>
      <c r="D102" s="61" t="s">
        <v>1133</v>
      </c>
      <c r="E102" s="83" t="s">
        <v>1096</v>
      </c>
      <c r="F102" s="61">
        <v>2016</v>
      </c>
      <c r="G102" s="83" t="s">
        <v>1129</v>
      </c>
      <c r="H102" s="84">
        <v>2015</v>
      </c>
      <c r="I102" s="84" t="s">
        <v>1096</v>
      </c>
      <c r="J102" s="61">
        <v>106542</v>
      </c>
      <c r="K102" s="61">
        <v>100</v>
      </c>
      <c r="L102" s="61">
        <v>2050</v>
      </c>
      <c r="M102" s="61">
        <v>52</v>
      </c>
      <c r="N102" s="84" t="s">
        <v>1096</v>
      </c>
      <c r="O102" s="61">
        <v>51140.160000000003</v>
      </c>
      <c r="P102" s="61">
        <v>140506</v>
      </c>
      <c r="Q102" s="84" t="s">
        <v>1096</v>
      </c>
      <c r="R102" s="83">
        <v>-61.304823088908243</v>
      </c>
      <c r="S102" s="83" t="s">
        <v>1265</v>
      </c>
      <c r="T102" s="83" t="s">
        <v>1159</v>
      </c>
      <c r="U102" s="83" t="s">
        <v>1266</v>
      </c>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34"/>
      <c r="AT102" s="34"/>
      <c r="AU102" s="34"/>
      <c r="AV102" s="34"/>
      <c r="AW102" s="34"/>
      <c r="AX102" s="34"/>
      <c r="AY102" s="34"/>
      <c r="AZ102" s="34"/>
      <c r="BA102" s="34"/>
    </row>
    <row r="103" spans="1:53" x14ac:dyDescent="0.25">
      <c r="A103" s="61">
        <v>82</v>
      </c>
      <c r="B103" s="61" t="s">
        <v>1126</v>
      </c>
      <c r="C103" s="61" t="s">
        <v>1127</v>
      </c>
      <c r="D103" s="61" t="s">
        <v>1133</v>
      </c>
      <c r="E103" s="83" t="s">
        <v>1096</v>
      </c>
      <c r="F103" s="61">
        <v>2016</v>
      </c>
      <c r="G103" s="83" t="s">
        <v>1129</v>
      </c>
      <c r="H103" s="84">
        <v>2015</v>
      </c>
      <c r="I103" s="84" t="s">
        <v>1096</v>
      </c>
      <c r="J103" s="61">
        <v>106542</v>
      </c>
      <c r="K103" s="61">
        <v>100</v>
      </c>
      <c r="L103" s="61">
        <v>2030</v>
      </c>
      <c r="M103" s="61">
        <v>27</v>
      </c>
      <c r="N103" s="84" t="s">
        <v>1096</v>
      </c>
      <c r="O103" s="61">
        <v>77775.66</v>
      </c>
      <c r="P103" s="61">
        <v>140506</v>
      </c>
      <c r="Q103" s="84" t="s">
        <v>1096</v>
      </c>
      <c r="R103" s="83">
        <v>-118.06854817123069</v>
      </c>
      <c r="S103" s="83" t="s">
        <v>1265</v>
      </c>
      <c r="T103" s="83" t="s">
        <v>1159</v>
      </c>
      <c r="U103" s="83" t="s">
        <v>1267</v>
      </c>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34"/>
      <c r="AT103" s="34"/>
      <c r="AU103" s="34"/>
      <c r="AV103" s="34"/>
      <c r="AW103" s="34"/>
      <c r="AX103" s="34"/>
      <c r="AY103" s="34"/>
      <c r="AZ103" s="34"/>
      <c r="BA103" s="34"/>
    </row>
    <row r="104" spans="1:53" x14ac:dyDescent="0.25">
      <c r="A104" s="61">
        <v>82</v>
      </c>
      <c r="B104" s="61" t="s">
        <v>1126</v>
      </c>
      <c r="C104" s="61" t="s">
        <v>1127</v>
      </c>
      <c r="D104" s="61" t="s">
        <v>1133</v>
      </c>
      <c r="E104" s="83" t="s">
        <v>1096</v>
      </c>
      <c r="F104" s="61">
        <v>2019</v>
      </c>
      <c r="G104" s="83" t="s">
        <v>1129</v>
      </c>
      <c r="H104" s="84">
        <v>2018</v>
      </c>
      <c r="I104" s="84" t="s">
        <v>1096</v>
      </c>
      <c r="J104" s="61">
        <v>162938</v>
      </c>
      <c r="K104" s="61">
        <v>100</v>
      </c>
      <c r="L104" s="61">
        <v>2030</v>
      </c>
      <c r="M104" s="61">
        <v>50</v>
      </c>
      <c r="N104" s="84" t="s">
        <v>1096</v>
      </c>
      <c r="O104" s="61">
        <v>81469</v>
      </c>
      <c r="P104" s="61">
        <v>140506</v>
      </c>
      <c r="Q104" s="84" t="s">
        <v>1096</v>
      </c>
      <c r="R104" s="83">
        <v>27.534399587573187</v>
      </c>
      <c r="S104" s="83" t="s">
        <v>1154</v>
      </c>
      <c r="T104" s="83" t="s">
        <v>1137</v>
      </c>
      <c r="U104" s="83" t="s">
        <v>1268</v>
      </c>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34"/>
      <c r="AT104" s="34"/>
      <c r="AU104" s="34"/>
      <c r="AV104" s="34"/>
      <c r="AW104" s="34"/>
      <c r="AX104" s="34"/>
      <c r="AY104" s="34"/>
      <c r="AZ104" s="34"/>
      <c r="BA104" s="34"/>
    </row>
    <row r="105" spans="1:53" x14ac:dyDescent="0.25">
      <c r="A105" s="61">
        <v>82</v>
      </c>
      <c r="B105" s="61" t="s">
        <v>1126</v>
      </c>
      <c r="C105" s="61" t="s">
        <v>1141</v>
      </c>
      <c r="D105" s="61" t="s">
        <v>1269</v>
      </c>
      <c r="E105" s="83" t="s">
        <v>1096</v>
      </c>
      <c r="F105" s="61">
        <v>2018</v>
      </c>
      <c r="G105" s="83" t="s">
        <v>1129</v>
      </c>
      <c r="H105" s="84">
        <v>2018</v>
      </c>
      <c r="I105" s="84" t="s">
        <v>1096</v>
      </c>
      <c r="J105" s="61">
        <v>67890</v>
      </c>
      <c r="K105" s="61">
        <v>100</v>
      </c>
      <c r="L105" s="61">
        <v>2030</v>
      </c>
      <c r="M105" s="61">
        <v>50</v>
      </c>
      <c r="N105" s="84" t="s">
        <v>1096</v>
      </c>
      <c r="O105" s="61">
        <v>33945</v>
      </c>
      <c r="P105" s="61">
        <v>61544</v>
      </c>
      <c r="Q105" s="84" t="s">
        <v>1096</v>
      </c>
      <c r="R105" s="83">
        <v>18.694947709530123</v>
      </c>
      <c r="S105" s="83" t="s">
        <v>1154</v>
      </c>
      <c r="T105" s="83" t="s">
        <v>1137</v>
      </c>
      <c r="U105" s="83" t="s">
        <v>1270</v>
      </c>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34"/>
      <c r="AT105" s="34"/>
      <c r="AU105" s="34"/>
      <c r="AV105" s="34"/>
      <c r="AW105" s="34"/>
      <c r="AX105" s="34"/>
      <c r="AY105" s="34"/>
      <c r="AZ105" s="34"/>
      <c r="BA105" s="34"/>
    </row>
    <row r="106" spans="1:53" x14ac:dyDescent="0.25">
      <c r="A106" s="61">
        <v>84</v>
      </c>
      <c r="B106" s="61" t="s">
        <v>1126</v>
      </c>
      <c r="C106" s="61" t="s">
        <v>1127</v>
      </c>
      <c r="D106" s="61" t="s">
        <v>1133</v>
      </c>
      <c r="E106" s="83" t="s">
        <v>1096</v>
      </c>
      <c r="F106" s="61">
        <v>2020</v>
      </c>
      <c r="G106" s="83" t="s">
        <v>1129</v>
      </c>
      <c r="H106" s="84">
        <v>2019</v>
      </c>
      <c r="I106" s="84" t="s">
        <v>1096</v>
      </c>
      <c r="J106" s="61">
        <v>266578.01</v>
      </c>
      <c r="K106" s="61">
        <v>100</v>
      </c>
      <c r="L106" s="61">
        <v>2035</v>
      </c>
      <c r="M106" s="61">
        <v>68</v>
      </c>
      <c r="N106" s="84" t="s">
        <v>1096</v>
      </c>
      <c r="O106" s="61">
        <v>85304.963199999998</v>
      </c>
      <c r="P106" s="61">
        <v>266578.01</v>
      </c>
      <c r="Q106" s="84" t="s">
        <v>1096</v>
      </c>
      <c r="R106" s="83">
        <v>0</v>
      </c>
      <c r="S106" s="83" t="s">
        <v>1154</v>
      </c>
      <c r="T106" s="83" t="s">
        <v>1137</v>
      </c>
      <c r="U106" s="83" t="s">
        <v>1271</v>
      </c>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34"/>
      <c r="AT106" s="34"/>
      <c r="AU106" s="34"/>
      <c r="AV106" s="34"/>
      <c r="AW106" s="34"/>
      <c r="AX106" s="34"/>
      <c r="AY106" s="34"/>
      <c r="AZ106" s="34"/>
      <c r="BA106" s="34"/>
    </row>
    <row r="107" spans="1:53" x14ac:dyDescent="0.25">
      <c r="A107" s="61">
        <v>84</v>
      </c>
      <c r="B107" s="61" t="s">
        <v>1126</v>
      </c>
      <c r="C107" s="61" t="s">
        <v>1170</v>
      </c>
      <c r="D107" s="61" t="s">
        <v>1171</v>
      </c>
      <c r="E107" s="83" t="s">
        <v>1096</v>
      </c>
      <c r="F107" s="61">
        <v>2019</v>
      </c>
      <c r="G107" s="83" t="s">
        <v>1129</v>
      </c>
      <c r="H107" s="84">
        <v>2018</v>
      </c>
      <c r="I107" s="84" t="s">
        <v>1096</v>
      </c>
      <c r="J107" s="61">
        <v>259394.23</v>
      </c>
      <c r="K107" s="61">
        <v>100</v>
      </c>
      <c r="L107" s="61">
        <v>2019</v>
      </c>
      <c r="M107" s="61">
        <v>1</v>
      </c>
      <c r="N107" s="84" t="s">
        <v>1096</v>
      </c>
      <c r="O107" s="61">
        <v>256800.28769999999</v>
      </c>
      <c r="P107" s="61">
        <v>249714.82</v>
      </c>
      <c r="Q107" s="84" t="s">
        <v>1096</v>
      </c>
      <c r="R107" s="83">
        <v>373.15440671135639</v>
      </c>
      <c r="S107" s="83" t="s">
        <v>1143</v>
      </c>
      <c r="T107" s="83" t="s">
        <v>1144</v>
      </c>
      <c r="U107" s="83" t="s">
        <v>1272</v>
      </c>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34"/>
      <c r="AT107" s="34"/>
      <c r="AU107" s="34"/>
      <c r="AV107" s="34"/>
      <c r="AW107" s="34"/>
      <c r="AX107" s="34"/>
      <c r="AY107" s="34"/>
      <c r="AZ107" s="34"/>
      <c r="BA107" s="34"/>
    </row>
    <row r="108" spans="1:53" x14ac:dyDescent="0.25">
      <c r="A108" s="61">
        <v>87</v>
      </c>
      <c r="B108" s="61" t="s">
        <v>1126</v>
      </c>
      <c r="C108" s="61" t="s">
        <v>1127</v>
      </c>
      <c r="D108" s="61" t="s">
        <v>1133</v>
      </c>
      <c r="E108" s="83" t="s">
        <v>1096</v>
      </c>
      <c r="F108" s="61">
        <v>2019</v>
      </c>
      <c r="G108" s="83" t="s">
        <v>1129</v>
      </c>
      <c r="H108" s="84">
        <v>2017</v>
      </c>
      <c r="I108" s="84" t="s">
        <v>1096</v>
      </c>
      <c r="J108" s="61">
        <v>2567880</v>
      </c>
      <c r="K108" s="61">
        <v>100</v>
      </c>
      <c r="L108" s="61">
        <v>2030</v>
      </c>
      <c r="M108" s="61">
        <v>30</v>
      </c>
      <c r="N108" s="84" t="s">
        <v>1096</v>
      </c>
      <c r="O108" s="61">
        <v>1797516</v>
      </c>
      <c r="P108" s="61">
        <v>2298450</v>
      </c>
      <c r="Q108" s="84" t="s">
        <v>1096</v>
      </c>
      <c r="R108" s="83">
        <v>34.974375749645617</v>
      </c>
      <c r="S108" s="83" t="s">
        <v>1130</v>
      </c>
      <c r="T108" s="83" t="s">
        <v>1137</v>
      </c>
      <c r="U108" s="83" t="s">
        <v>1273</v>
      </c>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34"/>
      <c r="AT108" s="34"/>
      <c r="AU108" s="34"/>
      <c r="AV108" s="34"/>
      <c r="AW108" s="34"/>
      <c r="AX108" s="34"/>
      <c r="AY108" s="34"/>
      <c r="AZ108" s="34"/>
      <c r="BA108" s="34"/>
    </row>
    <row r="109" spans="1:53" x14ac:dyDescent="0.25">
      <c r="A109" s="61">
        <v>87</v>
      </c>
      <c r="B109" s="61" t="s">
        <v>1126</v>
      </c>
      <c r="C109" s="61" t="s">
        <v>1141</v>
      </c>
      <c r="D109" s="61" t="s">
        <v>1274</v>
      </c>
      <c r="E109" s="83" t="s">
        <v>1096</v>
      </c>
      <c r="F109" s="61">
        <v>2019</v>
      </c>
      <c r="G109" s="83" t="s">
        <v>1129</v>
      </c>
      <c r="H109" s="84">
        <v>2017</v>
      </c>
      <c r="I109" s="84" t="s">
        <v>1096</v>
      </c>
      <c r="J109" s="61">
        <v>26939000</v>
      </c>
      <c r="K109" s="61">
        <v>100</v>
      </c>
      <c r="L109" s="61">
        <v>2030</v>
      </c>
      <c r="M109" s="61">
        <v>30</v>
      </c>
      <c r="N109" s="84" t="s">
        <v>1096</v>
      </c>
      <c r="O109" s="61">
        <v>18857300</v>
      </c>
      <c r="P109" s="61">
        <v>26363000</v>
      </c>
      <c r="Q109" s="84" t="s">
        <v>1096</v>
      </c>
      <c r="R109" s="83">
        <v>7.127213333828279</v>
      </c>
      <c r="S109" s="83" t="s">
        <v>1130</v>
      </c>
      <c r="T109" s="83" t="s">
        <v>1137</v>
      </c>
      <c r="U109" s="83" t="s">
        <v>1275</v>
      </c>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34"/>
      <c r="AT109" s="34"/>
      <c r="AU109" s="34"/>
      <c r="AV109" s="34"/>
      <c r="AW109" s="34"/>
      <c r="AX109" s="34"/>
      <c r="AY109" s="34"/>
      <c r="AZ109" s="34"/>
      <c r="BA109" s="34"/>
    </row>
    <row r="110" spans="1:53" x14ac:dyDescent="0.25">
      <c r="A110" s="61">
        <v>88</v>
      </c>
      <c r="B110" s="61" t="s">
        <v>1126</v>
      </c>
      <c r="C110" s="61" t="s">
        <v>1127</v>
      </c>
      <c r="D110" s="61" t="s">
        <v>1128</v>
      </c>
      <c r="E110" s="83" t="s">
        <v>1096</v>
      </c>
      <c r="F110" s="61">
        <v>2016</v>
      </c>
      <c r="G110" s="83" t="s">
        <v>1129</v>
      </c>
      <c r="H110" s="84">
        <v>2015</v>
      </c>
      <c r="I110" s="84" t="s">
        <v>1096</v>
      </c>
      <c r="J110" s="61">
        <v>2408435</v>
      </c>
      <c r="K110" s="61">
        <v>100</v>
      </c>
      <c r="L110" s="61">
        <v>2020</v>
      </c>
      <c r="M110" s="61">
        <v>15</v>
      </c>
      <c r="N110" s="84" t="s">
        <v>1096</v>
      </c>
      <c r="O110" s="61">
        <v>2047169.75</v>
      </c>
      <c r="P110" s="61">
        <v>2034760</v>
      </c>
      <c r="Q110" s="84" t="s">
        <v>1096</v>
      </c>
      <c r="R110" s="83">
        <v>103.43507990320131</v>
      </c>
      <c r="S110" s="83" t="s">
        <v>1143</v>
      </c>
      <c r="T110" s="83" t="s">
        <v>1146</v>
      </c>
      <c r="U110" s="83" t="s">
        <v>1276</v>
      </c>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34"/>
      <c r="AT110" s="34"/>
      <c r="AU110" s="34"/>
      <c r="AV110" s="34"/>
      <c r="AW110" s="34"/>
      <c r="AX110" s="34"/>
      <c r="AY110" s="34"/>
      <c r="AZ110" s="34"/>
      <c r="BA110" s="34"/>
    </row>
    <row r="111" spans="1:53" x14ac:dyDescent="0.25">
      <c r="A111" s="61">
        <v>6</v>
      </c>
      <c r="B111" s="61" t="s">
        <v>1126</v>
      </c>
      <c r="C111" s="61" t="s">
        <v>1127</v>
      </c>
      <c r="D111" s="61" t="s">
        <v>1128</v>
      </c>
      <c r="E111" s="83" t="s">
        <v>1096</v>
      </c>
      <c r="F111" s="61">
        <v>2010</v>
      </c>
      <c r="G111" s="83" t="s">
        <v>1129</v>
      </c>
      <c r="H111" s="84">
        <v>2007</v>
      </c>
      <c r="I111" s="84" t="s">
        <v>1096</v>
      </c>
      <c r="J111" s="61">
        <v>188715</v>
      </c>
      <c r="K111" s="61">
        <v>66</v>
      </c>
      <c r="L111" s="61">
        <v>2020</v>
      </c>
      <c r="M111" s="61">
        <v>20</v>
      </c>
      <c r="N111" s="84" t="s">
        <v>1096</v>
      </c>
      <c r="O111" s="61">
        <v>150972</v>
      </c>
      <c r="P111" s="61">
        <v>126094</v>
      </c>
      <c r="Q111" s="84" t="s">
        <v>1096</v>
      </c>
      <c r="R111" s="83">
        <v>165.91420925734573</v>
      </c>
      <c r="S111" s="83" t="s">
        <v>1143</v>
      </c>
      <c r="T111" s="83" t="s">
        <v>1131</v>
      </c>
      <c r="U111" s="83" t="s">
        <v>1277</v>
      </c>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34"/>
      <c r="AT111" s="34"/>
      <c r="AU111" s="34"/>
      <c r="AV111" s="34"/>
      <c r="AW111" s="34"/>
      <c r="AX111" s="34"/>
      <c r="AY111" s="34"/>
      <c r="AZ111" s="34"/>
      <c r="BA111" s="34"/>
    </row>
    <row r="112" spans="1:53" x14ac:dyDescent="0.25">
      <c r="A112" s="61">
        <v>29</v>
      </c>
      <c r="B112" s="61" t="s">
        <v>1126</v>
      </c>
      <c r="C112" s="61" t="s">
        <v>1157</v>
      </c>
      <c r="D112" s="61" t="s">
        <v>1173</v>
      </c>
      <c r="E112" s="83" t="s">
        <v>1096</v>
      </c>
      <c r="F112" s="61">
        <v>2019</v>
      </c>
      <c r="G112" s="83" t="s">
        <v>1129</v>
      </c>
      <c r="H112" s="84">
        <v>2015</v>
      </c>
      <c r="I112" s="84" t="s">
        <v>1096</v>
      </c>
      <c r="J112" s="61">
        <v>70144410</v>
      </c>
      <c r="K112" s="61">
        <v>100</v>
      </c>
      <c r="L112" s="61">
        <v>2030</v>
      </c>
      <c r="M112" s="61">
        <v>25</v>
      </c>
      <c r="N112" s="84" t="s">
        <v>1096</v>
      </c>
      <c r="O112" s="61">
        <v>52608307.5</v>
      </c>
      <c r="P112" s="61">
        <v>52608307.5</v>
      </c>
      <c r="Q112" s="84" t="s">
        <v>1096</v>
      </c>
      <c r="R112" s="83">
        <v>100</v>
      </c>
      <c r="S112" s="83" t="s">
        <v>1154</v>
      </c>
      <c r="T112" s="83" t="s">
        <v>1137</v>
      </c>
      <c r="U112" s="83" t="s">
        <v>1278</v>
      </c>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34"/>
      <c r="AT112" s="34"/>
      <c r="AU112" s="34"/>
      <c r="AV112" s="34"/>
      <c r="AW112" s="34"/>
      <c r="AX112" s="34"/>
      <c r="AY112" s="34"/>
      <c r="AZ112" s="34"/>
      <c r="BA112" s="34"/>
    </row>
    <row r="113" spans="1:53" x14ac:dyDescent="0.25">
      <c r="A113" s="61">
        <v>36</v>
      </c>
      <c r="B113" s="61" t="s">
        <v>1126</v>
      </c>
      <c r="C113" s="61" t="s">
        <v>1127</v>
      </c>
      <c r="D113" s="61" t="s">
        <v>1133</v>
      </c>
      <c r="E113" s="83" t="s">
        <v>1096</v>
      </c>
      <c r="F113" s="61">
        <v>2015</v>
      </c>
      <c r="G113" s="83" t="s">
        <v>1129</v>
      </c>
      <c r="H113" s="84">
        <v>2006</v>
      </c>
      <c r="I113" s="84" t="s">
        <v>1096</v>
      </c>
      <c r="J113" s="61">
        <v>42100000</v>
      </c>
      <c r="K113" s="61">
        <v>100</v>
      </c>
      <c r="L113" s="61">
        <v>2025</v>
      </c>
      <c r="M113" s="61">
        <v>0</v>
      </c>
      <c r="N113" s="84" t="s">
        <v>1096</v>
      </c>
      <c r="O113" s="61">
        <v>42100000</v>
      </c>
      <c r="P113" s="61">
        <v>33581018</v>
      </c>
      <c r="Q113" s="84" t="s">
        <v>1096</v>
      </c>
      <c r="R113" s="83" t="s">
        <v>1096</v>
      </c>
      <c r="S113" s="83" t="s">
        <v>1130</v>
      </c>
      <c r="T113" s="83" t="s">
        <v>1131</v>
      </c>
      <c r="U113" s="83" t="s">
        <v>1279</v>
      </c>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34"/>
      <c r="AT113" s="34"/>
      <c r="AU113" s="34"/>
      <c r="AV113" s="34"/>
      <c r="AW113" s="34"/>
      <c r="AX113" s="34"/>
      <c r="AY113" s="34"/>
      <c r="AZ113" s="34"/>
      <c r="BA113" s="34"/>
    </row>
    <row r="114" spans="1:53" x14ac:dyDescent="0.25">
      <c r="A114" s="61">
        <v>51</v>
      </c>
      <c r="B114" s="61" t="s">
        <v>1126</v>
      </c>
      <c r="C114" s="61" t="s">
        <v>1127</v>
      </c>
      <c r="D114" s="61" t="s">
        <v>1128</v>
      </c>
      <c r="E114" s="83" t="s">
        <v>1096</v>
      </c>
      <c r="F114" s="61">
        <v>2015</v>
      </c>
      <c r="G114" s="83" t="s">
        <v>1129</v>
      </c>
      <c r="H114" s="61">
        <v>2010</v>
      </c>
      <c r="I114" s="84" t="s">
        <v>1096</v>
      </c>
      <c r="J114" s="61">
        <v>3073094</v>
      </c>
      <c r="K114" s="61">
        <v>100</v>
      </c>
      <c r="L114" s="61">
        <v>2020</v>
      </c>
      <c r="M114" s="61">
        <v>20</v>
      </c>
      <c r="N114" s="84" t="s">
        <v>1096</v>
      </c>
      <c r="O114" s="61">
        <v>2458475.2000000002</v>
      </c>
      <c r="P114" s="61">
        <v>1948233</v>
      </c>
      <c r="Q114" s="84" t="s">
        <v>1096</v>
      </c>
      <c r="R114" s="83">
        <v>183.0176688379855</v>
      </c>
      <c r="S114" s="83" t="s">
        <v>1143</v>
      </c>
      <c r="T114" s="83" t="s">
        <v>1144</v>
      </c>
      <c r="U114" s="83" t="s">
        <v>1280</v>
      </c>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34"/>
      <c r="AT114" s="34"/>
      <c r="AU114" s="34"/>
      <c r="AV114" s="34"/>
      <c r="AW114" s="34"/>
      <c r="AX114" s="34"/>
      <c r="AY114" s="34"/>
      <c r="AZ114" s="34"/>
      <c r="BA114" s="34"/>
    </row>
    <row r="115" spans="1:53" x14ac:dyDescent="0.25">
      <c r="A115" s="61">
        <v>51</v>
      </c>
      <c r="B115" s="61" t="s">
        <v>1126</v>
      </c>
      <c r="C115" s="61" t="s">
        <v>1127</v>
      </c>
      <c r="D115" s="61" t="s">
        <v>1128</v>
      </c>
      <c r="E115" s="83" t="s">
        <v>1096</v>
      </c>
      <c r="F115" s="61">
        <v>2018</v>
      </c>
      <c r="G115" s="83" t="s">
        <v>1201</v>
      </c>
      <c r="H115" s="61">
        <v>2011</v>
      </c>
      <c r="I115" s="84" t="s">
        <v>1096</v>
      </c>
      <c r="J115" s="61">
        <v>3020011</v>
      </c>
      <c r="K115" s="61">
        <v>100</v>
      </c>
      <c r="L115" s="61">
        <v>2030</v>
      </c>
      <c r="M115" s="61">
        <v>39.9</v>
      </c>
      <c r="N115" s="84" t="s">
        <v>1096</v>
      </c>
      <c r="O115" s="61">
        <v>1815026.611</v>
      </c>
      <c r="P115" s="61">
        <v>1948233</v>
      </c>
      <c r="Q115" s="84" t="s">
        <v>1096</v>
      </c>
      <c r="R115" s="83">
        <v>88.945384669211677</v>
      </c>
      <c r="S115" s="83" t="s">
        <v>1130</v>
      </c>
      <c r="T115" s="83" t="s">
        <v>1159</v>
      </c>
      <c r="U115" s="83" t="s">
        <v>1281</v>
      </c>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34"/>
      <c r="AT115" s="34"/>
      <c r="AU115" s="34"/>
      <c r="AV115" s="34"/>
      <c r="AW115" s="34"/>
      <c r="AX115" s="34"/>
      <c r="AY115" s="34"/>
      <c r="AZ115" s="34"/>
      <c r="BA115" s="34"/>
    </row>
    <row r="116" spans="1:53" x14ac:dyDescent="0.25">
      <c r="A116" s="61">
        <v>51</v>
      </c>
      <c r="B116" s="61" t="s">
        <v>1126</v>
      </c>
      <c r="C116" s="61" t="s">
        <v>1127</v>
      </c>
      <c r="D116" s="61" t="s">
        <v>1128</v>
      </c>
      <c r="E116" s="83" t="s">
        <v>1096</v>
      </c>
      <c r="F116" s="61">
        <v>2018</v>
      </c>
      <c r="G116" s="83" t="s">
        <v>1129</v>
      </c>
      <c r="H116" s="61">
        <v>2011</v>
      </c>
      <c r="I116" s="84" t="s">
        <v>1096</v>
      </c>
      <c r="J116" s="61">
        <v>3020011</v>
      </c>
      <c r="K116" s="61">
        <v>100</v>
      </c>
      <c r="L116" s="61">
        <v>2035</v>
      </c>
      <c r="M116" s="61">
        <v>50.4</v>
      </c>
      <c r="N116" s="84" t="s">
        <v>1096</v>
      </c>
      <c r="O116" s="61">
        <v>1497925.456</v>
      </c>
      <c r="P116" s="61">
        <v>1948233</v>
      </c>
      <c r="Q116" s="84" t="s">
        <v>1096</v>
      </c>
      <c r="R116" s="83">
        <v>70.415096196459245</v>
      </c>
      <c r="S116" s="83" t="s">
        <v>1130</v>
      </c>
      <c r="T116" s="83" t="s">
        <v>1159</v>
      </c>
      <c r="U116" s="83" t="s">
        <v>1282</v>
      </c>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34"/>
      <c r="AT116" s="34"/>
      <c r="AU116" s="34"/>
      <c r="AV116" s="34"/>
      <c r="AW116" s="34"/>
      <c r="AX116" s="34"/>
      <c r="AY116" s="34"/>
      <c r="AZ116" s="34"/>
      <c r="BA116" s="34"/>
    </row>
    <row r="117" spans="1:53" x14ac:dyDescent="0.25">
      <c r="A117" s="61">
        <v>85</v>
      </c>
      <c r="B117" s="61" t="s">
        <v>1126</v>
      </c>
      <c r="C117" s="61" t="s">
        <v>1164</v>
      </c>
      <c r="D117" s="61" t="s">
        <v>1165</v>
      </c>
      <c r="E117" s="83" t="s">
        <v>1096</v>
      </c>
      <c r="F117" s="61">
        <v>2018</v>
      </c>
      <c r="G117" s="83" t="s">
        <v>1283</v>
      </c>
      <c r="H117" s="61">
        <v>2007</v>
      </c>
      <c r="I117" s="84" t="s">
        <v>1096</v>
      </c>
      <c r="J117" s="61">
        <v>156650363</v>
      </c>
      <c r="K117" s="61">
        <v>100</v>
      </c>
      <c r="L117" s="61">
        <v>2050</v>
      </c>
      <c r="M117" s="61">
        <v>100</v>
      </c>
      <c r="N117" s="84" t="s">
        <v>1096</v>
      </c>
      <c r="O117" s="61">
        <v>0</v>
      </c>
      <c r="P117" s="61">
        <v>88213565</v>
      </c>
      <c r="Q117" s="84" t="s">
        <v>1096</v>
      </c>
      <c r="R117" s="83">
        <v>43.687608946045017</v>
      </c>
      <c r="S117" s="83" t="s">
        <v>1130</v>
      </c>
      <c r="T117" s="83" t="s">
        <v>1159</v>
      </c>
      <c r="U117" s="83" t="s">
        <v>1284</v>
      </c>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34"/>
      <c r="AT117" s="34"/>
      <c r="AU117" s="34"/>
      <c r="AV117" s="34"/>
      <c r="AW117" s="34"/>
      <c r="AX117" s="34"/>
      <c r="AY117" s="34"/>
      <c r="AZ117" s="34"/>
      <c r="BA117" s="34"/>
    </row>
    <row r="118" spans="1:53" x14ac:dyDescent="0.25">
      <c r="A118" s="61">
        <v>85</v>
      </c>
      <c r="B118" s="61" t="s">
        <v>1126</v>
      </c>
      <c r="C118" s="61" t="s">
        <v>1164</v>
      </c>
      <c r="D118" s="61" t="s">
        <v>1165</v>
      </c>
      <c r="E118" s="83" t="s">
        <v>1096</v>
      </c>
      <c r="F118" s="61">
        <v>2018</v>
      </c>
      <c r="G118" s="83" t="s">
        <v>1283</v>
      </c>
      <c r="H118" s="61">
        <v>2007</v>
      </c>
      <c r="I118" s="84" t="s">
        <v>1096</v>
      </c>
      <c r="J118" s="61">
        <v>156650363</v>
      </c>
      <c r="K118" s="61">
        <v>100</v>
      </c>
      <c r="L118" s="61">
        <v>2030</v>
      </c>
      <c r="M118" s="61">
        <v>50</v>
      </c>
      <c r="N118" s="84" t="s">
        <v>1096</v>
      </c>
      <c r="O118" s="61">
        <v>78325181.5</v>
      </c>
      <c r="P118" s="61">
        <v>88213565</v>
      </c>
      <c r="Q118" s="84" t="s">
        <v>1096</v>
      </c>
      <c r="R118" s="83">
        <v>87.375217892090035</v>
      </c>
      <c r="S118" s="83" t="s">
        <v>1130</v>
      </c>
      <c r="T118" s="83" t="s">
        <v>1159</v>
      </c>
      <c r="U118" s="83" t="s">
        <v>1284</v>
      </c>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34"/>
      <c r="AT118" s="34"/>
      <c r="AU118" s="34"/>
      <c r="AV118" s="34"/>
      <c r="AW118" s="34"/>
      <c r="AX118" s="34"/>
      <c r="AY118" s="34"/>
      <c r="AZ118" s="34"/>
      <c r="BA118" s="34"/>
    </row>
    <row r="119" spans="1:53" x14ac:dyDescent="0.25">
      <c r="A119" s="61">
        <v>95</v>
      </c>
      <c r="B119" s="61" t="s">
        <v>1126</v>
      </c>
      <c r="C119" s="61" t="s">
        <v>1127</v>
      </c>
      <c r="D119" s="61" t="s">
        <v>1133</v>
      </c>
      <c r="E119" s="83" t="s">
        <v>1096</v>
      </c>
      <c r="F119" s="61">
        <v>2016</v>
      </c>
      <c r="G119" s="83" t="s">
        <v>1129</v>
      </c>
      <c r="H119" s="61">
        <v>2014</v>
      </c>
      <c r="I119" s="84" t="s">
        <v>1096</v>
      </c>
      <c r="J119" s="61">
        <v>415211</v>
      </c>
      <c r="K119" s="61">
        <v>100</v>
      </c>
      <c r="L119" s="61">
        <v>2029</v>
      </c>
      <c r="M119" s="61">
        <v>40</v>
      </c>
      <c r="N119" s="84" t="s">
        <v>1096</v>
      </c>
      <c r="O119" s="61">
        <v>249126.6</v>
      </c>
      <c r="P119" s="61">
        <v>232928</v>
      </c>
      <c r="Q119" s="84" t="s">
        <v>1096</v>
      </c>
      <c r="R119" s="83">
        <v>109.75323389794586</v>
      </c>
      <c r="S119" s="83" t="s">
        <v>1143</v>
      </c>
      <c r="T119" s="83" t="s">
        <v>1159</v>
      </c>
      <c r="U119" s="83" t="s">
        <v>1285</v>
      </c>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34"/>
      <c r="AT119" s="34"/>
      <c r="AU119" s="34"/>
      <c r="AV119" s="34"/>
      <c r="AW119" s="34"/>
      <c r="AX119" s="34"/>
      <c r="AY119" s="34"/>
      <c r="AZ119" s="34"/>
      <c r="BA119" s="34"/>
    </row>
    <row r="120" spans="1:53" x14ac:dyDescent="0.25">
      <c r="A120" s="61">
        <v>95</v>
      </c>
      <c r="B120" s="61" t="s">
        <v>1126</v>
      </c>
      <c r="C120" s="61" t="s">
        <v>1127</v>
      </c>
      <c r="D120" s="61" t="s">
        <v>1133</v>
      </c>
      <c r="E120" s="83" t="s">
        <v>1096</v>
      </c>
      <c r="F120" s="61">
        <v>2016</v>
      </c>
      <c r="G120" s="83" t="s">
        <v>1129</v>
      </c>
      <c r="H120" s="61">
        <v>2014</v>
      </c>
      <c r="I120" s="84" t="s">
        <v>1096</v>
      </c>
      <c r="J120" s="61">
        <v>415211</v>
      </c>
      <c r="K120" s="61">
        <v>100</v>
      </c>
      <c r="L120" s="61">
        <v>2044</v>
      </c>
      <c r="M120" s="61">
        <v>60</v>
      </c>
      <c r="N120" s="84" t="s">
        <v>1096</v>
      </c>
      <c r="O120" s="61">
        <v>166084.4</v>
      </c>
      <c r="P120" s="61">
        <v>232928</v>
      </c>
      <c r="Q120" s="84" t="s">
        <v>1096</v>
      </c>
      <c r="R120" s="83">
        <v>73.168822598630584</v>
      </c>
      <c r="S120" s="83" t="s">
        <v>1130</v>
      </c>
      <c r="T120" s="83" t="s">
        <v>1159</v>
      </c>
      <c r="U120" s="83" t="s">
        <v>1285</v>
      </c>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34"/>
      <c r="AT120" s="34"/>
      <c r="AU120" s="34"/>
      <c r="AV120" s="34"/>
      <c r="AW120" s="34"/>
      <c r="AX120" s="34"/>
      <c r="AY120" s="34"/>
      <c r="AZ120" s="34"/>
      <c r="BA120" s="34"/>
    </row>
    <row r="121" spans="1:53" x14ac:dyDescent="0.25">
      <c r="A121" s="61">
        <v>93</v>
      </c>
      <c r="B121" s="61" t="s">
        <v>1126</v>
      </c>
      <c r="C121" s="61" t="s">
        <v>1127</v>
      </c>
      <c r="D121" s="61" t="s">
        <v>1133</v>
      </c>
      <c r="E121" s="83" t="s">
        <v>1096</v>
      </c>
      <c r="F121" s="61">
        <v>2019</v>
      </c>
      <c r="G121" s="83" t="s">
        <v>1286</v>
      </c>
      <c r="H121" s="61">
        <v>2017</v>
      </c>
      <c r="I121" s="84" t="s">
        <v>1096</v>
      </c>
      <c r="J121" s="61">
        <v>95079</v>
      </c>
      <c r="K121" s="61">
        <v>55</v>
      </c>
      <c r="L121" s="61">
        <v>2023</v>
      </c>
      <c r="M121" s="61">
        <v>3</v>
      </c>
      <c r="N121" s="84" t="s">
        <v>1096</v>
      </c>
      <c r="O121" s="61">
        <v>92226.63</v>
      </c>
      <c r="P121" s="61">
        <v>82785</v>
      </c>
      <c r="Q121" s="84" t="s">
        <v>1096</v>
      </c>
      <c r="R121" s="83">
        <v>431.01000220869031</v>
      </c>
      <c r="S121" s="83" t="s">
        <v>1130</v>
      </c>
      <c r="T121" s="83" t="s">
        <v>1146</v>
      </c>
      <c r="U121" s="83" t="s">
        <v>1287</v>
      </c>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34"/>
      <c r="AT121" s="34"/>
      <c r="AU121" s="34"/>
      <c r="AV121" s="34"/>
      <c r="AW121" s="34"/>
      <c r="AX121" s="34"/>
      <c r="AY121" s="34"/>
      <c r="AZ121" s="34"/>
      <c r="BA121" s="34"/>
    </row>
    <row r="122" spans="1:53" x14ac:dyDescent="0.25">
      <c r="A122" s="61">
        <v>94</v>
      </c>
      <c r="B122" s="61" t="s">
        <v>1126</v>
      </c>
      <c r="C122" s="61" t="s">
        <v>1127</v>
      </c>
      <c r="D122" s="61" t="s">
        <v>1133</v>
      </c>
      <c r="E122" s="83" t="s">
        <v>1096</v>
      </c>
      <c r="F122" s="61">
        <v>2016</v>
      </c>
      <c r="G122" s="83" t="s">
        <v>1283</v>
      </c>
      <c r="H122" s="61">
        <v>2015</v>
      </c>
      <c r="I122" s="84" t="s">
        <v>1096</v>
      </c>
      <c r="J122" s="61">
        <v>5636000</v>
      </c>
      <c r="K122" s="61">
        <v>43</v>
      </c>
      <c r="L122" s="61">
        <v>2025</v>
      </c>
      <c r="M122" s="61">
        <v>12</v>
      </c>
      <c r="N122" s="84" t="s">
        <v>1096</v>
      </c>
      <c r="O122" s="61">
        <v>4959680</v>
      </c>
      <c r="P122" s="61">
        <v>5938000</v>
      </c>
      <c r="Q122" s="84" t="s">
        <v>1096</v>
      </c>
      <c r="R122" s="83">
        <v>-44.653418500118285</v>
      </c>
      <c r="S122" s="83" t="s">
        <v>1130</v>
      </c>
      <c r="T122" s="83" t="s">
        <v>1159</v>
      </c>
      <c r="U122" s="83" t="s">
        <v>1288</v>
      </c>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34"/>
      <c r="AT122" s="34"/>
      <c r="AU122" s="34"/>
      <c r="AV122" s="34"/>
      <c r="AW122" s="34"/>
      <c r="AX122" s="34"/>
      <c r="AY122" s="34"/>
      <c r="AZ122" s="34"/>
      <c r="BA122" s="34"/>
    </row>
    <row r="123" spans="1:53" x14ac:dyDescent="0.25">
      <c r="A123" s="61">
        <v>96</v>
      </c>
      <c r="B123" s="61" t="s">
        <v>1126</v>
      </c>
      <c r="C123" s="61" t="s">
        <v>1127</v>
      </c>
      <c r="D123" s="61" t="s">
        <v>1128</v>
      </c>
      <c r="E123" s="83" t="s">
        <v>1096</v>
      </c>
      <c r="F123" s="61">
        <v>2018</v>
      </c>
      <c r="G123" s="83" t="s">
        <v>1129</v>
      </c>
      <c r="H123" s="61">
        <v>2018</v>
      </c>
      <c r="I123" s="84" t="s">
        <v>1096</v>
      </c>
      <c r="J123" s="61">
        <v>4418820</v>
      </c>
      <c r="K123" s="61">
        <v>100</v>
      </c>
      <c r="L123" s="61">
        <v>2035</v>
      </c>
      <c r="M123" s="61">
        <v>100</v>
      </c>
      <c r="N123" s="84" t="s">
        <v>1096</v>
      </c>
      <c r="O123" s="61">
        <v>0</v>
      </c>
      <c r="P123" s="61">
        <v>4365627.32</v>
      </c>
      <c r="Q123" s="84" t="s">
        <v>1096</v>
      </c>
      <c r="R123" s="83">
        <v>1.2037756686174068</v>
      </c>
      <c r="S123" s="83" t="s">
        <v>1130</v>
      </c>
      <c r="T123" s="83" t="s">
        <v>1159</v>
      </c>
      <c r="U123" s="83" t="s">
        <v>1289</v>
      </c>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34"/>
      <c r="AT123" s="34"/>
      <c r="AU123" s="34"/>
      <c r="AV123" s="34"/>
      <c r="AW123" s="34"/>
      <c r="AX123" s="34"/>
      <c r="AY123" s="34"/>
      <c r="AZ123" s="34"/>
      <c r="BA123" s="34"/>
    </row>
    <row r="124" spans="1:53" x14ac:dyDescent="0.25">
      <c r="A124" s="61">
        <v>96</v>
      </c>
      <c r="B124" s="61" t="s">
        <v>1126</v>
      </c>
      <c r="C124" s="61" t="s">
        <v>1170</v>
      </c>
      <c r="D124" s="61" t="s">
        <v>1290</v>
      </c>
      <c r="E124" s="83" t="s">
        <v>1096</v>
      </c>
      <c r="F124" s="61">
        <v>2018</v>
      </c>
      <c r="G124" s="83" t="s">
        <v>1129</v>
      </c>
      <c r="H124" s="61">
        <v>2018</v>
      </c>
      <c r="I124" s="84" t="s">
        <v>1096</v>
      </c>
      <c r="J124" s="61">
        <v>4033579</v>
      </c>
      <c r="K124" s="61">
        <v>100</v>
      </c>
      <c r="L124" s="61">
        <v>2025</v>
      </c>
      <c r="M124" s="61">
        <v>50</v>
      </c>
      <c r="N124" s="84" t="s">
        <v>1096</v>
      </c>
      <c r="O124" s="61">
        <v>2016789.5</v>
      </c>
      <c r="P124" s="61">
        <v>4006874.47</v>
      </c>
      <c r="Q124" s="84" t="s">
        <v>1096</v>
      </c>
      <c r="R124" s="83">
        <v>1.3241109198555325</v>
      </c>
      <c r="S124" s="83" t="s">
        <v>1130</v>
      </c>
      <c r="T124" s="83" t="s">
        <v>1144</v>
      </c>
      <c r="U124" s="83" t="s">
        <v>1291</v>
      </c>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34"/>
      <c r="AT124" s="34"/>
      <c r="AU124" s="34"/>
      <c r="AV124" s="34"/>
      <c r="AW124" s="34"/>
      <c r="AX124" s="34"/>
      <c r="AY124" s="34"/>
      <c r="AZ124" s="34"/>
      <c r="BA124" s="34"/>
    </row>
    <row r="125" spans="1:53" x14ac:dyDescent="0.25">
      <c r="A125" s="61">
        <v>99</v>
      </c>
      <c r="B125" s="61" t="s">
        <v>1126</v>
      </c>
      <c r="C125" s="61" t="s">
        <v>1127</v>
      </c>
      <c r="D125" s="61" t="s">
        <v>1133</v>
      </c>
      <c r="E125" s="83" t="s">
        <v>1096</v>
      </c>
      <c r="F125" s="61">
        <v>2016</v>
      </c>
      <c r="G125" s="83" t="s">
        <v>1129</v>
      </c>
      <c r="H125" s="61">
        <v>2015</v>
      </c>
      <c r="I125" s="84" t="s">
        <v>1096</v>
      </c>
      <c r="J125" s="61">
        <v>19547272</v>
      </c>
      <c r="K125" s="61">
        <v>100</v>
      </c>
      <c r="L125" s="61">
        <v>2025</v>
      </c>
      <c r="M125" s="61">
        <v>18</v>
      </c>
      <c r="N125" s="84" t="s">
        <v>1096</v>
      </c>
      <c r="O125" s="61">
        <v>16028763.039999999</v>
      </c>
      <c r="P125" s="61">
        <v>17563596</v>
      </c>
      <c r="Q125" s="84" t="s">
        <v>1096</v>
      </c>
      <c r="R125" s="83">
        <v>56.378313159105886</v>
      </c>
      <c r="S125" s="83" t="s">
        <v>1130</v>
      </c>
      <c r="T125" s="83" t="s">
        <v>1137</v>
      </c>
      <c r="U125" s="83" t="s">
        <v>1292</v>
      </c>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34"/>
      <c r="AT125" s="34"/>
      <c r="AU125" s="34"/>
      <c r="AV125" s="34"/>
      <c r="AW125" s="34"/>
      <c r="AX125" s="34"/>
      <c r="AY125" s="34"/>
      <c r="AZ125" s="34"/>
      <c r="BA125" s="34"/>
    </row>
    <row r="126" spans="1:53" x14ac:dyDescent="0.25">
      <c r="A126" s="61">
        <v>99</v>
      </c>
      <c r="B126" s="61" t="s">
        <v>1126</v>
      </c>
      <c r="C126" s="61" t="s">
        <v>1141</v>
      </c>
      <c r="D126" s="61" t="s">
        <v>1151</v>
      </c>
      <c r="E126" s="83" t="s">
        <v>1096</v>
      </c>
      <c r="F126" s="61">
        <v>2016</v>
      </c>
      <c r="G126" s="83" t="s">
        <v>1129</v>
      </c>
      <c r="H126" s="61">
        <v>2015</v>
      </c>
      <c r="I126" s="84" t="s">
        <v>1096</v>
      </c>
      <c r="J126" s="61">
        <v>1000000000</v>
      </c>
      <c r="K126" s="61">
        <v>100</v>
      </c>
      <c r="L126" s="61">
        <v>2030</v>
      </c>
      <c r="M126" s="61">
        <v>100</v>
      </c>
      <c r="N126" s="84" t="s">
        <v>1096</v>
      </c>
      <c r="O126" s="61">
        <v>0</v>
      </c>
      <c r="P126" s="61">
        <v>770000000</v>
      </c>
      <c r="Q126" s="84" t="s">
        <v>1096</v>
      </c>
      <c r="R126" s="83">
        <v>23</v>
      </c>
      <c r="S126" s="83" t="s">
        <v>1130</v>
      </c>
      <c r="T126" s="83" t="s">
        <v>1137</v>
      </c>
      <c r="U126" s="83" t="s">
        <v>1293</v>
      </c>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34"/>
      <c r="AT126" s="34"/>
      <c r="AU126" s="34"/>
      <c r="AV126" s="34"/>
      <c r="AW126" s="34"/>
      <c r="AX126" s="34"/>
      <c r="AY126" s="34"/>
      <c r="AZ126" s="34"/>
      <c r="BA126" s="34"/>
    </row>
    <row r="127" spans="1:53" x14ac:dyDescent="0.25">
      <c r="A127" s="61">
        <v>90</v>
      </c>
      <c r="B127" s="61" t="s">
        <v>1126</v>
      </c>
      <c r="C127" s="61" t="s">
        <v>1127</v>
      </c>
      <c r="D127" s="61" t="s">
        <v>1133</v>
      </c>
      <c r="E127" s="83" t="s">
        <v>1096</v>
      </c>
      <c r="F127" s="61">
        <v>2013</v>
      </c>
      <c r="G127" s="83" t="s">
        <v>1129</v>
      </c>
      <c r="H127" s="61">
        <v>2012</v>
      </c>
      <c r="I127" s="84" t="s">
        <v>1096</v>
      </c>
      <c r="J127" s="61">
        <v>1742927</v>
      </c>
      <c r="K127" s="61">
        <v>100</v>
      </c>
      <c r="L127" s="61">
        <v>2020</v>
      </c>
      <c r="M127" s="61">
        <v>50</v>
      </c>
      <c r="N127" s="84" t="s">
        <v>1096</v>
      </c>
      <c r="O127" s="61">
        <v>871463.5</v>
      </c>
      <c r="P127" s="61">
        <v>925998</v>
      </c>
      <c r="Q127" s="84" t="s">
        <v>1096</v>
      </c>
      <c r="R127" s="83">
        <v>93.742193448147859</v>
      </c>
      <c r="S127" s="83" t="s">
        <v>1130</v>
      </c>
      <c r="T127" s="83" t="s">
        <v>1159</v>
      </c>
      <c r="U127" s="83" t="s">
        <v>1294</v>
      </c>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34"/>
      <c r="AT127" s="34"/>
      <c r="AU127" s="34"/>
      <c r="AV127" s="34"/>
      <c r="AW127" s="34"/>
      <c r="AX127" s="34"/>
      <c r="AY127" s="34"/>
      <c r="AZ127" s="34"/>
      <c r="BA127" s="34"/>
    </row>
    <row r="128" spans="1:53" x14ac:dyDescent="0.25">
      <c r="A128" s="61">
        <v>100</v>
      </c>
      <c r="B128" s="61" t="s">
        <v>1126</v>
      </c>
      <c r="C128" s="61" t="s">
        <v>1157</v>
      </c>
      <c r="D128" s="61" t="s">
        <v>1209</v>
      </c>
      <c r="E128" s="83" t="s">
        <v>1096</v>
      </c>
      <c r="F128" s="61">
        <v>2008</v>
      </c>
      <c r="G128" s="83"/>
      <c r="H128" s="61">
        <v>2008</v>
      </c>
      <c r="I128" s="84" t="s">
        <v>1096</v>
      </c>
      <c r="J128" s="61">
        <v>1953466</v>
      </c>
      <c r="K128" s="61">
        <v>100</v>
      </c>
      <c r="L128" s="61">
        <v>2020</v>
      </c>
      <c r="M128" s="61">
        <v>45</v>
      </c>
      <c r="N128" s="84" t="s">
        <v>1096</v>
      </c>
      <c r="O128" s="61">
        <v>1074406.3</v>
      </c>
      <c r="P128" s="61">
        <v>941597</v>
      </c>
      <c r="Q128" s="84" t="s">
        <v>1096</v>
      </c>
      <c r="R128" s="83">
        <v>115.10810926720904</v>
      </c>
      <c r="S128" s="83" t="s">
        <v>1143</v>
      </c>
      <c r="T128" s="83" t="s">
        <v>1131</v>
      </c>
      <c r="U128" s="83" t="s">
        <v>1295</v>
      </c>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34"/>
      <c r="AT128" s="34"/>
      <c r="AU128" s="34"/>
      <c r="AV128" s="34"/>
      <c r="AW128" s="34"/>
      <c r="AX128" s="34"/>
      <c r="AY128" s="34"/>
      <c r="AZ128" s="34"/>
      <c r="BA128" s="34"/>
    </row>
    <row r="129" spans="1:53" x14ac:dyDescent="0.25">
      <c r="A129" s="61">
        <v>1</v>
      </c>
      <c r="B129" s="61" t="s">
        <v>1296</v>
      </c>
      <c r="C129" s="61" t="s">
        <v>1127</v>
      </c>
      <c r="D129" s="61" t="s">
        <v>1128</v>
      </c>
      <c r="E129" s="83" t="s">
        <v>1297</v>
      </c>
      <c r="F129" s="61">
        <v>2015</v>
      </c>
      <c r="G129" s="83"/>
      <c r="H129" s="61">
        <v>2015</v>
      </c>
      <c r="I129" s="61">
        <v>937</v>
      </c>
      <c r="J129" s="84" t="s">
        <v>1096</v>
      </c>
      <c r="K129" s="61">
        <v>50</v>
      </c>
      <c r="L129" s="61">
        <v>2025</v>
      </c>
      <c r="M129" s="61">
        <v>30</v>
      </c>
      <c r="N129" s="61">
        <v>655.9</v>
      </c>
      <c r="O129" s="84" t="s">
        <v>1096</v>
      </c>
      <c r="P129" s="84" t="s">
        <v>1096</v>
      </c>
      <c r="Q129" s="61">
        <v>907</v>
      </c>
      <c r="R129" s="83">
        <v>10.672358591248665</v>
      </c>
      <c r="S129" s="83" t="s">
        <v>1130</v>
      </c>
      <c r="T129" s="83" t="s">
        <v>1131</v>
      </c>
      <c r="U129" s="83" t="s">
        <v>1298</v>
      </c>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34"/>
      <c r="AT129" s="34"/>
      <c r="AU129" s="34"/>
      <c r="AV129" s="34"/>
      <c r="AW129" s="34"/>
      <c r="AX129" s="34"/>
      <c r="AY129" s="34"/>
      <c r="AZ129" s="34"/>
      <c r="BA129" s="34"/>
    </row>
    <row r="130" spans="1:53" x14ac:dyDescent="0.25">
      <c r="A130" s="61">
        <v>2</v>
      </c>
      <c r="B130" s="61" t="s">
        <v>1296</v>
      </c>
      <c r="C130" s="61" t="s">
        <v>1127</v>
      </c>
      <c r="D130" s="61" t="s">
        <v>1128</v>
      </c>
      <c r="E130" s="83" t="s">
        <v>1299</v>
      </c>
      <c r="F130" s="61">
        <v>2012</v>
      </c>
      <c r="G130" s="83" t="s">
        <v>1129</v>
      </c>
      <c r="H130" s="86">
        <v>2010</v>
      </c>
      <c r="I130" s="61">
        <v>5.3399999999999997E-5</v>
      </c>
      <c r="J130" s="84" t="s">
        <v>1096</v>
      </c>
      <c r="K130" s="61">
        <v>100</v>
      </c>
      <c r="L130" s="61">
        <v>2020</v>
      </c>
      <c r="M130" s="61">
        <v>40</v>
      </c>
      <c r="N130" s="61">
        <v>3.2039999999999998E-5</v>
      </c>
      <c r="O130" s="84" t="s">
        <v>1096</v>
      </c>
      <c r="P130" s="84" t="s">
        <v>1096</v>
      </c>
      <c r="Q130" s="61">
        <v>3.04E-5</v>
      </c>
      <c r="R130" s="83">
        <v>107.67790262172284</v>
      </c>
      <c r="S130" s="83" t="s">
        <v>1143</v>
      </c>
      <c r="T130" s="83" t="s">
        <v>1131</v>
      </c>
      <c r="U130" s="83" t="s">
        <v>1300</v>
      </c>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34"/>
      <c r="AT130" s="34"/>
      <c r="AU130" s="34"/>
      <c r="AV130" s="34"/>
      <c r="AW130" s="34"/>
      <c r="AX130" s="34"/>
      <c r="AY130" s="34"/>
      <c r="AZ130" s="34"/>
      <c r="BA130" s="34"/>
    </row>
    <row r="131" spans="1:53" x14ac:dyDescent="0.25">
      <c r="A131" s="61">
        <v>5</v>
      </c>
      <c r="B131" s="61" t="s">
        <v>1296</v>
      </c>
      <c r="C131" s="61" t="s">
        <v>1141</v>
      </c>
      <c r="D131" s="61" t="s">
        <v>1189</v>
      </c>
      <c r="E131" s="83" t="s">
        <v>1301</v>
      </c>
      <c r="F131" s="61">
        <v>2016</v>
      </c>
      <c r="G131" s="83" t="s">
        <v>1129</v>
      </c>
      <c r="H131" s="61">
        <v>2015</v>
      </c>
      <c r="I131" s="61">
        <v>4</v>
      </c>
      <c r="J131" s="84" t="s">
        <v>1096</v>
      </c>
      <c r="K131" s="61">
        <v>100</v>
      </c>
      <c r="L131" s="61">
        <v>2025</v>
      </c>
      <c r="M131" s="61">
        <v>5</v>
      </c>
      <c r="N131" s="61">
        <v>3.8</v>
      </c>
      <c r="O131" s="84" t="s">
        <v>1096</v>
      </c>
      <c r="P131" s="84" t="s">
        <v>1096</v>
      </c>
      <c r="Q131" s="61">
        <v>3.9</v>
      </c>
      <c r="R131" s="83">
        <v>50</v>
      </c>
      <c r="S131" s="83" t="s">
        <v>1130</v>
      </c>
      <c r="T131" s="83" t="s">
        <v>1302</v>
      </c>
      <c r="U131" s="83" t="s">
        <v>1303</v>
      </c>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34"/>
      <c r="AT131" s="34"/>
      <c r="AU131" s="34"/>
      <c r="AV131" s="34"/>
      <c r="AW131" s="34"/>
      <c r="AX131" s="34"/>
      <c r="AY131" s="34"/>
      <c r="AZ131" s="34"/>
      <c r="BA131" s="34"/>
    </row>
    <row r="132" spans="1:53" x14ac:dyDescent="0.25">
      <c r="A132" s="61">
        <v>5</v>
      </c>
      <c r="B132" s="61" t="s">
        <v>1296</v>
      </c>
      <c r="C132" s="61" t="s">
        <v>1141</v>
      </c>
      <c r="D132" s="61" t="s">
        <v>1269</v>
      </c>
      <c r="E132" s="83" t="s">
        <v>1304</v>
      </c>
      <c r="F132" s="61">
        <v>2016</v>
      </c>
      <c r="G132" s="83" t="s">
        <v>1129</v>
      </c>
      <c r="H132" s="61">
        <v>2015</v>
      </c>
      <c r="I132" s="61">
        <v>3.5739999999999999E-3</v>
      </c>
      <c r="J132" s="84" t="s">
        <v>1096</v>
      </c>
      <c r="K132" s="61">
        <v>100</v>
      </c>
      <c r="L132" s="61">
        <v>2025</v>
      </c>
      <c r="M132" s="61">
        <v>15</v>
      </c>
      <c r="N132" s="61">
        <v>3.0379000000000001E-3</v>
      </c>
      <c r="O132" s="84" t="s">
        <v>1096</v>
      </c>
      <c r="P132" s="84" t="s">
        <v>1096</v>
      </c>
      <c r="Q132" s="61">
        <v>3.026E-3</v>
      </c>
      <c r="R132" s="83">
        <v>102.21973512404404</v>
      </c>
      <c r="S132" s="83" t="s">
        <v>1130</v>
      </c>
      <c r="T132" s="83" t="s">
        <v>1302</v>
      </c>
      <c r="U132" s="83" t="s">
        <v>1305</v>
      </c>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34"/>
      <c r="AT132" s="34"/>
      <c r="AU132" s="34"/>
      <c r="AV132" s="34"/>
      <c r="AW132" s="34"/>
      <c r="AX132" s="34"/>
      <c r="AY132" s="34"/>
      <c r="AZ132" s="34"/>
      <c r="BA132" s="34"/>
    </row>
    <row r="133" spans="1:53" x14ac:dyDescent="0.25">
      <c r="A133" s="61">
        <v>11</v>
      </c>
      <c r="B133" s="61" t="s">
        <v>1296</v>
      </c>
      <c r="C133" s="61" t="s">
        <v>1170</v>
      </c>
      <c r="D133" s="61" t="s">
        <v>1290</v>
      </c>
      <c r="E133" s="83" t="s">
        <v>1304</v>
      </c>
      <c r="F133" s="61">
        <v>2012</v>
      </c>
      <c r="G133" s="83" t="s">
        <v>1162</v>
      </c>
      <c r="H133" s="61">
        <v>2011</v>
      </c>
      <c r="I133" s="61">
        <v>14.16</v>
      </c>
      <c r="J133" s="84" t="s">
        <v>1096</v>
      </c>
      <c r="K133" s="61">
        <v>83</v>
      </c>
      <c r="L133" s="61">
        <v>2023</v>
      </c>
      <c r="M133" s="61">
        <v>30</v>
      </c>
      <c r="N133" s="61">
        <v>9.911999999999999</v>
      </c>
      <c r="O133" s="84" t="s">
        <v>1096</v>
      </c>
      <c r="P133" s="84" t="s">
        <v>1096</v>
      </c>
      <c r="Q133" s="61">
        <v>8.48</v>
      </c>
      <c r="R133" s="83">
        <v>133.70998116760825</v>
      </c>
      <c r="S133" s="83" t="s">
        <v>1143</v>
      </c>
      <c r="T133" s="83" t="s">
        <v>1131</v>
      </c>
      <c r="U133" s="83" t="s">
        <v>1306</v>
      </c>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34"/>
      <c r="AT133" s="34"/>
      <c r="AU133" s="34"/>
      <c r="AV133" s="34"/>
      <c r="AW133" s="34"/>
      <c r="AX133" s="34"/>
      <c r="AY133" s="34"/>
      <c r="AZ133" s="34"/>
      <c r="BA133" s="34"/>
    </row>
    <row r="134" spans="1:53" x14ac:dyDescent="0.25">
      <c r="A134" s="61">
        <v>15</v>
      </c>
      <c r="B134" s="61" t="s">
        <v>1296</v>
      </c>
      <c r="C134" s="61" t="s">
        <v>1307</v>
      </c>
      <c r="D134" s="61" t="s">
        <v>1308</v>
      </c>
      <c r="E134" s="83" t="s">
        <v>1309</v>
      </c>
      <c r="F134" s="61">
        <v>2015</v>
      </c>
      <c r="G134" s="83" t="s">
        <v>1129</v>
      </c>
      <c r="H134" s="61"/>
      <c r="I134" s="61"/>
      <c r="J134" s="84" t="s">
        <v>1096</v>
      </c>
      <c r="K134" s="61"/>
      <c r="L134" s="61">
        <v>2025</v>
      </c>
      <c r="M134" s="61"/>
      <c r="N134" s="61">
        <v>0</v>
      </c>
      <c r="O134" s="84" t="s">
        <v>1096</v>
      </c>
      <c r="P134" s="84" t="s">
        <v>1096</v>
      </c>
      <c r="Q134" s="61"/>
      <c r="R134" s="83"/>
      <c r="S134" s="83" t="s">
        <v>1130</v>
      </c>
      <c r="T134" s="83" t="s">
        <v>1144</v>
      </c>
      <c r="U134" s="83" t="s">
        <v>1310</v>
      </c>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34"/>
      <c r="AT134" s="34"/>
      <c r="AU134" s="34"/>
      <c r="AV134" s="34"/>
      <c r="AW134" s="34"/>
      <c r="AX134" s="34"/>
      <c r="AY134" s="34"/>
      <c r="AZ134" s="34"/>
      <c r="BA134" s="34"/>
    </row>
    <row r="135" spans="1:53" x14ac:dyDescent="0.25">
      <c r="A135" s="61">
        <v>19</v>
      </c>
      <c r="B135" s="61" t="s">
        <v>1296</v>
      </c>
      <c r="C135" s="61" t="s">
        <v>1170</v>
      </c>
      <c r="D135" s="61" t="s">
        <v>1290</v>
      </c>
      <c r="E135" s="83" t="s">
        <v>1301</v>
      </c>
      <c r="F135" s="61">
        <v>2013</v>
      </c>
      <c r="G135" s="83" t="s">
        <v>1311</v>
      </c>
      <c r="H135" s="61">
        <v>2011</v>
      </c>
      <c r="I135" s="61">
        <v>2.91</v>
      </c>
      <c r="J135" s="84" t="s">
        <v>1096</v>
      </c>
      <c r="K135" s="61">
        <v>12</v>
      </c>
      <c r="L135" s="61">
        <v>2023</v>
      </c>
      <c r="M135" s="61">
        <v>30</v>
      </c>
      <c r="N135" s="61">
        <v>2.0369999999999999</v>
      </c>
      <c r="O135" s="84" t="s">
        <v>1096</v>
      </c>
      <c r="P135" s="84" t="s">
        <v>1096</v>
      </c>
      <c r="Q135" s="61">
        <v>0.79</v>
      </c>
      <c r="R135" s="83">
        <v>242.84077892325308</v>
      </c>
      <c r="S135" s="83" t="s">
        <v>1143</v>
      </c>
      <c r="T135" s="83" t="s">
        <v>1144</v>
      </c>
      <c r="U135" s="83" t="s">
        <v>1312</v>
      </c>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34"/>
      <c r="AT135" s="34"/>
      <c r="AU135" s="34"/>
      <c r="AV135" s="34"/>
      <c r="AW135" s="34"/>
      <c r="AX135" s="34"/>
      <c r="AY135" s="34"/>
      <c r="AZ135" s="34"/>
      <c r="BA135" s="34"/>
    </row>
    <row r="136" spans="1:53" x14ac:dyDescent="0.25">
      <c r="A136" s="61">
        <v>19</v>
      </c>
      <c r="B136" s="61" t="s">
        <v>1296</v>
      </c>
      <c r="C136" s="61" t="s">
        <v>1127</v>
      </c>
      <c r="D136" s="61" t="s">
        <v>1128</v>
      </c>
      <c r="E136" s="83" t="s">
        <v>1301</v>
      </c>
      <c r="F136" s="61">
        <v>2016</v>
      </c>
      <c r="G136" s="83" t="s">
        <v>1129</v>
      </c>
      <c r="H136" s="61">
        <v>2014</v>
      </c>
      <c r="I136" s="61">
        <v>2.59</v>
      </c>
      <c r="J136" s="84" t="s">
        <v>1096</v>
      </c>
      <c r="K136" s="61">
        <v>100</v>
      </c>
      <c r="L136" s="61">
        <v>2020</v>
      </c>
      <c r="M136" s="61">
        <v>45</v>
      </c>
      <c r="N136" s="61">
        <v>1.4245000000000001</v>
      </c>
      <c r="O136" s="84" t="s">
        <v>1096</v>
      </c>
      <c r="P136" s="84" t="s">
        <v>1096</v>
      </c>
      <c r="Q136" s="61">
        <v>1.58</v>
      </c>
      <c r="R136" s="83">
        <v>86.65808665808666</v>
      </c>
      <c r="S136" s="83" t="s">
        <v>1130</v>
      </c>
      <c r="T136" s="83" t="s">
        <v>1144</v>
      </c>
      <c r="U136" s="83" t="s">
        <v>1313</v>
      </c>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34"/>
      <c r="AT136" s="34"/>
      <c r="AU136" s="34"/>
      <c r="AV136" s="34"/>
      <c r="AW136" s="34"/>
      <c r="AX136" s="34"/>
      <c r="AY136" s="34"/>
      <c r="AZ136" s="34"/>
      <c r="BA136" s="34"/>
    </row>
    <row r="137" spans="1:53" x14ac:dyDescent="0.25">
      <c r="A137" s="61">
        <v>19</v>
      </c>
      <c r="B137" s="61" t="s">
        <v>1296</v>
      </c>
      <c r="C137" s="61" t="s">
        <v>1141</v>
      </c>
      <c r="D137" s="61" t="s">
        <v>1189</v>
      </c>
      <c r="E137" s="83" t="s">
        <v>1301</v>
      </c>
      <c r="F137" s="61">
        <v>2016</v>
      </c>
      <c r="G137" s="83" t="s">
        <v>1129</v>
      </c>
      <c r="H137" s="61">
        <v>2014</v>
      </c>
      <c r="I137" s="61">
        <v>3.42</v>
      </c>
      <c r="J137" s="84" t="s">
        <v>1096</v>
      </c>
      <c r="K137" s="61">
        <v>98</v>
      </c>
      <c r="L137" s="61">
        <v>2020</v>
      </c>
      <c r="M137" s="61">
        <v>20</v>
      </c>
      <c r="N137" s="61">
        <v>2.7360000000000002</v>
      </c>
      <c r="O137" s="84" t="s">
        <v>1096</v>
      </c>
      <c r="P137" s="84" t="s">
        <v>1096</v>
      </c>
      <c r="Q137" s="61">
        <v>2.34</v>
      </c>
      <c r="R137" s="83">
        <v>157.89473684210535</v>
      </c>
      <c r="S137" s="83" t="s">
        <v>1130</v>
      </c>
      <c r="T137" s="83" t="s">
        <v>1144</v>
      </c>
      <c r="U137" s="83" t="s">
        <v>1314</v>
      </c>
      <c r="V137" s="83"/>
      <c r="W137" s="83"/>
      <c r="X137" s="83"/>
      <c r="Y137" s="83"/>
      <c r="Z137" s="83"/>
      <c r="AA137" s="83"/>
      <c r="AB137" s="83"/>
      <c r="AC137" s="83"/>
      <c r="AD137" s="83"/>
      <c r="AE137" s="83"/>
      <c r="AF137" s="83"/>
      <c r="AG137" s="83"/>
      <c r="AH137" s="83"/>
      <c r="AI137" s="83"/>
      <c r="AJ137" s="83"/>
      <c r="AK137" s="83"/>
      <c r="AL137" s="83"/>
      <c r="AM137" s="83"/>
      <c r="AN137" s="83"/>
      <c r="AO137" s="83"/>
      <c r="AP137" s="83"/>
      <c r="AQ137" s="83"/>
      <c r="AR137" s="83"/>
      <c r="AS137" s="34"/>
      <c r="AT137" s="34"/>
      <c r="AU137" s="34"/>
      <c r="AV137" s="34"/>
      <c r="AW137" s="34"/>
      <c r="AX137" s="34"/>
      <c r="AY137" s="34"/>
      <c r="AZ137" s="34"/>
      <c r="BA137" s="34"/>
    </row>
    <row r="138" spans="1:53" x14ac:dyDescent="0.25">
      <c r="A138" s="61">
        <v>32</v>
      </c>
      <c r="B138" s="61" t="s">
        <v>1296</v>
      </c>
      <c r="C138" s="61" t="s">
        <v>1127</v>
      </c>
      <c r="D138" s="61" t="s">
        <v>1128</v>
      </c>
      <c r="E138" s="83" t="s">
        <v>1315</v>
      </c>
      <c r="F138" s="61">
        <v>2017</v>
      </c>
      <c r="G138" s="83" t="s">
        <v>1129</v>
      </c>
      <c r="H138" s="61">
        <v>2017</v>
      </c>
      <c r="I138" s="61">
        <v>39.1</v>
      </c>
      <c r="J138" s="84" t="s">
        <v>1096</v>
      </c>
      <c r="K138" s="61">
        <v>99</v>
      </c>
      <c r="L138" s="61">
        <v>2030</v>
      </c>
      <c r="M138" s="61">
        <v>10</v>
      </c>
      <c r="N138" s="61">
        <v>35.190000000000005</v>
      </c>
      <c r="O138" s="84" t="s">
        <v>1096</v>
      </c>
      <c r="P138" s="84" t="s">
        <v>1096</v>
      </c>
      <c r="Q138" s="61">
        <v>35.9</v>
      </c>
      <c r="R138" s="83">
        <v>81.841432225064082</v>
      </c>
      <c r="S138" s="83" t="s">
        <v>1130</v>
      </c>
      <c r="T138" s="83" t="s">
        <v>1146</v>
      </c>
      <c r="U138" s="83" t="s">
        <v>1316</v>
      </c>
      <c r="V138" s="83"/>
      <c r="W138" s="83"/>
      <c r="X138" s="83"/>
      <c r="Y138" s="83"/>
      <c r="Z138" s="83"/>
      <c r="AA138" s="83"/>
      <c r="AB138" s="83"/>
      <c r="AC138" s="83"/>
      <c r="AD138" s="83"/>
      <c r="AE138" s="83"/>
      <c r="AF138" s="83"/>
      <c r="AG138" s="83"/>
      <c r="AH138" s="83"/>
      <c r="AI138" s="83"/>
      <c r="AJ138" s="83"/>
      <c r="AK138" s="83"/>
      <c r="AL138" s="83"/>
      <c r="AM138" s="83"/>
      <c r="AN138" s="83"/>
      <c r="AO138" s="83"/>
      <c r="AP138" s="83"/>
      <c r="AQ138" s="83"/>
      <c r="AR138" s="83"/>
      <c r="AS138" s="34"/>
      <c r="AT138" s="34"/>
      <c r="AU138" s="34"/>
      <c r="AV138" s="34"/>
      <c r="AW138" s="34"/>
      <c r="AX138" s="34"/>
      <c r="AY138" s="34"/>
      <c r="AZ138" s="34"/>
      <c r="BA138" s="34"/>
    </row>
    <row r="139" spans="1:53" x14ac:dyDescent="0.25">
      <c r="A139" s="61">
        <v>39</v>
      </c>
      <c r="B139" s="61" t="s">
        <v>1296</v>
      </c>
      <c r="C139" s="61" t="s">
        <v>1127</v>
      </c>
      <c r="D139" s="61" t="s">
        <v>1317</v>
      </c>
      <c r="E139" s="83" t="s">
        <v>1304</v>
      </c>
      <c r="F139" s="61">
        <v>2013</v>
      </c>
      <c r="G139" s="83" t="s">
        <v>1129</v>
      </c>
      <c r="H139" s="61">
        <v>2012</v>
      </c>
      <c r="I139" s="61">
        <v>4.1500000000000002E-2</v>
      </c>
      <c r="J139" s="84" t="s">
        <v>1096</v>
      </c>
      <c r="K139" s="61">
        <v>100</v>
      </c>
      <c r="L139" s="61">
        <v>2020</v>
      </c>
      <c r="M139" s="61">
        <v>20</v>
      </c>
      <c r="N139" s="61">
        <v>3.32E-2</v>
      </c>
      <c r="O139" s="84" t="s">
        <v>1096</v>
      </c>
      <c r="P139" s="84" t="s">
        <v>1096</v>
      </c>
      <c r="Q139" s="61">
        <v>3.4799999999999998E-2</v>
      </c>
      <c r="R139" s="83">
        <v>80.722891566265105</v>
      </c>
      <c r="S139" s="83" t="s">
        <v>1130</v>
      </c>
      <c r="T139" s="83" t="s">
        <v>1146</v>
      </c>
      <c r="U139" s="83" t="s">
        <v>1318</v>
      </c>
      <c r="V139" s="83"/>
      <c r="W139" s="83"/>
      <c r="X139" s="83"/>
      <c r="Y139" s="83"/>
      <c r="Z139" s="83"/>
      <c r="AA139" s="83"/>
      <c r="AB139" s="83"/>
      <c r="AC139" s="83"/>
      <c r="AD139" s="83"/>
      <c r="AE139" s="83"/>
      <c r="AF139" s="83"/>
      <c r="AG139" s="83"/>
      <c r="AH139" s="83"/>
      <c r="AI139" s="83"/>
      <c r="AJ139" s="83"/>
      <c r="AK139" s="83"/>
      <c r="AL139" s="83"/>
      <c r="AM139" s="83"/>
      <c r="AN139" s="83"/>
      <c r="AO139" s="83"/>
      <c r="AP139" s="83"/>
      <c r="AQ139" s="83"/>
      <c r="AR139" s="83"/>
      <c r="AS139" s="34"/>
      <c r="AT139" s="34"/>
      <c r="AU139" s="34"/>
      <c r="AV139" s="34"/>
      <c r="AW139" s="34"/>
      <c r="AX139" s="34"/>
      <c r="AY139" s="34"/>
      <c r="AZ139" s="34"/>
      <c r="BA139" s="34"/>
    </row>
    <row r="140" spans="1:53" x14ac:dyDescent="0.25">
      <c r="A140" s="61">
        <v>44</v>
      </c>
      <c r="B140" s="61" t="s">
        <v>1296</v>
      </c>
      <c r="C140" s="61" t="s">
        <v>1164</v>
      </c>
      <c r="D140" s="61" t="s">
        <v>1165</v>
      </c>
      <c r="E140" s="83" t="s">
        <v>1319</v>
      </c>
      <c r="F140" s="61">
        <v>2011</v>
      </c>
      <c r="G140" s="83" t="s">
        <v>1201</v>
      </c>
      <c r="H140" s="61">
        <v>2005</v>
      </c>
      <c r="I140" s="61">
        <v>1.51</v>
      </c>
      <c r="J140" s="84" t="s">
        <v>1096</v>
      </c>
      <c r="K140" s="61">
        <v>82</v>
      </c>
      <c r="L140" s="61">
        <v>2020</v>
      </c>
      <c r="M140" s="61">
        <v>30</v>
      </c>
      <c r="N140" s="61">
        <v>1.0569999999999999</v>
      </c>
      <c r="O140" s="84" t="s">
        <v>1096</v>
      </c>
      <c r="P140" s="84" t="s">
        <v>1096</v>
      </c>
      <c r="Q140" s="61">
        <v>1.1476</v>
      </c>
      <c r="R140" s="83">
        <v>80</v>
      </c>
      <c r="S140" s="83" t="s">
        <v>1130</v>
      </c>
      <c r="T140" s="83" t="s">
        <v>1131</v>
      </c>
      <c r="U140" s="83" t="s">
        <v>1320</v>
      </c>
      <c r="V140" s="83"/>
      <c r="W140" s="83"/>
      <c r="X140" s="83"/>
      <c r="Y140" s="83"/>
      <c r="Z140" s="83"/>
      <c r="AA140" s="83"/>
      <c r="AB140" s="83"/>
      <c r="AC140" s="83"/>
      <c r="AD140" s="83"/>
      <c r="AE140" s="83"/>
      <c r="AF140" s="83"/>
      <c r="AG140" s="83"/>
      <c r="AH140" s="83"/>
      <c r="AI140" s="83"/>
      <c r="AJ140" s="83"/>
      <c r="AK140" s="83"/>
      <c r="AL140" s="83"/>
      <c r="AM140" s="83"/>
      <c r="AN140" s="83"/>
      <c r="AO140" s="83"/>
      <c r="AP140" s="83"/>
      <c r="AQ140" s="83"/>
      <c r="AR140" s="83"/>
      <c r="AS140" s="34"/>
      <c r="AT140" s="34"/>
      <c r="AU140" s="34"/>
      <c r="AV140" s="34"/>
      <c r="AW140" s="34"/>
      <c r="AX140" s="34"/>
      <c r="AY140" s="34"/>
      <c r="AZ140" s="34"/>
      <c r="BA140" s="34"/>
    </row>
    <row r="141" spans="1:53" x14ac:dyDescent="0.25">
      <c r="A141" s="61">
        <v>45</v>
      </c>
      <c r="B141" s="61" t="s">
        <v>1296</v>
      </c>
      <c r="C141" s="61" t="s">
        <v>1141</v>
      </c>
      <c r="D141" s="61" t="s">
        <v>1192</v>
      </c>
      <c r="E141" s="83" t="s">
        <v>1321</v>
      </c>
      <c r="F141" s="61">
        <v>2020</v>
      </c>
      <c r="G141" s="83" t="s">
        <v>1162</v>
      </c>
      <c r="H141" s="61">
        <v>2019</v>
      </c>
      <c r="I141" s="61"/>
      <c r="J141" s="84" t="s">
        <v>1096</v>
      </c>
      <c r="K141" s="61"/>
      <c r="L141" s="61"/>
      <c r="M141" s="61"/>
      <c r="N141" s="61">
        <v>0</v>
      </c>
      <c r="O141" s="84" t="s">
        <v>1096</v>
      </c>
      <c r="P141" s="84" t="s">
        <v>1096</v>
      </c>
      <c r="Q141" s="61"/>
      <c r="R141" s="83"/>
      <c r="S141" s="83" t="s">
        <v>1154</v>
      </c>
      <c r="T141" s="83" t="s">
        <v>1131</v>
      </c>
      <c r="U141" s="83" t="s">
        <v>1322</v>
      </c>
      <c r="V141" s="83"/>
      <c r="W141" s="83"/>
      <c r="X141" s="83"/>
      <c r="Y141" s="83"/>
      <c r="Z141" s="83"/>
      <c r="AA141" s="83"/>
      <c r="AB141" s="83"/>
      <c r="AC141" s="83"/>
      <c r="AD141" s="83"/>
      <c r="AE141" s="83"/>
      <c r="AF141" s="83"/>
      <c r="AG141" s="83"/>
      <c r="AH141" s="83"/>
      <c r="AI141" s="83"/>
      <c r="AJ141" s="83"/>
      <c r="AK141" s="83"/>
      <c r="AL141" s="83"/>
      <c r="AM141" s="83"/>
      <c r="AN141" s="83"/>
      <c r="AO141" s="83"/>
      <c r="AP141" s="83"/>
      <c r="AQ141" s="83"/>
      <c r="AR141" s="83"/>
      <c r="AS141" s="34"/>
      <c r="AT141" s="34"/>
      <c r="AU141" s="34"/>
      <c r="AV141" s="34"/>
      <c r="AW141" s="34"/>
      <c r="AX141" s="34"/>
      <c r="AY141" s="34"/>
      <c r="AZ141" s="34"/>
      <c r="BA141" s="34"/>
    </row>
    <row r="142" spans="1:53" x14ac:dyDescent="0.25">
      <c r="A142" s="61">
        <v>52</v>
      </c>
      <c r="B142" s="61" t="s">
        <v>1296</v>
      </c>
      <c r="C142" s="61" t="s">
        <v>1127</v>
      </c>
      <c r="D142" s="61" t="s">
        <v>1128</v>
      </c>
      <c r="E142" s="83" t="s">
        <v>1299</v>
      </c>
      <c r="F142" s="61">
        <v>2019</v>
      </c>
      <c r="G142" s="83" t="s">
        <v>1129</v>
      </c>
      <c r="H142" s="61">
        <v>2018</v>
      </c>
      <c r="I142" s="61">
        <v>6.04754E-5</v>
      </c>
      <c r="J142" s="84" t="s">
        <v>1096</v>
      </c>
      <c r="K142" s="61">
        <v>0</v>
      </c>
      <c r="L142" s="61">
        <v>2023</v>
      </c>
      <c r="M142" s="61">
        <v>10</v>
      </c>
      <c r="N142" s="61">
        <v>5.4427859999999998E-5</v>
      </c>
      <c r="O142" s="84" t="s">
        <v>1096</v>
      </c>
      <c r="P142" s="84" t="s">
        <v>1096</v>
      </c>
      <c r="Q142" s="61">
        <v>5.5643999999999998E-5</v>
      </c>
      <c r="R142" s="83">
        <v>79.890335574464999</v>
      </c>
      <c r="S142" s="83" t="s">
        <v>1154</v>
      </c>
      <c r="T142" s="83" t="s">
        <v>1146</v>
      </c>
      <c r="U142" s="83" t="s">
        <v>1323</v>
      </c>
      <c r="V142" s="83"/>
      <c r="W142" s="83"/>
      <c r="X142" s="83"/>
      <c r="Y142" s="83"/>
      <c r="Z142" s="83"/>
      <c r="AA142" s="83"/>
      <c r="AB142" s="83"/>
      <c r="AC142" s="83"/>
      <c r="AD142" s="83"/>
      <c r="AE142" s="83"/>
      <c r="AF142" s="83"/>
      <c r="AG142" s="83"/>
      <c r="AH142" s="83"/>
      <c r="AI142" s="83"/>
      <c r="AJ142" s="83"/>
      <c r="AK142" s="83"/>
      <c r="AL142" s="83"/>
      <c r="AM142" s="83"/>
      <c r="AN142" s="83"/>
      <c r="AO142" s="83"/>
      <c r="AP142" s="83"/>
      <c r="AQ142" s="83"/>
      <c r="AR142" s="83"/>
      <c r="AS142" s="34"/>
      <c r="AT142" s="34"/>
      <c r="AU142" s="34"/>
      <c r="AV142" s="34"/>
      <c r="AW142" s="34"/>
      <c r="AX142" s="34"/>
      <c r="AY142" s="34"/>
      <c r="AZ142" s="34"/>
      <c r="BA142" s="34"/>
    </row>
    <row r="143" spans="1:53" x14ac:dyDescent="0.25">
      <c r="A143" s="61">
        <v>54</v>
      </c>
      <c r="B143" s="61" t="s">
        <v>1296</v>
      </c>
      <c r="C143" s="61" t="s">
        <v>1164</v>
      </c>
      <c r="D143" s="61" t="s">
        <v>1165</v>
      </c>
      <c r="E143" s="83" t="s">
        <v>1324</v>
      </c>
      <c r="F143" s="61">
        <v>2010</v>
      </c>
      <c r="G143" s="83" t="s">
        <v>1129</v>
      </c>
      <c r="H143" s="61">
        <v>2010</v>
      </c>
      <c r="I143" s="61">
        <v>100</v>
      </c>
      <c r="J143" s="84" t="s">
        <v>1096</v>
      </c>
      <c r="K143" s="61">
        <v>75</v>
      </c>
      <c r="L143" s="61">
        <v>2020</v>
      </c>
      <c r="M143" s="61">
        <v>10</v>
      </c>
      <c r="N143" s="61">
        <v>90</v>
      </c>
      <c r="O143" s="84" t="s">
        <v>1096</v>
      </c>
      <c r="P143" s="84" t="s">
        <v>1096</v>
      </c>
      <c r="Q143" s="61">
        <v>61</v>
      </c>
      <c r="R143" s="83">
        <v>390</v>
      </c>
      <c r="S143" s="83" t="s">
        <v>1143</v>
      </c>
      <c r="T143" s="83" t="s">
        <v>1131</v>
      </c>
      <c r="U143" s="83" t="s">
        <v>1325</v>
      </c>
      <c r="V143" s="83"/>
      <c r="W143" s="83"/>
      <c r="X143" s="83"/>
      <c r="Y143" s="83"/>
      <c r="Z143" s="83"/>
      <c r="AA143" s="83"/>
      <c r="AB143" s="83"/>
      <c r="AC143" s="83"/>
      <c r="AD143" s="83"/>
      <c r="AE143" s="83"/>
      <c r="AF143" s="83"/>
      <c r="AG143" s="83"/>
      <c r="AH143" s="83"/>
      <c r="AI143" s="83"/>
      <c r="AJ143" s="83"/>
      <c r="AK143" s="83"/>
      <c r="AL143" s="83"/>
      <c r="AM143" s="83"/>
      <c r="AN143" s="83"/>
      <c r="AO143" s="83"/>
      <c r="AP143" s="83"/>
      <c r="AQ143" s="83"/>
      <c r="AR143" s="83"/>
      <c r="AS143" s="34"/>
      <c r="AT143" s="34"/>
      <c r="AU143" s="34"/>
      <c r="AV143" s="34"/>
      <c r="AW143" s="34"/>
      <c r="AX143" s="34"/>
      <c r="AY143" s="34"/>
      <c r="AZ143" s="34"/>
      <c r="BA143" s="34"/>
    </row>
    <row r="144" spans="1:53" x14ac:dyDescent="0.25">
      <c r="A144" s="61">
        <v>62</v>
      </c>
      <c r="B144" s="61" t="s">
        <v>1296</v>
      </c>
      <c r="C144" s="61" t="s">
        <v>1141</v>
      </c>
      <c r="D144" s="61" t="s">
        <v>1326</v>
      </c>
      <c r="E144" s="83" t="s">
        <v>1327</v>
      </c>
      <c r="F144" s="61">
        <v>2018</v>
      </c>
      <c r="G144" s="83" t="s">
        <v>1129</v>
      </c>
      <c r="H144" s="61">
        <v>2015</v>
      </c>
      <c r="I144" s="61">
        <v>8.14</v>
      </c>
      <c r="J144" s="84" t="s">
        <v>1096</v>
      </c>
      <c r="K144" s="61">
        <v>80.44</v>
      </c>
      <c r="L144" s="61">
        <v>2030</v>
      </c>
      <c r="M144" s="61">
        <v>31</v>
      </c>
      <c r="N144" s="61">
        <v>5.6166</v>
      </c>
      <c r="O144" s="84" t="s">
        <v>1096</v>
      </c>
      <c r="P144" s="84" t="s">
        <v>1096</v>
      </c>
      <c r="Q144" s="61">
        <v>8.07</v>
      </c>
      <c r="R144" s="83">
        <v>2.774035032099559</v>
      </c>
      <c r="S144" s="83" t="s">
        <v>1130</v>
      </c>
      <c r="T144" s="83" t="s">
        <v>1302</v>
      </c>
      <c r="U144" s="83" t="s">
        <v>1328</v>
      </c>
      <c r="V144" s="83"/>
      <c r="W144" s="83"/>
      <c r="X144" s="83"/>
      <c r="Y144" s="83"/>
      <c r="Z144" s="83"/>
      <c r="AA144" s="83"/>
      <c r="AB144" s="83"/>
      <c r="AC144" s="83"/>
      <c r="AD144" s="83"/>
      <c r="AE144" s="83"/>
      <c r="AF144" s="83"/>
      <c r="AG144" s="83"/>
      <c r="AH144" s="83"/>
      <c r="AI144" s="83"/>
      <c r="AJ144" s="83"/>
      <c r="AK144" s="83"/>
      <c r="AL144" s="83"/>
      <c r="AM144" s="83"/>
      <c r="AN144" s="83"/>
      <c r="AO144" s="83"/>
      <c r="AP144" s="83"/>
      <c r="AQ144" s="83"/>
      <c r="AR144" s="83"/>
      <c r="AS144" s="34"/>
      <c r="AT144" s="34"/>
      <c r="AU144" s="34"/>
      <c r="AV144" s="34"/>
      <c r="AW144" s="34"/>
      <c r="AX144" s="34"/>
      <c r="AY144" s="34"/>
      <c r="AZ144" s="34"/>
      <c r="BA144" s="34"/>
    </row>
    <row r="145" spans="1:53" x14ac:dyDescent="0.25">
      <c r="A145" s="61">
        <v>63</v>
      </c>
      <c r="B145" s="61" t="s">
        <v>1296</v>
      </c>
      <c r="C145" s="61" t="s">
        <v>1127</v>
      </c>
      <c r="D145" s="61" t="s">
        <v>1133</v>
      </c>
      <c r="E145" s="83" t="s">
        <v>1299</v>
      </c>
      <c r="F145" s="61">
        <v>2013</v>
      </c>
      <c r="G145" s="83" t="s">
        <v>1129</v>
      </c>
      <c r="H145" s="61">
        <v>2013</v>
      </c>
      <c r="I145" s="61">
        <v>15.24</v>
      </c>
      <c r="J145" s="84" t="s">
        <v>1096</v>
      </c>
      <c r="K145" s="61">
        <v>100</v>
      </c>
      <c r="L145" s="61">
        <v>2020</v>
      </c>
      <c r="M145" s="61">
        <v>15</v>
      </c>
      <c r="N145" s="61">
        <v>12.954000000000001</v>
      </c>
      <c r="O145" s="84" t="s">
        <v>1096</v>
      </c>
      <c r="P145" s="84" t="s">
        <v>1096</v>
      </c>
      <c r="Q145" s="61">
        <v>9.6999999999999993</v>
      </c>
      <c r="R145" s="83">
        <v>242.34470691163614</v>
      </c>
      <c r="S145" s="83" t="s">
        <v>1143</v>
      </c>
      <c r="T145" s="83" t="s">
        <v>1131</v>
      </c>
      <c r="U145" s="83" t="s">
        <v>1329</v>
      </c>
      <c r="V145" s="83"/>
      <c r="W145" s="83"/>
      <c r="X145" s="83"/>
      <c r="Y145" s="83"/>
      <c r="Z145" s="83"/>
      <c r="AA145" s="83"/>
      <c r="AB145" s="83"/>
      <c r="AC145" s="83"/>
      <c r="AD145" s="83"/>
      <c r="AE145" s="83"/>
      <c r="AF145" s="83"/>
      <c r="AG145" s="83"/>
      <c r="AH145" s="83"/>
      <c r="AI145" s="83"/>
      <c r="AJ145" s="83"/>
      <c r="AK145" s="83"/>
      <c r="AL145" s="83"/>
      <c r="AM145" s="83"/>
      <c r="AN145" s="83"/>
      <c r="AO145" s="83"/>
      <c r="AP145" s="83"/>
      <c r="AQ145" s="83"/>
      <c r="AR145" s="83"/>
      <c r="AS145" s="34"/>
      <c r="AT145" s="34"/>
      <c r="AU145" s="34"/>
      <c r="AV145" s="34"/>
      <c r="AW145" s="34"/>
      <c r="AX145" s="34"/>
      <c r="AY145" s="34"/>
      <c r="AZ145" s="34"/>
      <c r="BA145" s="34"/>
    </row>
    <row r="146" spans="1:53" x14ac:dyDescent="0.25">
      <c r="A146" s="61">
        <v>71</v>
      </c>
      <c r="B146" s="61" t="s">
        <v>1296</v>
      </c>
      <c r="C146" s="61" t="s">
        <v>1157</v>
      </c>
      <c r="D146" s="61" t="s">
        <v>1136</v>
      </c>
      <c r="E146" s="83" t="s">
        <v>1324</v>
      </c>
      <c r="F146" s="61">
        <v>2015</v>
      </c>
      <c r="G146" s="83" t="s">
        <v>1330</v>
      </c>
      <c r="H146" s="61">
        <v>2015</v>
      </c>
      <c r="I146" s="61">
        <v>1.89</v>
      </c>
      <c r="J146" s="84" t="s">
        <v>1096</v>
      </c>
      <c r="K146" s="61">
        <v>95</v>
      </c>
      <c r="L146" s="61">
        <v>2020</v>
      </c>
      <c r="M146" s="61">
        <v>25</v>
      </c>
      <c r="N146" s="61">
        <v>1.4175</v>
      </c>
      <c r="O146" s="84" t="s">
        <v>1096</v>
      </c>
      <c r="P146" s="84" t="s">
        <v>1096</v>
      </c>
      <c r="Q146" s="61">
        <v>1.94</v>
      </c>
      <c r="R146" s="83">
        <v>-10.582010582010593</v>
      </c>
      <c r="S146" s="83" t="s">
        <v>1130</v>
      </c>
      <c r="T146" s="83" t="s">
        <v>1144</v>
      </c>
      <c r="U146" s="83" t="s">
        <v>1331</v>
      </c>
      <c r="V146" s="83"/>
      <c r="W146" s="83"/>
      <c r="X146" s="83"/>
      <c r="Y146" s="83"/>
      <c r="Z146" s="83"/>
      <c r="AA146" s="83"/>
      <c r="AB146" s="83"/>
      <c r="AC146" s="83"/>
      <c r="AD146" s="83"/>
      <c r="AE146" s="83"/>
      <c r="AF146" s="83"/>
      <c r="AG146" s="83"/>
      <c r="AH146" s="83"/>
      <c r="AI146" s="83"/>
      <c r="AJ146" s="83"/>
      <c r="AK146" s="83"/>
      <c r="AL146" s="83"/>
      <c r="AM146" s="83"/>
      <c r="AN146" s="83"/>
      <c r="AO146" s="83"/>
      <c r="AP146" s="83"/>
      <c r="AQ146" s="83"/>
      <c r="AR146" s="83"/>
      <c r="AS146" s="34"/>
      <c r="AT146" s="34"/>
      <c r="AU146" s="34"/>
      <c r="AV146" s="34"/>
      <c r="AW146" s="34"/>
      <c r="AX146" s="34"/>
      <c r="AY146" s="34"/>
      <c r="AZ146" s="34"/>
      <c r="BA146" s="34"/>
    </row>
    <row r="147" spans="1:53" x14ac:dyDescent="0.25">
      <c r="A147" s="61">
        <v>71</v>
      </c>
      <c r="B147" s="61" t="s">
        <v>1296</v>
      </c>
      <c r="C147" s="61" t="s">
        <v>1141</v>
      </c>
      <c r="D147" s="61" t="s">
        <v>1332</v>
      </c>
      <c r="E147" s="83" t="s">
        <v>1333</v>
      </c>
      <c r="F147" s="61">
        <v>2015</v>
      </c>
      <c r="G147" s="83" t="s">
        <v>1334</v>
      </c>
      <c r="H147" s="61">
        <v>2015</v>
      </c>
      <c r="I147" s="61">
        <v>4.78</v>
      </c>
      <c r="J147" s="84" t="s">
        <v>1096</v>
      </c>
      <c r="K147" s="61">
        <v>80</v>
      </c>
      <c r="L147" s="61">
        <v>2020</v>
      </c>
      <c r="M147" s="61">
        <v>35</v>
      </c>
      <c r="N147" s="61">
        <v>3.1070000000000002</v>
      </c>
      <c r="O147" s="84" t="s">
        <v>1096</v>
      </c>
      <c r="P147" s="84" t="s">
        <v>1096</v>
      </c>
      <c r="Q147" s="61">
        <v>4.0599999999999996</v>
      </c>
      <c r="R147" s="83">
        <v>43.036461446503324</v>
      </c>
      <c r="S147" s="83" t="s">
        <v>1130</v>
      </c>
      <c r="T147" s="83" t="s">
        <v>1144</v>
      </c>
      <c r="U147" s="83" t="s">
        <v>1335</v>
      </c>
      <c r="V147" s="83"/>
      <c r="W147" s="83"/>
      <c r="X147" s="83"/>
      <c r="Y147" s="83"/>
      <c r="Z147" s="83"/>
      <c r="AA147" s="83"/>
      <c r="AB147" s="83"/>
      <c r="AC147" s="83"/>
      <c r="AD147" s="83"/>
      <c r="AE147" s="83"/>
      <c r="AF147" s="83"/>
      <c r="AG147" s="83"/>
      <c r="AH147" s="83"/>
      <c r="AI147" s="83"/>
      <c r="AJ147" s="83"/>
      <c r="AK147" s="83"/>
      <c r="AL147" s="83"/>
      <c r="AM147" s="83"/>
      <c r="AN147" s="83"/>
      <c r="AO147" s="83"/>
      <c r="AP147" s="83"/>
      <c r="AQ147" s="83"/>
      <c r="AR147" s="83"/>
      <c r="AS147" s="34"/>
      <c r="AT147" s="34"/>
      <c r="AU147" s="34"/>
      <c r="AV147" s="34"/>
      <c r="AW147" s="34"/>
      <c r="AX147" s="34"/>
      <c r="AY147" s="34"/>
      <c r="AZ147" s="34"/>
      <c r="BA147" s="34"/>
    </row>
    <row r="148" spans="1:53" x14ac:dyDescent="0.25">
      <c r="A148" s="61">
        <v>72</v>
      </c>
      <c r="B148" s="61" t="s">
        <v>1296</v>
      </c>
      <c r="C148" s="61" t="s">
        <v>1127</v>
      </c>
      <c r="D148" s="61" t="s">
        <v>1133</v>
      </c>
      <c r="E148" s="83" t="s">
        <v>1336</v>
      </c>
      <c r="F148" s="61">
        <v>2015</v>
      </c>
      <c r="G148" s="83" t="s">
        <v>1129</v>
      </c>
      <c r="H148" s="61">
        <v>2014</v>
      </c>
      <c r="I148" s="61">
        <v>4.5250000000000004</v>
      </c>
      <c r="J148" s="84" t="s">
        <v>1096</v>
      </c>
      <c r="K148" s="61">
        <v>100</v>
      </c>
      <c r="L148" s="61">
        <v>2020</v>
      </c>
      <c r="M148" s="61">
        <v>15</v>
      </c>
      <c r="N148" s="61">
        <v>3.8462500000000004</v>
      </c>
      <c r="O148" s="84" t="s">
        <v>1096</v>
      </c>
      <c r="P148" s="84" t="s">
        <v>1096</v>
      </c>
      <c r="Q148" s="61">
        <v>3.8410000000000002</v>
      </c>
      <c r="R148" s="83">
        <v>100.77348066298346</v>
      </c>
      <c r="S148" s="83" t="s">
        <v>1143</v>
      </c>
      <c r="T148" s="83" t="s">
        <v>1131</v>
      </c>
      <c r="U148" s="83" t="s">
        <v>1337</v>
      </c>
      <c r="V148" s="83"/>
      <c r="W148" s="83"/>
      <c r="X148" s="83"/>
      <c r="Y148" s="83"/>
      <c r="Z148" s="83"/>
      <c r="AA148" s="83"/>
      <c r="AB148" s="83"/>
      <c r="AC148" s="83"/>
      <c r="AD148" s="83"/>
      <c r="AE148" s="83"/>
      <c r="AF148" s="83"/>
      <c r="AG148" s="83"/>
      <c r="AH148" s="83"/>
      <c r="AI148" s="83"/>
      <c r="AJ148" s="83"/>
      <c r="AK148" s="83"/>
      <c r="AL148" s="83"/>
      <c r="AM148" s="83"/>
      <c r="AN148" s="83"/>
      <c r="AO148" s="83"/>
      <c r="AP148" s="83"/>
      <c r="AQ148" s="83"/>
      <c r="AR148" s="83"/>
      <c r="AS148" s="34"/>
      <c r="AT148" s="34"/>
      <c r="AU148" s="34"/>
      <c r="AV148" s="34"/>
      <c r="AW148" s="34"/>
      <c r="AX148" s="34"/>
      <c r="AY148" s="34"/>
      <c r="AZ148" s="34"/>
      <c r="BA148" s="34"/>
    </row>
    <row r="149" spans="1:53" x14ac:dyDescent="0.25">
      <c r="A149" s="61">
        <v>73</v>
      </c>
      <c r="B149" s="61" t="s">
        <v>1296</v>
      </c>
      <c r="C149" s="61" t="s">
        <v>1164</v>
      </c>
      <c r="D149" s="61" t="s">
        <v>1165</v>
      </c>
      <c r="E149" s="83" t="s">
        <v>1338</v>
      </c>
      <c r="F149" s="61">
        <v>2018</v>
      </c>
      <c r="G149" s="83" t="s">
        <v>1283</v>
      </c>
      <c r="H149" s="61">
        <v>2017</v>
      </c>
      <c r="I149" s="61">
        <v>0.06</v>
      </c>
      <c r="J149" s="84" t="s">
        <v>1096</v>
      </c>
      <c r="K149" s="61">
        <v>100</v>
      </c>
      <c r="L149" s="61">
        <v>2025</v>
      </c>
      <c r="M149" s="61">
        <v>13</v>
      </c>
      <c r="N149" s="61">
        <v>5.2199999999999996E-2</v>
      </c>
      <c r="O149" s="84" t="s">
        <v>1096</v>
      </c>
      <c r="P149" s="84" t="s">
        <v>1096</v>
      </c>
      <c r="Q149" s="61"/>
      <c r="R149" s="83">
        <v>769.23076923076906</v>
      </c>
      <c r="S149" s="83" t="s">
        <v>1154</v>
      </c>
      <c r="T149" s="83" t="s">
        <v>1146</v>
      </c>
      <c r="U149" s="83" t="s">
        <v>1339</v>
      </c>
      <c r="V149" s="83"/>
      <c r="W149" s="83"/>
      <c r="X149" s="83"/>
      <c r="Y149" s="83"/>
      <c r="Z149" s="83"/>
      <c r="AA149" s="83"/>
      <c r="AB149" s="83"/>
      <c r="AC149" s="83"/>
      <c r="AD149" s="83"/>
      <c r="AE149" s="83"/>
      <c r="AF149" s="83"/>
      <c r="AG149" s="83"/>
      <c r="AH149" s="83"/>
      <c r="AI149" s="83"/>
      <c r="AJ149" s="83"/>
      <c r="AK149" s="83"/>
      <c r="AL149" s="83"/>
      <c r="AM149" s="83"/>
      <c r="AN149" s="83"/>
      <c r="AO149" s="83"/>
      <c r="AP149" s="83"/>
      <c r="AQ149" s="83"/>
      <c r="AR149" s="83"/>
      <c r="AS149" s="34"/>
      <c r="AT149" s="34"/>
      <c r="AU149" s="34"/>
      <c r="AV149" s="34"/>
      <c r="AW149" s="34"/>
      <c r="AX149" s="34"/>
      <c r="AY149" s="34"/>
      <c r="AZ149" s="34"/>
      <c r="BA149" s="34"/>
    </row>
    <row r="150" spans="1:53" x14ac:dyDescent="0.25">
      <c r="A150" s="61">
        <v>73</v>
      </c>
      <c r="B150" s="61" t="s">
        <v>1296</v>
      </c>
      <c r="C150" s="61" t="s">
        <v>1164</v>
      </c>
      <c r="D150" s="61" t="s">
        <v>1165</v>
      </c>
      <c r="E150" s="83" t="s">
        <v>1340</v>
      </c>
      <c r="F150" s="61">
        <v>2017</v>
      </c>
      <c r="G150" s="83" t="s">
        <v>1283</v>
      </c>
      <c r="H150" s="61">
        <v>2018</v>
      </c>
      <c r="I150" s="61">
        <v>0.113</v>
      </c>
      <c r="J150" s="84" t="s">
        <v>1096</v>
      </c>
      <c r="K150" s="61"/>
      <c r="L150" s="61">
        <v>2025</v>
      </c>
      <c r="M150" s="61">
        <v>21</v>
      </c>
      <c r="N150" s="61">
        <v>8.9270000000000002E-2</v>
      </c>
      <c r="O150" s="84" t="s">
        <v>1096</v>
      </c>
      <c r="P150" s="84" t="s">
        <v>1096</v>
      </c>
      <c r="Q150" s="61"/>
      <c r="R150" s="83">
        <v>476.1904761904762</v>
      </c>
      <c r="S150" s="83" t="s">
        <v>1130</v>
      </c>
      <c r="T150" s="83" t="s">
        <v>1146</v>
      </c>
      <c r="U150" s="83" t="s">
        <v>1341</v>
      </c>
      <c r="V150" s="83"/>
      <c r="W150" s="83"/>
      <c r="X150" s="83"/>
      <c r="Y150" s="83"/>
      <c r="Z150" s="83"/>
      <c r="AA150" s="83"/>
      <c r="AB150" s="83"/>
      <c r="AC150" s="83"/>
      <c r="AD150" s="83"/>
      <c r="AE150" s="83"/>
      <c r="AF150" s="83"/>
      <c r="AG150" s="83"/>
      <c r="AH150" s="83"/>
      <c r="AI150" s="83"/>
      <c r="AJ150" s="83"/>
      <c r="AK150" s="83"/>
      <c r="AL150" s="83"/>
      <c r="AM150" s="83"/>
      <c r="AN150" s="83"/>
      <c r="AO150" s="83"/>
      <c r="AP150" s="83"/>
      <c r="AQ150" s="83"/>
      <c r="AR150" s="83"/>
      <c r="AS150" s="34"/>
      <c r="AT150" s="34"/>
      <c r="AU150" s="34"/>
      <c r="AV150" s="34"/>
      <c r="AW150" s="34"/>
      <c r="AX150" s="34"/>
      <c r="AY150" s="34"/>
      <c r="AZ150" s="34"/>
      <c r="BA150" s="34"/>
    </row>
    <row r="151" spans="1:53" x14ac:dyDescent="0.25">
      <c r="A151" s="61">
        <v>73</v>
      </c>
      <c r="B151" s="61" t="s">
        <v>1296</v>
      </c>
      <c r="C151" s="61" t="s">
        <v>1127</v>
      </c>
      <c r="D151" s="61" t="s">
        <v>1128</v>
      </c>
      <c r="E151" s="83" t="s">
        <v>1327</v>
      </c>
      <c r="F151" s="61">
        <v>2020</v>
      </c>
      <c r="G151" s="83" t="s">
        <v>1201</v>
      </c>
      <c r="H151" s="61">
        <v>2013</v>
      </c>
      <c r="I151" s="61">
        <v>0.66500000000000004</v>
      </c>
      <c r="J151" s="84" t="s">
        <v>1096</v>
      </c>
      <c r="K151" s="61">
        <v>77</v>
      </c>
      <c r="L151" s="61">
        <v>2025</v>
      </c>
      <c r="M151" s="61">
        <v>4.6500000000000004</v>
      </c>
      <c r="N151" s="61">
        <v>0.63407750000000007</v>
      </c>
      <c r="O151" s="84" t="s">
        <v>1096</v>
      </c>
      <c r="P151" s="84" t="s">
        <v>1096</v>
      </c>
      <c r="Q151" s="61"/>
      <c r="R151" s="83">
        <v>2150.5376344086048</v>
      </c>
      <c r="S151" s="83" t="s">
        <v>1154</v>
      </c>
      <c r="T151" s="83" t="s">
        <v>1146</v>
      </c>
      <c r="U151" s="83" t="s">
        <v>1342</v>
      </c>
      <c r="V151" s="83"/>
      <c r="W151" s="83"/>
      <c r="X151" s="83"/>
      <c r="Y151" s="83"/>
      <c r="Z151" s="83"/>
      <c r="AA151" s="83"/>
      <c r="AB151" s="83"/>
      <c r="AC151" s="83"/>
      <c r="AD151" s="83"/>
      <c r="AE151" s="83"/>
      <c r="AF151" s="83"/>
      <c r="AG151" s="83"/>
      <c r="AH151" s="83"/>
      <c r="AI151" s="83"/>
      <c r="AJ151" s="83"/>
      <c r="AK151" s="83"/>
      <c r="AL151" s="83"/>
      <c r="AM151" s="83"/>
      <c r="AN151" s="83"/>
      <c r="AO151" s="83"/>
      <c r="AP151" s="83"/>
      <c r="AQ151" s="83"/>
      <c r="AR151" s="83"/>
      <c r="AS151" s="34"/>
      <c r="AT151" s="34"/>
      <c r="AU151" s="34"/>
      <c r="AV151" s="34"/>
      <c r="AW151" s="34"/>
      <c r="AX151" s="34"/>
      <c r="AY151" s="34"/>
      <c r="AZ151" s="34"/>
      <c r="BA151" s="34"/>
    </row>
    <row r="152" spans="1:53" x14ac:dyDescent="0.25">
      <c r="A152" s="61">
        <v>74</v>
      </c>
      <c r="B152" s="61" t="s">
        <v>1296</v>
      </c>
      <c r="C152" s="61" t="s">
        <v>1127</v>
      </c>
      <c r="D152" s="61" t="s">
        <v>1133</v>
      </c>
      <c r="E152" s="83" t="s">
        <v>1343</v>
      </c>
      <c r="F152" s="61">
        <v>2018</v>
      </c>
      <c r="G152" s="83" t="s">
        <v>1129</v>
      </c>
      <c r="H152" s="61">
        <v>2015</v>
      </c>
      <c r="I152" s="61">
        <v>0.43099999999999999</v>
      </c>
      <c r="J152" s="84" t="s">
        <v>1096</v>
      </c>
      <c r="K152" s="61">
        <v>100</v>
      </c>
      <c r="L152" s="61">
        <v>2025</v>
      </c>
      <c r="M152" s="61">
        <v>55</v>
      </c>
      <c r="N152" s="61">
        <v>0.19394999999999998</v>
      </c>
      <c r="O152" s="84" t="s">
        <v>1096</v>
      </c>
      <c r="P152" s="84" t="s">
        <v>1096</v>
      </c>
      <c r="Q152" s="61">
        <v>0.25</v>
      </c>
      <c r="R152" s="83">
        <v>76.355199325036907</v>
      </c>
      <c r="S152" s="83" t="s">
        <v>1130</v>
      </c>
      <c r="T152" s="83" t="s">
        <v>1144</v>
      </c>
      <c r="U152" s="83" t="s">
        <v>1344</v>
      </c>
      <c r="V152" s="83"/>
      <c r="W152" s="83"/>
      <c r="X152" s="83"/>
      <c r="Y152" s="83"/>
      <c r="Z152" s="83"/>
      <c r="AA152" s="83"/>
      <c r="AB152" s="83"/>
      <c r="AC152" s="83"/>
      <c r="AD152" s="83"/>
      <c r="AE152" s="83"/>
      <c r="AF152" s="83"/>
      <c r="AG152" s="83"/>
      <c r="AH152" s="83"/>
      <c r="AI152" s="83"/>
      <c r="AJ152" s="83"/>
      <c r="AK152" s="83"/>
      <c r="AL152" s="83"/>
      <c r="AM152" s="83"/>
      <c r="AN152" s="83"/>
      <c r="AO152" s="83"/>
      <c r="AP152" s="83"/>
      <c r="AQ152" s="83"/>
      <c r="AR152" s="83"/>
      <c r="AS152" s="34"/>
      <c r="AT152" s="34"/>
      <c r="AU152" s="34"/>
      <c r="AV152" s="34"/>
      <c r="AW152" s="34"/>
      <c r="AX152" s="34"/>
      <c r="AY152" s="34"/>
      <c r="AZ152" s="34"/>
      <c r="BA152" s="34"/>
    </row>
    <row r="153" spans="1:53" x14ac:dyDescent="0.25">
      <c r="A153" s="61">
        <v>78</v>
      </c>
      <c r="B153" s="61" t="s">
        <v>1296</v>
      </c>
      <c r="C153" s="61" t="s">
        <v>1157</v>
      </c>
      <c r="D153" s="61" t="s">
        <v>1345</v>
      </c>
      <c r="E153" s="83" t="s">
        <v>1346</v>
      </c>
      <c r="F153" s="61">
        <v>2012</v>
      </c>
      <c r="G153" s="83" t="s">
        <v>1129</v>
      </c>
      <c r="H153" s="61">
        <v>2010</v>
      </c>
      <c r="I153" s="61">
        <v>8706</v>
      </c>
      <c r="J153" s="84" t="s">
        <v>1096</v>
      </c>
      <c r="K153" s="61">
        <v>100</v>
      </c>
      <c r="L153" s="61">
        <v>2020</v>
      </c>
      <c r="M153" s="61">
        <v>30</v>
      </c>
      <c r="N153" s="61">
        <v>6094.2</v>
      </c>
      <c r="O153" s="84" t="s">
        <v>1096</v>
      </c>
      <c r="P153" s="84" t="s">
        <v>1096</v>
      </c>
      <c r="Q153" s="61">
        <v>5917</v>
      </c>
      <c r="R153" s="83">
        <v>106.78459300099547</v>
      </c>
      <c r="S153" s="83" t="s">
        <v>1143</v>
      </c>
      <c r="T153" s="83" t="s">
        <v>1144</v>
      </c>
      <c r="U153" s="83" t="s">
        <v>1347</v>
      </c>
      <c r="V153" s="83"/>
      <c r="W153" s="83"/>
      <c r="X153" s="83"/>
      <c r="Y153" s="83"/>
      <c r="Z153" s="83"/>
      <c r="AA153" s="83"/>
      <c r="AB153" s="83"/>
      <c r="AC153" s="83"/>
      <c r="AD153" s="83"/>
      <c r="AE153" s="83"/>
      <c r="AF153" s="83"/>
      <c r="AG153" s="83"/>
      <c r="AH153" s="83"/>
      <c r="AI153" s="83"/>
      <c r="AJ153" s="83"/>
      <c r="AK153" s="83"/>
      <c r="AL153" s="83"/>
      <c r="AM153" s="83"/>
      <c r="AN153" s="83"/>
      <c r="AO153" s="83"/>
      <c r="AP153" s="83"/>
      <c r="AQ153" s="83"/>
      <c r="AR153" s="83"/>
      <c r="AS153" s="34"/>
      <c r="AT153" s="34"/>
      <c r="AU153" s="34"/>
      <c r="AV153" s="34"/>
      <c r="AW153" s="34"/>
      <c r="AX153" s="34"/>
      <c r="AY153" s="34"/>
      <c r="AZ153" s="34"/>
      <c r="BA153" s="34"/>
    </row>
    <row r="154" spans="1:53" x14ac:dyDescent="0.25">
      <c r="A154" s="61">
        <v>29</v>
      </c>
      <c r="B154" s="61" t="s">
        <v>1296</v>
      </c>
      <c r="C154" s="61" t="s">
        <v>1157</v>
      </c>
      <c r="D154" s="61" t="s">
        <v>1345</v>
      </c>
      <c r="E154" s="83" t="s">
        <v>1348</v>
      </c>
      <c r="F154" s="61">
        <v>2013</v>
      </c>
      <c r="G154" s="83" t="s">
        <v>1129</v>
      </c>
      <c r="H154" s="61">
        <v>2010</v>
      </c>
      <c r="I154" s="61">
        <v>452</v>
      </c>
      <c r="J154" s="84" t="s">
        <v>1096</v>
      </c>
      <c r="K154" s="61">
        <v>100</v>
      </c>
      <c r="L154" s="61">
        <v>2020</v>
      </c>
      <c r="M154" s="61">
        <v>25</v>
      </c>
      <c r="N154" s="61">
        <v>339</v>
      </c>
      <c r="O154" s="84" t="s">
        <v>1096</v>
      </c>
      <c r="P154" s="84" t="s">
        <v>1096</v>
      </c>
      <c r="Q154" s="61">
        <v>345</v>
      </c>
      <c r="R154" s="83">
        <v>94.690265486725664</v>
      </c>
      <c r="S154" s="83" t="s">
        <v>1130</v>
      </c>
      <c r="T154" s="83" t="s">
        <v>1144</v>
      </c>
      <c r="U154" s="83" t="s">
        <v>1349</v>
      </c>
      <c r="V154" s="83"/>
      <c r="W154" s="83"/>
      <c r="X154" s="83"/>
      <c r="Y154" s="83"/>
      <c r="Z154" s="83"/>
      <c r="AA154" s="83"/>
      <c r="AB154" s="83"/>
      <c r="AC154" s="83"/>
      <c r="AD154" s="83"/>
      <c r="AE154" s="83"/>
      <c r="AF154" s="83"/>
      <c r="AG154" s="83"/>
      <c r="AH154" s="83"/>
      <c r="AI154" s="83"/>
      <c r="AJ154" s="83"/>
      <c r="AK154" s="83"/>
      <c r="AL154" s="83"/>
      <c r="AM154" s="83"/>
      <c r="AN154" s="83"/>
      <c r="AO154" s="83"/>
      <c r="AP154" s="83"/>
      <c r="AQ154" s="83"/>
      <c r="AR154" s="83"/>
      <c r="AS154" s="34"/>
      <c r="AT154" s="34"/>
      <c r="AU154" s="34"/>
      <c r="AV154" s="34"/>
      <c r="AW154" s="34"/>
      <c r="AX154" s="34"/>
      <c r="AY154" s="34"/>
      <c r="AZ154" s="34"/>
      <c r="BA154" s="34"/>
    </row>
    <row r="155" spans="1:53" x14ac:dyDescent="0.25">
      <c r="A155" s="61">
        <v>58</v>
      </c>
      <c r="B155" s="61" t="s">
        <v>1296</v>
      </c>
      <c r="C155" s="61" t="s">
        <v>1127</v>
      </c>
      <c r="D155" s="61" t="s">
        <v>1128</v>
      </c>
      <c r="E155" s="83" t="s">
        <v>1327</v>
      </c>
      <c r="F155" s="61">
        <v>2016</v>
      </c>
      <c r="G155" s="83" t="s">
        <v>1129</v>
      </c>
      <c r="H155" s="61">
        <v>2015</v>
      </c>
      <c r="I155" s="61">
        <v>0.17</v>
      </c>
      <c r="J155" s="84" t="s">
        <v>1096</v>
      </c>
      <c r="K155" s="61">
        <v>100</v>
      </c>
      <c r="L155" s="61">
        <v>2020</v>
      </c>
      <c r="M155" s="61">
        <v>15</v>
      </c>
      <c r="N155" s="61">
        <v>0.14450000000000002</v>
      </c>
      <c r="O155" s="84" t="s">
        <v>1096</v>
      </c>
      <c r="P155" s="84" t="s">
        <v>1096</v>
      </c>
      <c r="Q155" s="61">
        <v>0.185</v>
      </c>
      <c r="R155" s="83">
        <v>-58.82352941176466</v>
      </c>
      <c r="S155" s="83" t="s">
        <v>1130</v>
      </c>
      <c r="T155" s="83" t="s">
        <v>1131</v>
      </c>
      <c r="U155" s="83" t="s">
        <v>1350</v>
      </c>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3"/>
      <c r="AR155" s="83"/>
      <c r="AS155" s="34"/>
      <c r="AT155" s="34"/>
      <c r="AU155" s="34"/>
      <c r="AV155" s="34"/>
      <c r="AW155" s="34"/>
      <c r="AX155" s="34"/>
      <c r="AY155" s="34"/>
      <c r="AZ155" s="34"/>
      <c r="BA155" s="34"/>
    </row>
    <row r="156" spans="1:53" x14ac:dyDescent="0.25">
      <c r="A156" s="61">
        <v>92</v>
      </c>
      <c r="B156" s="61" t="s">
        <v>1296</v>
      </c>
      <c r="C156" s="61" t="s">
        <v>1164</v>
      </c>
      <c r="D156" s="61" t="s">
        <v>1165</v>
      </c>
      <c r="E156" s="83" t="s">
        <v>1351</v>
      </c>
      <c r="F156" s="61">
        <v>2018</v>
      </c>
      <c r="G156" s="83" t="s">
        <v>1129</v>
      </c>
      <c r="H156" s="61">
        <v>2017</v>
      </c>
      <c r="I156" s="61">
        <v>1.237E-3</v>
      </c>
      <c r="J156" s="84" t="s">
        <v>1096</v>
      </c>
      <c r="K156" s="61">
        <v>93</v>
      </c>
      <c r="L156" s="61">
        <v>2020</v>
      </c>
      <c r="M156" s="61">
        <v>1.5</v>
      </c>
      <c r="N156" s="61">
        <v>1.2184450000000001E-3</v>
      </c>
      <c r="O156" s="84" t="s">
        <v>1096</v>
      </c>
      <c r="P156" s="84" t="s">
        <v>1096</v>
      </c>
      <c r="Q156" s="61">
        <v>1.2449999999999999E-2</v>
      </c>
      <c r="R156" s="83">
        <v>-60431.150633252619</v>
      </c>
      <c r="S156" s="83" t="s">
        <v>1130</v>
      </c>
      <c r="T156" s="83" t="s">
        <v>1131</v>
      </c>
      <c r="U156" s="83" t="s">
        <v>1352</v>
      </c>
      <c r="V156" s="83"/>
      <c r="W156" s="83"/>
      <c r="X156" s="83"/>
      <c r="Y156" s="83"/>
      <c r="Z156" s="83"/>
      <c r="AA156" s="83"/>
      <c r="AB156" s="83"/>
      <c r="AC156" s="83"/>
      <c r="AD156" s="83"/>
      <c r="AE156" s="83"/>
      <c r="AF156" s="83"/>
      <c r="AG156" s="83"/>
      <c r="AH156" s="83"/>
      <c r="AI156" s="83"/>
      <c r="AJ156" s="83"/>
      <c r="AK156" s="83"/>
      <c r="AL156" s="83"/>
      <c r="AM156" s="83"/>
      <c r="AN156" s="83"/>
      <c r="AO156" s="83"/>
      <c r="AP156" s="83"/>
      <c r="AQ156" s="83"/>
      <c r="AR156" s="83"/>
      <c r="AS156" s="34"/>
      <c r="AT156" s="34"/>
      <c r="AU156" s="34"/>
      <c r="AV156" s="34"/>
      <c r="AW156" s="34"/>
      <c r="AX156" s="34"/>
      <c r="AY156" s="34"/>
      <c r="AZ156" s="34"/>
      <c r="BA156" s="34"/>
    </row>
    <row r="157" spans="1:53" x14ac:dyDescent="0.25">
      <c r="A157" s="61">
        <v>94</v>
      </c>
      <c r="B157" s="61" t="s">
        <v>1296</v>
      </c>
      <c r="C157" s="61" t="s">
        <v>1127</v>
      </c>
      <c r="D157" s="61" t="s">
        <v>1133</v>
      </c>
      <c r="E157" s="83" t="s">
        <v>1353</v>
      </c>
      <c r="F157" s="61">
        <v>2010</v>
      </c>
      <c r="G157" s="83" t="s">
        <v>1201</v>
      </c>
      <c r="H157" s="61">
        <v>2007</v>
      </c>
      <c r="I157" s="61">
        <v>1.94</v>
      </c>
      <c r="J157" s="84" t="s">
        <v>1096</v>
      </c>
      <c r="K157" s="61">
        <v>95</v>
      </c>
      <c r="L157" s="61">
        <v>2020</v>
      </c>
      <c r="M157" s="61">
        <v>20</v>
      </c>
      <c r="N157" s="61">
        <v>1.552</v>
      </c>
      <c r="O157" s="84" t="s">
        <v>1096</v>
      </c>
      <c r="P157" s="84" t="s">
        <v>1096</v>
      </c>
      <c r="Q157" s="61">
        <v>1.6</v>
      </c>
      <c r="R157" s="83">
        <v>87.62886597938143</v>
      </c>
      <c r="S157" s="83" t="s">
        <v>1130</v>
      </c>
      <c r="T157" s="83" t="s">
        <v>1144</v>
      </c>
      <c r="U157" s="83" t="s">
        <v>1354</v>
      </c>
      <c r="V157" s="83"/>
      <c r="W157" s="83"/>
      <c r="X157" s="83"/>
      <c r="Y157" s="83"/>
      <c r="Z157" s="83"/>
      <c r="AA157" s="83"/>
      <c r="AB157" s="83"/>
      <c r="AC157" s="83"/>
      <c r="AD157" s="83"/>
      <c r="AE157" s="83"/>
      <c r="AF157" s="83"/>
      <c r="AG157" s="83"/>
      <c r="AH157" s="83"/>
      <c r="AI157" s="83"/>
      <c r="AJ157" s="83"/>
      <c r="AK157" s="83"/>
      <c r="AL157" s="83"/>
      <c r="AM157" s="83"/>
      <c r="AN157" s="83"/>
      <c r="AO157" s="83"/>
      <c r="AP157" s="83"/>
      <c r="AQ157" s="83"/>
      <c r="AR157" s="83"/>
      <c r="AS157" s="34"/>
      <c r="AT157" s="34"/>
      <c r="AU157" s="34"/>
      <c r="AV157" s="34"/>
      <c r="AW157" s="34"/>
      <c r="AX157" s="34"/>
      <c r="AY157" s="34"/>
      <c r="AZ157" s="34"/>
      <c r="BA157" s="34"/>
    </row>
    <row r="158" spans="1:53" x14ac:dyDescent="0.25">
      <c r="A158" s="61">
        <v>94</v>
      </c>
      <c r="B158" s="61" t="s">
        <v>1296</v>
      </c>
      <c r="C158" s="61" t="s">
        <v>1164</v>
      </c>
      <c r="D158" s="61" t="s">
        <v>1165</v>
      </c>
      <c r="E158" s="83" t="s">
        <v>1355</v>
      </c>
      <c r="F158" s="61">
        <v>2008</v>
      </c>
      <c r="G158" s="83" t="s">
        <v>1201</v>
      </c>
      <c r="H158" s="61">
        <v>2005</v>
      </c>
      <c r="I158" s="61">
        <v>1.54</v>
      </c>
      <c r="J158" s="84" t="s">
        <v>1096</v>
      </c>
      <c r="K158" s="61">
        <v>59</v>
      </c>
      <c r="L158" s="61">
        <v>2020</v>
      </c>
      <c r="M158" s="61">
        <v>20</v>
      </c>
      <c r="N158" s="61">
        <v>1.2320000000000002</v>
      </c>
      <c r="O158" s="84" t="s">
        <v>1096</v>
      </c>
      <c r="P158" s="84" t="s">
        <v>1096</v>
      </c>
      <c r="Q158" s="61">
        <v>1.34</v>
      </c>
      <c r="R158" s="83">
        <v>64.935064935064958</v>
      </c>
      <c r="S158" s="83" t="s">
        <v>1130</v>
      </c>
      <c r="T158" s="83" t="s">
        <v>1144</v>
      </c>
      <c r="U158" s="83" t="s">
        <v>1356</v>
      </c>
      <c r="V158" s="83"/>
      <c r="W158" s="83"/>
      <c r="X158" s="83"/>
      <c r="Y158" s="83"/>
      <c r="Z158" s="83"/>
      <c r="AA158" s="83"/>
      <c r="AB158" s="83"/>
      <c r="AC158" s="83"/>
      <c r="AD158" s="83"/>
      <c r="AE158" s="83"/>
      <c r="AF158" s="83"/>
      <c r="AG158" s="83"/>
      <c r="AH158" s="83"/>
      <c r="AI158" s="83"/>
      <c r="AJ158" s="83"/>
      <c r="AK158" s="83"/>
      <c r="AL158" s="83"/>
      <c r="AM158" s="83"/>
      <c r="AN158" s="83"/>
      <c r="AO158" s="83"/>
      <c r="AP158" s="83"/>
      <c r="AQ158" s="83"/>
      <c r="AR158" s="83"/>
      <c r="AS158" s="34"/>
      <c r="AT158" s="34"/>
      <c r="AU158" s="34"/>
      <c r="AV158" s="34"/>
      <c r="AW158" s="34"/>
      <c r="AX158" s="34"/>
      <c r="AY158" s="34"/>
      <c r="AZ158" s="34"/>
      <c r="BA158" s="34"/>
    </row>
    <row r="159" spans="1:53" x14ac:dyDescent="0.25">
      <c r="A159" s="61">
        <v>96</v>
      </c>
      <c r="B159" s="61" t="s">
        <v>1296</v>
      </c>
      <c r="C159" s="61" t="s">
        <v>1127</v>
      </c>
      <c r="D159" s="61" t="s">
        <v>1128</v>
      </c>
      <c r="E159" s="83" t="s">
        <v>1357</v>
      </c>
      <c r="F159" s="61">
        <v>2010</v>
      </c>
      <c r="G159" s="83" t="s">
        <v>1129</v>
      </c>
      <c r="H159" s="61">
        <v>2009</v>
      </c>
      <c r="I159" s="61">
        <v>0.118996</v>
      </c>
      <c r="J159" s="84" t="s">
        <v>1096</v>
      </c>
      <c r="K159" s="61">
        <v>100</v>
      </c>
      <c r="L159" s="61">
        <v>2020</v>
      </c>
      <c r="M159" s="61">
        <v>50</v>
      </c>
      <c r="N159" s="61">
        <v>5.9498000000000002E-2</v>
      </c>
      <c r="O159" s="84" t="s">
        <v>1096</v>
      </c>
      <c r="P159" s="84" t="s">
        <v>1096</v>
      </c>
      <c r="Q159" s="61">
        <v>5.5084143600000003E-2</v>
      </c>
      <c r="R159" s="83">
        <v>107.41849541161046</v>
      </c>
      <c r="S159" s="83" t="s">
        <v>1265</v>
      </c>
      <c r="T159" s="83" t="s">
        <v>1144</v>
      </c>
      <c r="U159" s="83" t="s">
        <v>1358</v>
      </c>
      <c r="V159" s="83"/>
      <c r="W159" s="83"/>
      <c r="X159" s="83"/>
      <c r="Y159" s="83"/>
      <c r="Z159" s="83"/>
      <c r="AA159" s="83"/>
      <c r="AB159" s="83"/>
      <c r="AC159" s="83"/>
      <c r="AD159" s="83"/>
      <c r="AE159" s="83"/>
      <c r="AF159" s="83"/>
      <c r="AG159" s="83"/>
      <c r="AH159" s="83"/>
      <c r="AI159" s="83"/>
      <c r="AJ159" s="83"/>
      <c r="AK159" s="83"/>
      <c r="AL159" s="83"/>
      <c r="AM159" s="83"/>
      <c r="AN159" s="83"/>
      <c r="AO159" s="83"/>
      <c r="AP159" s="83"/>
      <c r="AQ159" s="83"/>
      <c r="AR159" s="83"/>
      <c r="AS159" s="34"/>
      <c r="AT159" s="34"/>
      <c r="AU159" s="34"/>
      <c r="AV159" s="34"/>
      <c r="AW159" s="34"/>
      <c r="AX159" s="34"/>
      <c r="AY159" s="34"/>
      <c r="AZ159" s="34"/>
      <c r="BA159" s="34"/>
    </row>
    <row r="160" spans="1:53" x14ac:dyDescent="0.25">
      <c r="A160" s="61">
        <v>96</v>
      </c>
      <c r="B160" s="61" t="s">
        <v>1296</v>
      </c>
      <c r="C160" s="61" t="s">
        <v>1127</v>
      </c>
      <c r="D160" s="61" t="s">
        <v>1128</v>
      </c>
      <c r="E160" s="83" t="s">
        <v>1359</v>
      </c>
      <c r="F160" s="61">
        <v>2016</v>
      </c>
      <c r="G160" s="83" t="s">
        <v>1129</v>
      </c>
      <c r="H160" s="61">
        <v>2016</v>
      </c>
      <c r="I160" s="61">
        <v>5.1919E-2</v>
      </c>
      <c r="J160" s="84" t="s">
        <v>1096</v>
      </c>
      <c r="K160" s="61">
        <v>100</v>
      </c>
      <c r="L160" s="61">
        <v>2025</v>
      </c>
      <c r="M160" s="61">
        <v>50</v>
      </c>
      <c r="N160" s="61">
        <v>2.59595E-2</v>
      </c>
      <c r="O160" s="84" t="s">
        <v>1096</v>
      </c>
      <c r="P160" s="84" t="s">
        <v>1096</v>
      </c>
      <c r="Q160" s="61">
        <v>2.4570000000000002E-2</v>
      </c>
      <c r="R160" s="83">
        <v>105.35256842389104</v>
      </c>
      <c r="S160" s="83" t="s">
        <v>1143</v>
      </c>
      <c r="T160" s="83" t="s">
        <v>1144</v>
      </c>
      <c r="U160" s="83" t="s">
        <v>1360</v>
      </c>
      <c r="V160" s="83"/>
      <c r="W160" s="83"/>
      <c r="X160" s="83"/>
      <c r="Y160" s="83"/>
      <c r="Z160" s="83"/>
      <c r="AA160" s="83"/>
      <c r="AB160" s="83"/>
      <c r="AC160" s="83"/>
      <c r="AD160" s="83"/>
      <c r="AE160" s="83"/>
      <c r="AF160" s="83"/>
      <c r="AG160" s="83"/>
      <c r="AH160" s="83"/>
      <c r="AI160" s="83"/>
      <c r="AJ160" s="83"/>
      <c r="AK160" s="83"/>
      <c r="AL160" s="83"/>
      <c r="AM160" s="83"/>
      <c r="AN160" s="83"/>
      <c r="AO160" s="83"/>
      <c r="AP160" s="83"/>
      <c r="AQ160" s="83"/>
      <c r="AR160" s="83"/>
      <c r="AS160" s="34"/>
      <c r="AT160" s="34"/>
      <c r="AU160" s="34"/>
      <c r="AV160" s="34"/>
      <c r="AW160" s="34"/>
      <c r="AX160" s="34"/>
      <c r="AY160" s="34"/>
      <c r="AZ160" s="34"/>
      <c r="BA160" s="34"/>
    </row>
    <row r="161" spans="1:53" x14ac:dyDescent="0.25">
      <c r="A161" s="61">
        <v>98</v>
      </c>
      <c r="B161" s="61" t="s">
        <v>1296</v>
      </c>
      <c r="C161" s="61" t="s">
        <v>1127</v>
      </c>
      <c r="D161" s="61" t="s">
        <v>1128</v>
      </c>
      <c r="E161" s="83" t="s">
        <v>1304</v>
      </c>
      <c r="F161" s="61">
        <v>2012</v>
      </c>
      <c r="G161" s="83" t="s">
        <v>1201</v>
      </c>
      <c r="H161" s="61">
        <v>2011</v>
      </c>
      <c r="I161" s="61">
        <v>3.9601999999999998E-2</v>
      </c>
      <c r="J161" s="84" t="s">
        <v>1096</v>
      </c>
      <c r="K161" s="61">
        <v>50</v>
      </c>
      <c r="L161" s="61">
        <v>2020</v>
      </c>
      <c r="M161" s="61">
        <v>20</v>
      </c>
      <c r="N161" s="61">
        <v>3.1681599999999997E-2</v>
      </c>
      <c r="O161" s="84" t="s">
        <v>1096</v>
      </c>
      <c r="P161" s="84" t="s">
        <v>1096</v>
      </c>
      <c r="Q161" s="61">
        <v>3.3162999999999998E-2</v>
      </c>
      <c r="R161" s="83">
        <v>81.296399171758992</v>
      </c>
      <c r="S161" s="83" t="s">
        <v>1130</v>
      </c>
      <c r="T161" s="83" t="s">
        <v>1131</v>
      </c>
      <c r="U161" s="83" t="s">
        <v>1361</v>
      </c>
      <c r="V161" s="83"/>
      <c r="W161" s="83"/>
      <c r="X161" s="83"/>
      <c r="Y161" s="83"/>
      <c r="Z161" s="83"/>
      <c r="AA161" s="83"/>
      <c r="AB161" s="83"/>
      <c r="AC161" s="83"/>
      <c r="AD161" s="83"/>
      <c r="AE161" s="83"/>
      <c r="AF161" s="83"/>
      <c r="AG161" s="83"/>
      <c r="AH161" s="83"/>
      <c r="AI161" s="83"/>
      <c r="AJ161" s="83"/>
      <c r="AK161" s="83"/>
      <c r="AL161" s="83"/>
      <c r="AM161" s="83"/>
      <c r="AN161" s="83"/>
      <c r="AO161" s="83"/>
      <c r="AP161" s="83"/>
      <c r="AQ161" s="83"/>
      <c r="AR161" s="83"/>
      <c r="AS161" s="34"/>
      <c r="AT161" s="34"/>
      <c r="AU161" s="34"/>
      <c r="AV161" s="34"/>
      <c r="AW161" s="34"/>
      <c r="AX161" s="34"/>
      <c r="AY161" s="34"/>
      <c r="AZ161" s="34"/>
      <c r="BA161" s="34"/>
    </row>
    <row r="162" spans="1:53" x14ac:dyDescent="0.25">
      <c r="A162" s="61"/>
      <c r="B162" s="61"/>
      <c r="C162" s="61"/>
      <c r="D162" s="61"/>
      <c r="E162" s="83"/>
      <c r="F162" s="61"/>
      <c r="G162" s="83"/>
      <c r="H162" s="83"/>
      <c r="I162" s="83"/>
      <c r="J162" s="83"/>
      <c r="K162" s="61"/>
      <c r="L162" s="61"/>
      <c r="M162" s="61"/>
      <c r="N162" s="61"/>
      <c r="O162" s="61"/>
      <c r="P162" s="61"/>
      <c r="Q162" s="61"/>
      <c r="R162" s="83"/>
      <c r="S162" s="83"/>
      <c r="T162" s="83"/>
      <c r="U162" s="83"/>
      <c r="V162" s="83"/>
      <c r="W162" s="83"/>
      <c r="X162" s="83"/>
      <c r="Y162" s="83"/>
      <c r="Z162" s="83"/>
      <c r="AA162" s="83"/>
      <c r="AB162" s="83"/>
      <c r="AC162" s="83"/>
      <c r="AD162" s="83"/>
      <c r="AE162" s="83"/>
      <c r="AF162" s="83"/>
      <c r="AG162" s="83"/>
      <c r="AH162" s="83"/>
      <c r="AI162" s="83"/>
      <c r="AJ162" s="83"/>
      <c r="AK162" s="83"/>
      <c r="AL162" s="83"/>
      <c r="AM162" s="83"/>
      <c r="AN162" s="83"/>
      <c r="AO162" s="83"/>
      <c r="AP162" s="83"/>
      <c r="AQ162" s="83"/>
      <c r="AR162" s="83"/>
      <c r="AS162" s="34"/>
      <c r="AT162" s="34"/>
      <c r="AU162" s="34"/>
      <c r="AV162" s="34"/>
      <c r="AW162" s="34"/>
      <c r="AX162" s="34"/>
      <c r="AY162" s="34"/>
      <c r="AZ162" s="34"/>
      <c r="BA162" s="34"/>
    </row>
    <row r="163" spans="1:53" x14ac:dyDescent="0.25">
      <c r="A163" s="61"/>
      <c r="B163" s="61"/>
      <c r="C163" s="61"/>
      <c r="D163" s="61"/>
      <c r="E163" s="83"/>
      <c r="F163" s="61"/>
      <c r="G163" s="83"/>
      <c r="H163" s="83"/>
      <c r="I163" s="83"/>
      <c r="J163" s="83"/>
      <c r="K163" s="61"/>
      <c r="L163" s="61"/>
      <c r="M163" s="61"/>
      <c r="N163" s="61"/>
      <c r="O163" s="61"/>
      <c r="P163" s="61"/>
      <c r="Q163" s="61"/>
      <c r="R163" s="83"/>
      <c r="S163" s="83"/>
      <c r="T163" s="83"/>
      <c r="U163" s="83"/>
      <c r="V163" s="83"/>
      <c r="W163" s="83"/>
      <c r="X163" s="83"/>
      <c r="Y163" s="83"/>
      <c r="Z163" s="83"/>
      <c r="AA163" s="83"/>
      <c r="AB163" s="83"/>
      <c r="AC163" s="83"/>
      <c r="AD163" s="83"/>
      <c r="AE163" s="83"/>
      <c r="AF163" s="83"/>
      <c r="AG163" s="83"/>
      <c r="AH163" s="83"/>
      <c r="AI163" s="83"/>
      <c r="AJ163" s="83"/>
      <c r="AK163" s="83"/>
      <c r="AL163" s="83"/>
      <c r="AM163" s="83"/>
      <c r="AN163" s="83"/>
      <c r="AO163" s="83"/>
      <c r="AP163" s="83"/>
      <c r="AQ163" s="83"/>
      <c r="AR163" s="83"/>
      <c r="AS163" s="34"/>
      <c r="AT163" s="34"/>
      <c r="AU163" s="34"/>
      <c r="AV163" s="34"/>
      <c r="AW163" s="34"/>
      <c r="AX163" s="34"/>
      <c r="AY163" s="34"/>
      <c r="AZ163" s="34"/>
      <c r="BA163" s="34"/>
    </row>
    <row r="164" spans="1:53" x14ac:dyDescent="0.25">
      <c r="A164" s="61"/>
      <c r="B164" s="61"/>
      <c r="C164" s="61"/>
      <c r="D164" s="61"/>
      <c r="E164" s="83"/>
      <c r="F164" s="61"/>
      <c r="G164" s="83"/>
      <c r="H164" s="83"/>
      <c r="I164" s="83"/>
      <c r="J164" s="83"/>
      <c r="K164" s="61"/>
      <c r="L164" s="61"/>
      <c r="M164" s="61"/>
      <c r="N164" s="61"/>
      <c r="O164" s="61"/>
      <c r="P164" s="61"/>
      <c r="Q164" s="61"/>
      <c r="R164" s="83"/>
      <c r="S164" s="83"/>
      <c r="T164" s="83"/>
      <c r="U164" s="83"/>
      <c r="V164" s="83"/>
      <c r="W164" s="83"/>
      <c r="X164" s="83"/>
      <c r="Y164" s="83"/>
      <c r="Z164" s="83"/>
      <c r="AA164" s="83"/>
      <c r="AB164" s="83"/>
      <c r="AC164" s="83"/>
      <c r="AD164" s="83"/>
      <c r="AE164" s="83"/>
      <c r="AF164" s="83"/>
      <c r="AG164" s="83"/>
      <c r="AH164" s="83"/>
      <c r="AI164" s="83"/>
      <c r="AJ164" s="83"/>
      <c r="AK164" s="83"/>
      <c r="AL164" s="83"/>
      <c r="AM164" s="83"/>
      <c r="AN164" s="83"/>
      <c r="AO164" s="83"/>
      <c r="AP164" s="83"/>
      <c r="AQ164" s="83"/>
      <c r="AR164" s="83"/>
      <c r="AS164" s="34"/>
      <c r="AT164" s="34"/>
      <c r="AU164" s="34"/>
      <c r="AV164" s="34"/>
      <c r="AW164" s="34"/>
      <c r="AX164" s="34"/>
      <c r="AY164" s="34"/>
      <c r="AZ164" s="34"/>
      <c r="BA164" s="34"/>
    </row>
    <row r="165" spans="1:53" x14ac:dyDescent="0.25">
      <c r="A165" s="61"/>
      <c r="B165" s="61"/>
      <c r="C165" s="61"/>
      <c r="D165" s="61"/>
      <c r="E165" s="83"/>
      <c r="F165" s="61"/>
      <c r="G165" s="83"/>
      <c r="H165" s="83"/>
      <c r="I165" s="83"/>
      <c r="J165" s="83"/>
      <c r="K165" s="61"/>
      <c r="L165" s="61"/>
      <c r="M165" s="61"/>
      <c r="N165" s="61"/>
      <c r="O165" s="61"/>
      <c r="P165" s="61"/>
      <c r="Q165" s="61"/>
      <c r="R165" s="83"/>
      <c r="S165" s="83"/>
      <c r="T165" s="83"/>
      <c r="U165" s="83"/>
      <c r="V165" s="83"/>
      <c r="W165" s="83"/>
      <c r="X165" s="83"/>
      <c r="Y165" s="83"/>
      <c r="Z165" s="83"/>
      <c r="AA165" s="83"/>
      <c r="AB165" s="83"/>
      <c r="AC165" s="83"/>
      <c r="AD165" s="83"/>
      <c r="AE165" s="83"/>
      <c r="AF165" s="83"/>
      <c r="AG165" s="83"/>
      <c r="AH165" s="83"/>
      <c r="AI165" s="83"/>
      <c r="AJ165" s="83"/>
      <c r="AK165" s="83"/>
      <c r="AL165" s="83"/>
      <c r="AM165" s="83"/>
      <c r="AN165" s="83"/>
      <c r="AO165" s="83"/>
      <c r="AP165" s="83"/>
      <c r="AQ165" s="83"/>
      <c r="AR165" s="83"/>
      <c r="AS165" s="34"/>
      <c r="AT165" s="34"/>
      <c r="AU165" s="34"/>
      <c r="AV165" s="34"/>
      <c r="AW165" s="34"/>
      <c r="AX165" s="34"/>
      <c r="AY165" s="34"/>
      <c r="AZ165" s="34"/>
      <c r="BA165" s="34"/>
    </row>
    <row r="166" spans="1:53" x14ac:dyDescent="0.25">
      <c r="A166" s="61"/>
      <c r="B166" s="61"/>
      <c r="C166" s="61"/>
      <c r="D166" s="61"/>
      <c r="E166" s="83"/>
      <c r="F166" s="61"/>
      <c r="G166" s="83"/>
      <c r="H166" s="83"/>
      <c r="I166" s="83"/>
      <c r="J166" s="83"/>
      <c r="K166" s="61"/>
      <c r="L166" s="61"/>
      <c r="M166" s="61"/>
      <c r="N166" s="61"/>
      <c r="O166" s="61"/>
      <c r="P166" s="61"/>
      <c r="Q166" s="61"/>
      <c r="R166" s="83"/>
      <c r="S166" s="83"/>
      <c r="T166" s="83"/>
      <c r="U166" s="83"/>
      <c r="V166" s="83"/>
      <c r="W166" s="83"/>
      <c r="X166" s="83"/>
      <c r="Y166" s="83"/>
      <c r="Z166" s="83"/>
      <c r="AA166" s="83"/>
      <c r="AB166" s="83"/>
      <c r="AC166" s="83"/>
      <c r="AD166" s="83"/>
      <c r="AE166" s="83"/>
      <c r="AF166" s="83"/>
      <c r="AG166" s="83"/>
      <c r="AH166" s="83"/>
      <c r="AI166" s="83"/>
      <c r="AJ166" s="83"/>
      <c r="AK166" s="83"/>
      <c r="AL166" s="83"/>
      <c r="AM166" s="83"/>
      <c r="AN166" s="83"/>
      <c r="AO166" s="83"/>
      <c r="AP166" s="83"/>
      <c r="AQ166" s="83"/>
      <c r="AR166" s="83"/>
      <c r="AS166" s="34"/>
      <c r="AT166" s="34"/>
      <c r="AU166" s="34"/>
      <c r="AV166" s="34"/>
      <c r="AW166" s="34"/>
      <c r="AX166" s="34"/>
      <c r="AY166" s="34"/>
      <c r="AZ166" s="34"/>
      <c r="BA166" s="34"/>
    </row>
    <row r="167" spans="1:53" x14ac:dyDescent="0.25">
      <c r="A167" s="61"/>
      <c r="B167" s="61"/>
      <c r="C167" s="61"/>
      <c r="D167" s="61"/>
      <c r="E167" s="83"/>
      <c r="F167" s="61"/>
      <c r="G167" s="83"/>
      <c r="H167" s="83"/>
      <c r="I167" s="83"/>
      <c r="J167" s="83"/>
      <c r="K167" s="61"/>
      <c r="L167" s="61"/>
      <c r="M167" s="61"/>
      <c r="N167" s="61"/>
      <c r="O167" s="61"/>
      <c r="P167" s="61"/>
      <c r="Q167" s="61"/>
      <c r="R167" s="83"/>
      <c r="S167" s="83"/>
      <c r="T167" s="83"/>
      <c r="U167" s="83"/>
      <c r="V167" s="83"/>
      <c r="W167" s="83"/>
      <c r="X167" s="83"/>
      <c r="Y167" s="83"/>
      <c r="Z167" s="83"/>
      <c r="AA167" s="83"/>
      <c r="AB167" s="83"/>
      <c r="AC167" s="83"/>
      <c r="AD167" s="83"/>
      <c r="AE167" s="83"/>
      <c r="AF167" s="83"/>
      <c r="AG167" s="83"/>
      <c r="AH167" s="83"/>
      <c r="AI167" s="83"/>
      <c r="AJ167" s="83"/>
      <c r="AK167" s="83"/>
      <c r="AL167" s="83"/>
      <c r="AM167" s="83"/>
      <c r="AN167" s="83"/>
      <c r="AO167" s="83"/>
      <c r="AP167" s="83"/>
      <c r="AQ167" s="83"/>
      <c r="AR167" s="83"/>
      <c r="AS167" s="34"/>
      <c r="AT167" s="34"/>
      <c r="AU167" s="34"/>
      <c r="AV167" s="34"/>
      <c r="AW167" s="34"/>
      <c r="AX167" s="34"/>
      <c r="AY167" s="34"/>
      <c r="AZ167" s="34"/>
      <c r="BA167" s="34"/>
    </row>
    <row r="168" spans="1:53" x14ac:dyDescent="0.25">
      <c r="A168" s="61"/>
      <c r="B168" s="61"/>
      <c r="C168" s="61"/>
      <c r="D168" s="61"/>
      <c r="E168" s="83"/>
      <c r="F168" s="61"/>
      <c r="G168" s="83"/>
      <c r="H168" s="83"/>
      <c r="I168" s="83"/>
      <c r="J168" s="83"/>
      <c r="K168" s="61"/>
      <c r="L168" s="61"/>
      <c r="M168" s="61"/>
      <c r="N168" s="61"/>
      <c r="O168" s="61"/>
      <c r="P168" s="61"/>
      <c r="Q168" s="61"/>
      <c r="R168" s="83"/>
      <c r="S168" s="83"/>
      <c r="T168" s="83"/>
      <c r="U168" s="83"/>
      <c r="V168" s="83"/>
      <c r="W168" s="83"/>
      <c r="X168" s="83"/>
      <c r="Y168" s="83"/>
      <c r="Z168" s="83"/>
      <c r="AA168" s="83"/>
      <c r="AB168" s="83"/>
      <c r="AC168" s="83"/>
      <c r="AD168" s="83"/>
      <c r="AE168" s="83"/>
      <c r="AF168" s="83"/>
      <c r="AG168" s="83"/>
      <c r="AH168" s="83"/>
      <c r="AI168" s="83"/>
      <c r="AJ168" s="83"/>
      <c r="AK168" s="83"/>
      <c r="AL168" s="83"/>
      <c r="AM168" s="83"/>
      <c r="AN168" s="83"/>
      <c r="AO168" s="83"/>
      <c r="AP168" s="83"/>
      <c r="AQ168" s="83"/>
      <c r="AR168" s="83"/>
      <c r="AS168" s="34"/>
      <c r="AT168" s="34"/>
      <c r="AU168" s="34"/>
      <c r="AV168" s="34"/>
      <c r="AW168" s="34"/>
      <c r="AX168" s="34"/>
      <c r="AY168" s="34"/>
      <c r="AZ168" s="34"/>
      <c r="BA168" s="34"/>
    </row>
    <row r="169" spans="1:53" x14ac:dyDescent="0.25">
      <c r="A169" s="61"/>
      <c r="B169" s="61"/>
      <c r="C169" s="61"/>
      <c r="D169" s="61"/>
      <c r="E169" s="83"/>
      <c r="F169" s="61"/>
      <c r="G169" s="83"/>
      <c r="H169" s="83"/>
      <c r="I169" s="83"/>
      <c r="J169" s="83"/>
      <c r="K169" s="61"/>
      <c r="L169" s="61"/>
      <c r="M169" s="61"/>
      <c r="N169" s="61"/>
      <c r="O169" s="61"/>
      <c r="P169" s="61"/>
      <c r="Q169" s="61"/>
      <c r="R169" s="83"/>
      <c r="S169" s="83"/>
      <c r="T169" s="83"/>
      <c r="U169" s="83"/>
      <c r="V169" s="83"/>
      <c r="W169" s="83"/>
      <c r="X169" s="83"/>
      <c r="Y169" s="83"/>
      <c r="Z169" s="83"/>
      <c r="AA169" s="83"/>
      <c r="AB169" s="83"/>
      <c r="AC169" s="83"/>
      <c r="AD169" s="83"/>
      <c r="AE169" s="83"/>
      <c r="AF169" s="83"/>
      <c r="AG169" s="83"/>
      <c r="AH169" s="83"/>
      <c r="AI169" s="83"/>
      <c r="AJ169" s="83"/>
      <c r="AK169" s="83"/>
      <c r="AL169" s="83"/>
      <c r="AM169" s="83"/>
      <c r="AN169" s="83"/>
      <c r="AO169" s="83"/>
      <c r="AP169" s="83"/>
      <c r="AQ169" s="83"/>
      <c r="AR169" s="83"/>
      <c r="AS169" s="34"/>
      <c r="AT169" s="34"/>
      <c r="AU169" s="34"/>
      <c r="AV169" s="34"/>
      <c r="AW169" s="34"/>
      <c r="AX169" s="34"/>
      <c r="AY169" s="34"/>
      <c r="AZ169" s="34"/>
      <c r="BA169" s="34"/>
    </row>
    <row r="170" spans="1:53" x14ac:dyDescent="0.25">
      <c r="A170" s="61"/>
      <c r="B170" s="61"/>
      <c r="C170" s="61"/>
      <c r="D170" s="61"/>
      <c r="E170" s="83"/>
      <c r="F170" s="61"/>
      <c r="G170" s="83"/>
      <c r="H170" s="83"/>
      <c r="I170" s="83"/>
      <c r="J170" s="83"/>
      <c r="K170" s="61"/>
      <c r="L170" s="61"/>
      <c r="M170" s="61"/>
      <c r="N170" s="61"/>
      <c r="O170" s="61"/>
      <c r="P170" s="61"/>
      <c r="Q170" s="61"/>
      <c r="R170" s="83"/>
      <c r="S170" s="83"/>
      <c r="T170" s="83"/>
      <c r="U170" s="83"/>
      <c r="V170" s="83"/>
      <c r="W170" s="83"/>
      <c r="X170" s="83"/>
      <c r="Y170" s="83"/>
      <c r="Z170" s="83"/>
      <c r="AA170" s="83"/>
      <c r="AB170" s="83"/>
      <c r="AC170" s="83"/>
      <c r="AD170" s="83"/>
      <c r="AE170" s="83"/>
      <c r="AF170" s="83"/>
      <c r="AG170" s="83"/>
      <c r="AH170" s="83"/>
      <c r="AI170" s="83"/>
      <c r="AJ170" s="83"/>
      <c r="AK170" s="83"/>
      <c r="AL170" s="83"/>
      <c r="AM170" s="83"/>
      <c r="AN170" s="83"/>
      <c r="AO170" s="83"/>
      <c r="AP170" s="83"/>
      <c r="AQ170" s="83"/>
      <c r="AR170" s="83"/>
      <c r="AS170" s="34"/>
      <c r="AT170" s="34"/>
      <c r="AU170" s="34"/>
      <c r="AV170" s="34"/>
      <c r="AW170" s="34"/>
      <c r="AX170" s="34"/>
      <c r="AY170" s="34"/>
      <c r="AZ170" s="34"/>
      <c r="BA170" s="34"/>
    </row>
    <row r="171" spans="1:53" x14ac:dyDescent="0.25">
      <c r="A171" s="61"/>
      <c r="B171" s="61"/>
      <c r="C171" s="61"/>
      <c r="D171" s="61"/>
      <c r="E171" s="83"/>
      <c r="F171" s="61"/>
      <c r="G171" s="83"/>
      <c r="H171" s="83"/>
      <c r="I171" s="83"/>
      <c r="J171" s="83"/>
      <c r="K171" s="61"/>
      <c r="L171" s="61"/>
      <c r="M171" s="61"/>
      <c r="N171" s="61"/>
      <c r="O171" s="61"/>
      <c r="P171" s="61"/>
      <c r="Q171" s="61"/>
      <c r="R171" s="83"/>
      <c r="S171" s="83"/>
      <c r="T171" s="83"/>
      <c r="U171" s="83"/>
      <c r="V171" s="83"/>
      <c r="W171" s="83"/>
      <c r="X171" s="83"/>
      <c r="Y171" s="83"/>
      <c r="Z171" s="83"/>
      <c r="AA171" s="83"/>
      <c r="AB171" s="83"/>
      <c r="AC171" s="83"/>
      <c r="AD171" s="83"/>
      <c r="AE171" s="83"/>
      <c r="AF171" s="83"/>
      <c r="AG171" s="83"/>
      <c r="AH171" s="83"/>
      <c r="AI171" s="83"/>
      <c r="AJ171" s="83"/>
      <c r="AK171" s="83"/>
      <c r="AL171" s="83"/>
      <c r="AM171" s="83"/>
      <c r="AN171" s="83"/>
      <c r="AO171" s="83"/>
      <c r="AP171" s="83"/>
      <c r="AQ171" s="83"/>
      <c r="AR171" s="83"/>
      <c r="AS171" s="34"/>
      <c r="AT171" s="34"/>
      <c r="AU171" s="34"/>
      <c r="AV171" s="34"/>
      <c r="AW171" s="34"/>
      <c r="AX171" s="34"/>
      <c r="AY171" s="34"/>
      <c r="AZ171" s="34"/>
      <c r="BA171" s="34"/>
    </row>
    <row r="172" spans="1:53" x14ac:dyDescent="0.25">
      <c r="A172" s="61"/>
      <c r="B172" s="61"/>
      <c r="C172" s="61"/>
      <c r="D172" s="61"/>
      <c r="E172" s="83"/>
      <c r="F172" s="61"/>
      <c r="G172" s="83"/>
      <c r="H172" s="83"/>
      <c r="I172" s="83"/>
      <c r="J172" s="83"/>
      <c r="K172" s="61"/>
      <c r="L172" s="61"/>
      <c r="M172" s="61"/>
      <c r="N172" s="61"/>
      <c r="O172" s="61"/>
      <c r="P172" s="61"/>
      <c r="Q172" s="61"/>
      <c r="R172" s="83"/>
      <c r="S172" s="83"/>
      <c r="T172" s="83"/>
      <c r="U172" s="83"/>
      <c r="V172" s="83"/>
      <c r="W172" s="83"/>
      <c r="X172" s="83"/>
      <c r="Y172" s="83"/>
      <c r="Z172" s="83"/>
      <c r="AA172" s="83"/>
      <c r="AB172" s="83"/>
      <c r="AC172" s="83"/>
      <c r="AD172" s="83"/>
      <c r="AE172" s="83"/>
      <c r="AF172" s="83"/>
      <c r="AG172" s="83"/>
      <c r="AH172" s="83"/>
      <c r="AI172" s="83"/>
      <c r="AJ172" s="83"/>
      <c r="AK172" s="83"/>
      <c r="AL172" s="83"/>
      <c r="AM172" s="83"/>
      <c r="AN172" s="83"/>
      <c r="AO172" s="83"/>
      <c r="AP172" s="83"/>
      <c r="AQ172" s="83"/>
      <c r="AR172" s="83"/>
      <c r="AS172" s="34"/>
      <c r="AT172" s="34"/>
      <c r="AU172" s="34"/>
      <c r="AV172" s="34"/>
      <c r="AW172" s="34"/>
      <c r="AX172" s="34"/>
      <c r="AY172" s="34"/>
      <c r="AZ172" s="34"/>
      <c r="BA172" s="34"/>
    </row>
    <row r="173" spans="1:53" x14ac:dyDescent="0.25">
      <c r="A173" s="61"/>
      <c r="B173" s="61"/>
      <c r="C173" s="61"/>
      <c r="D173" s="61"/>
      <c r="E173" s="83"/>
      <c r="F173" s="61"/>
      <c r="G173" s="83"/>
      <c r="H173" s="83"/>
      <c r="I173" s="83"/>
      <c r="J173" s="83"/>
      <c r="K173" s="61"/>
      <c r="L173" s="61"/>
      <c r="M173" s="61"/>
      <c r="N173" s="61"/>
      <c r="O173" s="61"/>
      <c r="P173" s="61"/>
      <c r="Q173" s="61"/>
      <c r="R173" s="83"/>
      <c r="S173" s="83"/>
      <c r="T173" s="83"/>
      <c r="U173" s="83"/>
      <c r="V173" s="83"/>
      <c r="W173" s="83"/>
      <c r="X173" s="83"/>
      <c r="Y173" s="83"/>
      <c r="Z173" s="83"/>
      <c r="AA173" s="83"/>
      <c r="AB173" s="83"/>
      <c r="AC173" s="83"/>
      <c r="AD173" s="83"/>
      <c r="AE173" s="83"/>
      <c r="AF173" s="83"/>
      <c r="AG173" s="83"/>
      <c r="AH173" s="83"/>
      <c r="AI173" s="83"/>
      <c r="AJ173" s="83"/>
      <c r="AK173" s="83"/>
      <c r="AL173" s="83"/>
      <c r="AM173" s="83"/>
      <c r="AN173" s="83"/>
      <c r="AO173" s="83"/>
      <c r="AP173" s="83"/>
      <c r="AQ173" s="83"/>
      <c r="AR173" s="83"/>
      <c r="AS173" s="34"/>
      <c r="AT173" s="34"/>
      <c r="AU173" s="34"/>
      <c r="AV173" s="34"/>
      <c r="AW173" s="34"/>
      <c r="AX173" s="34"/>
      <c r="AY173" s="34"/>
      <c r="AZ173" s="34"/>
      <c r="BA173" s="34"/>
    </row>
    <row r="174" spans="1:53" x14ac:dyDescent="0.25">
      <c r="A174" s="61"/>
      <c r="B174" s="61"/>
      <c r="C174" s="61"/>
      <c r="D174" s="61"/>
      <c r="E174" s="83"/>
      <c r="F174" s="61"/>
      <c r="G174" s="83"/>
      <c r="H174" s="83"/>
      <c r="I174" s="83"/>
      <c r="J174" s="83"/>
      <c r="K174" s="83"/>
      <c r="L174" s="61"/>
      <c r="M174" s="61"/>
      <c r="N174" s="61"/>
      <c r="O174" s="61"/>
      <c r="P174" s="61"/>
      <c r="Q174" s="61"/>
      <c r="R174" s="83"/>
      <c r="S174" s="83"/>
      <c r="T174" s="83"/>
      <c r="U174" s="83"/>
      <c r="V174" s="83"/>
      <c r="W174" s="83"/>
      <c r="X174" s="83"/>
      <c r="Y174" s="83"/>
      <c r="Z174" s="83"/>
      <c r="AA174" s="83"/>
      <c r="AB174" s="83"/>
      <c r="AC174" s="83"/>
      <c r="AD174" s="83"/>
      <c r="AE174" s="83"/>
      <c r="AF174" s="83"/>
      <c r="AG174" s="83"/>
      <c r="AH174" s="83"/>
      <c r="AI174" s="83"/>
      <c r="AJ174" s="83"/>
      <c r="AK174" s="83"/>
      <c r="AL174" s="83"/>
      <c r="AM174" s="83"/>
      <c r="AN174" s="83"/>
      <c r="AO174" s="83"/>
      <c r="AP174" s="83"/>
      <c r="AQ174" s="83"/>
      <c r="AR174" s="83"/>
      <c r="AS174" s="34"/>
      <c r="AT174" s="34"/>
      <c r="AU174" s="34"/>
      <c r="AV174" s="34"/>
      <c r="AW174" s="34"/>
      <c r="AX174" s="34"/>
      <c r="AY174" s="34"/>
      <c r="AZ174" s="34"/>
      <c r="BA174" s="34"/>
    </row>
    <row r="175" spans="1:53" x14ac:dyDescent="0.25">
      <c r="A175" s="61"/>
      <c r="B175" s="61"/>
      <c r="C175" s="61"/>
      <c r="D175" s="61"/>
      <c r="E175" s="83"/>
      <c r="F175" s="61"/>
      <c r="G175" s="83"/>
      <c r="H175" s="83"/>
      <c r="I175" s="83"/>
      <c r="J175" s="83"/>
      <c r="K175" s="83"/>
      <c r="L175" s="61"/>
      <c r="M175" s="61"/>
      <c r="N175" s="61"/>
      <c r="O175" s="61"/>
      <c r="P175" s="61"/>
      <c r="Q175" s="61"/>
      <c r="R175" s="83"/>
      <c r="S175" s="83"/>
      <c r="T175" s="83"/>
      <c r="U175" s="83"/>
      <c r="V175" s="83"/>
      <c r="W175" s="83"/>
      <c r="X175" s="83"/>
      <c r="Y175" s="83"/>
      <c r="Z175" s="83"/>
      <c r="AA175" s="83"/>
      <c r="AB175" s="83"/>
      <c r="AC175" s="83"/>
      <c r="AD175" s="83"/>
      <c r="AE175" s="83"/>
      <c r="AF175" s="83"/>
      <c r="AG175" s="83"/>
      <c r="AH175" s="83"/>
      <c r="AI175" s="83"/>
      <c r="AJ175" s="83"/>
      <c r="AK175" s="83"/>
      <c r="AL175" s="83"/>
      <c r="AM175" s="83"/>
      <c r="AN175" s="83"/>
      <c r="AO175" s="83"/>
      <c r="AP175" s="83"/>
      <c r="AQ175" s="83"/>
      <c r="AR175" s="83"/>
      <c r="AS175" s="34"/>
      <c r="AT175" s="34"/>
      <c r="AU175" s="34"/>
      <c r="AV175" s="34"/>
      <c r="AW175" s="34"/>
      <c r="AX175" s="34"/>
      <c r="AY175" s="34"/>
      <c r="AZ175" s="34"/>
      <c r="BA175" s="34"/>
    </row>
    <row r="176" spans="1:53" x14ac:dyDescent="0.25">
      <c r="A176" s="61"/>
      <c r="B176" s="61"/>
      <c r="C176" s="61"/>
      <c r="D176" s="61"/>
      <c r="E176" s="83"/>
      <c r="F176" s="61"/>
      <c r="G176" s="83"/>
      <c r="H176" s="83"/>
      <c r="I176" s="83"/>
      <c r="J176" s="83"/>
      <c r="K176" s="83"/>
      <c r="L176" s="61"/>
      <c r="M176" s="61"/>
      <c r="N176" s="61"/>
      <c r="O176" s="61"/>
      <c r="P176" s="61"/>
      <c r="Q176" s="61"/>
      <c r="R176" s="83"/>
      <c r="S176" s="83"/>
      <c r="T176" s="83"/>
      <c r="U176" s="83"/>
      <c r="V176" s="83"/>
      <c r="W176" s="83"/>
      <c r="X176" s="83"/>
      <c r="Y176" s="83"/>
      <c r="Z176" s="83"/>
      <c r="AA176" s="83"/>
      <c r="AB176" s="83"/>
      <c r="AC176" s="83"/>
      <c r="AD176" s="83"/>
      <c r="AE176" s="83"/>
      <c r="AF176" s="83"/>
      <c r="AG176" s="83"/>
      <c r="AH176" s="83"/>
      <c r="AI176" s="83"/>
      <c r="AJ176" s="83"/>
      <c r="AK176" s="83"/>
      <c r="AL176" s="83"/>
      <c r="AM176" s="83"/>
      <c r="AN176" s="83"/>
      <c r="AO176" s="83"/>
      <c r="AP176" s="83"/>
      <c r="AQ176" s="83"/>
      <c r="AR176" s="83"/>
      <c r="AS176" s="34"/>
      <c r="AT176" s="34"/>
      <c r="AU176" s="34"/>
      <c r="AV176" s="34"/>
      <c r="AW176" s="34"/>
      <c r="AX176" s="34"/>
      <c r="AY176" s="34"/>
      <c r="AZ176" s="34"/>
      <c r="BA176" s="34"/>
    </row>
    <row r="177" spans="1:53" x14ac:dyDescent="0.25">
      <c r="A177" s="85"/>
      <c r="B177" s="85"/>
      <c r="C177" s="85"/>
      <c r="D177" s="85"/>
      <c r="E177" s="34"/>
      <c r="F177" s="85"/>
      <c r="G177" s="34"/>
      <c r="H177" s="34"/>
      <c r="I177" s="34"/>
      <c r="J177" s="34"/>
      <c r="K177" s="34"/>
      <c r="L177" s="85"/>
      <c r="M177" s="85"/>
      <c r="N177" s="85"/>
      <c r="O177" s="85"/>
      <c r="P177" s="85"/>
      <c r="Q177" s="85"/>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row>
    <row r="178" spans="1:53" x14ac:dyDescent="0.25">
      <c r="A178" s="85"/>
      <c r="B178" s="85"/>
      <c r="C178" s="85"/>
      <c r="D178" s="85"/>
      <c r="E178" s="34"/>
      <c r="F178" s="85"/>
      <c r="G178" s="34"/>
      <c r="H178" s="34"/>
      <c r="I178" s="34"/>
      <c r="J178" s="34"/>
      <c r="K178" s="34"/>
      <c r="L178" s="85"/>
      <c r="M178" s="85"/>
      <c r="N178" s="85"/>
      <c r="O178" s="85"/>
      <c r="P178" s="85"/>
      <c r="Q178" s="85"/>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row>
    <row r="179" spans="1:53" x14ac:dyDescent="0.25">
      <c r="A179" s="85"/>
      <c r="B179" s="85"/>
      <c r="C179" s="85"/>
      <c r="D179" s="85"/>
      <c r="E179" s="34"/>
      <c r="F179" s="85"/>
      <c r="G179" s="34"/>
      <c r="H179" s="34"/>
      <c r="I179" s="34"/>
      <c r="J179" s="34"/>
      <c r="K179" s="34"/>
      <c r="L179" s="85"/>
      <c r="M179" s="85"/>
      <c r="N179" s="85"/>
      <c r="O179" s="85"/>
      <c r="P179" s="85"/>
      <c r="Q179" s="85"/>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row>
    <row r="180" spans="1:53" x14ac:dyDescent="0.25">
      <c r="A180" s="85"/>
      <c r="B180" s="85"/>
      <c r="C180" s="85"/>
      <c r="D180" s="85"/>
      <c r="E180" s="34"/>
      <c r="F180" s="85"/>
      <c r="G180" s="34"/>
      <c r="H180" s="34"/>
      <c r="I180" s="34"/>
      <c r="J180" s="34"/>
      <c r="K180" s="34"/>
      <c r="L180" s="85"/>
      <c r="M180" s="85"/>
      <c r="N180" s="85"/>
      <c r="O180" s="85"/>
      <c r="P180" s="85"/>
      <c r="Q180" s="85"/>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row>
    <row r="181" spans="1:53" x14ac:dyDescent="0.25">
      <c r="A181" s="85"/>
      <c r="B181" s="85"/>
      <c r="C181" s="85"/>
      <c r="D181" s="85"/>
      <c r="E181" s="34"/>
      <c r="F181" s="85"/>
      <c r="G181" s="34"/>
      <c r="H181" s="34"/>
      <c r="I181" s="34"/>
      <c r="J181" s="34"/>
      <c r="K181" s="34"/>
      <c r="L181" s="85"/>
      <c r="M181" s="85"/>
      <c r="N181" s="85"/>
      <c r="O181" s="85"/>
      <c r="P181" s="85"/>
      <c r="Q181" s="85"/>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row>
    <row r="182" spans="1:53" x14ac:dyDescent="0.25">
      <c r="A182" s="85"/>
      <c r="B182" s="85"/>
      <c r="C182" s="85"/>
      <c r="D182" s="85"/>
      <c r="E182" s="34"/>
      <c r="F182" s="85"/>
      <c r="G182" s="34"/>
      <c r="H182" s="34"/>
      <c r="I182" s="34"/>
      <c r="J182" s="34"/>
      <c r="K182" s="34"/>
      <c r="L182" s="85"/>
      <c r="M182" s="85"/>
      <c r="N182" s="85"/>
      <c r="O182" s="85"/>
      <c r="P182" s="85"/>
      <c r="Q182" s="85"/>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row>
    <row r="183" spans="1:53" x14ac:dyDescent="0.25">
      <c r="A183" s="85"/>
      <c r="B183" s="85"/>
      <c r="C183" s="85"/>
      <c r="D183" s="85"/>
      <c r="E183" s="34"/>
      <c r="F183" s="85"/>
      <c r="G183" s="34"/>
      <c r="H183" s="34"/>
      <c r="I183" s="34"/>
      <c r="J183" s="34"/>
      <c r="K183" s="34"/>
      <c r="L183" s="85"/>
      <c r="M183" s="85"/>
      <c r="N183" s="85"/>
      <c r="O183" s="85"/>
      <c r="P183" s="85"/>
      <c r="Q183" s="85"/>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row>
    <row r="184" spans="1:53" x14ac:dyDescent="0.25">
      <c r="A184" s="85"/>
      <c r="B184" s="85"/>
      <c r="C184" s="85"/>
      <c r="D184" s="85"/>
      <c r="E184" s="34"/>
      <c r="F184" s="85"/>
      <c r="G184" s="34"/>
      <c r="H184" s="34"/>
      <c r="I184" s="34"/>
      <c r="J184" s="34"/>
      <c r="K184" s="34"/>
      <c r="L184" s="85"/>
      <c r="M184" s="85"/>
      <c r="N184" s="85"/>
      <c r="O184" s="85"/>
      <c r="P184" s="85"/>
      <c r="Q184" s="85"/>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row>
    <row r="185" spans="1:53" x14ac:dyDescent="0.25">
      <c r="A185" s="85"/>
      <c r="B185" s="85"/>
      <c r="C185" s="85"/>
      <c r="D185" s="85"/>
      <c r="E185" s="34"/>
      <c r="F185" s="85"/>
      <c r="G185" s="34"/>
      <c r="H185" s="34"/>
      <c r="I185" s="34"/>
      <c r="J185" s="34"/>
      <c r="K185" s="34"/>
      <c r="L185" s="85"/>
      <c r="M185" s="85"/>
      <c r="N185" s="85"/>
      <c r="O185" s="85"/>
      <c r="P185" s="85"/>
      <c r="Q185" s="85"/>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row>
    <row r="186" spans="1:53" x14ac:dyDescent="0.25">
      <c r="A186" s="85"/>
      <c r="B186" s="85"/>
      <c r="C186" s="85"/>
      <c r="D186" s="85"/>
      <c r="E186" s="34"/>
      <c r="F186" s="85"/>
      <c r="G186" s="34"/>
      <c r="H186" s="34"/>
      <c r="I186" s="34"/>
      <c r="J186" s="34"/>
      <c r="K186" s="34"/>
      <c r="L186" s="85"/>
      <c r="M186" s="85"/>
      <c r="N186" s="85"/>
      <c r="O186" s="85"/>
      <c r="P186" s="85"/>
      <c r="Q186" s="85"/>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row>
    <row r="187" spans="1:53" x14ac:dyDescent="0.25">
      <c r="A187" s="85"/>
      <c r="B187" s="85"/>
      <c r="C187" s="85"/>
      <c r="D187" s="85"/>
      <c r="E187" s="34"/>
      <c r="F187" s="85"/>
      <c r="G187" s="34"/>
      <c r="H187" s="34"/>
      <c r="I187" s="34"/>
      <c r="J187" s="34"/>
      <c r="K187" s="34"/>
      <c r="L187" s="85"/>
      <c r="M187" s="85"/>
      <c r="N187" s="85"/>
      <c r="O187" s="85"/>
      <c r="P187" s="85"/>
      <c r="Q187" s="85"/>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row>
    <row r="188" spans="1:53" x14ac:dyDescent="0.25">
      <c r="A188" s="85"/>
      <c r="B188" s="85"/>
      <c r="C188" s="85"/>
      <c r="D188" s="85"/>
      <c r="E188" s="34"/>
      <c r="F188" s="85"/>
      <c r="G188" s="34"/>
      <c r="H188" s="34"/>
      <c r="I188" s="34"/>
      <c r="J188" s="34"/>
      <c r="K188" s="34"/>
      <c r="L188" s="85"/>
      <c r="M188" s="85"/>
      <c r="N188" s="85"/>
      <c r="O188" s="85"/>
      <c r="P188" s="85"/>
      <c r="Q188" s="85"/>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row>
    <row r="189" spans="1:53" x14ac:dyDescent="0.25">
      <c r="A189" s="85"/>
      <c r="B189" s="85"/>
      <c r="C189" s="85"/>
      <c r="D189" s="85"/>
      <c r="E189" s="34"/>
      <c r="F189" s="85"/>
      <c r="G189" s="34"/>
      <c r="H189" s="34"/>
      <c r="I189" s="34"/>
      <c r="J189" s="34"/>
      <c r="K189" s="34"/>
      <c r="L189" s="85"/>
      <c r="M189" s="85"/>
      <c r="N189" s="85"/>
      <c r="O189" s="85"/>
      <c r="P189" s="85"/>
      <c r="Q189" s="85"/>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row>
    <row r="190" spans="1:53" x14ac:dyDescent="0.25">
      <c r="A190" s="85"/>
      <c r="B190" s="85"/>
      <c r="C190" s="85"/>
      <c r="D190" s="85"/>
      <c r="E190" s="34"/>
      <c r="F190" s="85"/>
      <c r="G190" s="34"/>
      <c r="H190" s="34"/>
      <c r="I190" s="34"/>
      <c r="J190" s="34"/>
      <c r="K190" s="34"/>
      <c r="L190" s="85"/>
      <c r="M190" s="85"/>
      <c r="N190" s="85"/>
      <c r="O190" s="85"/>
      <c r="P190" s="85"/>
      <c r="Q190" s="85"/>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row>
    <row r="191" spans="1:53" x14ac:dyDescent="0.25">
      <c r="A191" s="85"/>
      <c r="B191" s="85"/>
      <c r="C191" s="85"/>
      <c r="D191" s="85"/>
      <c r="E191" s="34"/>
      <c r="F191" s="85"/>
      <c r="G191" s="34"/>
      <c r="H191" s="34"/>
      <c r="I191" s="34"/>
      <c r="J191" s="34"/>
      <c r="K191" s="34"/>
      <c r="L191" s="85"/>
      <c r="M191" s="85"/>
      <c r="N191" s="85"/>
      <c r="O191" s="85"/>
      <c r="P191" s="85"/>
      <c r="Q191" s="85"/>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row>
  </sheetData>
  <autoFilter ref="A1:U161" xr:uid="{CD16BE63-6CD2-4084-92BB-1EB0C8D86CD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4731A-FDB9-412F-B513-BD09127D36C8}">
  <dimension ref="A1:L1048576"/>
  <sheetViews>
    <sheetView showGridLines="0" workbookViewId="0">
      <selection activeCell="B18" sqref="B18"/>
    </sheetView>
  </sheetViews>
  <sheetFormatPr defaultRowHeight="12.5" x14ac:dyDescent="0.25"/>
  <cols>
    <col min="1" max="1" width="10.453125" bestFit="1" customWidth="1"/>
    <col min="2" max="12" width="13.81640625" customWidth="1"/>
  </cols>
  <sheetData>
    <row r="1" spans="1:12" x14ac:dyDescent="0.25">
      <c r="A1" s="60" t="s">
        <v>557</v>
      </c>
      <c r="B1" s="60" t="s">
        <v>567</v>
      </c>
      <c r="C1" s="60" t="s">
        <v>19</v>
      </c>
      <c r="D1" s="60" t="s">
        <v>568</v>
      </c>
      <c r="E1" s="60" t="s">
        <v>558</v>
      </c>
      <c r="F1" s="60" t="s">
        <v>559</v>
      </c>
      <c r="G1" s="60" t="s">
        <v>560</v>
      </c>
      <c r="H1" s="60" t="s">
        <v>561</v>
      </c>
      <c r="I1" s="60" t="s">
        <v>562</v>
      </c>
      <c r="J1" s="60" t="s">
        <v>563</v>
      </c>
      <c r="K1" s="60" t="s">
        <v>1052</v>
      </c>
      <c r="L1" s="60" t="s">
        <v>1040</v>
      </c>
    </row>
    <row r="2" spans="1:12" x14ac:dyDescent="0.25">
      <c r="A2" s="59">
        <v>1</v>
      </c>
      <c r="B2" s="58" t="s">
        <v>8</v>
      </c>
      <c r="C2" s="58" t="s">
        <v>8</v>
      </c>
      <c r="D2" s="58" t="s">
        <v>569</v>
      </c>
      <c r="E2" s="58" t="s">
        <v>580</v>
      </c>
      <c r="F2" s="58" t="s">
        <v>581</v>
      </c>
      <c r="G2" s="58" t="s">
        <v>582</v>
      </c>
      <c r="H2" s="58" t="s">
        <v>583</v>
      </c>
      <c r="I2" s="58" t="s">
        <v>148</v>
      </c>
      <c r="J2" s="58" t="s">
        <v>9</v>
      </c>
      <c r="K2" s="58" t="s">
        <v>579</v>
      </c>
      <c r="L2">
        <v>285</v>
      </c>
    </row>
    <row r="3" spans="1:12" x14ac:dyDescent="0.25">
      <c r="A3" s="59">
        <v>2</v>
      </c>
      <c r="B3" s="58" t="s">
        <v>7</v>
      </c>
      <c r="C3" s="58" t="s">
        <v>7</v>
      </c>
      <c r="D3" s="58" t="s">
        <v>569</v>
      </c>
      <c r="E3" s="58" t="s">
        <v>571</v>
      </c>
      <c r="F3" s="58" t="s">
        <v>572</v>
      </c>
      <c r="G3" s="58" t="s">
        <v>572</v>
      </c>
      <c r="H3" s="58" t="s">
        <v>573</v>
      </c>
      <c r="I3" s="58" t="s">
        <v>574</v>
      </c>
      <c r="J3" s="58" t="s">
        <v>575</v>
      </c>
      <c r="K3" s="58" t="s">
        <v>570</v>
      </c>
      <c r="L3">
        <v>64</v>
      </c>
    </row>
    <row r="4" spans="1:12" x14ac:dyDescent="0.25">
      <c r="A4" s="59">
        <v>3</v>
      </c>
      <c r="B4" s="58" t="s">
        <v>7</v>
      </c>
      <c r="C4" s="58" t="s">
        <v>7</v>
      </c>
      <c r="D4" s="58" t="s">
        <v>569</v>
      </c>
      <c r="E4" s="58" t="s">
        <v>607</v>
      </c>
      <c r="F4" s="58" t="s">
        <v>608</v>
      </c>
      <c r="G4" s="58" t="s">
        <v>608</v>
      </c>
      <c r="H4" s="58" t="s">
        <v>609</v>
      </c>
      <c r="I4" s="58" t="s">
        <v>610</v>
      </c>
      <c r="J4" s="58" t="s">
        <v>575</v>
      </c>
      <c r="K4" s="58" t="s">
        <v>570</v>
      </c>
      <c r="L4">
        <v>45103</v>
      </c>
    </row>
    <row r="5" spans="1:12" x14ac:dyDescent="0.25">
      <c r="A5" s="59">
        <v>4</v>
      </c>
      <c r="B5" s="58" t="s">
        <v>11</v>
      </c>
      <c r="C5" s="58" t="s">
        <v>11</v>
      </c>
      <c r="D5" s="58" t="s">
        <v>1041</v>
      </c>
      <c r="E5" s="58" t="s">
        <v>1019</v>
      </c>
      <c r="F5" s="58" t="s">
        <v>950</v>
      </c>
      <c r="G5" s="58" t="s">
        <v>950</v>
      </c>
      <c r="H5" s="58" t="s">
        <v>845</v>
      </c>
      <c r="I5" s="58" t="s">
        <v>592</v>
      </c>
      <c r="J5" s="58" t="s">
        <v>593</v>
      </c>
      <c r="K5" s="58" t="s">
        <v>570</v>
      </c>
      <c r="L5">
        <v>21318</v>
      </c>
    </row>
    <row r="6" spans="1:12" x14ac:dyDescent="0.25">
      <c r="A6" s="59">
        <v>5</v>
      </c>
      <c r="B6" s="58" t="s">
        <v>11</v>
      </c>
      <c r="C6" s="58" t="s">
        <v>11</v>
      </c>
      <c r="D6" s="58" t="s">
        <v>569</v>
      </c>
      <c r="E6" s="58" t="s">
        <v>590</v>
      </c>
      <c r="F6" s="58" t="s">
        <v>591</v>
      </c>
      <c r="G6" s="58" t="s">
        <v>591</v>
      </c>
      <c r="H6" s="58" t="s">
        <v>74</v>
      </c>
      <c r="I6" s="58" t="s">
        <v>592</v>
      </c>
      <c r="J6" s="58" t="s">
        <v>593</v>
      </c>
      <c r="K6" s="58" t="s">
        <v>570</v>
      </c>
      <c r="L6">
        <v>333</v>
      </c>
    </row>
    <row r="7" spans="1:12" x14ac:dyDescent="0.25">
      <c r="A7" s="59">
        <v>6</v>
      </c>
      <c r="B7" s="58" t="s">
        <v>6</v>
      </c>
      <c r="C7" s="58" t="s">
        <v>6</v>
      </c>
      <c r="D7" s="58" t="s">
        <v>569</v>
      </c>
      <c r="E7" s="58" t="s">
        <v>602</v>
      </c>
      <c r="F7" s="58" t="s">
        <v>603</v>
      </c>
      <c r="G7" s="58" t="s">
        <v>603</v>
      </c>
      <c r="H7" s="58" t="s">
        <v>76</v>
      </c>
      <c r="I7" s="58" t="s">
        <v>604</v>
      </c>
      <c r="J7" s="58" t="s">
        <v>593</v>
      </c>
      <c r="K7" s="58" t="s">
        <v>570</v>
      </c>
      <c r="L7">
        <v>582</v>
      </c>
    </row>
    <row r="8" spans="1:12" x14ac:dyDescent="0.25">
      <c r="A8" s="59">
        <v>7</v>
      </c>
      <c r="B8" s="58" t="s">
        <v>2</v>
      </c>
      <c r="C8" s="58" t="s">
        <v>2</v>
      </c>
      <c r="D8" s="58" t="s">
        <v>569</v>
      </c>
      <c r="E8" s="58" t="s">
        <v>823</v>
      </c>
      <c r="F8" s="58" t="s">
        <v>824</v>
      </c>
      <c r="G8" s="58" t="s">
        <v>824</v>
      </c>
      <c r="H8" s="58" t="s">
        <v>825</v>
      </c>
      <c r="I8" s="58" t="s">
        <v>826</v>
      </c>
      <c r="J8" s="58" t="s">
        <v>593</v>
      </c>
      <c r="K8" s="58" t="s">
        <v>570</v>
      </c>
      <c r="L8">
        <v>7616</v>
      </c>
    </row>
    <row r="9" spans="1:12" x14ac:dyDescent="0.25">
      <c r="A9" s="59">
        <v>8</v>
      </c>
      <c r="B9" s="58" t="s">
        <v>4</v>
      </c>
      <c r="C9" s="58" t="s">
        <v>4</v>
      </c>
      <c r="D9" s="58" t="s">
        <v>569</v>
      </c>
      <c r="E9" s="58" t="s">
        <v>617</v>
      </c>
      <c r="F9" s="58" t="s">
        <v>618</v>
      </c>
      <c r="G9" s="58" t="s">
        <v>618</v>
      </c>
      <c r="H9" s="58" t="s">
        <v>619</v>
      </c>
      <c r="I9" s="58" t="s">
        <v>82</v>
      </c>
      <c r="J9" s="58" t="s">
        <v>620</v>
      </c>
      <c r="K9" s="58" t="s">
        <v>579</v>
      </c>
      <c r="L9">
        <v>628</v>
      </c>
    </row>
    <row r="10" spans="1:12" x14ac:dyDescent="0.25">
      <c r="A10" s="59">
        <v>9</v>
      </c>
      <c r="B10" s="58"/>
      <c r="C10" s="58"/>
      <c r="D10" s="58"/>
      <c r="E10" s="58"/>
      <c r="F10" s="58"/>
      <c r="G10" s="58" t="s">
        <v>626</v>
      </c>
      <c r="H10" s="58"/>
      <c r="I10" s="58"/>
      <c r="J10" s="58"/>
      <c r="K10" s="58"/>
      <c r="L10">
        <v>0</v>
      </c>
    </row>
    <row r="11" spans="1:12" x14ac:dyDescent="0.25">
      <c r="A11" s="59">
        <v>10</v>
      </c>
      <c r="B11" s="58" t="s">
        <v>6</v>
      </c>
      <c r="C11" s="58" t="s">
        <v>6</v>
      </c>
      <c r="D11" s="58" t="s">
        <v>569</v>
      </c>
      <c r="E11" s="58" t="s">
        <v>625</v>
      </c>
      <c r="F11" s="58" t="s">
        <v>626</v>
      </c>
      <c r="G11" s="58" t="s">
        <v>603</v>
      </c>
      <c r="H11" s="58" t="s">
        <v>103</v>
      </c>
      <c r="I11" s="58" t="s">
        <v>604</v>
      </c>
      <c r="J11" s="58" t="s">
        <v>593</v>
      </c>
      <c r="K11" s="58" t="s">
        <v>570</v>
      </c>
      <c r="L11">
        <v>692</v>
      </c>
    </row>
    <row r="12" spans="1:12" x14ac:dyDescent="0.25">
      <c r="A12" s="59">
        <v>11</v>
      </c>
      <c r="B12" s="58" t="s">
        <v>6</v>
      </c>
      <c r="C12" s="58" t="s">
        <v>6</v>
      </c>
      <c r="D12" s="58" t="s">
        <v>569</v>
      </c>
      <c r="E12" s="58" t="s">
        <v>602</v>
      </c>
      <c r="F12" s="58" t="s">
        <v>603</v>
      </c>
      <c r="G12" s="58" t="s">
        <v>635</v>
      </c>
      <c r="H12" s="58" t="s">
        <v>76</v>
      </c>
      <c r="I12" s="58" t="s">
        <v>604</v>
      </c>
      <c r="J12" s="58" t="s">
        <v>593</v>
      </c>
      <c r="K12" s="58" t="s">
        <v>570</v>
      </c>
      <c r="L12">
        <v>699</v>
      </c>
    </row>
    <row r="13" spans="1:12" x14ac:dyDescent="0.25">
      <c r="A13" s="59">
        <v>12</v>
      </c>
      <c r="B13" s="58" t="s">
        <v>10</v>
      </c>
      <c r="C13" s="58" t="s">
        <v>10</v>
      </c>
      <c r="D13" s="58" t="s">
        <v>569</v>
      </c>
      <c r="E13" s="58" t="s">
        <v>634</v>
      </c>
      <c r="F13" s="58" t="s">
        <v>635</v>
      </c>
      <c r="G13" s="58" t="s">
        <v>608</v>
      </c>
      <c r="H13" s="58" t="s">
        <v>636</v>
      </c>
      <c r="I13" s="58" t="s">
        <v>637</v>
      </c>
      <c r="J13" s="58" t="s">
        <v>589</v>
      </c>
      <c r="K13" s="58" t="s">
        <v>633</v>
      </c>
      <c r="L13">
        <v>706</v>
      </c>
    </row>
    <row r="14" spans="1:12" x14ac:dyDescent="0.25">
      <c r="A14" s="59">
        <v>13</v>
      </c>
      <c r="B14" s="58" t="s">
        <v>7</v>
      </c>
      <c r="C14" s="58" t="s">
        <v>7</v>
      </c>
      <c r="D14" s="58" t="s">
        <v>569</v>
      </c>
      <c r="E14" s="58" t="s">
        <v>641</v>
      </c>
      <c r="F14" s="58" t="s">
        <v>608</v>
      </c>
      <c r="G14" s="58" t="s">
        <v>648</v>
      </c>
      <c r="H14" s="58" t="s">
        <v>642</v>
      </c>
      <c r="I14" s="58" t="s">
        <v>610</v>
      </c>
      <c r="J14" s="58" t="s">
        <v>575</v>
      </c>
      <c r="K14" s="58" t="s">
        <v>570</v>
      </c>
      <c r="L14">
        <v>716</v>
      </c>
    </row>
    <row r="15" spans="1:12" x14ac:dyDescent="0.25">
      <c r="A15" s="59">
        <v>14</v>
      </c>
      <c r="B15" s="58" t="s">
        <v>11</v>
      </c>
      <c r="C15" s="58" t="s">
        <v>11</v>
      </c>
      <c r="D15" s="58" t="s">
        <v>569</v>
      </c>
      <c r="E15" s="58" t="s">
        <v>647</v>
      </c>
      <c r="F15" s="58" t="s">
        <v>648</v>
      </c>
      <c r="G15" s="58" t="s">
        <v>657</v>
      </c>
      <c r="H15" s="58" t="s">
        <v>649</v>
      </c>
      <c r="I15" s="58" t="s">
        <v>600</v>
      </c>
      <c r="J15" s="58" t="s">
        <v>601</v>
      </c>
      <c r="K15" s="58" t="s">
        <v>579</v>
      </c>
      <c r="L15">
        <v>865</v>
      </c>
    </row>
    <row r="16" spans="1:12" x14ac:dyDescent="0.25">
      <c r="A16" s="59">
        <v>15</v>
      </c>
      <c r="B16" s="58" t="s">
        <v>2</v>
      </c>
      <c r="C16" s="58" t="s">
        <v>2</v>
      </c>
      <c r="D16" s="58" t="s">
        <v>569</v>
      </c>
      <c r="E16" s="58" t="s">
        <v>656</v>
      </c>
      <c r="F16" s="58" t="s">
        <v>657</v>
      </c>
      <c r="G16" s="58" t="s">
        <v>603</v>
      </c>
      <c r="H16" s="58" t="s">
        <v>658</v>
      </c>
      <c r="I16" s="58" t="s">
        <v>659</v>
      </c>
      <c r="J16" s="58" t="s">
        <v>593</v>
      </c>
      <c r="K16" s="58" t="s">
        <v>579</v>
      </c>
      <c r="L16">
        <v>1113</v>
      </c>
    </row>
    <row r="17" spans="1:12" x14ac:dyDescent="0.25">
      <c r="A17" s="59">
        <v>16</v>
      </c>
      <c r="B17" s="58" t="s">
        <v>6</v>
      </c>
      <c r="C17" s="58" t="s">
        <v>6</v>
      </c>
      <c r="D17" s="58" t="s">
        <v>569</v>
      </c>
      <c r="E17" s="58" t="s">
        <v>666</v>
      </c>
      <c r="F17" s="58" t="s">
        <v>603</v>
      </c>
      <c r="G17" s="58" t="s">
        <v>608</v>
      </c>
      <c r="H17" s="58" t="s">
        <v>103</v>
      </c>
      <c r="I17" s="58" t="s">
        <v>604</v>
      </c>
      <c r="J17" s="58" t="s">
        <v>593</v>
      </c>
      <c r="K17" s="58" t="s">
        <v>646</v>
      </c>
      <c r="L17">
        <v>1452</v>
      </c>
    </row>
    <row r="18" spans="1:12" x14ac:dyDescent="0.25">
      <c r="A18" s="59">
        <v>17</v>
      </c>
      <c r="B18" s="58"/>
      <c r="C18" s="58"/>
      <c r="D18" s="58"/>
      <c r="E18" s="58"/>
      <c r="F18" s="58"/>
      <c r="G18" s="58" t="s">
        <v>603</v>
      </c>
      <c r="H18" s="58"/>
      <c r="I18" s="58"/>
      <c r="J18" s="58"/>
      <c r="K18" s="58"/>
      <c r="L18">
        <v>0</v>
      </c>
    </row>
    <row r="19" spans="1:12" x14ac:dyDescent="0.25">
      <c r="A19" s="59">
        <v>18</v>
      </c>
      <c r="B19" s="58" t="s">
        <v>7</v>
      </c>
      <c r="C19" s="58" t="s">
        <v>7</v>
      </c>
      <c r="D19" s="58" t="s">
        <v>569</v>
      </c>
      <c r="E19" s="58" t="s">
        <v>641</v>
      </c>
      <c r="F19" s="58" t="s">
        <v>608</v>
      </c>
      <c r="G19" s="58" t="s">
        <v>686</v>
      </c>
      <c r="H19" s="58" t="s">
        <v>642</v>
      </c>
      <c r="I19" s="58" t="s">
        <v>610</v>
      </c>
      <c r="J19" s="58" t="s">
        <v>575</v>
      </c>
      <c r="K19" s="58" t="s">
        <v>570</v>
      </c>
      <c r="L19">
        <v>1857</v>
      </c>
    </row>
    <row r="20" spans="1:12" x14ac:dyDescent="0.25">
      <c r="A20" s="59">
        <v>19</v>
      </c>
      <c r="B20" s="58" t="s">
        <v>6</v>
      </c>
      <c r="C20" s="58" t="s">
        <v>6</v>
      </c>
      <c r="D20" s="58" t="s">
        <v>569</v>
      </c>
      <c r="E20" s="58" t="s">
        <v>605</v>
      </c>
      <c r="F20" s="58" t="s">
        <v>603</v>
      </c>
      <c r="G20" s="58" t="s">
        <v>608</v>
      </c>
      <c r="H20" s="58" t="s">
        <v>606</v>
      </c>
      <c r="I20" s="58" t="s">
        <v>604</v>
      </c>
      <c r="J20" s="58" t="s">
        <v>593</v>
      </c>
      <c r="K20" s="58" t="s">
        <v>570</v>
      </c>
      <c r="L20">
        <v>1875</v>
      </c>
    </row>
    <row r="21" spans="1:12" x14ac:dyDescent="0.25">
      <c r="A21" s="59">
        <v>20</v>
      </c>
      <c r="B21" s="58" t="s">
        <v>8</v>
      </c>
      <c r="C21" s="58" t="s">
        <v>8</v>
      </c>
      <c r="D21" s="58" t="s">
        <v>569</v>
      </c>
      <c r="E21" s="58" t="s">
        <v>685</v>
      </c>
      <c r="F21" s="58" t="s">
        <v>686</v>
      </c>
      <c r="G21" s="58" t="s">
        <v>603</v>
      </c>
      <c r="H21" s="58" t="s">
        <v>687</v>
      </c>
      <c r="I21" s="58" t="s">
        <v>688</v>
      </c>
      <c r="J21" s="58" t="s">
        <v>601</v>
      </c>
      <c r="K21" s="58" t="s">
        <v>579</v>
      </c>
      <c r="L21">
        <v>2017</v>
      </c>
    </row>
    <row r="22" spans="1:12" x14ac:dyDescent="0.25">
      <c r="A22" s="59">
        <v>21</v>
      </c>
      <c r="B22" s="58"/>
      <c r="C22" s="58"/>
      <c r="D22" s="58"/>
      <c r="E22" s="58"/>
      <c r="F22" s="58"/>
      <c r="G22" s="58" t="s">
        <v>708</v>
      </c>
      <c r="H22" s="58"/>
      <c r="I22" s="58"/>
      <c r="J22" s="58"/>
      <c r="K22" s="58"/>
      <c r="L22">
        <v>0</v>
      </c>
    </row>
    <row r="23" spans="1:12" x14ac:dyDescent="0.25">
      <c r="A23" s="59">
        <v>22</v>
      </c>
      <c r="B23" s="58" t="s">
        <v>7</v>
      </c>
      <c r="C23" s="58" t="s">
        <v>7</v>
      </c>
      <c r="D23" s="58" t="s">
        <v>569</v>
      </c>
      <c r="E23" s="58" t="s">
        <v>607</v>
      </c>
      <c r="F23" s="58" t="s">
        <v>608</v>
      </c>
      <c r="G23" s="58" t="s">
        <v>603</v>
      </c>
      <c r="H23" s="58" t="s">
        <v>609</v>
      </c>
      <c r="I23" s="58" t="s">
        <v>610</v>
      </c>
      <c r="J23" s="58" t="s">
        <v>575</v>
      </c>
      <c r="K23" s="58" t="s">
        <v>570</v>
      </c>
      <c r="L23">
        <v>2191</v>
      </c>
    </row>
    <row r="24" spans="1:12" x14ac:dyDescent="0.25">
      <c r="A24" s="59">
        <v>23</v>
      </c>
      <c r="B24" s="58" t="s">
        <v>6</v>
      </c>
      <c r="C24" s="58" t="s">
        <v>6</v>
      </c>
      <c r="D24" s="58" t="s">
        <v>569</v>
      </c>
      <c r="E24" s="58" t="s">
        <v>700</v>
      </c>
      <c r="F24" s="58" t="s">
        <v>603</v>
      </c>
      <c r="G24" s="58" t="s">
        <v>697</v>
      </c>
      <c r="H24" s="58" t="s">
        <v>103</v>
      </c>
      <c r="I24" s="58" t="s">
        <v>604</v>
      </c>
      <c r="J24" s="58" t="s">
        <v>593</v>
      </c>
      <c r="K24" s="58" t="s">
        <v>570</v>
      </c>
      <c r="L24">
        <v>2695</v>
      </c>
    </row>
    <row r="25" spans="1:12" x14ac:dyDescent="0.25">
      <c r="A25" s="59">
        <v>24</v>
      </c>
      <c r="B25" s="58"/>
      <c r="C25" s="58"/>
      <c r="D25" s="58"/>
      <c r="E25" s="58"/>
      <c r="F25" s="58"/>
      <c r="G25" s="58" t="s">
        <v>718</v>
      </c>
      <c r="H25" s="58"/>
      <c r="I25" s="58"/>
      <c r="J25" s="58"/>
      <c r="K25" s="58"/>
      <c r="L25">
        <v>0</v>
      </c>
    </row>
    <row r="26" spans="1:12" x14ac:dyDescent="0.25">
      <c r="A26" s="59">
        <v>25</v>
      </c>
      <c r="B26" s="58"/>
      <c r="C26" s="58"/>
      <c r="D26" s="58"/>
      <c r="E26" s="58"/>
      <c r="F26" s="58"/>
      <c r="G26" s="58" t="s">
        <v>728</v>
      </c>
      <c r="H26" s="58"/>
      <c r="I26" s="58"/>
      <c r="J26" s="58"/>
      <c r="K26" s="58"/>
      <c r="L26">
        <v>0</v>
      </c>
    </row>
    <row r="27" spans="1:12" x14ac:dyDescent="0.25">
      <c r="A27" s="59">
        <v>26</v>
      </c>
      <c r="B27" s="58"/>
      <c r="C27" s="58"/>
      <c r="D27" s="58"/>
      <c r="E27" s="58"/>
      <c r="F27" s="58"/>
      <c r="G27" s="58" t="s">
        <v>735</v>
      </c>
      <c r="H27" s="58"/>
      <c r="I27" s="58"/>
      <c r="J27" s="58"/>
      <c r="K27" s="58"/>
      <c r="L27">
        <v>0</v>
      </c>
    </row>
    <row r="28" spans="1:12" x14ac:dyDescent="0.25">
      <c r="A28" s="59">
        <v>27</v>
      </c>
      <c r="B28" s="58" t="s">
        <v>11</v>
      </c>
      <c r="C28" s="58" t="s">
        <v>11</v>
      </c>
      <c r="D28" s="58" t="s">
        <v>569</v>
      </c>
      <c r="E28" s="58" t="s">
        <v>707</v>
      </c>
      <c r="F28" s="58" t="s">
        <v>708</v>
      </c>
      <c r="G28" s="58" t="s">
        <v>745</v>
      </c>
      <c r="H28" s="58" t="s">
        <v>74</v>
      </c>
      <c r="I28" s="58" t="s">
        <v>592</v>
      </c>
      <c r="J28" s="58" t="s">
        <v>593</v>
      </c>
      <c r="K28" s="58" t="s">
        <v>579</v>
      </c>
      <c r="L28">
        <v>3329</v>
      </c>
    </row>
    <row r="29" spans="1:12" x14ac:dyDescent="0.25">
      <c r="A29" s="59">
        <v>28</v>
      </c>
      <c r="B29" s="58" t="s">
        <v>6</v>
      </c>
      <c r="C29" s="58" t="s">
        <v>6</v>
      </c>
      <c r="D29" s="58" t="s">
        <v>569</v>
      </c>
      <c r="E29" s="58" t="s">
        <v>666</v>
      </c>
      <c r="F29" s="58" t="s">
        <v>603</v>
      </c>
      <c r="G29" s="58" t="s">
        <v>757</v>
      </c>
      <c r="H29" s="58" t="s">
        <v>103</v>
      </c>
      <c r="I29" s="58" t="s">
        <v>604</v>
      </c>
      <c r="J29" s="58" t="s">
        <v>593</v>
      </c>
      <c r="K29" s="58" t="s">
        <v>579</v>
      </c>
      <c r="L29">
        <v>3398</v>
      </c>
    </row>
    <row r="30" spans="1:12" x14ac:dyDescent="0.25">
      <c r="A30" s="59">
        <v>29</v>
      </c>
      <c r="B30" s="58" t="s">
        <v>4</v>
      </c>
      <c r="C30" s="58" t="s">
        <v>4</v>
      </c>
      <c r="D30" s="58" t="s">
        <v>569</v>
      </c>
      <c r="E30" s="58" t="s">
        <v>722</v>
      </c>
      <c r="F30" s="58" t="s">
        <v>697</v>
      </c>
      <c r="G30" s="58" t="s">
        <v>763</v>
      </c>
      <c r="H30" s="58" t="s">
        <v>723</v>
      </c>
      <c r="I30" s="58" t="s">
        <v>653</v>
      </c>
      <c r="J30" s="58" t="s">
        <v>620</v>
      </c>
      <c r="K30" s="58" t="s">
        <v>579</v>
      </c>
      <c r="L30">
        <v>3564</v>
      </c>
    </row>
    <row r="31" spans="1:12" x14ac:dyDescent="0.25">
      <c r="A31" s="59">
        <v>30</v>
      </c>
      <c r="B31" s="58" t="s">
        <v>4</v>
      </c>
      <c r="C31" s="58" t="s">
        <v>4</v>
      </c>
      <c r="D31" s="58" t="s">
        <v>569</v>
      </c>
      <c r="E31" s="58" t="s">
        <v>717</v>
      </c>
      <c r="F31" s="58" t="s">
        <v>718</v>
      </c>
      <c r="G31" s="58" t="s">
        <v>766</v>
      </c>
      <c r="H31" s="58" t="s">
        <v>706</v>
      </c>
      <c r="I31" s="58" t="s">
        <v>148</v>
      </c>
      <c r="J31" s="58" t="s">
        <v>9</v>
      </c>
      <c r="K31" s="58" t="s">
        <v>579</v>
      </c>
      <c r="L31">
        <v>3551</v>
      </c>
    </row>
    <row r="32" spans="1:12" x14ac:dyDescent="0.25">
      <c r="A32" s="59">
        <v>31</v>
      </c>
      <c r="B32" s="58" t="s">
        <v>2</v>
      </c>
      <c r="C32" s="58" t="s">
        <v>2</v>
      </c>
      <c r="D32" s="58" t="s">
        <v>569</v>
      </c>
      <c r="E32" s="58" t="s">
        <v>727</v>
      </c>
      <c r="F32" s="58" t="s">
        <v>728</v>
      </c>
      <c r="G32" s="58" t="s">
        <v>1035</v>
      </c>
      <c r="H32" s="58" t="s">
        <v>705</v>
      </c>
      <c r="I32" s="58" t="s">
        <v>659</v>
      </c>
      <c r="J32" s="58" t="s">
        <v>593</v>
      </c>
      <c r="K32" s="58" t="s">
        <v>570</v>
      </c>
      <c r="L32">
        <v>3635</v>
      </c>
    </row>
    <row r="33" spans="1:12" x14ac:dyDescent="0.25">
      <c r="A33" s="59">
        <v>32</v>
      </c>
      <c r="B33" s="58" t="s">
        <v>5</v>
      </c>
      <c r="C33" s="58" t="s">
        <v>5</v>
      </c>
      <c r="D33" s="58" t="s">
        <v>569</v>
      </c>
      <c r="E33" s="58" t="s">
        <v>734</v>
      </c>
      <c r="F33" s="58" t="s">
        <v>735</v>
      </c>
      <c r="G33" s="58" t="s">
        <v>608</v>
      </c>
      <c r="H33" s="58" t="s">
        <v>736</v>
      </c>
      <c r="I33" s="58" t="s">
        <v>737</v>
      </c>
      <c r="J33" s="58" t="s">
        <v>738</v>
      </c>
      <c r="K33" s="58" t="s">
        <v>579</v>
      </c>
      <c r="L33">
        <v>3751</v>
      </c>
    </row>
    <row r="34" spans="1:12" x14ac:dyDescent="0.25">
      <c r="A34" s="59">
        <v>33</v>
      </c>
      <c r="B34" s="58" t="s">
        <v>4</v>
      </c>
      <c r="C34" s="58" t="s">
        <v>4</v>
      </c>
      <c r="D34" s="58" t="s">
        <v>569</v>
      </c>
      <c r="E34" s="58" t="s">
        <v>744</v>
      </c>
      <c r="F34" s="58" t="s">
        <v>745</v>
      </c>
      <c r="G34" s="58" t="s">
        <v>777</v>
      </c>
      <c r="H34" s="58" t="s">
        <v>746</v>
      </c>
      <c r="I34" s="58" t="s">
        <v>747</v>
      </c>
      <c r="J34" s="58" t="s">
        <v>85</v>
      </c>
      <c r="K34" s="58" t="s">
        <v>743</v>
      </c>
      <c r="L34">
        <v>3944</v>
      </c>
    </row>
    <row r="35" spans="1:12" x14ac:dyDescent="0.25">
      <c r="A35" s="59">
        <v>34</v>
      </c>
      <c r="B35" s="58" t="s">
        <v>7</v>
      </c>
      <c r="C35" s="58" t="s">
        <v>7</v>
      </c>
      <c r="D35" s="58" t="s">
        <v>569</v>
      </c>
      <c r="E35" s="58" t="s">
        <v>756</v>
      </c>
      <c r="F35" s="58" t="s">
        <v>757</v>
      </c>
      <c r="G35" s="58" t="s">
        <v>785</v>
      </c>
      <c r="H35" s="58" t="s">
        <v>758</v>
      </c>
      <c r="I35" s="58" t="s">
        <v>574</v>
      </c>
      <c r="J35" s="58" t="s">
        <v>575</v>
      </c>
      <c r="K35" s="58" t="s">
        <v>633</v>
      </c>
      <c r="L35">
        <v>4151</v>
      </c>
    </row>
    <row r="36" spans="1:12" x14ac:dyDescent="0.25">
      <c r="A36" s="59">
        <v>35</v>
      </c>
      <c r="B36" s="58"/>
      <c r="C36" s="58"/>
      <c r="D36" s="58"/>
      <c r="E36" s="58"/>
      <c r="F36" s="58"/>
      <c r="G36" s="58" t="s">
        <v>792</v>
      </c>
      <c r="H36" s="58"/>
      <c r="I36" s="58"/>
      <c r="J36" s="58"/>
      <c r="K36" s="58"/>
      <c r="L36">
        <v>0</v>
      </c>
    </row>
    <row r="37" spans="1:12" x14ac:dyDescent="0.25">
      <c r="A37" s="59">
        <v>36</v>
      </c>
      <c r="B37" s="58" t="s">
        <v>9</v>
      </c>
      <c r="C37" s="58" t="s">
        <v>9</v>
      </c>
      <c r="D37" s="58" t="s">
        <v>569</v>
      </c>
      <c r="E37" s="58" t="s">
        <v>762</v>
      </c>
      <c r="F37" s="58" t="s">
        <v>763</v>
      </c>
      <c r="G37" s="58" t="s">
        <v>799</v>
      </c>
      <c r="H37" s="58" t="s">
        <v>764</v>
      </c>
      <c r="I37" s="58" t="s">
        <v>148</v>
      </c>
      <c r="J37" s="58" t="s">
        <v>9</v>
      </c>
      <c r="K37" s="58" t="s">
        <v>570</v>
      </c>
      <c r="L37">
        <v>4826</v>
      </c>
    </row>
    <row r="38" spans="1:12" x14ac:dyDescent="0.25">
      <c r="A38" s="59">
        <v>37</v>
      </c>
      <c r="B38" s="58" t="s">
        <v>12</v>
      </c>
      <c r="C38" s="58" t="s">
        <v>12</v>
      </c>
      <c r="D38" s="58" t="s">
        <v>569</v>
      </c>
      <c r="E38" s="58" t="s">
        <v>765</v>
      </c>
      <c r="F38" s="58" t="s">
        <v>766</v>
      </c>
      <c r="G38" s="58" t="s">
        <v>810</v>
      </c>
      <c r="H38" s="58" t="s">
        <v>614</v>
      </c>
      <c r="I38" s="58" t="s">
        <v>615</v>
      </c>
      <c r="J38" s="58" t="s">
        <v>616</v>
      </c>
      <c r="K38" s="58" t="s">
        <v>646</v>
      </c>
      <c r="L38">
        <v>5052</v>
      </c>
    </row>
    <row r="39" spans="1:12" x14ac:dyDescent="0.25">
      <c r="A39" s="59">
        <v>38</v>
      </c>
      <c r="B39" s="58" t="s">
        <v>9</v>
      </c>
      <c r="C39" s="58" t="s">
        <v>9</v>
      </c>
      <c r="D39" s="58" t="s">
        <v>569</v>
      </c>
      <c r="E39" s="58" t="s">
        <v>1034</v>
      </c>
      <c r="F39" s="58" t="s">
        <v>1035</v>
      </c>
      <c r="G39" s="58" t="s">
        <v>792</v>
      </c>
      <c r="H39" s="58" t="s">
        <v>583</v>
      </c>
      <c r="I39" s="58" t="s">
        <v>148</v>
      </c>
      <c r="J39" s="58" t="s">
        <v>9</v>
      </c>
      <c r="K39" s="58" t="s">
        <v>579</v>
      </c>
      <c r="L39">
        <v>73894</v>
      </c>
    </row>
    <row r="40" spans="1:12" x14ac:dyDescent="0.25">
      <c r="A40" s="59">
        <v>39</v>
      </c>
      <c r="B40" s="58" t="s">
        <v>7</v>
      </c>
      <c r="C40" s="58" t="s">
        <v>7</v>
      </c>
      <c r="D40" s="58" t="s">
        <v>569</v>
      </c>
      <c r="E40" s="58" t="s">
        <v>607</v>
      </c>
      <c r="F40" s="58" t="s">
        <v>608</v>
      </c>
      <c r="G40" s="58" t="s">
        <v>608</v>
      </c>
      <c r="H40" s="58" t="s">
        <v>609</v>
      </c>
      <c r="I40" s="58" t="s">
        <v>610</v>
      </c>
      <c r="J40" s="58" t="s">
        <v>575</v>
      </c>
      <c r="K40" s="58" t="s">
        <v>570</v>
      </c>
      <c r="L40">
        <v>5377</v>
      </c>
    </row>
    <row r="41" spans="1:12" x14ac:dyDescent="0.25">
      <c r="A41" s="59">
        <v>40</v>
      </c>
      <c r="B41" s="58"/>
      <c r="C41" s="58"/>
      <c r="D41" s="58"/>
      <c r="E41" s="58"/>
      <c r="F41" s="58"/>
      <c r="G41" s="58" t="s">
        <v>603</v>
      </c>
      <c r="H41" s="58"/>
      <c r="I41" s="58"/>
      <c r="J41" s="58"/>
      <c r="K41" s="58"/>
      <c r="L41">
        <v>0</v>
      </c>
    </row>
    <row r="42" spans="1:12" x14ac:dyDescent="0.25">
      <c r="A42" s="59">
        <v>41</v>
      </c>
      <c r="B42" s="58" t="s">
        <v>12</v>
      </c>
      <c r="C42" s="58" t="s">
        <v>12</v>
      </c>
      <c r="D42" s="58" t="s">
        <v>569</v>
      </c>
      <c r="E42" s="58" t="s">
        <v>776</v>
      </c>
      <c r="F42" s="58" t="s">
        <v>777</v>
      </c>
      <c r="G42" s="58" t="s">
        <v>676</v>
      </c>
      <c r="H42" s="58" t="s">
        <v>778</v>
      </c>
      <c r="I42" s="58" t="s">
        <v>779</v>
      </c>
      <c r="J42" s="58" t="s">
        <v>616</v>
      </c>
      <c r="K42" s="58" t="s">
        <v>579</v>
      </c>
      <c r="L42">
        <v>6113</v>
      </c>
    </row>
    <row r="43" spans="1:12" x14ac:dyDescent="0.25">
      <c r="A43" s="59">
        <v>42</v>
      </c>
      <c r="B43" s="58"/>
      <c r="C43" s="58"/>
      <c r="D43" s="58"/>
      <c r="E43" s="58"/>
      <c r="F43" s="58"/>
      <c r="G43" s="58" t="s">
        <v>837</v>
      </c>
      <c r="H43" s="58"/>
      <c r="I43" s="58"/>
      <c r="J43" s="58"/>
      <c r="K43" s="58"/>
      <c r="L43">
        <v>0</v>
      </c>
    </row>
    <row r="44" spans="1:12" x14ac:dyDescent="0.25">
      <c r="A44" s="59">
        <v>43</v>
      </c>
      <c r="B44" s="58"/>
      <c r="C44" s="58"/>
      <c r="D44" s="58"/>
      <c r="E44" s="58"/>
      <c r="F44" s="58"/>
      <c r="G44" s="58" t="s">
        <v>844</v>
      </c>
      <c r="H44" s="58"/>
      <c r="I44" s="58"/>
      <c r="J44" s="58"/>
      <c r="K44" s="58"/>
      <c r="L44">
        <v>0</v>
      </c>
    </row>
    <row r="45" spans="1:12" x14ac:dyDescent="0.25">
      <c r="A45" s="59">
        <v>44</v>
      </c>
      <c r="B45" s="58" t="s">
        <v>8</v>
      </c>
      <c r="C45" s="58" t="s">
        <v>8</v>
      </c>
      <c r="D45" s="58" t="s">
        <v>569</v>
      </c>
      <c r="E45" s="58" t="s">
        <v>784</v>
      </c>
      <c r="F45" s="58" t="s">
        <v>785</v>
      </c>
      <c r="G45" s="58" t="s">
        <v>851</v>
      </c>
      <c r="H45" s="58" t="s">
        <v>786</v>
      </c>
      <c r="I45" s="58" t="s">
        <v>698</v>
      </c>
      <c r="J45" s="58" t="s">
        <v>624</v>
      </c>
      <c r="K45" s="58" t="s">
        <v>579</v>
      </c>
      <c r="L45">
        <v>6287</v>
      </c>
    </row>
    <row r="46" spans="1:12" x14ac:dyDescent="0.25">
      <c r="A46" s="59">
        <v>45</v>
      </c>
      <c r="B46" s="58" t="s">
        <v>3</v>
      </c>
      <c r="C46" s="58" t="s">
        <v>3</v>
      </c>
      <c r="D46" s="58" t="s">
        <v>569</v>
      </c>
      <c r="E46" s="58" t="s">
        <v>791</v>
      </c>
      <c r="F46" s="58" t="s">
        <v>792</v>
      </c>
      <c r="G46" s="58" t="s">
        <v>857</v>
      </c>
      <c r="H46" s="58" t="s">
        <v>793</v>
      </c>
      <c r="I46" s="58" t="s">
        <v>688</v>
      </c>
      <c r="J46" s="58" t="s">
        <v>601</v>
      </c>
      <c r="K46" s="58" t="s">
        <v>579</v>
      </c>
      <c r="L46">
        <v>6595</v>
      </c>
    </row>
    <row r="47" spans="1:12" x14ac:dyDescent="0.25">
      <c r="A47" s="59">
        <v>46</v>
      </c>
      <c r="B47" s="58" t="s">
        <v>8</v>
      </c>
      <c r="C47" s="58" t="s">
        <v>8</v>
      </c>
      <c r="D47" s="58" t="s">
        <v>569</v>
      </c>
      <c r="E47" s="58" t="s">
        <v>798</v>
      </c>
      <c r="F47" s="58" t="s">
        <v>799</v>
      </c>
      <c r="G47" s="58" t="s">
        <v>603</v>
      </c>
      <c r="H47" s="58" t="s">
        <v>771</v>
      </c>
      <c r="I47" s="58" t="s">
        <v>600</v>
      </c>
      <c r="J47" s="58" t="s">
        <v>601</v>
      </c>
      <c r="K47" s="58" t="s">
        <v>579</v>
      </c>
      <c r="L47">
        <v>7147</v>
      </c>
    </row>
    <row r="48" spans="1:12" x14ac:dyDescent="0.25">
      <c r="A48" s="59">
        <v>47</v>
      </c>
      <c r="B48" s="58" t="s">
        <v>8</v>
      </c>
      <c r="C48" s="58" t="s">
        <v>8</v>
      </c>
      <c r="D48" s="58" t="s">
        <v>569</v>
      </c>
      <c r="E48" s="58" t="s">
        <v>809</v>
      </c>
      <c r="F48" s="58" t="s">
        <v>810</v>
      </c>
      <c r="G48" s="58" t="s">
        <v>697</v>
      </c>
      <c r="H48" s="58" t="s">
        <v>692</v>
      </c>
      <c r="I48" s="58" t="s">
        <v>693</v>
      </c>
      <c r="J48" s="58" t="s">
        <v>601</v>
      </c>
      <c r="K48" s="58" t="s">
        <v>646</v>
      </c>
      <c r="L48">
        <v>7166</v>
      </c>
    </row>
    <row r="49" spans="1:12" x14ac:dyDescent="0.25">
      <c r="A49" s="59">
        <v>48</v>
      </c>
      <c r="B49" s="58" t="s">
        <v>3</v>
      </c>
      <c r="C49" s="58" t="s">
        <v>3</v>
      </c>
      <c r="D49" s="58" t="s">
        <v>569</v>
      </c>
      <c r="E49" s="58" t="s">
        <v>791</v>
      </c>
      <c r="F49" s="58" t="s">
        <v>792</v>
      </c>
      <c r="G49" s="58" t="s">
        <v>869</v>
      </c>
      <c r="H49" s="58" t="s">
        <v>793</v>
      </c>
      <c r="I49" s="58" t="s">
        <v>688</v>
      </c>
      <c r="J49" s="58" t="s">
        <v>601</v>
      </c>
      <c r="K49" s="58" t="s">
        <v>579</v>
      </c>
      <c r="L49">
        <v>7164</v>
      </c>
    </row>
    <row r="50" spans="1:12" x14ac:dyDescent="0.25">
      <c r="A50" s="59">
        <v>49</v>
      </c>
      <c r="B50" s="58" t="s">
        <v>7</v>
      </c>
      <c r="C50" s="58" t="s">
        <v>7</v>
      </c>
      <c r="D50" s="58" t="s">
        <v>569</v>
      </c>
      <c r="E50" s="58" t="s">
        <v>641</v>
      </c>
      <c r="F50" s="58" t="s">
        <v>608</v>
      </c>
      <c r="G50" s="58" t="s">
        <v>676</v>
      </c>
      <c r="H50" s="58" t="s">
        <v>642</v>
      </c>
      <c r="I50" s="58" t="s">
        <v>610</v>
      </c>
      <c r="J50" s="58" t="s">
        <v>575</v>
      </c>
      <c r="K50" s="58" t="s">
        <v>570</v>
      </c>
      <c r="L50">
        <v>7345</v>
      </c>
    </row>
    <row r="51" spans="1:12" x14ac:dyDescent="0.25">
      <c r="A51" s="59">
        <v>50</v>
      </c>
      <c r="B51" s="58" t="s">
        <v>6</v>
      </c>
      <c r="C51" s="58" t="s">
        <v>6</v>
      </c>
      <c r="D51" s="58" t="s">
        <v>569</v>
      </c>
      <c r="E51" s="58" t="s">
        <v>666</v>
      </c>
      <c r="F51" s="58" t="s">
        <v>603</v>
      </c>
      <c r="G51" s="58" t="s">
        <v>879</v>
      </c>
      <c r="H51" s="58" t="s">
        <v>103</v>
      </c>
      <c r="I51" s="58" t="s">
        <v>604</v>
      </c>
      <c r="J51" s="58" t="s">
        <v>593</v>
      </c>
      <c r="K51" s="58" t="s">
        <v>579</v>
      </c>
      <c r="L51">
        <v>7599</v>
      </c>
    </row>
    <row r="52" spans="1:12" x14ac:dyDescent="0.25">
      <c r="A52" s="59">
        <v>51</v>
      </c>
      <c r="B52" s="58" t="s">
        <v>3</v>
      </c>
      <c r="C52" s="58" t="s">
        <v>3</v>
      </c>
      <c r="D52" s="58" t="s">
        <v>569</v>
      </c>
      <c r="E52" s="58" t="s">
        <v>675</v>
      </c>
      <c r="F52" s="58" t="s">
        <v>676</v>
      </c>
      <c r="G52" s="58" t="s">
        <v>830</v>
      </c>
      <c r="H52" s="58" t="s">
        <v>677</v>
      </c>
      <c r="I52" s="58" t="s">
        <v>678</v>
      </c>
      <c r="J52" s="58" t="s">
        <v>85</v>
      </c>
      <c r="K52" s="58" t="s">
        <v>579</v>
      </c>
      <c r="L52">
        <v>8526</v>
      </c>
    </row>
    <row r="53" spans="1:12" x14ac:dyDescent="0.25">
      <c r="A53" s="59">
        <v>52</v>
      </c>
      <c r="B53" s="58" t="s">
        <v>8</v>
      </c>
      <c r="C53" s="58" t="s">
        <v>8</v>
      </c>
      <c r="D53" s="58" t="s">
        <v>569</v>
      </c>
      <c r="E53" s="58" t="s">
        <v>836</v>
      </c>
      <c r="F53" s="58" t="s">
        <v>837</v>
      </c>
      <c r="G53" s="58" t="s">
        <v>965</v>
      </c>
      <c r="H53" s="58" t="s">
        <v>771</v>
      </c>
      <c r="I53" s="58" t="s">
        <v>600</v>
      </c>
      <c r="J53" s="58" t="s">
        <v>601</v>
      </c>
      <c r="K53" s="58" t="s">
        <v>579</v>
      </c>
      <c r="L53">
        <v>8553</v>
      </c>
    </row>
    <row r="54" spans="1:12" x14ac:dyDescent="0.25">
      <c r="A54" s="59">
        <v>53</v>
      </c>
      <c r="B54" s="58" t="s">
        <v>11</v>
      </c>
      <c r="C54" s="58" t="s">
        <v>11</v>
      </c>
      <c r="D54" s="58" t="s">
        <v>569</v>
      </c>
      <c r="E54" s="58" t="s">
        <v>843</v>
      </c>
      <c r="F54" s="58" t="s">
        <v>844</v>
      </c>
      <c r="G54" s="58" t="s">
        <v>608</v>
      </c>
      <c r="H54" s="58" t="s">
        <v>845</v>
      </c>
      <c r="I54" s="58" t="s">
        <v>592</v>
      </c>
      <c r="J54" s="58" t="s">
        <v>593</v>
      </c>
      <c r="K54" s="58" t="s">
        <v>570</v>
      </c>
      <c r="L54">
        <v>9284</v>
      </c>
    </row>
    <row r="55" spans="1:12" x14ac:dyDescent="0.25">
      <c r="A55" s="59">
        <v>54</v>
      </c>
      <c r="B55" s="58" t="s">
        <v>11</v>
      </c>
      <c r="C55" s="58" t="s">
        <v>11</v>
      </c>
      <c r="D55" s="58" t="s">
        <v>569</v>
      </c>
      <c r="E55" s="58" t="s">
        <v>850</v>
      </c>
      <c r="F55" s="58" t="s">
        <v>851</v>
      </c>
      <c r="G55" s="58" t="s">
        <v>603</v>
      </c>
      <c r="H55" s="58" t="s">
        <v>599</v>
      </c>
      <c r="I55" s="58" t="s">
        <v>600</v>
      </c>
      <c r="J55" s="58" t="s">
        <v>601</v>
      </c>
      <c r="K55" s="58" t="s">
        <v>570</v>
      </c>
      <c r="L55">
        <v>9298</v>
      </c>
    </row>
    <row r="56" spans="1:12" x14ac:dyDescent="0.25">
      <c r="A56" s="59">
        <v>55</v>
      </c>
      <c r="B56" s="58" t="s">
        <v>7</v>
      </c>
      <c r="C56" s="58" t="s">
        <v>7</v>
      </c>
      <c r="D56" s="58" t="s">
        <v>569</v>
      </c>
      <c r="E56" s="58" t="s">
        <v>856</v>
      </c>
      <c r="F56" s="58" t="s">
        <v>857</v>
      </c>
      <c r="G56" s="58" t="s">
        <v>591</v>
      </c>
      <c r="H56" s="58" t="s">
        <v>609</v>
      </c>
      <c r="I56" s="58" t="s">
        <v>610</v>
      </c>
      <c r="J56" s="58" t="s">
        <v>575</v>
      </c>
      <c r="K56" s="58" t="s">
        <v>579</v>
      </c>
      <c r="L56">
        <v>9829</v>
      </c>
    </row>
    <row r="57" spans="1:12" x14ac:dyDescent="0.25">
      <c r="A57" s="59">
        <v>56</v>
      </c>
      <c r="B57" s="58" t="s">
        <v>6</v>
      </c>
      <c r="C57" s="58" t="s">
        <v>6</v>
      </c>
      <c r="D57" s="58" t="s">
        <v>569</v>
      </c>
      <c r="E57" s="58" t="s">
        <v>666</v>
      </c>
      <c r="F57" s="58" t="s">
        <v>603</v>
      </c>
      <c r="G57" s="58" t="s">
        <v>697</v>
      </c>
      <c r="H57" s="58" t="s">
        <v>103</v>
      </c>
      <c r="I57" s="58" t="s">
        <v>604</v>
      </c>
      <c r="J57" s="58" t="s">
        <v>593</v>
      </c>
      <c r="K57" s="58" t="s">
        <v>579</v>
      </c>
      <c r="L57">
        <v>9871</v>
      </c>
    </row>
    <row r="58" spans="1:12" x14ac:dyDescent="0.25">
      <c r="A58" s="59">
        <v>57</v>
      </c>
      <c r="B58" s="58"/>
      <c r="C58" s="58"/>
      <c r="D58" s="58"/>
      <c r="E58" s="58"/>
      <c r="F58" s="58"/>
      <c r="G58" s="58" t="s">
        <v>603</v>
      </c>
      <c r="H58" s="58"/>
      <c r="I58" s="58"/>
      <c r="J58" s="58"/>
      <c r="K58" s="58"/>
      <c r="L58">
        <v>0</v>
      </c>
    </row>
    <row r="59" spans="1:12" x14ac:dyDescent="0.25">
      <c r="A59" s="59">
        <v>58</v>
      </c>
      <c r="B59" s="58" t="s">
        <v>4</v>
      </c>
      <c r="C59" s="58" t="s">
        <v>4</v>
      </c>
      <c r="D59" s="58" t="s">
        <v>569</v>
      </c>
      <c r="E59" s="58" t="s">
        <v>733</v>
      </c>
      <c r="F59" s="58" t="s">
        <v>697</v>
      </c>
      <c r="G59" s="58" t="s">
        <v>903</v>
      </c>
      <c r="H59" s="58" t="s">
        <v>699</v>
      </c>
      <c r="I59" s="58" t="s">
        <v>653</v>
      </c>
      <c r="J59" s="58" t="s">
        <v>620</v>
      </c>
      <c r="K59" s="58" t="s">
        <v>743</v>
      </c>
      <c r="L59">
        <v>58857</v>
      </c>
    </row>
    <row r="60" spans="1:12" x14ac:dyDescent="0.25">
      <c r="A60" s="59">
        <v>59</v>
      </c>
      <c r="B60" s="58" t="s">
        <v>8</v>
      </c>
      <c r="C60" s="58" t="s">
        <v>8</v>
      </c>
      <c r="D60" s="58" t="s">
        <v>569</v>
      </c>
      <c r="E60" s="58" t="s">
        <v>868</v>
      </c>
      <c r="F60" s="58" t="s">
        <v>869</v>
      </c>
      <c r="G60" s="58" t="s">
        <v>598</v>
      </c>
      <c r="H60" s="58" t="s">
        <v>771</v>
      </c>
      <c r="I60" s="58" t="s">
        <v>600</v>
      </c>
      <c r="J60" s="58" t="s">
        <v>601</v>
      </c>
      <c r="K60" s="58" t="s">
        <v>579</v>
      </c>
      <c r="L60" t="s">
        <v>867</v>
      </c>
    </row>
    <row r="61" spans="1:12" x14ac:dyDescent="0.25">
      <c r="A61" s="59">
        <v>60</v>
      </c>
      <c r="B61" s="58" t="s">
        <v>3</v>
      </c>
      <c r="C61" s="58" t="s">
        <v>3</v>
      </c>
      <c r="D61" s="58" t="s">
        <v>569</v>
      </c>
      <c r="E61" s="58" t="s">
        <v>675</v>
      </c>
      <c r="F61" s="58" t="s">
        <v>676</v>
      </c>
      <c r="G61" s="58" t="s">
        <v>915</v>
      </c>
      <c r="H61" s="58" t="s">
        <v>677</v>
      </c>
      <c r="I61" s="58" t="s">
        <v>678</v>
      </c>
      <c r="J61" s="58" t="s">
        <v>85</v>
      </c>
      <c r="K61" s="58" t="s">
        <v>579</v>
      </c>
      <c r="L61">
        <v>11017</v>
      </c>
    </row>
    <row r="62" spans="1:12" x14ac:dyDescent="0.25">
      <c r="A62" s="59">
        <v>61</v>
      </c>
      <c r="B62" s="58" t="s">
        <v>6</v>
      </c>
      <c r="C62" s="58" t="s">
        <v>6</v>
      </c>
      <c r="D62" s="58" t="s">
        <v>569</v>
      </c>
      <c r="E62" s="58" t="s">
        <v>878</v>
      </c>
      <c r="F62" s="58" t="s">
        <v>879</v>
      </c>
      <c r="G62" s="58" t="s">
        <v>921</v>
      </c>
      <c r="H62" s="58" t="s">
        <v>663</v>
      </c>
      <c r="I62" s="58" t="s">
        <v>664</v>
      </c>
      <c r="J62" s="58" t="s">
        <v>593</v>
      </c>
      <c r="K62" s="58" t="s">
        <v>570</v>
      </c>
      <c r="L62">
        <v>11421</v>
      </c>
    </row>
    <row r="63" spans="1:12" x14ac:dyDescent="0.25">
      <c r="A63" s="59">
        <v>62</v>
      </c>
      <c r="B63" s="58" t="s">
        <v>3</v>
      </c>
      <c r="C63" s="58" t="s">
        <v>3</v>
      </c>
      <c r="D63" s="58" t="s">
        <v>569</v>
      </c>
      <c r="E63" s="58" t="s">
        <v>883</v>
      </c>
      <c r="F63" s="58" t="s">
        <v>830</v>
      </c>
      <c r="G63" s="58" t="s">
        <v>626</v>
      </c>
      <c r="H63" s="58" t="s">
        <v>884</v>
      </c>
      <c r="I63" s="58" t="s">
        <v>831</v>
      </c>
      <c r="J63" s="58" t="s">
        <v>114</v>
      </c>
      <c r="K63" s="58" t="s">
        <v>743</v>
      </c>
      <c r="L63">
        <v>11581</v>
      </c>
    </row>
    <row r="64" spans="1:12" x14ac:dyDescent="0.25">
      <c r="A64" s="59">
        <v>63</v>
      </c>
      <c r="B64" s="58" t="s">
        <v>7</v>
      </c>
      <c r="C64" s="58" t="s">
        <v>7</v>
      </c>
      <c r="D64" s="58" t="s">
        <v>1041</v>
      </c>
      <c r="E64" s="58" t="s">
        <v>1042</v>
      </c>
      <c r="F64" s="58" t="s">
        <v>965</v>
      </c>
      <c r="G64" s="58" t="s">
        <v>697</v>
      </c>
      <c r="H64" s="58" t="s">
        <v>573</v>
      </c>
      <c r="I64" s="58" t="s">
        <v>574</v>
      </c>
      <c r="J64" s="58" t="s">
        <v>575</v>
      </c>
      <c r="K64" s="58" t="s">
        <v>570</v>
      </c>
      <c r="L64">
        <v>11651</v>
      </c>
    </row>
    <row r="65" spans="1:12" x14ac:dyDescent="0.25">
      <c r="A65" s="59">
        <v>64</v>
      </c>
      <c r="B65" s="58" t="s">
        <v>7</v>
      </c>
      <c r="C65" s="58" t="s">
        <v>7</v>
      </c>
      <c r="D65" s="58" t="s">
        <v>569</v>
      </c>
      <c r="E65" s="58" t="s">
        <v>607</v>
      </c>
      <c r="F65" s="58" t="s">
        <v>608</v>
      </c>
      <c r="G65" s="58" t="s">
        <v>608</v>
      </c>
      <c r="H65" s="58" t="s">
        <v>609</v>
      </c>
      <c r="I65" s="58" t="s">
        <v>610</v>
      </c>
      <c r="J65" s="58" t="s">
        <v>575</v>
      </c>
      <c r="K65" s="58" t="s">
        <v>570</v>
      </c>
      <c r="L65">
        <v>11765</v>
      </c>
    </row>
    <row r="66" spans="1:12" x14ac:dyDescent="0.25">
      <c r="A66" s="59">
        <v>65</v>
      </c>
      <c r="B66" s="58" t="s">
        <v>6</v>
      </c>
      <c r="C66" s="58" t="s">
        <v>6</v>
      </c>
      <c r="D66" s="58" t="s">
        <v>569</v>
      </c>
      <c r="E66" s="58" t="s">
        <v>602</v>
      </c>
      <c r="F66" s="58" t="s">
        <v>603</v>
      </c>
      <c r="G66" s="58" t="s">
        <v>934</v>
      </c>
      <c r="H66" s="58" t="s">
        <v>76</v>
      </c>
      <c r="I66" s="58" t="s">
        <v>604</v>
      </c>
      <c r="J66" s="58" t="s">
        <v>593</v>
      </c>
      <c r="K66" s="58" t="s">
        <v>570</v>
      </c>
      <c r="L66">
        <v>11796</v>
      </c>
    </row>
    <row r="67" spans="1:12" x14ac:dyDescent="0.25">
      <c r="A67" s="59">
        <v>66</v>
      </c>
      <c r="B67" s="58" t="s">
        <v>11</v>
      </c>
      <c r="C67" s="58" t="s">
        <v>11</v>
      </c>
      <c r="D67" s="58" t="s">
        <v>569</v>
      </c>
      <c r="E67" s="58" t="s">
        <v>590</v>
      </c>
      <c r="F67" s="58" t="s">
        <v>591</v>
      </c>
      <c r="G67" s="58" t="s">
        <v>939</v>
      </c>
      <c r="H67" s="58" t="s">
        <v>74</v>
      </c>
      <c r="I67" s="58" t="s">
        <v>592</v>
      </c>
      <c r="J67" s="58" t="s">
        <v>593</v>
      </c>
      <c r="K67" s="58" t="s">
        <v>570</v>
      </c>
      <c r="L67">
        <v>11930</v>
      </c>
    </row>
    <row r="68" spans="1:12" x14ac:dyDescent="0.25">
      <c r="A68" s="59">
        <v>67</v>
      </c>
      <c r="B68" s="58" t="s">
        <v>4</v>
      </c>
      <c r="C68" s="58" t="s">
        <v>4</v>
      </c>
      <c r="D68" s="58" t="s">
        <v>569</v>
      </c>
      <c r="E68" s="58" t="s">
        <v>1020</v>
      </c>
      <c r="F68" s="58" t="s">
        <v>697</v>
      </c>
      <c r="G68" s="58" t="s">
        <v>829</v>
      </c>
      <c r="H68" s="58" t="s">
        <v>699</v>
      </c>
      <c r="I68" s="58" t="s">
        <v>653</v>
      </c>
      <c r="J68" s="58" t="s">
        <v>620</v>
      </c>
      <c r="K68" s="58" t="s">
        <v>804</v>
      </c>
      <c r="L68">
        <v>42037</v>
      </c>
    </row>
    <row r="69" spans="1:12" x14ac:dyDescent="0.25">
      <c r="A69" s="59">
        <v>68</v>
      </c>
      <c r="B69" s="58" t="s">
        <v>6</v>
      </c>
      <c r="C69" s="58" t="s">
        <v>6</v>
      </c>
      <c r="D69" s="58" t="s">
        <v>569</v>
      </c>
      <c r="E69" s="58" t="s">
        <v>666</v>
      </c>
      <c r="F69" s="58" t="s">
        <v>603</v>
      </c>
      <c r="G69" s="58" t="s">
        <v>950</v>
      </c>
      <c r="H69" s="58" t="s">
        <v>103</v>
      </c>
      <c r="I69" s="58" t="s">
        <v>604</v>
      </c>
      <c r="J69" s="58" t="s">
        <v>593</v>
      </c>
      <c r="K69" s="58" t="s">
        <v>579</v>
      </c>
      <c r="L69">
        <v>12406</v>
      </c>
    </row>
    <row r="70" spans="1:12" x14ac:dyDescent="0.25">
      <c r="A70" s="59">
        <v>69</v>
      </c>
      <c r="B70" s="58"/>
      <c r="C70" s="58"/>
      <c r="D70" s="58"/>
      <c r="E70" s="58"/>
      <c r="F70" s="58"/>
      <c r="G70" s="58" t="s">
        <v>603</v>
      </c>
      <c r="H70" s="58"/>
      <c r="I70" s="58"/>
      <c r="J70" s="58"/>
      <c r="K70" s="58"/>
      <c r="L70">
        <v>0</v>
      </c>
    </row>
    <row r="71" spans="1:12" x14ac:dyDescent="0.25">
      <c r="A71" s="59">
        <v>70</v>
      </c>
      <c r="B71" s="58"/>
      <c r="C71" s="58"/>
      <c r="D71" s="58"/>
      <c r="E71" s="58"/>
      <c r="F71" s="58"/>
      <c r="G71" s="58" t="s">
        <v>588</v>
      </c>
      <c r="H71" s="58"/>
      <c r="I71" s="58"/>
      <c r="J71" s="58"/>
      <c r="K71" s="58"/>
      <c r="L71">
        <v>0</v>
      </c>
    </row>
    <row r="72" spans="1:12" x14ac:dyDescent="0.25">
      <c r="A72" s="59">
        <v>71</v>
      </c>
      <c r="B72" s="58" t="s">
        <v>3</v>
      </c>
      <c r="C72" s="58" t="s">
        <v>3</v>
      </c>
      <c r="D72" s="58" t="s">
        <v>569</v>
      </c>
      <c r="E72" s="58" t="s">
        <v>902</v>
      </c>
      <c r="F72" s="58" t="s">
        <v>903</v>
      </c>
      <c r="G72" s="58" t="s">
        <v>960</v>
      </c>
      <c r="H72" s="58" t="s">
        <v>904</v>
      </c>
      <c r="I72" s="58" t="s">
        <v>905</v>
      </c>
      <c r="J72" s="58" t="s">
        <v>906</v>
      </c>
      <c r="K72" s="58" t="s">
        <v>579</v>
      </c>
      <c r="L72">
        <v>13279</v>
      </c>
    </row>
    <row r="73" spans="1:12" x14ac:dyDescent="0.25">
      <c r="A73" s="59">
        <v>72</v>
      </c>
      <c r="B73" s="58" t="s">
        <v>11</v>
      </c>
      <c r="C73" s="58" t="s">
        <v>11</v>
      </c>
      <c r="D73" s="58" t="s">
        <v>569</v>
      </c>
      <c r="E73" s="58" t="s">
        <v>597</v>
      </c>
      <c r="F73" s="58" t="s">
        <v>598</v>
      </c>
      <c r="G73" s="58" t="s">
        <v>745</v>
      </c>
      <c r="H73" s="58" t="s">
        <v>599</v>
      </c>
      <c r="I73" s="58" t="s">
        <v>600</v>
      </c>
      <c r="J73" s="58" t="s">
        <v>601</v>
      </c>
      <c r="K73" s="58" t="s">
        <v>579</v>
      </c>
      <c r="L73">
        <v>13604</v>
      </c>
    </row>
    <row r="74" spans="1:12" x14ac:dyDescent="0.25">
      <c r="A74" s="59">
        <v>73</v>
      </c>
      <c r="B74" s="58" t="s">
        <v>5</v>
      </c>
      <c r="C74" s="58" t="s">
        <v>5</v>
      </c>
      <c r="D74" s="58" t="s">
        <v>569</v>
      </c>
      <c r="E74" s="58" t="s">
        <v>914</v>
      </c>
      <c r="F74" s="58" t="s">
        <v>915</v>
      </c>
      <c r="G74" s="58" t="s">
        <v>598</v>
      </c>
      <c r="H74" s="58" t="s">
        <v>736</v>
      </c>
      <c r="I74" s="58" t="s">
        <v>737</v>
      </c>
      <c r="J74" s="58" t="s">
        <v>738</v>
      </c>
      <c r="K74" s="58" t="s">
        <v>579</v>
      </c>
      <c r="L74">
        <v>13649</v>
      </c>
    </row>
    <row r="75" spans="1:12" x14ac:dyDescent="0.25">
      <c r="A75" s="59">
        <v>74</v>
      </c>
      <c r="B75" s="58" t="s">
        <v>11</v>
      </c>
      <c r="C75" s="58" t="s">
        <v>11</v>
      </c>
      <c r="D75" s="58" t="s">
        <v>569</v>
      </c>
      <c r="E75" s="58" t="s">
        <v>920</v>
      </c>
      <c r="F75" s="58" t="s">
        <v>921</v>
      </c>
      <c r="G75" s="58" t="s">
        <v>603</v>
      </c>
      <c r="H75" s="58" t="s">
        <v>845</v>
      </c>
      <c r="I75" s="58" t="s">
        <v>592</v>
      </c>
      <c r="J75" s="58" t="s">
        <v>593</v>
      </c>
      <c r="K75" s="58" t="s">
        <v>570</v>
      </c>
      <c r="L75">
        <v>14013</v>
      </c>
    </row>
    <row r="76" spans="1:12" x14ac:dyDescent="0.25">
      <c r="A76" s="59">
        <v>75</v>
      </c>
      <c r="B76" s="58" t="s">
        <v>6</v>
      </c>
      <c r="C76" s="58" t="s">
        <v>6</v>
      </c>
      <c r="D76" s="58" t="s">
        <v>569</v>
      </c>
      <c r="E76" s="58" t="s">
        <v>625</v>
      </c>
      <c r="F76" s="58" t="s">
        <v>626</v>
      </c>
      <c r="G76" s="58" t="s">
        <v>728</v>
      </c>
      <c r="H76" s="58" t="s">
        <v>663</v>
      </c>
      <c r="I76" s="58" t="s">
        <v>664</v>
      </c>
      <c r="J76" s="58" t="s">
        <v>593</v>
      </c>
      <c r="K76" s="58" t="s">
        <v>570</v>
      </c>
      <c r="L76">
        <v>58304</v>
      </c>
    </row>
    <row r="77" spans="1:12" x14ac:dyDescent="0.25">
      <c r="A77" s="59">
        <v>76</v>
      </c>
      <c r="B77" s="58" t="s">
        <v>4</v>
      </c>
      <c r="C77" s="58" t="s">
        <v>4</v>
      </c>
      <c r="D77" s="58" t="s">
        <v>569</v>
      </c>
      <c r="E77" s="58" t="s">
        <v>926</v>
      </c>
      <c r="F77" s="58" t="s">
        <v>697</v>
      </c>
      <c r="G77" s="58" t="s">
        <v>753</v>
      </c>
      <c r="H77" s="58" t="s">
        <v>699</v>
      </c>
      <c r="I77" s="58" t="s">
        <v>653</v>
      </c>
      <c r="J77" s="58" t="s">
        <v>620</v>
      </c>
      <c r="K77" s="58" t="s">
        <v>579</v>
      </c>
      <c r="L77">
        <v>14605</v>
      </c>
    </row>
    <row r="78" spans="1:12" x14ac:dyDescent="0.25">
      <c r="A78" s="59">
        <v>77</v>
      </c>
      <c r="B78" s="58" t="s">
        <v>7</v>
      </c>
      <c r="C78" s="58" t="s">
        <v>7</v>
      </c>
      <c r="D78" s="58" t="s">
        <v>569</v>
      </c>
      <c r="E78" s="58" t="s">
        <v>607</v>
      </c>
      <c r="F78" s="58" t="s">
        <v>608</v>
      </c>
      <c r="G78" s="58" t="s">
        <v>655</v>
      </c>
      <c r="H78" s="58" t="s">
        <v>609</v>
      </c>
      <c r="I78" s="58" t="s">
        <v>610</v>
      </c>
      <c r="J78" s="58" t="s">
        <v>575</v>
      </c>
      <c r="K78" s="58" t="s">
        <v>570</v>
      </c>
      <c r="L78">
        <v>14683</v>
      </c>
    </row>
    <row r="79" spans="1:12" x14ac:dyDescent="0.25">
      <c r="A79" s="59">
        <v>78</v>
      </c>
      <c r="B79" s="58" t="s">
        <v>4</v>
      </c>
      <c r="C79" s="58" t="s">
        <v>4</v>
      </c>
      <c r="D79" s="58" t="s">
        <v>569</v>
      </c>
      <c r="E79" s="58" t="s">
        <v>933</v>
      </c>
      <c r="F79" s="58" t="s">
        <v>934</v>
      </c>
      <c r="G79" s="58" t="s">
        <v>785</v>
      </c>
      <c r="H79" s="58" t="s">
        <v>619</v>
      </c>
      <c r="I79" s="58" t="s">
        <v>82</v>
      </c>
      <c r="J79" s="58" t="s">
        <v>620</v>
      </c>
      <c r="K79" s="58" t="s">
        <v>579</v>
      </c>
      <c r="L79">
        <v>14712</v>
      </c>
    </row>
    <row r="80" spans="1:12" x14ac:dyDescent="0.25">
      <c r="A80" s="59">
        <v>79</v>
      </c>
      <c r="B80" s="58" t="s">
        <v>4</v>
      </c>
      <c r="C80" s="58" t="s">
        <v>4</v>
      </c>
      <c r="D80" s="58" t="s">
        <v>569</v>
      </c>
      <c r="E80" s="58" t="s">
        <v>938</v>
      </c>
      <c r="F80" s="58" t="s">
        <v>939</v>
      </c>
      <c r="G80" s="58" t="s">
        <v>603</v>
      </c>
      <c r="H80" s="58" t="s">
        <v>706</v>
      </c>
      <c r="I80" s="58" t="s">
        <v>148</v>
      </c>
      <c r="J80" s="58" t="s">
        <v>9</v>
      </c>
      <c r="K80" s="58" t="s">
        <v>579</v>
      </c>
      <c r="L80">
        <v>15132</v>
      </c>
    </row>
    <row r="81" spans="1:12" x14ac:dyDescent="0.25">
      <c r="A81" s="59">
        <v>80</v>
      </c>
      <c r="B81" s="58" t="s">
        <v>11</v>
      </c>
      <c r="C81" s="58" t="s">
        <v>11</v>
      </c>
      <c r="D81" s="58" t="s">
        <v>569</v>
      </c>
      <c r="E81" s="58" t="s">
        <v>944</v>
      </c>
      <c r="F81" s="58" t="s">
        <v>829</v>
      </c>
      <c r="G81" s="58" t="s">
        <v>994</v>
      </c>
      <c r="H81" s="58" t="s">
        <v>599</v>
      </c>
      <c r="I81" s="58" t="s">
        <v>600</v>
      </c>
      <c r="J81" s="58" t="s">
        <v>601</v>
      </c>
      <c r="K81" s="58" t="s">
        <v>579</v>
      </c>
      <c r="L81">
        <v>15419</v>
      </c>
    </row>
    <row r="82" spans="1:12" x14ac:dyDescent="0.25">
      <c r="A82" s="59">
        <v>81</v>
      </c>
      <c r="B82" s="58"/>
      <c r="C82" s="58"/>
      <c r="D82" s="58"/>
      <c r="E82" s="58"/>
      <c r="F82" s="58"/>
      <c r="G82" s="58" t="s">
        <v>626</v>
      </c>
      <c r="H82" s="58"/>
      <c r="I82" s="58"/>
      <c r="J82" s="58"/>
      <c r="K82" s="58"/>
      <c r="L82">
        <v>0</v>
      </c>
    </row>
    <row r="83" spans="1:12" x14ac:dyDescent="0.25">
      <c r="A83" s="59">
        <v>82</v>
      </c>
      <c r="B83" s="58" t="s">
        <v>11</v>
      </c>
      <c r="C83" s="58" t="s">
        <v>11</v>
      </c>
      <c r="D83" s="58" t="s">
        <v>569</v>
      </c>
      <c r="E83" s="58" t="s">
        <v>949</v>
      </c>
      <c r="F83" s="58" t="s">
        <v>950</v>
      </c>
      <c r="G83" s="58" t="s">
        <v>1003</v>
      </c>
      <c r="H83" s="58" t="s">
        <v>74</v>
      </c>
      <c r="I83" s="58" t="s">
        <v>592</v>
      </c>
      <c r="J83" s="58" t="s">
        <v>593</v>
      </c>
      <c r="K83" s="58" t="s">
        <v>570</v>
      </c>
      <c r="L83">
        <v>16158</v>
      </c>
    </row>
    <row r="84" spans="1:12" x14ac:dyDescent="0.25">
      <c r="A84" s="59">
        <v>83</v>
      </c>
      <c r="B84" s="58"/>
      <c r="C84" s="58"/>
      <c r="D84" s="58"/>
      <c r="E84" s="58"/>
      <c r="F84" s="58"/>
      <c r="G84" s="58" t="s">
        <v>745</v>
      </c>
      <c r="H84" s="58"/>
      <c r="I84" s="58"/>
      <c r="J84" s="58"/>
      <c r="K84" s="58"/>
      <c r="L84">
        <v>0</v>
      </c>
    </row>
    <row r="85" spans="1:12" x14ac:dyDescent="0.25">
      <c r="A85" s="59">
        <v>84</v>
      </c>
      <c r="B85" s="58" t="s">
        <v>10</v>
      </c>
      <c r="C85" s="58" t="s">
        <v>10</v>
      </c>
      <c r="D85" s="58" t="s">
        <v>569</v>
      </c>
      <c r="E85" s="58" t="s">
        <v>842</v>
      </c>
      <c r="F85" s="58" t="s">
        <v>603</v>
      </c>
      <c r="G85" s="58" t="s">
        <v>603</v>
      </c>
      <c r="H85" s="58" t="s">
        <v>665</v>
      </c>
      <c r="I85" s="58" t="s">
        <v>604</v>
      </c>
      <c r="J85" s="58" t="s">
        <v>593</v>
      </c>
      <c r="K85" s="58" t="s">
        <v>570</v>
      </c>
      <c r="L85">
        <v>17069</v>
      </c>
    </row>
    <row r="86" spans="1:12" x14ac:dyDescent="0.25">
      <c r="A86" s="59">
        <v>85</v>
      </c>
      <c r="B86" s="58" t="s">
        <v>12</v>
      </c>
      <c r="C86" s="58" t="s">
        <v>12</v>
      </c>
      <c r="D86" s="58" t="s">
        <v>569</v>
      </c>
      <c r="E86" s="58" t="s">
        <v>943</v>
      </c>
      <c r="F86" s="58" t="s">
        <v>588</v>
      </c>
      <c r="G86" s="58"/>
      <c r="H86" s="58" t="s">
        <v>614</v>
      </c>
      <c r="I86" s="58" t="s">
        <v>615</v>
      </c>
      <c r="J86" s="58" t="s">
        <v>616</v>
      </c>
      <c r="K86" s="58" t="s">
        <v>579</v>
      </c>
      <c r="L86">
        <v>18951</v>
      </c>
    </row>
    <row r="87" spans="1:12" x14ac:dyDescent="0.25">
      <c r="A87" s="59">
        <v>86</v>
      </c>
      <c r="B87" s="58" t="s">
        <v>3</v>
      </c>
      <c r="C87" s="58" t="s">
        <v>3</v>
      </c>
      <c r="D87" s="58" t="s">
        <v>569</v>
      </c>
      <c r="E87" s="58" t="s">
        <v>959</v>
      </c>
      <c r="F87" s="58" t="s">
        <v>960</v>
      </c>
      <c r="G87" s="58"/>
      <c r="H87" s="58" t="s">
        <v>961</v>
      </c>
      <c r="I87" s="58" t="s">
        <v>831</v>
      </c>
      <c r="J87" s="58" t="s">
        <v>114</v>
      </c>
      <c r="K87" s="58" t="s">
        <v>579</v>
      </c>
      <c r="L87">
        <v>17652</v>
      </c>
    </row>
    <row r="88" spans="1:12" x14ac:dyDescent="0.25">
      <c r="A88" s="59">
        <v>87</v>
      </c>
      <c r="B88" s="58" t="s">
        <v>4</v>
      </c>
      <c r="C88" s="58" t="s">
        <v>4</v>
      </c>
      <c r="D88" s="58" t="s">
        <v>569</v>
      </c>
      <c r="E88" s="58" t="s">
        <v>744</v>
      </c>
      <c r="F88" s="58" t="s">
        <v>745</v>
      </c>
      <c r="G88" s="58"/>
      <c r="H88" s="58" t="s">
        <v>746</v>
      </c>
      <c r="I88" s="58" t="s">
        <v>747</v>
      </c>
      <c r="J88" s="58" t="s">
        <v>85</v>
      </c>
      <c r="K88" s="58" t="s">
        <v>579</v>
      </c>
      <c r="L88">
        <v>18320</v>
      </c>
    </row>
    <row r="89" spans="1:12" x14ac:dyDescent="0.25">
      <c r="A89" s="59">
        <v>88</v>
      </c>
      <c r="B89" s="58" t="s">
        <v>11</v>
      </c>
      <c r="C89" s="58" t="s">
        <v>11</v>
      </c>
      <c r="D89" s="58" t="s">
        <v>569</v>
      </c>
      <c r="E89" s="58" t="s">
        <v>597</v>
      </c>
      <c r="F89" s="58" t="s">
        <v>598</v>
      </c>
      <c r="G89" s="58"/>
      <c r="H89" s="58" t="s">
        <v>599</v>
      </c>
      <c r="I89" s="58" t="s">
        <v>600</v>
      </c>
      <c r="J89" s="58" t="s">
        <v>601</v>
      </c>
      <c r="K89" s="58" t="s">
        <v>579</v>
      </c>
      <c r="L89">
        <v>18640</v>
      </c>
    </row>
    <row r="90" spans="1:12" x14ac:dyDescent="0.25">
      <c r="A90" s="59">
        <v>89</v>
      </c>
      <c r="B90" s="58" t="s">
        <v>6</v>
      </c>
      <c r="C90" s="58" t="s">
        <v>6</v>
      </c>
      <c r="D90" s="58" t="s">
        <v>569</v>
      </c>
      <c r="E90" s="58" t="s">
        <v>670</v>
      </c>
      <c r="F90" s="58" t="s">
        <v>603</v>
      </c>
      <c r="G90" s="58"/>
      <c r="H90" s="58" t="s">
        <v>606</v>
      </c>
      <c r="I90" s="58" t="s">
        <v>604</v>
      </c>
      <c r="J90" s="58" t="s">
        <v>593</v>
      </c>
      <c r="K90" s="58" t="s">
        <v>570</v>
      </c>
      <c r="L90">
        <v>1464</v>
      </c>
    </row>
    <row r="91" spans="1:12" x14ac:dyDescent="0.25">
      <c r="A91" s="59">
        <v>90</v>
      </c>
      <c r="B91" s="58" t="s">
        <v>2</v>
      </c>
      <c r="C91" s="58" t="s">
        <v>2</v>
      </c>
      <c r="D91" s="58" t="s">
        <v>569</v>
      </c>
      <c r="E91" s="58" t="s">
        <v>727</v>
      </c>
      <c r="F91" s="58" t="s">
        <v>728</v>
      </c>
      <c r="G91" s="58"/>
      <c r="H91" s="58" t="s">
        <v>705</v>
      </c>
      <c r="I91" s="58" t="s">
        <v>659</v>
      </c>
      <c r="J91" s="58" t="s">
        <v>593</v>
      </c>
      <c r="K91" s="58" t="s">
        <v>570</v>
      </c>
      <c r="L91">
        <v>20384</v>
      </c>
    </row>
    <row r="92" spans="1:12" x14ac:dyDescent="0.25">
      <c r="A92" s="59">
        <v>91</v>
      </c>
      <c r="B92" s="58"/>
      <c r="C92" s="58"/>
      <c r="D92" s="58"/>
      <c r="E92" s="58"/>
      <c r="F92" s="58"/>
      <c r="G92" s="58"/>
      <c r="H92" s="58"/>
      <c r="I92" s="58"/>
      <c r="J92" s="58"/>
      <c r="K92" s="58"/>
      <c r="L92">
        <v>0</v>
      </c>
    </row>
    <row r="93" spans="1:12" x14ac:dyDescent="0.25">
      <c r="A93" s="59">
        <v>92</v>
      </c>
      <c r="B93" s="58" t="s">
        <v>8</v>
      </c>
      <c r="C93" s="58" t="s">
        <v>8</v>
      </c>
      <c r="D93" s="58" t="s">
        <v>569</v>
      </c>
      <c r="E93" s="58" t="s">
        <v>752</v>
      </c>
      <c r="F93" s="58" t="s">
        <v>753</v>
      </c>
      <c r="G93" s="58"/>
      <c r="H93" s="58" t="s">
        <v>754</v>
      </c>
      <c r="I93" s="58" t="s">
        <v>755</v>
      </c>
      <c r="J93" s="58" t="s">
        <v>624</v>
      </c>
      <c r="K93" s="58" t="s">
        <v>579</v>
      </c>
      <c r="L93">
        <v>19845</v>
      </c>
    </row>
    <row r="94" spans="1:12" x14ac:dyDescent="0.25">
      <c r="A94" s="59">
        <v>93</v>
      </c>
      <c r="B94" s="58" t="s">
        <v>7</v>
      </c>
      <c r="C94" s="58" t="s">
        <v>7</v>
      </c>
      <c r="D94" s="58" t="s">
        <v>569</v>
      </c>
      <c r="E94" s="58" t="s">
        <v>654</v>
      </c>
      <c r="F94" s="58" t="s">
        <v>655</v>
      </c>
      <c r="G94" s="58"/>
      <c r="H94" s="58" t="s">
        <v>712</v>
      </c>
      <c r="I94" s="58" t="s">
        <v>704</v>
      </c>
      <c r="J94" s="58" t="s">
        <v>593</v>
      </c>
      <c r="K94" s="58" t="s">
        <v>570</v>
      </c>
      <c r="L94">
        <v>19858</v>
      </c>
    </row>
    <row r="95" spans="1:12" x14ac:dyDescent="0.25">
      <c r="A95" s="59">
        <v>94</v>
      </c>
      <c r="B95" s="58" t="s">
        <v>8</v>
      </c>
      <c r="C95" s="58" t="s">
        <v>8</v>
      </c>
      <c r="D95" s="58" t="s">
        <v>569</v>
      </c>
      <c r="E95" s="58" t="s">
        <v>784</v>
      </c>
      <c r="F95" s="58" t="s">
        <v>785</v>
      </c>
      <c r="G95" s="58"/>
      <c r="H95" s="58" t="s">
        <v>786</v>
      </c>
      <c r="I95" s="58" t="s">
        <v>698</v>
      </c>
      <c r="J95" s="58" t="s">
        <v>624</v>
      </c>
      <c r="K95" s="58" t="s">
        <v>579</v>
      </c>
      <c r="L95">
        <v>19898</v>
      </c>
    </row>
    <row r="96" spans="1:12" x14ac:dyDescent="0.25">
      <c r="A96" s="59">
        <v>95</v>
      </c>
      <c r="B96" s="58" t="s">
        <v>6</v>
      </c>
      <c r="C96" s="58" t="s">
        <v>6</v>
      </c>
      <c r="D96" s="58" t="s">
        <v>569</v>
      </c>
      <c r="E96" s="58" t="s">
        <v>670</v>
      </c>
      <c r="F96" s="58" t="s">
        <v>603</v>
      </c>
      <c r="G96" s="58"/>
      <c r="H96" s="58" t="s">
        <v>103</v>
      </c>
      <c r="I96" s="58" t="s">
        <v>604</v>
      </c>
      <c r="J96" s="58" t="s">
        <v>593</v>
      </c>
      <c r="K96" s="58" t="s">
        <v>570</v>
      </c>
      <c r="L96">
        <v>19593</v>
      </c>
    </row>
    <row r="97" spans="1:12" x14ac:dyDescent="0.25">
      <c r="A97" s="59">
        <v>96</v>
      </c>
      <c r="B97" s="58" t="s">
        <v>2</v>
      </c>
      <c r="C97" s="58" t="s">
        <v>2</v>
      </c>
      <c r="D97" s="58" t="s">
        <v>569</v>
      </c>
      <c r="E97" s="58" t="s">
        <v>993</v>
      </c>
      <c r="F97" s="58" t="s">
        <v>994</v>
      </c>
      <c r="G97" s="58"/>
      <c r="H97" s="58" t="s">
        <v>658</v>
      </c>
      <c r="I97" s="58" t="s">
        <v>659</v>
      </c>
      <c r="J97" s="58" t="s">
        <v>593</v>
      </c>
      <c r="K97" s="58" t="s">
        <v>646</v>
      </c>
      <c r="L97">
        <v>20175</v>
      </c>
    </row>
    <row r="98" spans="1:12" x14ac:dyDescent="0.25">
      <c r="A98" s="59">
        <v>97</v>
      </c>
      <c r="B98" s="58" t="s">
        <v>6</v>
      </c>
      <c r="C98" s="58" t="s">
        <v>6</v>
      </c>
      <c r="D98" s="58" t="s">
        <v>569</v>
      </c>
      <c r="E98" s="58" t="s">
        <v>625</v>
      </c>
      <c r="F98" s="58" t="s">
        <v>626</v>
      </c>
      <c r="G98" s="58"/>
      <c r="H98" s="58" t="s">
        <v>663</v>
      </c>
      <c r="I98" s="58" t="s">
        <v>664</v>
      </c>
      <c r="J98" s="58" t="s">
        <v>593</v>
      </c>
      <c r="K98" s="58" t="s">
        <v>570</v>
      </c>
      <c r="L98">
        <v>22867</v>
      </c>
    </row>
    <row r="99" spans="1:12" x14ac:dyDescent="0.25">
      <c r="A99" s="59">
        <v>98</v>
      </c>
      <c r="B99" s="58" t="s">
        <v>7</v>
      </c>
      <c r="C99" s="58" t="s">
        <v>7</v>
      </c>
      <c r="D99" s="58" t="s">
        <v>569</v>
      </c>
      <c r="E99" s="58" t="s">
        <v>1002</v>
      </c>
      <c r="F99" s="58" t="s">
        <v>1003</v>
      </c>
      <c r="G99" s="58"/>
      <c r="H99" s="58" t="s">
        <v>866</v>
      </c>
      <c r="I99" s="58" t="s">
        <v>747</v>
      </c>
      <c r="J99" s="58" t="s">
        <v>85</v>
      </c>
      <c r="K99" s="58" t="s">
        <v>579</v>
      </c>
      <c r="L99">
        <v>20398</v>
      </c>
    </row>
    <row r="100" spans="1:12" x14ac:dyDescent="0.25">
      <c r="A100" s="59">
        <v>99</v>
      </c>
      <c r="B100" s="58" t="s">
        <v>4</v>
      </c>
      <c r="C100" s="58" t="s">
        <v>4</v>
      </c>
      <c r="D100" s="58" t="s">
        <v>569</v>
      </c>
      <c r="E100" s="58" t="s">
        <v>744</v>
      </c>
      <c r="F100" s="58" t="s">
        <v>745</v>
      </c>
      <c r="G100" s="58"/>
      <c r="H100" s="58" t="s">
        <v>746</v>
      </c>
      <c r="I100" s="58" t="s">
        <v>747</v>
      </c>
      <c r="J100" s="58" t="s">
        <v>85</v>
      </c>
      <c r="K100" s="58" t="s">
        <v>743</v>
      </c>
      <c r="L100">
        <v>20402</v>
      </c>
    </row>
    <row r="101" spans="1:12" x14ac:dyDescent="0.25">
      <c r="A101" s="59">
        <v>100</v>
      </c>
      <c r="B101" s="58" t="s">
        <v>6</v>
      </c>
      <c r="C101" s="58" t="s">
        <v>6</v>
      </c>
      <c r="D101" s="58" t="s">
        <v>569</v>
      </c>
      <c r="E101" s="58" t="s">
        <v>670</v>
      </c>
      <c r="F101" s="58" t="s">
        <v>603</v>
      </c>
      <c r="G101" s="58"/>
      <c r="H101" s="58" t="s">
        <v>103</v>
      </c>
      <c r="I101" s="58" t="s">
        <v>604</v>
      </c>
      <c r="J101" s="58" t="s">
        <v>593</v>
      </c>
      <c r="K101" s="58" t="s">
        <v>579</v>
      </c>
      <c r="L101">
        <v>20575</v>
      </c>
    </row>
    <row r="1048561" spans="1:1" x14ac:dyDescent="0.25">
      <c r="A1048561" s="57"/>
    </row>
    <row r="1048562" spans="1:1" x14ac:dyDescent="0.25">
      <c r="A1048562" s="58"/>
    </row>
    <row r="1048563" spans="1:1" x14ac:dyDescent="0.25">
      <c r="A1048563" s="58"/>
    </row>
    <row r="1048564" spans="1:1" x14ac:dyDescent="0.25">
      <c r="A1048564" s="58"/>
    </row>
    <row r="1048565" spans="1:1" x14ac:dyDescent="0.25">
      <c r="A1048565" s="58"/>
    </row>
    <row r="1048566" spans="1:1" x14ac:dyDescent="0.25">
      <c r="A1048566" s="58"/>
    </row>
    <row r="1048567" spans="1:1" x14ac:dyDescent="0.25">
      <c r="A1048567" s="58"/>
    </row>
    <row r="1048568" spans="1:1" x14ac:dyDescent="0.25">
      <c r="A1048568" s="58"/>
    </row>
    <row r="1048569" spans="1:1" x14ac:dyDescent="0.25">
      <c r="A1048569" s="58"/>
    </row>
    <row r="1048570" spans="1:1" x14ac:dyDescent="0.25">
      <c r="A1048570" s="58"/>
    </row>
    <row r="1048571" spans="1:1" x14ac:dyDescent="0.25">
      <c r="A1048571" s="58"/>
    </row>
    <row r="1048572" spans="1:1" x14ac:dyDescent="0.25">
      <c r="A1048572" s="58"/>
    </row>
    <row r="1048573" spans="1:1" x14ac:dyDescent="0.25">
      <c r="A1048573" s="58"/>
    </row>
    <row r="1048574" spans="1:1" x14ac:dyDescent="0.25">
      <c r="A1048574" s="58"/>
    </row>
    <row r="1048575" spans="1:1" x14ac:dyDescent="0.25">
      <c r="A1048575" s="58"/>
    </row>
    <row r="1048576" spans="1:1" x14ac:dyDescent="0.25">
      <c r="A1048576" s="5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9D116-36A4-49D9-912E-41FFB66E8BE8}">
  <sheetPr filterMode="1"/>
  <dimension ref="A1:F1048576"/>
  <sheetViews>
    <sheetView showGridLines="0" workbookViewId="0">
      <selection activeCell="B11" sqref="B11"/>
    </sheetView>
  </sheetViews>
  <sheetFormatPr defaultRowHeight="12.5" x14ac:dyDescent="0.25"/>
  <cols>
    <col min="1" max="1" width="12.81640625" bestFit="1" customWidth="1"/>
    <col min="2" max="2" width="10.54296875" bestFit="1" customWidth="1"/>
    <col min="3" max="3" width="11.36328125" bestFit="1" customWidth="1"/>
    <col min="4" max="4" width="13.1796875" bestFit="1" customWidth="1"/>
    <col min="5" max="5" width="26.6328125" customWidth="1"/>
    <col min="6" max="6" width="35.08984375" customWidth="1"/>
  </cols>
  <sheetData>
    <row r="1" spans="1:6" x14ac:dyDescent="0.25">
      <c r="A1" s="60" t="s">
        <v>557</v>
      </c>
      <c r="B1" s="70" t="s">
        <v>1053</v>
      </c>
      <c r="C1" s="60" t="s">
        <v>1054</v>
      </c>
      <c r="D1" s="60" t="s">
        <v>1055</v>
      </c>
      <c r="E1" s="57"/>
      <c r="F1" s="57"/>
    </row>
    <row r="2" spans="1:6" x14ac:dyDescent="0.25">
      <c r="A2" s="59">
        <f>companies!A2</f>
        <v>1</v>
      </c>
      <c r="B2" s="58">
        <v>2019</v>
      </c>
      <c r="C2" s="63">
        <v>32136000000</v>
      </c>
      <c r="D2" s="63">
        <v>4570000000</v>
      </c>
      <c r="E2" s="58"/>
      <c r="F2" s="58"/>
    </row>
    <row r="3" spans="1:6" x14ac:dyDescent="0.25">
      <c r="A3" s="59">
        <f>companies!A3</f>
        <v>2</v>
      </c>
      <c r="B3" s="58">
        <v>2019</v>
      </c>
      <c r="C3" s="63">
        <v>31904000000</v>
      </c>
      <c r="D3" s="63">
        <v>3687000000</v>
      </c>
      <c r="E3" s="58"/>
      <c r="F3" s="58"/>
    </row>
    <row r="4" spans="1:6" x14ac:dyDescent="0.25">
      <c r="A4" s="59">
        <f>companies!A4</f>
        <v>3</v>
      </c>
      <c r="B4" s="58">
        <v>2019</v>
      </c>
      <c r="C4" s="63">
        <v>33266000000</v>
      </c>
      <c r="D4" s="63">
        <v>5697000000</v>
      </c>
      <c r="E4" s="58"/>
      <c r="F4" s="58"/>
    </row>
    <row r="5" spans="1:6" x14ac:dyDescent="0.25">
      <c r="A5" s="59">
        <f>companies!A5</f>
        <v>4</v>
      </c>
      <c r="B5" s="58">
        <v>2019</v>
      </c>
      <c r="C5" s="63">
        <v>43200000000</v>
      </c>
      <c r="D5" s="63">
        <v>4780000000</v>
      </c>
      <c r="E5" s="58"/>
      <c r="F5" s="58"/>
    </row>
    <row r="6" spans="1:6" x14ac:dyDescent="0.25">
      <c r="A6" s="59">
        <f>companies!A6</f>
        <v>5</v>
      </c>
      <c r="B6" s="58">
        <v>2019</v>
      </c>
      <c r="C6" s="63">
        <v>11171000000</v>
      </c>
      <c r="D6" s="63">
        <v>2951000000</v>
      </c>
      <c r="E6" s="58"/>
      <c r="F6" s="58"/>
    </row>
    <row r="7" spans="1:6" x14ac:dyDescent="0.25">
      <c r="A7" s="59">
        <f>companies!A7</f>
        <v>6</v>
      </c>
      <c r="B7" s="58">
        <v>2019</v>
      </c>
      <c r="C7" s="63">
        <v>44675000000</v>
      </c>
      <c r="D7" s="63">
        <v>4847000000</v>
      </c>
      <c r="E7" s="58"/>
      <c r="F7" s="58"/>
    </row>
    <row r="8" spans="1:6" x14ac:dyDescent="0.25">
      <c r="A8" s="59">
        <f>companies!A8</f>
        <v>7</v>
      </c>
      <c r="B8" s="58">
        <v>2019</v>
      </c>
      <c r="C8" s="63">
        <v>161857000000</v>
      </c>
      <c r="D8" s="63">
        <v>34340000000</v>
      </c>
      <c r="E8" s="58"/>
      <c r="F8" s="58"/>
    </row>
    <row r="9" spans="1:6" x14ac:dyDescent="0.25">
      <c r="A9" s="59">
        <f>companies!A9</f>
        <v>8</v>
      </c>
      <c r="B9" s="58">
        <v>2019</v>
      </c>
      <c r="C9" s="63">
        <v>25364000000</v>
      </c>
      <c r="D9" s="63">
        <v>6963000000</v>
      </c>
      <c r="E9" s="58"/>
      <c r="F9" s="58"/>
    </row>
    <row r="10" spans="1:6" x14ac:dyDescent="0.25">
      <c r="A10" s="59">
        <f>companies!A10</f>
        <v>9</v>
      </c>
      <c r="B10" s="58">
        <v>2019</v>
      </c>
      <c r="C10" s="63">
        <v>280000000000</v>
      </c>
      <c r="D10" s="63">
        <v>11588000000</v>
      </c>
    </row>
    <row r="11" spans="1:6" x14ac:dyDescent="0.25">
      <c r="A11" s="59">
        <f>companies!A11</f>
        <v>10</v>
      </c>
      <c r="B11" s="58">
        <v>2019</v>
      </c>
      <c r="C11" s="63">
        <v>43556000000</v>
      </c>
      <c r="D11" s="63">
        <v>6921000000</v>
      </c>
      <c r="E11" s="58"/>
      <c r="F11" s="58"/>
    </row>
    <row r="12" spans="1:6" x14ac:dyDescent="0.25">
      <c r="A12" s="59">
        <f>companies!A12</f>
        <v>11</v>
      </c>
      <c r="B12" s="58">
        <v>2019</v>
      </c>
      <c r="C12" s="63">
        <v>49750000000</v>
      </c>
      <c r="D12" s="63">
        <v>3300000000</v>
      </c>
      <c r="E12" s="58"/>
      <c r="F12" s="58"/>
    </row>
    <row r="13" spans="1:6" x14ac:dyDescent="0.25">
      <c r="A13" s="59">
        <f>companies!A13</f>
        <v>12</v>
      </c>
      <c r="B13" s="58">
        <v>2019</v>
      </c>
      <c r="C13" s="63">
        <v>7580000000</v>
      </c>
      <c r="D13" s="63">
        <v>1888000000</v>
      </c>
      <c r="E13" s="58"/>
      <c r="F13" s="58"/>
    </row>
    <row r="14" spans="1:6" x14ac:dyDescent="0.25">
      <c r="A14" s="59">
        <f>companies!A14</f>
        <v>13</v>
      </c>
      <c r="B14" s="58">
        <v>2019</v>
      </c>
      <c r="C14" s="63">
        <v>23400000000</v>
      </c>
      <c r="D14" s="63">
        <v>7840000000</v>
      </c>
      <c r="E14" s="58"/>
      <c r="F14" s="58"/>
    </row>
    <row r="15" spans="1:6" x14ac:dyDescent="0.25">
      <c r="A15" s="59">
        <f>companies!A15</f>
        <v>14</v>
      </c>
      <c r="B15" s="58">
        <v>2019</v>
      </c>
      <c r="C15" s="63">
        <v>260174000000</v>
      </c>
      <c r="D15" s="63">
        <v>55256000000</v>
      </c>
      <c r="E15" s="58"/>
      <c r="F15" s="58"/>
    </row>
    <row r="16" spans="1:6" x14ac:dyDescent="0.25">
      <c r="A16" s="59">
        <f>companies!A16</f>
        <v>15</v>
      </c>
      <c r="B16" s="58">
        <v>2019</v>
      </c>
      <c r="C16" s="63">
        <v>181200000000</v>
      </c>
      <c r="D16" s="63">
        <v>13900000000</v>
      </c>
      <c r="E16" s="58"/>
      <c r="F16" s="58"/>
    </row>
    <row r="17" spans="1:6" x14ac:dyDescent="0.25">
      <c r="A17" s="59">
        <f>companies!A17</f>
        <v>16</v>
      </c>
      <c r="B17" s="58">
        <v>2019</v>
      </c>
      <c r="C17" s="63">
        <v>91240000000</v>
      </c>
      <c r="D17" s="63">
        <v>25998000000</v>
      </c>
      <c r="E17" s="58"/>
      <c r="F17" s="58"/>
    </row>
    <row r="18" spans="1:6" x14ac:dyDescent="0.25">
      <c r="A18" s="59">
        <f>companies!A18</f>
        <v>17</v>
      </c>
      <c r="B18" s="58">
        <v>2019</v>
      </c>
      <c r="C18" s="63">
        <v>254616000000</v>
      </c>
      <c r="D18" s="63">
        <v>81417000000</v>
      </c>
    </row>
    <row r="19" spans="1:6" x14ac:dyDescent="0.25">
      <c r="A19" s="59">
        <f>companies!A19</f>
        <v>18</v>
      </c>
      <c r="B19" s="58">
        <v>2019</v>
      </c>
      <c r="C19" s="63">
        <v>13500000000</v>
      </c>
      <c r="D19" s="63">
        <v>4400000000</v>
      </c>
      <c r="E19" s="58"/>
      <c r="F19" s="58"/>
    </row>
    <row r="20" spans="1:6" x14ac:dyDescent="0.25">
      <c r="A20" s="59">
        <f>companies!A20</f>
        <v>19</v>
      </c>
      <c r="B20" s="58">
        <v>2019</v>
      </c>
      <c r="C20" s="63">
        <v>14539000000</v>
      </c>
      <c r="D20" s="63">
        <v>4484000000</v>
      </c>
      <c r="E20" s="58"/>
      <c r="F20" s="58"/>
    </row>
    <row r="21" spans="1:6" x14ac:dyDescent="0.25">
      <c r="A21" s="59">
        <f>companies!A21</f>
        <v>20</v>
      </c>
      <c r="B21" s="58">
        <v>2019</v>
      </c>
      <c r="C21" s="63">
        <v>76559000000</v>
      </c>
      <c r="D21" s="63">
        <v>-636000000</v>
      </c>
      <c r="E21" s="58"/>
      <c r="F21" s="58"/>
    </row>
    <row r="22" spans="1:6" x14ac:dyDescent="0.25">
      <c r="A22" s="59">
        <f>companies!A22</f>
        <v>21</v>
      </c>
      <c r="B22" s="58">
        <v>2019</v>
      </c>
      <c r="C22" s="63">
        <v>15066000000</v>
      </c>
      <c r="D22" s="63">
        <v>4865000000</v>
      </c>
    </row>
    <row r="23" spans="1:6" x14ac:dyDescent="0.25">
      <c r="A23" s="59">
        <f>companies!A23</f>
        <v>22</v>
      </c>
      <c r="B23" s="58">
        <v>2019</v>
      </c>
      <c r="C23" s="63">
        <v>26145000000</v>
      </c>
      <c r="D23" s="63">
        <v>3439000000</v>
      </c>
      <c r="E23" s="58"/>
      <c r="F23" s="58"/>
    </row>
    <row r="24" spans="1:6" x14ac:dyDescent="0.25">
      <c r="A24" s="59">
        <f>companies!A24</f>
        <v>23</v>
      </c>
      <c r="B24" s="58">
        <v>2019</v>
      </c>
      <c r="C24" s="63">
        <v>28600000000</v>
      </c>
      <c r="D24" s="63">
        <v>5192000000</v>
      </c>
      <c r="E24" s="58"/>
      <c r="F24" s="58"/>
    </row>
    <row r="25" spans="1:6" x14ac:dyDescent="0.25">
      <c r="A25" s="59">
        <f>companies!A25</f>
        <v>24</v>
      </c>
      <c r="B25" s="58">
        <v>2019</v>
      </c>
      <c r="C25" s="63">
        <v>53800000000</v>
      </c>
      <c r="D25" s="63">
        <v>6093000000</v>
      </c>
    </row>
    <row r="26" spans="1:6" x14ac:dyDescent="0.25">
      <c r="A26" s="59">
        <f>companies!A26</f>
        <v>25</v>
      </c>
      <c r="B26" s="58">
        <v>2019</v>
      </c>
      <c r="C26" s="63">
        <v>45764000000</v>
      </c>
      <c r="D26" s="63">
        <v>1668000000</v>
      </c>
    </row>
    <row r="27" spans="1:6" x14ac:dyDescent="0.25">
      <c r="A27" s="59">
        <f>companies!A27</f>
        <v>26</v>
      </c>
      <c r="B27" s="58">
        <v>2019</v>
      </c>
      <c r="C27" s="63">
        <v>146516000000</v>
      </c>
      <c r="D27" s="63">
        <v>2924000000</v>
      </c>
    </row>
    <row r="28" spans="1:6" x14ac:dyDescent="0.25">
      <c r="A28" s="59">
        <f>companies!A28</f>
        <v>27</v>
      </c>
      <c r="B28" s="58">
        <v>2019</v>
      </c>
      <c r="C28" s="63">
        <v>51900000000</v>
      </c>
      <c r="D28" s="63">
        <v>11620000000</v>
      </c>
      <c r="E28" s="58"/>
      <c r="F28" s="58"/>
    </row>
    <row r="29" spans="1:6" x14ac:dyDescent="0.25">
      <c r="A29" s="59">
        <f>companies!A29</f>
        <v>28</v>
      </c>
      <c r="B29" s="58">
        <v>2019</v>
      </c>
      <c r="C29" s="63">
        <v>103449000000</v>
      </c>
      <c r="D29" s="63">
        <v>18171000000</v>
      </c>
      <c r="E29" s="58"/>
      <c r="F29" s="58"/>
    </row>
    <row r="30" spans="1:6" x14ac:dyDescent="0.25">
      <c r="A30" s="59">
        <f>companies!A30</f>
        <v>29</v>
      </c>
      <c r="B30" s="58">
        <v>2019</v>
      </c>
      <c r="C30" s="63">
        <v>37266000000</v>
      </c>
      <c r="D30" s="63">
        <v>38640000000</v>
      </c>
      <c r="E30" s="58"/>
      <c r="F30" s="58"/>
    </row>
    <row r="31" spans="1:6" x14ac:dyDescent="0.25">
      <c r="A31" s="59">
        <f>companies!A31</f>
        <v>30</v>
      </c>
      <c r="B31" s="58">
        <v>2019</v>
      </c>
      <c r="C31" s="63">
        <v>15693000000</v>
      </c>
      <c r="D31" s="63">
        <v>2367000000</v>
      </c>
      <c r="E31" s="58"/>
      <c r="F31" s="58"/>
    </row>
    <row r="32" spans="1:6" x14ac:dyDescent="0.25">
      <c r="A32" s="59">
        <f>companies!A32</f>
        <v>31</v>
      </c>
      <c r="B32" s="58">
        <v>2019</v>
      </c>
      <c r="C32" s="63">
        <v>108942000000</v>
      </c>
      <c r="D32" s="63">
        <v>13057000000</v>
      </c>
      <c r="E32" s="58"/>
      <c r="F32" s="58"/>
    </row>
    <row r="33" spans="1:6" x14ac:dyDescent="0.25">
      <c r="A33" s="59">
        <f>companies!A33</f>
        <v>32</v>
      </c>
      <c r="B33" s="58">
        <v>2019</v>
      </c>
      <c r="C33" s="63">
        <v>36670000000</v>
      </c>
      <c r="D33" s="63">
        <v>7189000000</v>
      </c>
      <c r="E33" s="58"/>
      <c r="F33" s="58"/>
    </row>
    <row r="34" spans="1:6" x14ac:dyDescent="0.25">
      <c r="A34" s="59">
        <f>companies!A34</f>
        <v>33</v>
      </c>
      <c r="B34" s="58">
        <v>2019</v>
      </c>
      <c r="C34" s="63">
        <v>152703000000</v>
      </c>
      <c r="D34" s="63">
        <v>3659000000</v>
      </c>
      <c r="E34" s="58"/>
      <c r="F34" s="58"/>
    </row>
    <row r="35" spans="1:6" x14ac:dyDescent="0.25">
      <c r="A35" s="59">
        <f>companies!A35</f>
        <v>34</v>
      </c>
      <c r="B35" s="58">
        <v>2019</v>
      </c>
      <c r="C35" s="63">
        <v>256776000000</v>
      </c>
      <c r="D35" s="63">
        <v>6634000000</v>
      </c>
      <c r="E35" s="58"/>
      <c r="F35" s="58"/>
    </row>
    <row r="36" spans="1:6" x14ac:dyDescent="0.25">
      <c r="A36" s="59">
        <f>companies!A36</f>
        <v>35</v>
      </c>
      <c r="B36" s="58">
        <v>2019</v>
      </c>
      <c r="C36" s="63">
        <v>17910000000</v>
      </c>
      <c r="D36" s="63">
        <v>2940000000</v>
      </c>
    </row>
    <row r="37" spans="1:6" x14ac:dyDescent="0.25">
      <c r="A37" s="59">
        <f>companies!A37</f>
        <v>36</v>
      </c>
      <c r="B37" s="58">
        <v>2019</v>
      </c>
      <c r="C37" s="63">
        <v>42951000000</v>
      </c>
      <c r="D37" s="63">
        <v>-1359000000</v>
      </c>
      <c r="E37" s="58"/>
      <c r="F37" s="58"/>
    </row>
    <row r="38" spans="1:6" x14ac:dyDescent="0.25">
      <c r="A38" s="59">
        <f>companies!A38</f>
        <v>37</v>
      </c>
      <c r="B38" s="58">
        <v>2019</v>
      </c>
      <c r="C38" s="63">
        <v>25079000000</v>
      </c>
      <c r="D38" s="63">
        <v>3707000000</v>
      </c>
      <c r="E38" s="58"/>
      <c r="F38" s="58"/>
    </row>
    <row r="39" spans="1:6" x14ac:dyDescent="0.25">
      <c r="A39" s="59">
        <f>companies!A39</f>
        <v>38</v>
      </c>
      <c r="B39" s="58">
        <v>2019</v>
      </c>
      <c r="C39" s="63">
        <v>21570000000</v>
      </c>
      <c r="D39" s="63">
        <v>498000000</v>
      </c>
      <c r="E39" s="58"/>
      <c r="F39" s="58"/>
    </row>
    <row r="40" spans="1:6" x14ac:dyDescent="0.25">
      <c r="A40" s="59">
        <f>companies!A40</f>
        <v>39</v>
      </c>
      <c r="B40" s="58">
        <v>2019</v>
      </c>
      <c r="C40" s="63">
        <v>22320000000</v>
      </c>
      <c r="D40" s="63">
        <v>8318000000</v>
      </c>
      <c r="E40" s="58"/>
      <c r="F40" s="58"/>
    </row>
    <row r="41" spans="1:6" x14ac:dyDescent="0.25">
      <c r="A41" s="59">
        <f>companies!A41</f>
        <v>40</v>
      </c>
      <c r="B41" s="58">
        <v>2019</v>
      </c>
      <c r="C41" s="63">
        <v>18372000000</v>
      </c>
      <c r="D41" s="63">
        <v>2306000000</v>
      </c>
    </row>
    <row r="42" spans="1:6" x14ac:dyDescent="0.25">
      <c r="A42" s="59">
        <f>companies!A42</f>
        <v>41</v>
      </c>
      <c r="B42" s="58">
        <v>2019</v>
      </c>
      <c r="C42" s="63">
        <v>34438000000</v>
      </c>
      <c r="D42" s="63">
        <v>2936000000</v>
      </c>
      <c r="E42" s="58"/>
      <c r="F42" s="58"/>
    </row>
    <row r="43" spans="1:6" x14ac:dyDescent="0.25">
      <c r="A43" s="59">
        <f>companies!A43</f>
        <v>42</v>
      </c>
      <c r="B43" s="58">
        <v>2019</v>
      </c>
      <c r="C43" s="63">
        <v>264938000000</v>
      </c>
      <c r="D43" s="63">
        <v>14340000000</v>
      </c>
    </row>
    <row r="44" spans="1:6" x14ac:dyDescent="0.25">
      <c r="A44" s="59">
        <f>companies!A44</f>
        <v>43</v>
      </c>
      <c r="B44" s="58">
        <v>2019</v>
      </c>
      <c r="C44" s="63">
        <v>70697000000</v>
      </c>
      <c r="D44" s="63">
        <v>18485000000</v>
      </c>
    </row>
    <row r="45" spans="1:6" x14ac:dyDescent="0.25">
      <c r="A45" s="59">
        <f>companies!A45</f>
        <v>44</v>
      </c>
      <c r="B45" s="58">
        <v>2019</v>
      </c>
      <c r="C45" s="63">
        <v>69693000000</v>
      </c>
      <c r="D45" s="63">
        <v>540000000</v>
      </c>
      <c r="E45" s="58"/>
      <c r="F45" s="58"/>
    </row>
    <row r="46" spans="1:6" x14ac:dyDescent="0.25">
      <c r="A46" s="59">
        <f>companies!A46</f>
        <v>45</v>
      </c>
      <c r="B46" s="58">
        <v>2019</v>
      </c>
      <c r="C46" s="63">
        <v>155900000000</v>
      </c>
      <c r="D46" s="63">
        <v>47000000</v>
      </c>
      <c r="E46" s="58"/>
      <c r="F46" s="58"/>
    </row>
    <row r="47" spans="1:6" x14ac:dyDescent="0.25">
      <c r="A47" s="59">
        <f>companies!A47</f>
        <v>46</v>
      </c>
      <c r="B47" s="58">
        <v>2019</v>
      </c>
      <c r="C47" s="63">
        <v>39350000000</v>
      </c>
      <c r="D47" s="63">
        <v>3484000000</v>
      </c>
      <c r="E47" s="58"/>
      <c r="F47" s="58"/>
    </row>
    <row r="48" spans="1:6" x14ac:dyDescent="0.25">
      <c r="A48" s="59">
        <f>companies!A48</f>
        <v>47</v>
      </c>
      <c r="B48" s="58">
        <v>2019</v>
      </c>
      <c r="C48" s="63">
        <v>95214000000</v>
      </c>
      <c r="D48" s="63">
        <v>-5439000000</v>
      </c>
      <c r="E48" s="58"/>
      <c r="F48" s="58"/>
    </row>
    <row r="49" spans="1:6" x14ac:dyDescent="0.25">
      <c r="A49" s="59">
        <f>companies!A49</f>
        <v>48</v>
      </c>
      <c r="B49" s="58">
        <v>2019</v>
      </c>
      <c r="C49" s="63">
        <v>137237000000</v>
      </c>
      <c r="D49" s="63">
        <v>6581000000</v>
      </c>
      <c r="E49" s="58"/>
      <c r="F49" s="58"/>
    </row>
    <row r="50" spans="1:6" x14ac:dyDescent="0.25">
      <c r="A50" s="59">
        <f>companies!A50</f>
        <v>49</v>
      </c>
      <c r="B50" s="58">
        <v>2019</v>
      </c>
      <c r="C50" s="63">
        <v>22449000000</v>
      </c>
      <c r="D50" s="63">
        <v>5386000000</v>
      </c>
      <c r="E50" s="58"/>
      <c r="F50" s="58"/>
    </row>
    <row r="51" spans="1:6" x14ac:dyDescent="0.25">
      <c r="A51" s="59">
        <f>companies!A51</f>
        <v>50</v>
      </c>
      <c r="B51" s="58">
        <v>2019</v>
      </c>
      <c r="C51" s="63">
        <v>36546000000</v>
      </c>
      <c r="D51" s="63">
        <v>8470000000</v>
      </c>
      <c r="E51" s="58"/>
      <c r="F51" s="58"/>
    </row>
    <row r="52" spans="1:6" x14ac:dyDescent="0.25">
      <c r="A52" s="59">
        <f>companies!A52</f>
        <v>51</v>
      </c>
      <c r="B52" s="58">
        <v>2019</v>
      </c>
      <c r="C52" s="63">
        <v>110200000000</v>
      </c>
      <c r="D52" s="63">
        <v>11240000000</v>
      </c>
      <c r="E52" s="58"/>
      <c r="F52" s="58"/>
    </row>
    <row r="53" spans="1:6" x14ac:dyDescent="0.25">
      <c r="A53" s="59">
        <f>companies!A53</f>
        <v>52</v>
      </c>
      <c r="B53" s="58">
        <v>2019</v>
      </c>
      <c r="C53" s="63">
        <v>36709000000</v>
      </c>
      <c r="D53" s="63">
        <v>6143000000</v>
      </c>
      <c r="E53" s="58"/>
      <c r="F53" s="58"/>
    </row>
    <row r="54" spans="1:6" x14ac:dyDescent="0.25">
      <c r="A54" s="59">
        <f>companies!A54</f>
        <v>53</v>
      </c>
      <c r="B54" s="58">
        <v>2019</v>
      </c>
      <c r="C54" s="63">
        <v>77140000000</v>
      </c>
      <c r="D54" s="63">
        <v>9430000000</v>
      </c>
      <c r="E54" s="58"/>
      <c r="F54" s="58"/>
    </row>
    <row r="55" spans="1:6" x14ac:dyDescent="0.25">
      <c r="A55" s="59">
        <f>companies!A55</f>
        <v>54</v>
      </c>
      <c r="B55" s="58">
        <v>2019</v>
      </c>
      <c r="C55" s="63">
        <v>71900000000</v>
      </c>
      <c r="D55" s="63">
        <v>21000000000</v>
      </c>
      <c r="E55" s="58"/>
      <c r="F55" s="58"/>
    </row>
    <row r="56" spans="1:6" x14ac:dyDescent="0.25">
      <c r="A56" s="59">
        <f>companies!A56</f>
        <v>55</v>
      </c>
      <c r="B56" s="58">
        <v>2019</v>
      </c>
      <c r="C56" s="63">
        <v>82060000000</v>
      </c>
      <c r="D56" s="63">
        <v>15120000000</v>
      </c>
      <c r="E56" s="58"/>
      <c r="F56" s="58"/>
    </row>
    <row r="57" spans="1:6" x14ac:dyDescent="0.25">
      <c r="A57" s="59">
        <f>companies!A57</f>
        <v>56</v>
      </c>
      <c r="B57" s="58">
        <v>2019</v>
      </c>
      <c r="C57" s="63">
        <v>115600000000</v>
      </c>
      <c r="D57" s="63">
        <v>36430000000</v>
      </c>
      <c r="E57" s="58"/>
      <c r="F57" s="58"/>
    </row>
    <row r="58" spans="1:6" x14ac:dyDescent="0.25">
      <c r="A58" s="59">
        <f>companies!A58</f>
        <v>57</v>
      </c>
      <c r="B58" s="58">
        <v>2019</v>
      </c>
      <c r="C58" s="63">
        <v>13209000000</v>
      </c>
      <c r="D58" s="63">
        <v>2190000000</v>
      </c>
    </row>
    <row r="59" spans="1:6" x14ac:dyDescent="0.25">
      <c r="A59" s="59">
        <f>companies!A59</f>
        <v>58</v>
      </c>
      <c r="B59" s="58">
        <v>2019</v>
      </c>
      <c r="C59" s="63">
        <v>24970000000</v>
      </c>
      <c r="D59" s="63">
        <v>1935000000</v>
      </c>
      <c r="E59" s="58"/>
      <c r="F59" s="58"/>
    </row>
    <row r="60" spans="1:6" x14ac:dyDescent="0.25">
      <c r="A60" s="59">
        <f>companies!A60</f>
        <v>59</v>
      </c>
      <c r="B60" s="58">
        <v>2019</v>
      </c>
      <c r="C60" s="63">
        <v>59810000000</v>
      </c>
      <c r="D60" s="63">
        <v>6230000000</v>
      </c>
      <c r="E60" s="58"/>
      <c r="F60" s="58"/>
    </row>
    <row r="61" spans="1:6" x14ac:dyDescent="0.25">
      <c r="A61" s="59">
        <f>companies!A61</f>
        <v>60</v>
      </c>
      <c r="B61" s="58">
        <v>2019</v>
      </c>
      <c r="C61" s="63">
        <v>71300000000</v>
      </c>
      <c r="D61" s="63">
        <v>2307000000</v>
      </c>
      <c r="E61" s="58"/>
      <c r="F61" s="58"/>
    </row>
    <row r="62" spans="1:6" x14ac:dyDescent="0.25">
      <c r="A62" s="59">
        <f>companies!A62</f>
        <v>61</v>
      </c>
      <c r="B62" s="58">
        <v>2019</v>
      </c>
      <c r="C62" s="63">
        <v>16883000000</v>
      </c>
      <c r="D62" s="63">
        <v>8120000000</v>
      </c>
      <c r="E62" s="58"/>
      <c r="F62" s="58"/>
    </row>
    <row r="63" spans="1:6" x14ac:dyDescent="0.25">
      <c r="A63" s="59">
        <f>companies!A63</f>
        <v>62</v>
      </c>
      <c r="B63" s="58">
        <v>2019</v>
      </c>
      <c r="C63" s="63">
        <v>21076000000</v>
      </c>
      <c r="D63" s="63">
        <v>6025000000</v>
      </c>
      <c r="E63" s="58"/>
      <c r="F63" s="58"/>
    </row>
    <row r="64" spans="1:6" x14ac:dyDescent="0.25">
      <c r="A64" s="59">
        <f>companies!A64</f>
        <v>63</v>
      </c>
      <c r="B64" s="58">
        <v>2019</v>
      </c>
      <c r="C64" s="63">
        <v>30557000000</v>
      </c>
      <c r="D64" s="63">
        <v>4631000000</v>
      </c>
      <c r="E64" s="58"/>
      <c r="F64" s="58"/>
    </row>
    <row r="65" spans="1:6" x14ac:dyDescent="0.25">
      <c r="A65" s="59">
        <f>companies!A65</f>
        <v>64</v>
      </c>
      <c r="B65" s="58">
        <v>2019</v>
      </c>
      <c r="C65" s="63">
        <v>42290000000</v>
      </c>
      <c r="D65" s="63">
        <v>6220000000</v>
      </c>
      <c r="E65" s="58"/>
      <c r="F65" s="58"/>
    </row>
    <row r="66" spans="1:6" x14ac:dyDescent="0.25">
      <c r="A66" s="59">
        <f>companies!A66</f>
        <v>65</v>
      </c>
      <c r="B66" s="58">
        <v>2019</v>
      </c>
      <c r="C66" s="63">
        <v>67941000000</v>
      </c>
      <c r="D66" s="63">
        <v>5070000000</v>
      </c>
      <c r="E66" s="58"/>
      <c r="F66" s="58"/>
    </row>
    <row r="67" spans="1:6" x14ac:dyDescent="0.25">
      <c r="A67" s="59">
        <f>companies!A67</f>
        <v>66</v>
      </c>
      <c r="B67" s="58">
        <v>2019</v>
      </c>
      <c r="C67" s="63">
        <v>125800000000</v>
      </c>
      <c r="D67" s="63">
        <v>39240000000</v>
      </c>
      <c r="E67" s="58"/>
      <c r="F67" s="58"/>
    </row>
    <row r="68" spans="1:6" x14ac:dyDescent="0.25">
      <c r="A68" s="59">
        <f>companies!A68</f>
        <v>67</v>
      </c>
      <c r="B68" s="58">
        <v>2019</v>
      </c>
      <c r="C68" s="63">
        <v>25870000000</v>
      </c>
      <c r="D68" s="63">
        <v>3870000000</v>
      </c>
      <c r="E68" s="58"/>
      <c r="F68" s="58"/>
    </row>
    <row r="69" spans="1:6" x14ac:dyDescent="0.25">
      <c r="A69" s="59">
        <f>companies!A69</f>
        <v>68</v>
      </c>
      <c r="B69" s="58">
        <v>2019</v>
      </c>
      <c r="C69" s="63">
        <v>41419000000</v>
      </c>
      <c r="D69" s="63">
        <v>8512000000</v>
      </c>
      <c r="E69" s="58"/>
      <c r="F69" s="58"/>
    </row>
    <row r="70" spans="1:6" x14ac:dyDescent="0.25">
      <c r="A70" s="59">
        <f>companies!A70</f>
        <v>69</v>
      </c>
      <c r="B70" s="58">
        <v>2019</v>
      </c>
      <c r="C70" s="63">
        <v>20160000000</v>
      </c>
      <c r="D70" s="63">
        <v>1866000000</v>
      </c>
    </row>
    <row r="71" spans="1:6" x14ac:dyDescent="0.25">
      <c r="A71" s="59">
        <f>companies!A71</f>
        <v>70</v>
      </c>
      <c r="B71" s="58">
        <v>2019</v>
      </c>
      <c r="C71" s="63">
        <v>19204000000</v>
      </c>
      <c r="D71" s="63">
        <v>3769000000</v>
      </c>
    </row>
    <row r="72" spans="1:6" x14ac:dyDescent="0.25">
      <c r="A72" s="59">
        <f>companies!A72</f>
        <v>71</v>
      </c>
      <c r="B72" s="58">
        <v>2019</v>
      </c>
      <c r="C72" s="63">
        <v>39100000000</v>
      </c>
      <c r="D72" s="63">
        <v>4000000000</v>
      </c>
      <c r="E72" s="58"/>
      <c r="F72" s="58"/>
    </row>
    <row r="73" spans="1:6" x14ac:dyDescent="0.25">
      <c r="A73" s="59">
        <f>companies!A73</f>
        <v>72</v>
      </c>
      <c r="B73" s="58">
        <v>2019</v>
      </c>
      <c r="C73" s="63">
        <v>11720000000</v>
      </c>
      <c r="D73" s="63">
        <v>4141000000</v>
      </c>
      <c r="E73" s="58"/>
      <c r="F73" s="58"/>
    </row>
    <row r="74" spans="1:6" x14ac:dyDescent="0.25">
      <c r="A74" s="59">
        <f>companies!A74</f>
        <v>73</v>
      </c>
      <c r="B74" s="58">
        <v>2019</v>
      </c>
      <c r="C74" s="63">
        <v>21230000000</v>
      </c>
      <c r="D74" s="63">
        <v>-652000000</v>
      </c>
      <c r="E74" s="58"/>
      <c r="F74" s="58"/>
    </row>
    <row r="75" spans="1:6" x14ac:dyDescent="0.25">
      <c r="A75" s="59">
        <f>companies!A75</f>
        <v>74</v>
      </c>
      <c r="B75" s="58">
        <v>2019</v>
      </c>
      <c r="C75" s="63">
        <v>39500000000</v>
      </c>
      <c r="D75" s="63">
        <v>11080000000</v>
      </c>
      <c r="E75" s="58"/>
      <c r="F75" s="58"/>
    </row>
    <row r="76" spans="1:6" x14ac:dyDescent="0.25">
      <c r="A76" s="59">
        <f>companies!A76</f>
        <v>75</v>
      </c>
      <c r="B76" s="58">
        <v>2019</v>
      </c>
      <c r="C76" s="63">
        <v>17770000000</v>
      </c>
      <c r="D76" s="63">
        <v>2459000000</v>
      </c>
      <c r="E76" s="58"/>
      <c r="F76" s="58"/>
    </row>
    <row r="77" spans="1:6" x14ac:dyDescent="0.25">
      <c r="A77" s="59">
        <f>companies!A77</f>
        <v>76</v>
      </c>
      <c r="B77" s="58">
        <v>2019</v>
      </c>
      <c r="C77" s="63">
        <v>67160000000</v>
      </c>
      <c r="D77" s="63">
        <v>7353000000</v>
      </c>
      <c r="E77" s="58"/>
      <c r="F77" s="58"/>
    </row>
    <row r="78" spans="1:6" x14ac:dyDescent="0.25">
      <c r="A78" s="59">
        <f>companies!A78</f>
        <v>77</v>
      </c>
      <c r="B78" s="58">
        <v>2019</v>
      </c>
      <c r="C78" s="63">
        <v>51750000000</v>
      </c>
      <c r="D78" s="63">
        <v>16270000000</v>
      </c>
      <c r="E78" s="58"/>
      <c r="F78" s="58"/>
    </row>
    <row r="79" spans="1:6" x14ac:dyDescent="0.25">
      <c r="A79" s="59">
        <f>companies!A79</f>
        <v>78</v>
      </c>
      <c r="B79" s="58">
        <v>2019</v>
      </c>
      <c r="C79" s="63">
        <v>79820000000</v>
      </c>
      <c r="D79" s="63">
        <v>7910000000</v>
      </c>
      <c r="E79" s="58"/>
      <c r="F79" s="58"/>
    </row>
    <row r="80" spans="1:6" x14ac:dyDescent="0.25">
      <c r="A80" s="59">
        <f>companies!A80</f>
        <v>79</v>
      </c>
      <c r="B80" s="58">
        <v>2019</v>
      </c>
      <c r="C80" s="63">
        <v>67680000000</v>
      </c>
      <c r="D80" s="63">
        <v>3890000000</v>
      </c>
      <c r="E80" s="58"/>
      <c r="F80" s="58"/>
    </row>
    <row r="81" spans="1:6" x14ac:dyDescent="0.25">
      <c r="A81" s="59">
        <f>companies!A81</f>
        <v>80</v>
      </c>
      <c r="B81" s="58">
        <v>2019</v>
      </c>
      <c r="C81" s="63">
        <v>24270000000</v>
      </c>
      <c r="D81" s="63">
        <v>4390000000</v>
      </c>
      <c r="E81" s="58"/>
      <c r="F81" s="58"/>
    </row>
    <row r="82" spans="1:6" x14ac:dyDescent="0.25">
      <c r="A82" s="59">
        <f>companies!A82</f>
        <v>81</v>
      </c>
      <c r="B82" s="58">
        <v>2019</v>
      </c>
      <c r="C82" s="63">
        <v>29176000000</v>
      </c>
      <c r="D82" s="63">
        <v>3343000000</v>
      </c>
    </row>
    <row r="83" spans="1:6" x14ac:dyDescent="0.25">
      <c r="A83" s="59">
        <f>companies!A83</f>
        <v>82</v>
      </c>
      <c r="B83" s="58">
        <v>2019</v>
      </c>
      <c r="C83" s="63">
        <v>13280000000</v>
      </c>
      <c r="D83" s="63">
        <v>1110000000</v>
      </c>
      <c r="E83" s="58"/>
      <c r="F83" s="58"/>
    </row>
    <row r="84" spans="1:6" x14ac:dyDescent="0.25">
      <c r="A84" s="59">
        <f>companies!A84</f>
        <v>83</v>
      </c>
      <c r="B84" s="58">
        <v>2019</v>
      </c>
      <c r="C84" s="63">
        <v>32900000000</v>
      </c>
      <c r="D84" s="63">
        <v>-10137000000</v>
      </c>
    </row>
    <row r="85" spans="1:6" x14ac:dyDescent="0.25">
      <c r="A85" s="59">
        <f>companies!A85</f>
        <v>84</v>
      </c>
      <c r="B85" s="58">
        <v>2019</v>
      </c>
      <c r="C85" s="63">
        <v>5755000000</v>
      </c>
      <c r="D85" s="63">
        <v>2098000000</v>
      </c>
      <c r="E85" s="58"/>
      <c r="F85" s="58"/>
    </row>
    <row r="86" spans="1:6" x14ac:dyDescent="0.25">
      <c r="A86" s="59">
        <f>companies!A86</f>
        <v>85</v>
      </c>
      <c r="B86" s="58">
        <v>2019</v>
      </c>
      <c r="C86" s="63">
        <v>21419000000</v>
      </c>
      <c r="D86" s="63">
        <v>3250000000</v>
      </c>
      <c r="E86" s="58"/>
      <c r="F86" s="58"/>
    </row>
    <row r="87" spans="1:6" x14ac:dyDescent="0.25">
      <c r="A87" s="59">
        <f>companies!A87</f>
        <v>86</v>
      </c>
      <c r="B87" s="58">
        <v>2019</v>
      </c>
      <c r="C87" s="63">
        <v>26510000000</v>
      </c>
      <c r="D87" s="63">
        <v>3600000000</v>
      </c>
      <c r="E87" s="58"/>
      <c r="F87" s="58"/>
    </row>
    <row r="88" spans="1:6" x14ac:dyDescent="0.25">
      <c r="A88" s="59">
        <f>companies!A88</f>
        <v>87</v>
      </c>
      <c r="B88" s="58">
        <v>2019</v>
      </c>
      <c r="C88" s="63">
        <v>78100000000</v>
      </c>
      <c r="D88" s="63">
        <v>3269000000</v>
      </c>
      <c r="E88" s="58"/>
      <c r="F88" s="58"/>
    </row>
    <row r="89" spans="1:6" x14ac:dyDescent="0.25">
      <c r="A89" s="59">
        <f>companies!A89</f>
        <v>88</v>
      </c>
      <c r="B89" s="58">
        <v>2019</v>
      </c>
      <c r="C89" s="63">
        <v>14318000000</v>
      </c>
      <c r="D89" s="63">
        <v>5020000000</v>
      </c>
      <c r="E89" s="58"/>
      <c r="F89" s="58"/>
    </row>
    <row r="90" spans="1:6" x14ac:dyDescent="0.25">
      <c r="A90" s="59">
        <f>companies!A90</f>
        <v>89</v>
      </c>
      <c r="B90" s="58">
        <v>2019</v>
      </c>
      <c r="C90" s="63">
        <v>20820000000</v>
      </c>
      <c r="D90" s="63">
        <v>4250000000</v>
      </c>
      <c r="E90" s="58"/>
      <c r="F90" s="58"/>
    </row>
    <row r="91" spans="1:6" x14ac:dyDescent="0.25">
      <c r="A91" s="59">
        <f>companies!A91</f>
        <v>90</v>
      </c>
      <c r="B91" s="58">
        <v>2019</v>
      </c>
      <c r="C91" s="63">
        <v>69570000000</v>
      </c>
      <c r="D91" s="63">
        <v>11050000000</v>
      </c>
      <c r="E91" s="58"/>
      <c r="F91" s="58"/>
    </row>
    <row r="92" spans="1:6" x14ac:dyDescent="0.25">
      <c r="A92" s="59">
        <f>companies!A92</f>
        <v>91</v>
      </c>
      <c r="B92" s="58">
        <v>2019</v>
      </c>
      <c r="C92" s="63">
        <v>25540000000</v>
      </c>
      <c r="D92" s="63">
        <v>3696000000</v>
      </c>
    </row>
    <row r="93" spans="1:6" x14ac:dyDescent="0.25">
      <c r="A93" s="59">
        <f>companies!A93</f>
        <v>92</v>
      </c>
      <c r="B93" s="58">
        <v>2019</v>
      </c>
      <c r="C93" s="63">
        <v>21700000000</v>
      </c>
      <c r="D93" s="63">
        <v>5900000000</v>
      </c>
      <c r="E93" s="58"/>
      <c r="F93" s="58"/>
    </row>
    <row r="94" spans="1:6" x14ac:dyDescent="0.25">
      <c r="A94" s="59">
        <f>companies!A94</f>
        <v>93</v>
      </c>
      <c r="B94" s="58">
        <v>2019</v>
      </c>
      <c r="C94" s="63">
        <v>242200000000</v>
      </c>
      <c r="D94" s="63">
        <v>14240000000</v>
      </c>
      <c r="E94" s="58"/>
      <c r="F94" s="58"/>
    </row>
    <row r="95" spans="1:6" x14ac:dyDescent="0.25">
      <c r="A95" s="59">
        <f>companies!A95</f>
        <v>94</v>
      </c>
      <c r="B95" s="58">
        <v>2019</v>
      </c>
      <c r="C95" s="63">
        <v>74094000000</v>
      </c>
      <c r="D95" s="63">
        <v>4400000000</v>
      </c>
      <c r="E95" s="58"/>
      <c r="F95" s="58"/>
    </row>
    <row r="96" spans="1:6" x14ac:dyDescent="0.25">
      <c r="A96" s="59">
        <f>companies!A96</f>
        <v>95</v>
      </c>
      <c r="B96" s="58">
        <v>2019</v>
      </c>
      <c r="C96" s="63">
        <v>25775000000</v>
      </c>
      <c r="D96" s="63">
        <v>6914000000</v>
      </c>
      <c r="E96" s="58"/>
      <c r="F96" s="58"/>
    </row>
    <row r="97" spans="1:6" x14ac:dyDescent="0.25">
      <c r="A97" s="59">
        <f>companies!A97</f>
        <v>96</v>
      </c>
      <c r="B97" s="58">
        <v>2019</v>
      </c>
      <c r="C97" s="63">
        <v>131860000000</v>
      </c>
      <c r="D97" s="63">
        <v>19790000000</v>
      </c>
      <c r="E97" s="58"/>
      <c r="F97" s="58"/>
    </row>
    <row r="98" spans="1:6" x14ac:dyDescent="0.25">
      <c r="A98" s="59">
        <f>companies!A98</f>
        <v>97</v>
      </c>
      <c r="B98" s="58">
        <v>2019</v>
      </c>
      <c r="C98" s="63">
        <v>23000000000</v>
      </c>
      <c r="D98" s="63">
        <v>12100000000</v>
      </c>
      <c r="E98" s="58"/>
      <c r="F98" s="58"/>
    </row>
    <row r="99" spans="1:6" x14ac:dyDescent="0.25">
      <c r="A99" s="59">
        <f>companies!A99</f>
        <v>98</v>
      </c>
      <c r="B99" s="58">
        <v>2019</v>
      </c>
      <c r="C99" s="63">
        <v>136900000000</v>
      </c>
      <c r="D99" s="63">
        <v>3900000000</v>
      </c>
      <c r="E99" s="58"/>
      <c r="F99" s="58"/>
    </row>
    <row r="100" spans="1:6" x14ac:dyDescent="0.25">
      <c r="A100" s="59">
        <f>companies!A100</f>
        <v>99</v>
      </c>
      <c r="B100" s="58">
        <v>2019</v>
      </c>
      <c r="C100" s="63">
        <v>524000000000</v>
      </c>
      <c r="D100" s="63">
        <v>14880000000</v>
      </c>
      <c r="E100" s="58"/>
      <c r="F100" s="58"/>
    </row>
    <row r="101" spans="1:6" x14ac:dyDescent="0.25">
      <c r="A101" s="59">
        <f>companies!A101</f>
        <v>100</v>
      </c>
      <c r="B101" s="58">
        <v>2019</v>
      </c>
      <c r="C101" s="63">
        <v>85060000000</v>
      </c>
      <c r="D101" s="63">
        <v>19550000000</v>
      </c>
      <c r="E101" s="58"/>
      <c r="F101" s="58"/>
    </row>
    <row r="1048561" spans="1:4" x14ac:dyDescent="0.25">
      <c r="A1048561" s="57"/>
      <c r="D1048561" s="57"/>
    </row>
    <row r="1048562" spans="1:4" x14ac:dyDescent="0.25">
      <c r="A1048562" s="58"/>
      <c r="D1048562" s="63"/>
    </row>
    <row r="1048563" spans="1:4" x14ac:dyDescent="0.25">
      <c r="A1048563" s="58"/>
      <c r="D1048563" s="63"/>
    </row>
    <row r="1048564" spans="1:4" x14ac:dyDescent="0.25">
      <c r="A1048564" s="58"/>
      <c r="D1048564" s="63"/>
    </row>
    <row r="1048565" spans="1:4" x14ac:dyDescent="0.25">
      <c r="A1048565" s="58"/>
      <c r="D1048565" s="63"/>
    </row>
    <row r="1048566" spans="1:4" x14ac:dyDescent="0.25">
      <c r="A1048566" s="58"/>
      <c r="D1048566" s="63"/>
    </row>
    <row r="1048567" spans="1:4" x14ac:dyDescent="0.25">
      <c r="A1048567" s="58"/>
      <c r="D1048567" s="63"/>
    </row>
    <row r="1048568" spans="1:4" x14ac:dyDescent="0.25">
      <c r="A1048568" s="58"/>
      <c r="D1048568" s="63"/>
    </row>
    <row r="1048569" spans="1:4" x14ac:dyDescent="0.25">
      <c r="A1048569" s="58"/>
      <c r="D1048569" s="63"/>
    </row>
    <row r="1048570" spans="1:4" x14ac:dyDescent="0.25">
      <c r="A1048570" s="58"/>
      <c r="D1048570" s="63"/>
    </row>
    <row r="1048571" spans="1:4" x14ac:dyDescent="0.25">
      <c r="A1048571" s="58"/>
      <c r="D1048571" s="63"/>
    </row>
    <row r="1048572" spans="1:4" x14ac:dyDescent="0.25">
      <c r="A1048572" s="58"/>
      <c r="D1048572" s="63"/>
    </row>
    <row r="1048573" spans="1:4" x14ac:dyDescent="0.25">
      <c r="A1048573" s="58"/>
      <c r="D1048573" s="63"/>
    </row>
    <row r="1048574" spans="1:4" x14ac:dyDescent="0.25">
      <c r="A1048574" s="58"/>
      <c r="D1048574" s="63"/>
    </row>
    <row r="1048575" spans="1:4" x14ac:dyDescent="0.25">
      <c r="A1048575" s="58"/>
      <c r="D1048575" s="63"/>
    </row>
    <row r="1048576" spans="1:4" x14ac:dyDescent="0.25">
      <c r="A1048576" s="58"/>
      <c r="D1048576" s="63"/>
    </row>
  </sheetData>
  <autoFilter ref="A1:F101" xr:uid="{AEA7C7BF-C5FF-44C0-81BE-AF1902666F9E}">
    <filterColumn colId="5">
      <customFilters>
        <customFilter operator="notEqual" val=" "/>
      </customFilters>
    </filterColumn>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58AF8-7FC6-4480-80CF-EE0E75FBD19C}">
  <dimension ref="A1:BI1048576"/>
  <sheetViews>
    <sheetView showGridLines="0" workbookViewId="0">
      <selection activeCell="E7" sqref="E7"/>
    </sheetView>
  </sheetViews>
  <sheetFormatPr defaultRowHeight="12.5" x14ac:dyDescent="0.25"/>
  <cols>
    <col min="1" max="1" width="12.81640625" bestFit="1" customWidth="1"/>
    <col min="2" max="2" width="12.08984375" customWidth="1"/>
    <col min="3" max="23" width="12.08984375" style="64" customWidth="1"/>
    <col min="24" max="29" width="10.54296875" style="64" customWidth="1"/>
    <col min="30" max="30" width="18.1796875" bestFit="1" customWidth="1"/>
    <col min="31" max="31" width="18.453125" bestFit="1" customWidth="1"/>
    <col min="32" max="32" width="23.36328125" bestFit="1" customWidth="1"/>
    <col min="33" max="33" width="27.26953125" bestFit="1" customWidth="1"/>
    <col min="34" max="34" width="29" bestFit="1" customWidth="1"/>
    <col min="35" max="35" width="20.81640625" style="64" bestFit="1" customWidth="1"/>
    <col min="36" max="36" width="20.81640625" style="64" customWidth="1"/>
    <col min="37" max="38" width="15.1796875" bestFit="1" customWidth="1"/>
    <col min="39" max="39" width="23.36328125" bestFit="1" customWidth="1"/>
    <col min="40" max="40" width="19.36328125" bestFit="1" customWidth="1"/>
    <col min="41" max="41" width="21" bestFit="1" customWidth="1"/>
    <col min="42" max="42" width="19.36328125" bestFit="1" customWidth="1"/>
    <col min="43" max="43" width="21" bestFit="1" customWidth="1"/>
    <col min="44" max="44" width="23.36328125" bestFit="1" customWidth="1"/>
    <col min="45" max="45" width="19.36328125" bestFit="1" customWidth="1"/>
    <col min="46" max="46" width="21" bestFit="1" customWidth="1"/>
    <col min="61" max="61" width="12.81640625" bestFit="1" customWidth="1"/>
  </cols>
  <sheetData>
    <row r="1" spans="1:61" ht="50" x14ac:dyDescent="0.25">
      <c r="A1" s="74" t="s">
        <v>557</v>
      </c>
      <c r="B1" s="74" t="s">
        <v>1053</v>
      </c>
      <c r="C1" s="75" t="s">
        <v>1094</v>
      </c>
      <c r="D1" s="75" t="s">
        <v>1077</v>
      </c>
      <c r="E1" s="75" t="s">
        <v>1076</v>
      </c>
      <c r="F1" s="75" t="s">
        <v>1075</v>
      </c>
      <c r="G1" s="75" t="s">
        <v>1074</v>
      </c>
      <c r="H1" s="75" t="s">
        <v>1078</v>
      </c>
      <c r="I1" s="75" t="s">
        <v>1079</v>
      </c>
      <c r="J1" s="75" t="s">
        <v>1080</v>
      </c>
      <c r="K1" s="75" t="s">
        <v>1081</v>
      </c>
      <c r="L1" s="75" t="s">
        <v>1082</v>
      </c>
      <c r="M1" s="75" t="s">
        <v>1083</v>
      </c>
      <c r="N1" s="75" t="s">
        <v>1084</v>
      </c>
      <c r="O1" s="75" t="s">
        <v>1085</v>
      </c>
      <c r="P1" s="75" t="s">
        <v>1086</v>
      </c>
      <c r="Q1" s="75" t="s">
        <v>1087</v>
      </c>
      <c r="R1" s="75" t="s">
        <v>1088</v>
      </c>
      <c r="S1" s="75" t="s">
        <v>1089</v>
      </c>
      <c r="T1" s="75" t="s">
        <v>1090</v>
      </c>
      <c r="U1" s="75" t="s">
        <v>1091</v>
      </c>
      <c r="V1" s="75" t="s">
        <v>1092</v>
      </c>
      <c r="W1" s="75" t="s">
        <v>1093</v>
      </c>
      <c r="X1" s="65"/>
      <c r="Y1" s="65"/>
      <c r="Z1" s="65"/>
      <c r="AA1" s="65"/>
      <c r="AB1" s="65"/>
      <c r="AC1" s="65"/>
      <c r="AD1" s="57" t="s">
        <v>1070</v>
      </c>
      <c r="AE1" s="57" t="s">
        <v>1071</v>
      </c>
      <c r="AF1" s="65" t="s">
        <v>1059</v>
      </c>
      <c r="AG1" s="57" t="s">
        <v>1072</v>
      </c>
      <c r="AH1" s="57" t="s">
        <v>1073</v>
      </c>
      <c r="AK1" s="57" t="s">
        <v>1057</v>
      </c>
      <c r="AL1" s="57" t="s">
        <v>1058</v>
      </c>
      <c r="AM1" s="65" t="s">
        <v>1062</v>
      </c>
      <c r="AN1" s="57" t="s">
        <v>1060</v>
      </c>
      <c r="AO1" s="57" t="s">
        <v>1061</v>
      </c>
      <c r="AP1" s="57" t="s">
        <v>1060</v>
      </c>
      <c r="AQ1" s="57" t="s">
        <v>1061</v>
      </c>
      <c r="AR1" s="65" t="s">
        <v>1063</v>
      </c>
      <c r="AS1" s="57" t="s">
        <v>1060</v>
      </c>
      <c r="AT1" s="57" t="s">
        <v>1061</v>
      </c>
      <c r="BI1" s="70" t="s">
        <v>1040</v>
      </c>
    </row>
    <row r="2" spans="1:61" x14ac:dyDescent="0.25">
      <c r="A2" s="59">
        <f>companies!A2</f>
        <v>1</v>
      </c>
      <c r="B2" s="61" t="s">
        <v>1056</v>
      </c>
      <c r="C2" s="73">
        <v>4050000</v>
      </c>
      <c r="D2" s="73">
        <v>1780000</v>
      </c>
      <c r="E2" s="73">
        <v>1320000</v>
      </c>
      <c r="F2" s="73">
        <v>6140000</v>
      </c>
      <c r="G2" s="73">
        <v>556000</v>
      </c>
      <c r="H2" s="73">
        <v>578000</v>
      </c>
      <c r="I2" s="73">
        <v>1070000</v>
      </c>
      <c r="J2" s="73">
        <v>192000</v>
      </c>
      <c r="K2" s="73">
        <v>52800</v>
      </c>
      <c r="L2" s="73">
        <v>336000</v>
      </c>
      <c r="M2" s="62" t="s">
        <v>1096</v>
      </c>
      <c r="N2" s="62" t="s">
        <v>1096</v>
      </c>
      <c r="O2" s="62" t="s">
        <v>1096</v>
      </c>
      <c r="P2" s="62" t="s">
        <v>1096</v>
      </c>
      <c r="Q2" s="62" t="s">
        <v>1096</v>
      </c>
      <c r="R2" s="73">
        <v>1000</v>
      </c>
      <c r="S2" s="62" t="s">
        <v>1096</v>
      </c>
      <c r="T2" s="62" t="s">
        <v>1096</v>
      </c>
      <c r="U2" s="62" t="s">
        <v>1096</v>
      </c>
      <c r="V2" s="62" t="s">
        <v>1096</v>
      </c>
      <c r="W2" s="62">
        <f>SUM(F2:V2)</f>
        <v>8925800</v>
      </c>
      <c r="X2" s="73"/>
      <c r="Y2" s="73"/>
      <c r="Z2" s="73"/>
      <c r="AA2" s="73"/>
      <c r="AB2" s="73"/>
      <c r="AC2" s="73"/>
      <c r="AD2" s="62" t="s">
        <v>1096</v>
      </c>
      <c r="AE2" s="62" t="s">
        <v>1096</v>
      </c>
      <c r="AF2" s="66">
        <f>Table1[[#This Row],[2019 Scope 1 (MeT Co2)]]</f>
        <v>4050000</v>
      </c>
      <c r="AG2" s="67">
        <f t="shared" ref="AG2:AG33" si="0">C2-AF2</f>
        <v>0</v>
      </c>
      <c r="AH2" s="68">
        <f t="shared" ref="AH2:AH33" si="1">AG2/C2</f>
        <v>0</v>
      </c>
      <c r="AK2" s="62" t="s">
        <v>1096</v>
      </c>
      <c r="AL2" s="62" t="s">
        <v>1096</v>
      </c>
      <c r="AM2" s="66">
        <f>Table1[[#This Row],[2019 Scope 2 ]]</f>
        <v>1320000</v>
      </c>
      <c r="AN2" s="67">
        <f t="shared" ref="AN2:AN33" si="2">D2-AM2</f>
        <v>460000</v>
      </c>
      <c r="AO2" s="68">
        <f t="shared" ref="AO2:AO33" si="3">AN2/D2</f>
        <v>0.25842696629213485</v>
      </c>
      <c r="AP2" s="67">
        <f t="shared" ref="AP2:AP33" si="4">AM2-E2</f>
        <v>0</v>
      </c>
      <c r="AQ2" s="68">
        <f t="shared" ref="AQ2:AQ33" si="5">AP2/E2</f>
        <v>0</v>
      </c>
      <c r="AR2" s="72">
        <f>Table1[[#This Row],[2019 Scope 3 ]]</f>
        <v>8920000</v>
      </c>
      <c r="AS2" s="71">
        <f t="shared" ref="AS2:AS33" si="6">W2-AR2</f>
        <v>5800</v>
      </c>
      <c r="AT2" s="51">
        <f t="shared" ref="AT2:AT33" si="7">AS2/W2</f>
        <v>6.4980169844719806E-4</v>
      </c>
      <c r="BI2" s="58">
        <v>285</v>
      </c>
    </row>
    <row r="3" spans="1:61" x14ac:dyDescent="0.25">
      <c r="A3" s="59">
        <f>companies!A3</f>
        <v>2</v>
      </c>
      <c r="B3" s="61" t="s">
        <v>1056</v>
      </c>
      <c r="C3" s="73">
        <v>533000</v>
      </c>
      <c r="D3" s="73">
        <v>518000</v>
      </c>
      <c r="E3" s="73">
        <v>439000</v>
      </c>
      <c r="F3" s="73">
        <v>8382000</v>
      </c>
      <c r="G3" s="73">
        <v>2860000</v>
      </c>
      <c r="H3" s="73">
        <v>290000</v>
      </c>
      <c r="I3" s="73">
        <v>1501000</v>
      </c>
      <c r="J3" s="73">
        <v>15000</v>
      </c>
      <c r="K3" s="73">
        <v>332000</v>
      </c>
      <c r="L3" s="73">
        <v>306000</v>
      </c>
      <c r="M3" s="62" t="s">
        <v>1096</v>
      </c>
      <c r="N3" s="62" t="s">
        <v>1096</v>
      </c>
      <c r="O3" s="62" t="s">
        <v>1096</v>
      </c>
      <c r="P3" s="62">
        <v>508000</v>
      </c>
      <c r="Q3" s="62">
        <v>169000</v>
      </c>
      <c r="R3" s="73" t="s">
        <v>1096</v>
      </c>
      <c r="S3" s="62" t="s">
        <v>1096</v>
      </c>
      <c r="T3" s="62" t="s">
        <v>1096</v>
      </c>
      <c r="U3" s="62" t="s">
        <v>1096</v>
      </c>
      <c r="V3" s="62" t="s">
        <v>1096</v>
      </c>
      <c r="W3" s="62">
        <f t="shared" ref="W3:W66" si="8">SUM(F3:V3)</f>
        <v>14363000</v>
      </c>
      <c r="X3" s="73"/>
      <c r="Y3" s="73"/>
      <c r="Z3" s="73"/>
      <c r="AA3" s="73"/>
      <c r="AB3" s="73"/>
      <c r="AC3" s="73"/>
      <c r="AD3" s="62" t="s">
        <v>1064</v>
      </c>
      <c r="AE3" s="62" t="s">
        <v>1065</v>
      </c>
      <c r="AF3" s="66">
        <f>Table1[[#This Row],[2019 Scope 1 (MeT Co2)]]</f>
        <v>533000</v>
      </c>
      <c r="AG3" s="67">
        <f t="shared" si="0"/>
        <v>0</v>
      </c>
      <c r="AH3" s="68">
        <f t="shared" si="1"/>
        <v>0</v>
      </c>
      <c r="AK3" s="62" t="s">
        <v>1064</v>
      </c>
      <c r="AL3" s="62" t="s">
        <v>1065</v>
      </c>
      <c r="AM3" s="66">
        <f>Table1[[#This Row],[2019 Scope 2 ]]</f>
        <v>439000</v>
      </c>
      <c r="AN3" s="67">
        <f t="shared" si="2"/>
        <v>79000</v>
      </c>
      <c r="AO3" s="68">
        <f t="shared" si="3"/>
        <v>0.15250965250965251</v>
      </c>
      <c r="AP3" s="67">
        <f t="shared" si="4"/>
        <v>0</v>
      </c>
      <c r="AQ3" s="68">
        <f t="shared" si="5"/>
        <v>0</v>
      </c>
      <c r="AR3" s="72">
        <f>Table1[[#This Row],[2019 Scope 3 ]]</f>
        <v>14363000</v>
      </c>
      <c r="AS3" s="71">
        <f t="shared" si="6"/>
        <v>0</v>
      </c>
      <c r="AT3" s="51">
        <f t="shared" si="7"/>
        <v>0</v>
      </c>
      <c r="BI3" s="58">
        <v>64</v>
      </c>
    </row>
    <row r="4" spans="1:61" x14ac:dyDescent="0.25">
      <c r="A4" s="59">
        <f>companies!A4</f>
        <v>3</v>
      </c>
      <c r="B4" s="61" t="s">
        <v>1056</v>
      </c>
      <c r="C4" s="73">
        <v>314421</v>
      </c>
      <c r="D4" s="73">
        <v>308204</v>
      </c>
      <c r="E4" s="73">
        <v>249777</v>
      </c>
      <c r="F4" s="73">
        <v>990981</v>
      </c>
      <c r="G4" s="73">
        <v>20324</v>
      </c>
      <c r="H4" s="73" t="s">
        <v>1096</v>
      </c>
      <c r="I4" s="73">
        <v>77371</v>
      </c>
      <c r="J4" s="73">
        <v>5483</v>
      </c>
      <c r="K4" s="73">
        <v>56303</v>
      </c>
      <c r="L4" s="73">
        <v>183747</v>
      </c>
      <c r="M4" s="62" t="s">
        <v>1096</v>
      </c>
      <c r="N4" s="62" t="s">
        <v>1096</v>
      </c>
      <c r="O4" s="62" t="s">
        <v>1096</v>
      </c>
      <c r="P4" s="62" t="s">
        <v>1096</v>
      </c>
      <c r="Q4" s="62" t="s">
        <v>1096</v>
      </c>
      <c r="R4" s="73" t="s">
        <v>1096</v>
      </c>
      <c r="S4" s="62" t="s">
        <v>1096</v>
      </c>
      <c r="T4" s="62" t="s">
        <v>1096</v>
      </c>
      <c r="U4" s="62" t="s">
        <v>1096</v>
      </c>
      <c r="V4" s="62" t="s">
        <v>1096</v>
      </c>
      <c r="W4" s="62">
        <f t="shared" si="8"/>
        <v>1334209</v>
      </c>
      <c r="X4" s="73"/>
      <c r="Y4" s="73"/>
      <c r="Z4" s="73"/>
      <c r="AA4" s="73"/>
      <c r="AB4" s="73"/>
      <c r="AC4" s="73"/>
      <c r="AD4" s="62" t="s">
        <v>1096</v>
      </c>
      <c r="AE4" s="62" t="s">
        <v>1096</v>
      </c>
      <c r="AF4" s="66">
        <f>Table1[[#This Row],[2019 Scope 1 (MeT Co2)]]</f>
        <v>314421</v>
      </c>
      <c r="AG4" s="67">
        <f t="shared" si="0"/>
        <v>0</v>
      </c>
      <c r="AH4" s="68">
        <f t="shared" si="1"/>
        <v>0</v>
      </c>
      <c r="AK4" s="62" t="s">
        <v>1096</v>
      </c>
      <c r="AL4" s="62" t="s">
        <v>1096</v>
      </c>
      <c r="AM4" s="66">
        <f>Table1[[#This Row],[2019 Scope 2 ]]</f>
        <v>249777</v>
      </c>
      <c r="AN4" s="67">
        <f t="shared" si="2"/>
        <v>58427</v>
      </c>
      <c r="AO4" s="68">
        <f t="shared" si="3"/>
        <v>0.18957249094755421</v>
      </c>
      <c r="AP4" s="67">
        <f t="shared" si="4"/>
        <v>0</v>
      </c>
      <c r="AQ4" s="68">
        <f t="shared" si="5"/>
        <v>0</v>
      </c>
      <c r="AR4" s="72">
        <f>Table1[[#This Row],[2019 Scope 3 ]]</f>
        <v>1334209</v>
      </c>
      <c r="AS4" s="71">
        <f t="shared" si="6"/>
        <v>0</v>
      </c>
      <c r="AT4" s="51">
        <f t="shared" si="7"/>
        <v>0</v>
      </c>
      <c r="BI4" s="58">
        <v>45103</v>
      </c>
    </row>
    <row r="5" spans="1:61" x14ac:dyDescent="0.25">
      <c r="A5" s="59">
        <f>companies!A5</f>
        <v>4</v>
      </c>
      <c r="B5" s="61" t="s">
        <v>1056</v>
      </c>
      <c r="C5" s="73">
        <v>18923</v>
      </c>
      <c r="D5" s="73">
        <v>281489</v>
      </c>
      <c r="E5" s="73">
        <v>214680</v>
      </c>
      <c r="F5" s="73">
        <v>423771</v>
      </c>
      <c r="G5" s="73" t="s">
        <v>1096</v>
      </c>
      <c r="H5" s="73" t="s">
        <v>1096</v>
      </c>
      <c r="I5" s="73" t="s">
        <v>1096</v>
      </c>
      <c r="J5" s="73" t="s">
        <v>1096</v>
      </c>
      <c r="K5" s="73">
        <v>508882</v>
      </c>
      <c r="L5" s="73" t="s">
        <v>1096</v>
      </c>
      <c r="M5" s="62" t="s">
        <v>1096</v>
      </c>
      <c r="N5" s="62" t="s">
        <v>1096</v>
      </c>
      <c r="O5" s="62" t="s">
        <v>1096</v>
      </c>
      <c r="P5" s="62" t="s">
        <v>1096</v>
      </c>
      <c r="Q5" s="62" t="s">
        <v>1096</v>
      </c>
      <c r="R5" s="73" t="s">
        <v>1096</v>
      </c>
      <c r="S5" s="62" t="s">
        <v>1096</v>
      </c>
      <c r="T5" s="62" t="s">
        <v>1096</v>
      </c>
      <c r="U5" s="62" t="s">
        <v>1096</v>
      </c>
      <c r="V5" s="62" t="s">
        <v>1096</v>
      </c>
      <c r="W5" s="62">
        <f t="shared" si="8"/>
        <v>932653</v>
      </c>
      <c r="X5" s="73"/>
      <c r="Y5" s="73"/>
      <c r="Z5" s="73"/>
      <c r="AA5" s="73"/>
      <c r="AB5" s="73"/>
      <c r="AC5" s="73"/>
      <c r="AD5" s="62" t="s">
        <v>1096</v>
      </c>
      <c r="AE5" s="62" t="s">
        <v>1096</v>
      </c>
      <c r="AF5" s="66">
        <f>Table1[[#This Row],[2019 Scope 1 (MeT Co2)]]</f>
        <v>18923</v>
      </c>
      <c r="AG5" s="67">
        <f t="shared" si="0"/>
        <v>0</v>
      </c>
      <c r="AH5" s="68">
        <f t="shared" si="1"/>
        <v>0</v>
      </c>
      <c r="AK5" s="62" t="s">
        <v>1096</v>
      </c>
      <c r="AL5" s="62" t="s">
        <v>1096</v>
      </c>
      <c r="AM5" s="66">
        <f>Table1[[#This Row],[2019 Scope 2 ]]</f>
        <v>214680</v>
      </c>
      <c r="AN5" s="67">
        <f t="shared" si="2"/>
        <v>66809</v>
      </c>
      <c r="AO5" s="68">
        <f t="shared" si="3"/>
        <v>0.23734142364355268</v>
      </c>
      <c r="AP5" s="67">
        <f t="shared" si="4"/>
        <v>0</v>
      </c>
      <c r="AQ5" s="68">
        <f t="shared" si="5"/>
        <v>0</v>
      </c>
      <c r="AR5" s="72">
        <f>Table1[[#This Row],[2019 Scope 3 ]]</f>
        <v>932653</v>
      </c>
      <c r="AS5" s="71">
        <f t="shared" si="6"/>
        <v>0</v>
      </c>
      <c r="AT5" s="51">
        <f t="shared" si="7"/>
        <v>0</v>
      </c>
      <c r="BI5" s="58">
        <v>21318</v>
      </c>
    </row>
    <row r="6" spans="1:61" x14ac:dyDescent="0.25">
      <c r="A6" s="59">
        <f>companies!A6</f>
        <v>5</v>
      </c>
      <c r="B6" s="61" t="s">
        <v>1056</v>
      </c>
      <c r="C6" s="73">
        <v>11816</v>
      </c>
      <c r="D6" s="73">
        <v>56113</v>
      </c>
      <c r="E6" s="73">
        <v>43526</v>
      </c>
      <c r="F6" s="73">
        <v>358472</v>
      </c>
      <c r="G6" s="73">
        <v>39706</v>
      </c>
      <c r="H6" s="73">
        <v>14180</v>
      </c>
      <c r="I6" s="73" t="s">
        <v>1096</v>
      </c>
      <c r="J6" s="73">
        <v>57.87</v>
      </c>
      <c r="K6" s="73">
        <v>88959</v>
      </c>
      <c r="L6" s="73">
        <v>42037</v>
      </c>
      <c r="M6" s="62" t="s">
        <v>1096</v>
      </c>
      <c r="N6" s="62" t="s">
        <v>1096</v>
      </c>
      <c r="O6" s="62" t="s">
        <v>1096</v>
      </c>
      <c r="P6" s="62" t="s">
        <v>1096</v>
      </c>
      <c r="Q6" s="62" t="s">
        <v>1096</v>
      </c>
      <c r="R6" s="73" t="s">
        <v>1096</v>
      </c>
      <c r="S6" s="62" t="s">
        <v>1096</v>
      </c>
      <c r="T6" s="62" t="s">
        <v>1096</v>
      </c>
      <c r="U6" s="62" t="s">
        <v>1096</v>
      </c>
      <c r="V6" s="62" t="s">
        <v>1096</v>
      </c>
      <c r="W6" s="62">
        <f t="shared" si="8"/>
        <v>543411.87</v>
      </c>
      <c r="X6" s="73"/>
      <c r="Y6" s="73"/>
      <c r="Z6" s="73"/>
      <c r="AA6" s="73"/>
      <c r="AB6" s="73"/>
      <c r="AC6" s="73"/>
      <c r="AD6" s="62" t="s">
        <v>1069</v>
      </c>
      <c r="AE6" s="62" t="s">
        <v>1068</v>
      </c>
      <c r="AF6" s="66">
        <f>Table1[[#This Row],[2019 Scope 1 (MeT Co2)]]</f>
        <v>11816</v>
      </c>
      <c r="AG6" s="67">
        <f t="shared" si="0"/>
        <v>0</v>
      </c>
      <c r="AH6" s="68">
        <f t="shared" si="1"/>
        <v>0</v>
      </c>
      <c r="AK6" s="62" t="s">
        <v>1069</v>
      </c>
      <c r="AL6" s="62" t="s">
        <v>1068</v>
      </c>
      <c r="AM6" s="66">
        <f>Table1[[#This Row],[2019 Scope 2 ]]</f>
        <v>43526</v>
      </c>
      <c r="AN6" s="67">
        <f t="shared" si="2"/>
        <v>12587</v>
      </c>
      <c r="AO6" s="68">
        <f t="shared" si="3"/>
        <v>0.22431522107176591</v>
      </c>
      <c r="AP6" s="67">
        <f t="shared" si="4"/>
        <v>0</v>
      </c>
      <c r="AQ6" s="68">
        <f t="shared" si="5"/>
        <v>0</v>
      </c>
      <c r="AR6" s="72">
        <f>Table1[[#This Row],[2019 Scope 3 ]]</f>
        <v>543411.87</v>
      </c>
      <c r="AS6" s="71">
        <f t="shared" si="6"/>
        <v>0</v>
      </c>
      <c r="AT6" s="51">
        <f t="shared" si="7"/>
        <v>0</v>
      </c>
      <c r="BI6" s="58">
        <v>333</v>
      </c>
    </row>
    <row r="7" spans="1:61" x14ac:dyDescent="0.25">
      <c r="A7" s="59">
        <f>companies!A7</f>
        <v>6</v>
      </c>
      <c r="B7" s="61" t="s">
        <v>1056</v>
      </c>
      <c r="C7" s="73">
        <v>39230</v>
      </c>
      <c r="D7" s="73">
        <v>86863</v>
      </c>
      <c r="E7" s="73">
        <v>74230</v>
      </c>
      <c r="F7" s="73">
        <v>10528</v>
      </c>
      <c r="G7" s="73">
        <v>0</v>
      </c>
      <c r="H7" s="73">
        <v>4343</v>
      </c>
      <c r="I7" s="73">
        <v>3</v>
      </c>
      <c r="J7" s="73">
        <v>446</v>
      </c>
      <c r="K7" s="73">
        <v>8857</v>
      </c>
      <c r="L7" s="73">
        <v>13412</v>
      </c>
      <c r="M7" s="62" t="s">
        <v>1096</v>
      </c>
      <c r="N7" s="62" t="s">
        <v>1096</v>
      </c>
      <c r="O7" s="62" t="s">
        <v>1096</v>
      </c>
      <c r="P7" s="62" t="s">
        <v>1096</v>
      </c>
      <c r="Q7" s="62" t="s">
        <v>1096</v>
      </c>
      <c r="R7" s="73" t="s">
        <v>1096</v>
      </c>
      <c r="S7" s="62" t="s">
        <v>1096</v>
      </c>
      <c r="T7" s="62" t="s">
        <v>1096</v>
      </c>
      <c r="U7" s="62" t="s">
        <v>1096</v>
      </c>
      <c r="V7" s="62" t="s">
        <v>1096</v>
      </c>
      <c r="W7" s="62">
        <f t="shared" si="8"/>
        <v>37589</v>
      </c>
      <c r="X7" s="73"/>
      <c r="Y7" s="73"/>
      <c r="Z7" s="73"/>
      <c r="AA7" s="73"/>
      <c r="AB7" s="73"/>
      <c r="AC7" s="73"/>
      <c r="AD7" s="62" t="s">
        <v>1096</v>
      </c>
      <c r="AE7" s="62" t="s">
        <v>1096</v>
      </c>
      <c r="AF7" s="66">
        <f>Table1[[#This Row],[2019 Scope 1 (MeT Co2)]]</f>
        <v>39230</v>
      </c>
      <c r="AG7" s="67">
        <f t="shared" si="0"/>
        <v>0</v>
      </c>
      <c r="AH7" s="68">
        <f t="shared" si="1"/>
        <v>0</v>
      </c>
      <c r="AK7" s="62" t="s">
        <v>1096</v>
      </c>
      <c r="AL7" s="62" t="s">
        <v>1096</v>
      </c>
      <c r="AM7" s="66">
        <f>Table1[[#This Row],[2019 Scope 2 ]]</f>
        <v>74230</v>
      </c>
      <c r="AN7" s="67">
        <f t="shared" si="2"/>
        <v>12633</v>
      </c>
      <c r="AO7" s="68">
        <f t="shared" si="3"/>
        <v>0.14543591632801078</v>
      </c>
      <c r="AP7" s="67">
        <f t="shared" si="4"/>
        <v>0</v>
      </c>
      <c r="AQ7" s="68">
        <f t="shared" si="5"/>
        <v>0</v>
      </c>
      <c r="AR7" s="72">
        <f>Table1[[#This Row],[2019 Scope 3 ]]</f>
        <v>37589</v>
      </c>
      <c r="AS7" s="71">
        <f t="shared" si="6"/>
        <v>0</v>
      </c>
      <c r="AT7" s="51">
        <f t="shared" si="7"/>
        <v>0</v>
      </c>
      <c r="BI7" s="58">
        <v>582</v>
      </c>
    </row>
    <row r="8" spans="1:61" x14ac:dyDescent="0.25">
      <c r="A8" s="59">
        <f>companies!A8</f>
        <v>7</v>
      </c>
      <c r="B8" s="61" t="s">
        <v>1056</v>
      </c>
      <c r="C8" s="73">
        <v>66686</v>
      </c>
      <c r="D8" s="73">
        <v>5116949</v>
      </c>
      <c r="E8" s="73">
        <v>794267</v>
      </c>
      <c r="F8" s="73">
        <v>0</v>
      </c>
      <c r="G8" s="73">
        <v>2158000</v>
      </c>
      <c r="H8" s="73">
        <v>0</v>
      </c>
      <c r="I8" s="73">
        <v>460000</v>
      </c>
      <c r="J8" s="73" t="s">
        <v>1096</v>
      </c>
      <c r="K8" s="73">
        <v>369000</v>
      </c>
      <c r="L8" s="73">
        <v>173000</v>
      </c>
      <c r="M8" s="62" t="s">
        <v>1096</v>
      </c>
      <c r="N8" s="62">
        <v>0</v>
      </c>
      <c r="O8" s="62" t="s">
        <v>1096</v>
      </c>
      <c r="P8" s="62">
        <v>0</v>
      </c>
      <c r="Q8" s="62">
        <v>0</v>
      </c>
      <c r="R8" s="73" t="s">
        <v>1096</v>
      </c>
      <c r="S8" s="62" t="s">
        <v>1096</v>
      </c>
      <c r="T8" s="62" t="s">
        <v>1096</v>
      </c>
      <c r="U8" s="62">
        <v>8509000</v>
      </c>
      <c r="V8" s="62" t="s">
        <v>1096</v>
      </c>
      <c r="W8" s="62">
        <f t="shared" si="8"/>
        <v>11669000</v>
      </c>
      <c r="X8" s="73"/>
      <c r="Y8" s="73"/>
      <c r="Z8" s="73"/>
      <c r="AA8" s="73"/>
      <c r="AB8" s="73"/>
      <c r="AC8" s="73"/>
      <c r="AD8" s="62" t="s">
        <v>1096</v>
      </c>
      <c r="AE8" s="62" t="s">
        <v>1096</v>
      </c>
      <c r="AF8" s="66">
        <f>Table1[[#This Row],[2019 Scope 1 (MeT Co2)]]</f>
        <v>66686</v>
      </c>
      <c r="AG8" s="67">
        <f t="shared" si="0"/>
        <v>0</v>
      </c>
      <c r="AH8" s="68">
        <f t="shared" si="1"/>
        <v>0</v>
      </c>
      <c r="AK8" s="62" t="s">
        <v>1096</v>
      </c>
      <c r="AL8" s="62" t="s">
        <v>1096</v>
      </c>
      <c r="AM8" s="66">
        <f>Table1[[#This Row],[2019 Scope 2 ]]</f>
        <v>794267</v>
      </c>
      <c r="AN8" s="67">
        <f t="shared" si="2"/>
        <v>4322682</v>
      </c>
      <c r="AO8" s="68">
        <f t="shared" si="3"/>
        <v>0.84477722955612811</v>
      </c>
      <c r="AP8" s="67">
        <f t="shared" si="4"/>
        <v>0</v>
      </c>
      <c r="AQ8" s="68">
        <f t="shared" si="5"/>
        <v>0</v>
      </c>
      <c r="AR8" s="72">
        <f>Table1[[#This Row],[2019 Scope 3 ]]</f>
        <v>3160000</v>
      </c>
      <c r="AS8" s="71">
        <f t="shared" si="6"/>
        <v>8509000</v>
      </c>
      <c r="AT8" s="51">
        <f t="shared" si="7"/>
        <v>0.72919701773930923</v>
      </c>
      <c r="BI8" s="58">
        <v>7616</v>
      </c>
    </row>
    <row r="9" spans="1:61" x14ac:dyDescent="0.25">
      <c r="A9" s="59">
        <f>companies!A9</f>
        <v>8</v>
      </c>
      <c r="B9" s="61" t="s">
        <v>1056</v>
      </c>
      <c r="C9" s="73">
        <v>154507</v>
      </c>
      <c r="D9" s="73">
        <v>151259</v>
      </c>
      <c r="E9" s="73">
        <v>147909</v>
      </c>
      <c r="F9" s="73">
        <v>1297850</v>
      </c>
      <c r="G9" s="73">
        <v>6713</v>
      </c>
      <c r="H9" s="73">
        <v>96806</v>
      </c>
      <c r="I9" s="73">
        <v>278393</v>
      </c>
      <c r="J9" s="73">
        <v>27853</v>
      </c>
      <c r="K9" s="73">
        <v>14102</v>
      </c>
      <c r="L9" s="73">
        <v>11373</v>
      </c>
      <c r="M9" s="62" t="s">
        <v>1096</v>
      </c>
      <c r="N9" s="62">
        <v>199307</v>
      </c>
      <c r="O9" s="62" t="s">
        <v>1096</v>
      </c>
      <c r="P9" s="62" t="s">
        <v>1096</v>
      </c>
      <c r="Q9" s="62">
        <v>67173</v>
      </c>
      <c r="R9" s="73" t="s">
        <v>1096</v>
      </c>
      <c r="S9" s="62" t="s">
        <v>1096</v>
      </c>
      <c r="T9" s="62">
        <v>3228163</v>
      </c>
      <c r="U9" s="62">
        <v>194038</v>
      </c>
      <c r="V9" s="62">
        <v>146250</v>
      </c>
      <c r="W9" s="62">
        <f t="shared" si="8"/>
        <v>5568021</v>
      </c>
      <c r="X9" s="73"/>
      <c r="Y9" s="73"/>
      <c r="Z9" s="73"/>
      <c r="AA9" s="73"/>
      <c r="AB9" s="73"/>
      <c r="AC9" s="73"/>
      <c r="AD9" s="62" t="s">
        <v>1096</v>
      </c>
      <c r="AE9" s="62" t="s">
        <v>1096</v>
      </c>
      <c r="AF9" s="66">
        <f>Table1[[#This Row],[2019 Scope 1 (MeT Co2)]]</f>
        <v>154507</v>
      </c>
      <c r="AG9" s="67">
        <f t="shared" si="0"/>
        <v>0</v>
      </c>
      <c r="AH9" s="68">
        <f t="shared" si="1"/>
        <v>0</v>
      </c>
      <c r="AK9" s="62" t="s">
        <v>1096</v>
      </c>
      <c r="AL9" s="62" t="s">
        <v>1096</v>
      </c>
      <c r="AM9" s="66">
        <f>Table1[[#This Row],[2019 Scope 2 ]]</f>
        <v>146909</v>
      </c>
      <c r="AN9" s="67">
        <f t="shared" si="2"/>
        <v>4350</v>
      </c>
      <c r="AO9" s="68">
        <f t="shared" si="3"/>
        <v>2.8758619321825479E-2</v>
      </c>
      <c r="AP9" s="67">
        <f t="shared" si="4"/>
        <v>-1000</v>
      </c>
      <c r="AQ9" s="68">
        <f t="shared" si="5"/>
        <v>-6.7609138051098984E-3</v>
      </c>
      <c r="AR9" s="72" t="str">
        <f>Table1[[#This Row],[2019 Scope 3 ]]</f>
        <v>NR</v>
      </c>
      <c r="AS9" s="71" t="e">
        <f t="shared" si="6"/>
        <v>#VALUE!</v>
      </c>
      <c r="AT9" s="51" t="e">
        <f t="shared" si="7"/>
        <v>#VALUE!</v>
      </c>
      <c r="BI9" s="58">
        <v>628</v>
      </c>
    </row>
    <row r="10" spans="1:61" x14ac:dyDescent="0.25">
      <c r="A10" s="59">
        <f>companies!A10</f>
        <v>9</v>
      </c>
      <c r="B10" s="61" t="s">
        <v>1056</v>
      </c>
      <c r="C10" s="73" t="s">
        <v>1095</v>
      </c>
      <c r="D10" s="73" t="s">
        <v>1095</v>
      </c>
      <c r="E10" s="73" t="s">
        <v>1095</v>
      </c>
      <c r="F10" s="73" t="s">
        <v>1095</v>
      </c>
      <c r="G10" s="73" t="s">
        <v>1095</v>
      </c>
      <c r="H10" s="73" t="s">
        <v>1095</v>
      </c>
      <c r="I10" s="73" t="s">
        <v>1095</v>
      </c>
      <c r="J10" s="73" t="s">
        <v>1095</v>
      </c>
      <c r="K10" s="73" t="s">
        <v>1095</v>
      </c>
      <c r="L10" s="73" t="s">
        <v>1095</v>
      </c>
      <c r="M10" s="73" t="s">
        <v>1095</v>
      </c>
      <c r="N10" s="73" t="s">
        <v>1095</v>
      </c>
      <c r="O10" s="73" t="s">
        <v>1095</v>
      </c>
      <c r="P10" s="73" t="s">
        <v>1095</v>
      </c>
      <c r="Q10" s="73" t="s">
        <v>1095</v>
      </c>
      <c r="R10" s="73" t="s">
        <v>1095</v>
      </c>
      <c r="S10" s="73" t="s">
        <v>1095</v>
      </c>
      <c r="T10" s="73" t="s">
        <v>1095</v>
      </c>
      <c r="U10" s="73" t="s">
        <v>1095</v>
      </c>
      <c r="V10" s="73" t="s">
        <v>1095</v>
      </c>
      <c r="W10" s="62">
        <f t="shared" si="8"/>
        <v>0</v>
      </c>
      <c r="X10" s="62"/>
      <c r="Y10" s="62"/>
      <c r="Z10" s="62"/>
      <c r="AA10" s="62"/>
      <c r="AB10" s="62"/>
      <c r="AC10" s="62"/>
      <c r="AD10" s="62" t="e">
        <v>#N/A</v>
      </c>
      <c r="AE10" s="62" t="e">
        <v>#N/A</v>
      </c>
      <c r="AF10" s="66">
        <f>Table1[[#This Row],[2019 Scope 1 (MeT Co2)]]</f>
        <v>5760000</v>
      </c>
      <c r="AG10" s="67" t="e">
        <f t="shared" si="0"/>
        <v>#VALUE!</v>
      </c>
      <c r="AH10" s="68" t="e">
        <f t="shared" si="1"/>
        <v>#VALUE!</v>
      </c>
      <c r="AK10" s="62" t="e">
        <v>#N/A</v>
      </c>
      <c r="AL10" s="62" t="e">
        <v>#N/A</v>
      </c>
      <c r="AM10" s="66">
        <f>Table1[[#This Row],[2019 Scope 2 ]]</f>
        <v>5500000</v>
      </c>
      <c r="AN10" s="67" t="e">
        <f t="shared" si="2"/>
        <v>#VALUE!</v>
      </c>
      <c r="AO10" s="68" t="e">
        <f t="shared" si="3"/>
        <v>#VALUE!</v>
      </c>
      <c r="AP10" s="67" t="e">
        <f t="shared" si="4"/>
        <v>#VALUE!</v>
      </c>
      <c r="AQ10" s="68" t="e">
        <f t="shared" si="5"/>
        <v>#VALUE!</v>
      </c>
      <c r="AR10" s="72">
        <f>Table1[[#This Row],[2019 Scope 3 ]]</f>
        <v>39910000</v>
      </c>
      <c r="AS10" s="71">
        <f t="shared" si="6"/>
        <v>-39910000</v>
      </c>
      <c r="AT10" s="51" t="e">
        <f t="shared" si="7"/>
        <v>#DIV/0!</v>
      </c>
    </row>
    <row r="11" spans="1:61" x14ac:dyDescent="0.25">
      <c r="A11" s="59">
        <f>companies!A11</f>
        <v>10</v>
      </c>
      <c r="B11" s="61" t="s">
        <v>1056</v>
      </c>
      <c r="C11" s="73">
        <v>24363</v>
      </c>
      <c r="D11" s="73">
        <v>113964</v>
      </c>
      <c r="E11" s="73">
        <v>3153</v>
      </c>
      <c r="F11" s="73">
        <v>1956901</v>
      </c>
      <c r="G11" s="73">
        <v>24863</v>
      </c>
      <c r="H11" s="73">
        <v>30305</v>
      </c>
      <c r="I11" s="73" t="s">
        <v>1096</v>
      </c>
      <c r="J11" s="73">
        <v>1719</v>
      </c>
      <c r="K11" s="73">
        <v>51.679000000000002</v>
      </c>
      <c r="L11" s="73">
        <v>138358</v>
      </c>
      <c r="M11" s="62" t="s">
        <v>1096</v>
      </c>
      <c r="N11" s="62" t="s">
        <v>1096</v>
      </c>
      <c r="O11" s="62" t="s">
        <v>1096</v>
      </c>
      <c r="P11" s="62">
        <v>8000</v>
      </c>
      <c r="Q11" s="62">
        <v>9000</v>
      </c>
      <c r="R11" s="73" t="s">
        <v>1096</v>
      </c>
      <c r="S11" s="62" t="s">
        <v>1096</v>
      </c>
      <c r="T11" s="62" t="s">
        <v>1096</v>
      </c>
      <c r="U11" s="62" t="s">
        <v>1096</v>
      </c>
      <c r="V11" s="62" t="s">
        <v>1096</v>
      </c>
      <c r="W11" s="62">
        <f t="shared" si="8"/>
        <v>2169197.679</v>
      </c>
      <c r="X11" s="73"/>
      <c r="Y11" s="73"/>
      <c r="Z11" s="73"/>
      <c r="AA11" s="73"/>
      <c r="AB11" s="73"/>
      <c r="AC11" s="73"/>
      <c r="AD11" s="62" t="s">
        <v>1096</v>
      </c>
      <c r="AE11" s="62" t="s">
        <v>1096</v>
      </c>
      <c r="AF11" s="66">
        <f>Table1[[#This Row],[2019 Scope 1 (MeT Co2)]]</f>
        <v>24363</v>
      </c>
      <c r="AG11" s="67">
        <f t="shared" si="0"/>
        <v>0</v>
      </c>
      <c r="AH11" s="68">
        <f t="shared" si="1"/>
        <v>0</v>
      </c>
      <c r="AK11" s="62" t="s">
        <v>1096</v>
      </c>
      <c r="AL11" s="62" t="s">
        <v>1096</v>
      </c>
      <c r="AM11" s="66">
        <f>Table1[[#This Row],[2019 Scope 2 ]]</f>
        <v>3153</v>
      </c>
      <c r="AN11" s="67">
        <f t="shared" si="2"/>
        <v>110811</v>
      </c>
      <c r="AO11" s="68">
        <f t="shared" si="3"/>
        <v>0.97233336843213647</v>
      </c>
      <c r="AP11" s="67">
        <f t="shared" si="4"/>
        <v>0</v>
      </c>
      <c r="AQ11" s="68">
        <f t="shared" si="5"/>
        <v>0</v>
      </c>
      <c r="AR11" s="72">
        <f>Table1[[#This Row],[2019 Scope 3 ]]</f>
        <v>2169197.679</v>
      </c>
      <c r="AS11" s="71">
        <f t="shared" si="6"/>
        <v>0</v>
      </c>
      <c r="AT11" s="51">
        <f t="shared" si="7"/>
        <v>0</v>
      </c>
      <c r="BI11" s="58">
        <v>692</v>
      </c>
    </row>
    <row r="12" spans="1:61" x14ac:dyDescent="0.25">
      <c r="A12" s="59">
        <f>companies!A12</f>
        <v>11</v>
      </c>
      <c r="B12" s="61" t="s">
        <v>1056</v>
      </c>
      <c r="C12" s="73">
        <v>17121</v>
      </c>
      <c r="D12" s="73">
        <v>93781</v>
      </c>
      <c r="E12" s="73" t="s">
        <v>1096</v>
      </c>
      <c r="F12" s="73" t="s">
        <v>1096</v>
      </c>
      <c r="G12" s="73" t="s">
        <v>1096</v>
      </c>
      <c r="H12" s="73" t="s">
        <v>1096</v>
      </c>
      <c r="I12" s="73" t="s">
        <v>1096</v>
      </c>
      <c r="J12" s="73" t="s">
        <v>1096</v>
      </c>
      <c r="K12" s="73">
        <v>44695</v>
      </c>
      <c r="L12" s="73" t="s">
        <v>1096</v>
      </c>
      <c r="M12" s="62" t="s">
        <v>1096</v>
      </c>
      <c r="N12" s="62" t="s">
        <v>1096</v>
      </c>
      <c r="O12" s="62" t="s">
        <v>1096</v>
      </c>
      <c r="P12" s="62" t="s">
        <v>1096</v>
      </c>
      <c r="Q12" s="62" t="s">
        <v>1096</v>
      </c>
      <c r="R12" s="73" t="s">
        <v>1096</v>
      </c>
      <c r="S12" s="62" t="s">
        <v>1096</v>
      </c>
      <c r="T12" s="62" t="s">
        <v>1096</v>
      </c>
      <c r="U12" s="62" t="s">
        <v>1096</v>
      </c>
      <c r="V12" s="62" t="s">
        <v>1096</v>
      </c>
      <c r="W12" s="62">
        <f t="shared" si="8"/>
        <v>44695</v>
      </c>
      <c r="X12" s="62"/>
      <c r="Y12" s="62"/>
      <c r="Z12" s="62"/>
      <c r="AA12" s="62"/>
      <c r="AB12" s="62"/>
      <c r="AC12" s="62"/>
      <c r="AD12" s="62" t="s">
        <v>1064</v>
      </c>
      <c r="AE12" s="62" t="s">
        <v>1065</v>
      </c>
      <c r="AF12" s="66">
        <f>Table1[[#This Row],[2019 Scope 1 (MeT Co2)]]</f>
        <v>17121</v>
      </c>
      <c r="AG12" s="67">
        <f t="shared" si="0"/>
        <v>0</v>
      </c>
      <c r="AH12" s="68">
        <f t="shared" si="1"/>
        <v>0</v>
      </c>
      <c r="AK12" s="62" t="s">
        <v>1064</v>
      </c>
      <c r="AL12" s="62" t="s">
        <v>1065</v>
      </c>
      <c r="AM12" s="66">
        <f>Table1[[#This Row],[2019 Scope 2 ]]</f>
        <v>93781</v>
      </c>
      <c r="AN12" s="67">
        <f t="shared" si="2"/>
        <v>0</v>
      </c>
      <c r="AO12" s="68">
        <f t="shared" si="3"/>
        <v>0</v>
      </c>
      <c r="AP12" s="67" t="e">
        <f t="shared" si="4"/>
        <v>#VALUE!</v>
      </c>
      <c r="AQ12" s="68" t="e">
        <f t="shared" si="5"/>
        <v>#VALUE!</v>
      </c>
      <c r="AR12" s="72" t="str">
        <f>Table1[[#This Row],[2019 Scope 3 ]]</f>
        <v>NR</v>
      </c>
      <c r="AS12" s="71" t="e">
        <f t="shared" si="6"/>
        <v>#VALUE!</v>
      </c>
      <c r="AT12" s="51" t="e">
        <f t="shared" si="7"/>
        <v>#VALUE!</v>
      </c>
      <c r="BI12" s="58">
        <v>699</v>
      </c>
    </row>
    <row r="13" spans="1:61" x14ac:dyDescent="0.25">
      <c r="A13" s="59">
        <f>companies!A13</f>
        <v>12</v>
      </c>
      <c r="B13" s="61" t="s">
        <v>1056</v>
      </c>
      <c r="C13" s="73">
        <v>556281</v>
      </c>
      <c r="D13" s="73">
        <v>1780621</v>
      </c>
      <c r="E13" s="73" t="s">
        <v>1096</v>
      </c>
      <c r="F13" s="73" t="s">
        <v>1096</v>
      </c>
      <c r="G13" s="73" t="s">
        <v>1096</v>
      </c>
      <c r="H13" s="73" t="s">
        <v>1096</v>
      </c>
      <c r="I13" s="73" t="s">
        <v>1096</v>
      </c>
      <c r="J13" s="73" t="s">
        <v>1096</v>
      </c>
      <c r="K13" s="73" t="s">
        <v>1096</v>
      </c>
      <c r="L13" s="73" t="s">
        <v>1096</v>
      </c>
      <c r="M13" s="62" t="s">
        <v>1096</v>
      </c>
      <c r="N13" s="62" t="s">
        <v>1096</v>
      </c>
      <c r="O13" s="62" t="s">
        <v>1096</v>
      </c>
      <c r="P13" s="62" t="s">
        <v>1096</v>
      </c>
      <c r="Q13" s="62" t="s">
        <v>1096</v>
      </c>
      <c r="R13" s="73" t="s">
        <v>1096</v>
      </c>
      <c r="S13" s="62" t="s">
        <v>1096</v>
      </c>
      <c r="T13" s="62" t="s">
        <v>1096</v>
      </c>
      <c r="U13" s="62" t="s">
        <v>1096</v>
      </c>
      <c r="V13" s="62" t="s">
        <v>1096</v>
      </c>
      <c r="W13" s="62">
        <f t="shared" si="8"/>
        <v>0</v>
      </c>
      <c r="X13" s="62"/>
      <c r="Y13" s="62"/>
      <c r="Z13" s="62"/>
      <c r="AA13" s="62"/>
      <c r="AB13" s="62"/>
      <c r="AC13" s="62"/>
      <c r="AD13" s="62" t="s">
        <v>1064</v>
      </c>
      <c r="AE13" s="62" t="s">
        <v>1065</v>
      </c>
      <c r="AF13" s="66">
        <f>Table1[[#This Row],[2019 Scope 1 (MeT Co2)]]</f>
        <v>556281</v>
      </c>
      <c r="AG13" s="67">
        <f t="shared" si="0"/>
        <v>0</v>
      </c>
      <c r="AH13" s="68">
        <f t="shared" si="1"/>
        <v>0</v>
      </c>
      <c r="AK13" s="62" t="s">
        <v>1064</v>
      </c>
      <c r="AL13" s="62" t="s">
        <v>1065</v>
      </c>
      <c r="AM13" s="66">
        <f>Table1[[#This Row],[2019 Scope 2 ]]</f>
        <v>1780621</v>
      </c>
      <c r="AN13" s="67">
        <f t="shared" si="2"/>
        <v>0</v>
      </c>
      <c r="AO13" s="68">
        <f t="shared" si="3"/>
        <v>0</v>
      </c>
      <c r="AP13" s="67" t="e">
        <f t="shared" si="4"/>
        <v>#VALUE!</v>
      </c>
      <c r="AQ13" s="68" t="e">
        <f t="shared" si="5"/>
        <v>#VALUE!</v>
      </c>
      <c r="AR13" s="72" t="str">
        <f>Table1[[#This Row],[2019 Scope 3 ]]</f>
        <v>NR</v>
      </c>
      <c r="AS13" s="71" t="e">
        <f t="shared" si="6"/>
        <v>#VALUE!</v>
      </c>
      <c r="AT13" s="51" t="e">
        <f t="shared" si="7"/>
        <v>#VALUE!</v>
      </c>
      <c r="BI13" s="58">
        <v>706</v>
      </c>
    </row>
    <row r="14" spans="1:61" x14ac:dyDescent="0.25">
      <c r="A14" s="59">
        <f>companies!A14</f>
        <v>13</v>
      </c>
      <c r="B14" s="61" t="s">
        <v>1056</v>
      </c>
      <c r="C14" s="73">
        <v>135954</v>
      </c>
      <c r="D14" s="73">
        <v>173922</v>
      </c>
      <c r="E14" s="73">
        <v>160360</v>
      </c>
      <c r="F14" s="73">
        <v>2323917</v>
      </c>
      <c r="G14" s="73">
        <v>258132</v>
      </c>
      <c r="H14" s="73">
        <v>52554</v>
      </c>
      <c r="I14" s="73">
        <v>22572</v>
      </c>
      <c r="J14" s="73">
        <v>3454</v>
      </c>
      <c r="K14" s="73">
        <v>56478</v>
      </c>
      <c r="L14" s="73">
        <v>56210</v>
      </c>
      <c r="M14" s="62" t="s">
        <v>1096</v>
      </c>
      <c r="N14" s="62">
        <v>52991</v>
      </c>
      <c r="O14" s="62" t="s">
        <v>1096</v>
      </c>
      <c r="P14" s="62" t="s">
        <v>1096</v>
      </c>
      <c r="Q14" s="62">
        <v>3047</v>
      </c>
      <c r="R14" s="73" t="s">
        <v>1096</v>
      </c>
      <c r="S14" s="62" t="s">
        <v>1096</v>
      </c>
      <c r="T14" s="62" t="s">
        <v>1096</v>
      </c>
      <c r="U14" s="62" t="s">
        <v>1096</v>
      </c>
      <c r="V14" s="62" t="s">
        <v>1096</v>
      </c>
      <c r="W14" s="62">
        <f t="shared" si="8"/>
        <v>2829355</v>
      </c>
      <c r="X14" s="73"/>
      <c r="Y14" s="73"/>
      <c r="Z14" s="73"/>
      <c r="AA14" s="73"/>
      <c r="AB14" s="73"/>
      <c r="AC14" s="73"/>
      <c r="AD14" s="62" t="s">
        <v>1096</v>
      </c>
      <c r="AE14" s="62" t="s">
        <v>1096</v>
      </c>
      <c r="AF14" s="66">
        <f>Table1[[#This Row],[2019 Scope 1 (MeT Co2)]]</f>
        <v>135954</v>
      </c>
      <c r="AG14" s="67">
        <f t="shared" si="0"/>
        <v>0</v>
      </c>
      <c r="AH14" s="68">
        <f t="shared" si="1"/>
        <v>0</v>
      </c>
      <c r="AK14" s="62" t="s">
        <v>1096</v>
      </c>
      <c r="AL14" s="62" t="s">
        <v>1096</v>
      </c>
      <c r="AM14" s="66">
        <f>Table1[[#This Row],[2019 Scope 2 ]]</f>
        <v>160360</v>
      </c>
      <c r="AN14" s="67">
        <f t="shared" si="2"/>
        <v>13562</v>
      </c>
      <c r="AO14" s="68">
        <f t="shared" si="3"/>
        <v>7.7977484159565777E-2</v>
      </c>
      <c r="AP14" s="67">
        <f t="shared" si="4"/>
        <v>0</v>
      </c>
      <c r="AQ14" s="68">
        <f t="shared" si="5"/>
        <v>0</v>
      </c>
      <c r="AR14" s="72">
        <f>Table1[[#This Row],[2019 Scope 3 ]]</f>
        <v>2829355</v>
      </c>
      <c r="AS14" s="71">
        <f t="shared" si="6"/>
        <v>0</v>
      </c>
      <c r="AT14" s="51">
        <f t="shared" si="7"/>
        <v>0</v>
      </c>
      <c r="BI14" s="58">
        <v>716</v>
      </c>
    </row>
    <row r="15" spans="1:61" x14ac:dyDescent="0.25">
      <c r="A15" s="59">
        <f>companies!A15</f>
        <v>14</v>
      </c>
      <c r="B15" s="61" t="s">
        <v>1056</v>
      </c>
      <c r="C15" s="73">
        <v>50549</v>
      </c>
      <c r="D15" s="73">
        <v>862127</v>
      </c>
      <c r="E15" s="73">
        <v>0</v>
      </c>
      <c r="F15" s="73">
        <v>18900000</v>
      </c>
      <c r="G15" s="73" t="s">
        <v>1096</v>
      </c>
      <c r="H15" s="73" t="s">
        <v>1096</v>
      </c>
      <c r="I15" s="73">
        <v>486000</v>
      </c>
      <c r="J15" s="73" t="s">
        <v>1096</v>
      </c>
      <c r="K15" s="73">
        <v>325500</v>
      </c>
      <c r="L15" s="73">
        <v>194700</v>
      </c>
      <c r="M15" s="62" t="s">
        <v>1096</v>
      </c>
      <c r="N15" s="62">
        <v>999000</v>
      </c>
      <c r="O15" s="62" t="s">
        <v>1096</v>
      </c>
      <c r="P15" s="62">
        <v>4100000</v>
      </c>
      <c r="Q15" s="62">
        <v>60000</v>
      </c>
      <c r="R15" s="73" t="s">
        <v>1096</v>
      </c>
      <c r="S15" s="62" t="s">
        <v>1096</v>
      </c>
      <c r="T15" s="62" t="s">
        <v>1096</v>
      </c>
      <c r="U15" s="62" t="s">
        <v>1096</v>
      </c>
      <c r="V15" s="62" t="s">
        <v>1096</v>
      </c>
      <c r="W15" s="62">
        <f t="shared" si="8"/>
        <v>25065200</v>
      </c>
      <c r="X15" s="73"/>
      <c r="Y15" s="73"/>
      <c r="Z15" s="73"/>
      <c r="AA15" s="73"/>
      <c r="AB15" s="73"/>
      <c r="AC15" s="73"/>
      <c r="AD15" s="62" t="s">
        <v>1096</v>
      </c>
      <c r="AE15" s="62" t="s">
        <v>1096</v>
      </c>
      <c r="AF15" s="66">
        <f>Table1[[#This Row],[2019 Scope 1 (MeT Co2)]]</f>
        <v>50549</v>
      </c>
      <c r="AG15" s="67">
        <f t="shared" si="0"/>
        <v>0</v>
      </c>
      <c r="AH15" s="68">
        <f t="shared" si="1"/>
        <v>0</v>
      </c>
      <c r="AK15" s="62" t="s">
        <v>1096</v>
      </c>
      <c r="AL15" s="62" t="s">
        <v>1096</v>
      </c>
      <c r="AM15" s="66">
        <f>Table1[[#This Row],[2019 Scope 2 ]]</f>
        <v>0</v>
      </c>
      <c r="AN15" s="67">
        <f t="shared" si="2"/>
        <v>862127</v>
      </c>
      <c r="AO15" s="68">
        <f t="shared" si="3"/>
        <v>1</v>
      </c>
      <c r="AP15" s="67">
        <f t="shared" si="4"/>
        <v>0</v>
      </c>
      <c r="AQ15" s="68" t="e">
        <f t="shared" si="5"/>
        <v>#DIV/0!</v>
      </c>
      <c r="AR15" s="72">
        <f>Table1[[#This Row],[2019 Scope 3 ]]</f>
        <v>25065200</v>
      </c>
      <c r="AS15" s="71">
        <f t="shared" si="6"/>
        <v>0</v>
      </c>
      <c r="AT15" s="51">
        <f t="shared" si="7"/>
        <v>0</v>
      </c>
      <c r="BI15" s="58">
        <v>865</v>
      </c>
    </row>
    <row r="16" spans="1:61" x14ac:dyDescent="0.25">
      <c r="A16" s="59">
        <f>companies!A16</f>
        <v>15</v>
      </c>
      <c r="B16" s="61" t="s">
        <v>1056</v>
      </c>
      <c r="C16" s="73">
        <v>990955</v>
      </c>
      <c r="D16" s="73">
        <v>6015122</v>
      </c>
      <c r="E16" s="73">
        <v>5534088</v>
      </c>
      <c r="F16" s="73">
        <v>2166116</v>
      </c>
      <c r="G16" s="73">
        <v>167125</v>
      </c>
      <c r="H16" s="73" t="s">
        <v>1096</v>
      </c>
      <c r="I16" s="73">
        <v>64038</v>
      </c>
      <c r="J16" s="73">
        <v>34267</v>
      </c>
      <c r="K16" s="73">
        <v>154670</v>
      </c>
      <c r="L16" s="73" t="s">
        <v>1096</v>
      </c>
      <c r="M16" s="62" t="s">
        <v>1096</v>
      </c>
      <c r="N16" s="62" t="s">
        <v>1096</v>
      </c>
      <c r="O16" s="62" t="s">
        <v>1096</v>
      </c>
      <c r="P16" s="62" t="s">
        <v>1096</v>
      </c>
      <c r="Q16" s="62" t="s">
        <v>1096</v>
      </c>
      <c r="R16" s="73">
        <v>3705329</v>
      </c>
      <c r="S16" s="62" t="s">
        <v>1096</v>
      </c>
      <c r="T16" s="62" t="s">
        <v>1096</v>
      </c>
      <c r="U16" s="62" t="s">
        <v>1096</v>
      </c>
      <c r="V16" s="62" t="s">
        <v>1096</v>
      </c>
      <c r="W16" s="62">
        <f t="shared" si="8"/>
        <v>6291545</v>
      </c>
      <c r="X16" s="73"/>
      <c r="Y16" s="73"/>
      <c r="Z16" s="73"/>
      <c r="AA16" s="73"/>
      <c r="AB16" s="73"/>
      <c r="AC16" s="73"/>
      <c r="AD16" s="62" t="s">
        <v>1096</v>
      </c>
      <c r="AE16" s="62" t="s">
        <v>1096</v>
      </c>
      <c r="AF16" s="66">
        <f>Table1[[#This Row],[2019 Scope 1 (MeT Co2)]]</f>
        <v>990000</v>
      </c>
      <c r="AG16" s="67">
        <f t="shared" si="0"/>
        <v>955</v>
      </c>
      <c r="AH16" s="68">
        <f t="shared" si="1"/>
        <v>9.6371681862445825E-4</v>
      </c>
      <c r="AK16" s="62" t="s">
        <v>1096</v>
      </c>
      <c r="AL16" s="62" t="s">
        <v>1096</v>
      </c>
      <c r="AM16" s="66">
        <f>Table1[[#This Row],[2019 Scope 2 ]]</f>
        <v>5530000</v>
      </c>
      <c r="AN16" s="67">
        <f t="shared" si="2"/>
        <v>485122</v>
      </c>
      <c r="AO16" s="68">
        <f t="shared" si="3"/>
        <v>8.0650400773251155E-2</v>
      </c>
      <c r="AP16" s="67">
        <f t="shared" si="4"/>
        <v>-4088</v>
      </c>
      <c r="AQ16" s="68">
        <f t="shared" si="5"/>
        <v>-7.3869443348208413E-4</v>
      </c>
      <c r="AR16" s="72">
        <f>Table1[[#This Row],[2019 Scope 3 ]]</f>
        <v>3890000</v>
      </c>
      <c r="AS16" s="71">
        <f t="shared" si="6"/>
        <v>2401545</v>
      </c>
      <c r="AT16" s="51">
        <f t="shared" si="7"/>
        <v>0.38170989796623883</v>
      </c>
      <c r="BI16" s="61">
        <v>1113</v>
      </c>
    </row>
    <row r="17" spans="1:61" x14ac:dyDescent="0.25">
      <c r="A17" s="59">
        <f>companies!A17</f>
        <v>16</v>
      </c>
      <c r="B17" s="61" t="s">
        <v>1056</v>
      </c>
      <c r="C17" s="73">
        <v>62639</v>
      </c>
      <c r="D17" s="73">
        <v>728771</v>
      </c>
      <c r="E17" s="73">
        <v>17523</v>
      </c>
      <c r="F17" s="73">
        <v>2329208</v>
      </c>
      <c r="G17" s="73">
        <v>251336</v>
      </c>
      <c r="H17" s="73">
        <v>161151</v>
      </c>
      <c r="I17" s="73">
        <v>140215</v>
      </c>
      <c r="J17" s="73">
        <v>22386</v>
      </c>
      <c r="K17" s="73">
        <v>162457</v>
      </c>
      <c r="L17" s="73">
        <v>378088</v>
      </c>
      <c r="M17" s="62" t="s">
        <v>1096</v>
      </c>
      <c r="N17" s="62">
        <v>1400000</v>
      </c>
      <c r="O17" s="62" t="s">
        <v>1096</v>
      </c>
      <c r="P17" s="62">
        <v>4000</v>
      </c>
      <c r="Q17" s="62">
        <v>19000</v>
      </c>
      <c r="R17" s="73" t="s">
        <v>1096</v>
      </c>
      <c r="S17" s="62" t="s">
        <v>1096</v>
      </c>
      <c r="T17" s="62" t="s">
        <v>1096</v>
      </c>
      <c r="U17" s="62" t="s">
        <v>1096</v>
      </c>
      <c r="V17" s="62" t="s">
        <v>1096</v>
      </c>
      <c r="W17" s="62">
        <f t="shared" si="8"/>
        <v>4867841</v>
      </c>
      <c r="X17" s="73"/>
      <c r="Y17" s="73"/>
      <c r="Z17" s="73"/>
      <c r="AA17" s="73"/>
      <c r="AB17" s="73"/>
      <c r="AC17" s="73"/>
      <c r="AD17" s="62" t="s">
        <v>1096</v>
      </c>
      <c r="AE17" s="62" t="s">
        <v>1096</v>
      </c>
      <c r="AF17" s="66">
        <f>Table1[[#This Row],[2019 Scope 1 (MeT Co2)]]</f>
        <v>62639</v>
      </c>
      <c r="AG17" s="67">
        <f t="shared" si="0"/>
        <v>0</v>
      </c>
      <c r="AH17" s="68">
        <f t="shared" si="1"/>
        <v>0</v>
      </c>
      <c r="AK17" s="62" t="s">
        <v>1096</v>
      </c>
      <c r="AL17" s="62" t="s">
        <v>1096</v>
      </c>
      <c r="AM17" s="66">
        <f>Table1[[#This Row],[2019 Scope 2 ]]</f>
        <v>17523</v>
      </c>
      <c r="AN17" s="67">
        <f t="shared" si="2"/>
        <v>711248</v>
      </c>
      <c r="AO17" s="68">
        <f t="shared" si="3"/>
        <v>0.97595540986125962</v>
      </c>
      <c r="AP17" s="67">
        <f t="shared" si="4"/>
        <v>0</v>
      </c>
      <c r="AQ17" s="68">
        <f t="shared" si="5"/>
        <v>0</v>
      </c>
      <c r="AR17" s="72">
        <f>Table1[[#This Row],[2019 Scope 3 ]]</f>
        <v>4867841</v>
      </c>
      <c r="AS17" s="71">
        <f t="shared" si="6"/>
        <v>0</v>
      </c>
      <c r="AT17" s="51">
        <f t="shared" si="7"/>
        <v>0</v>
      </c>
      <c r="BI17" s="58">
        <v>1452</v>
      </c>
    </row>
    <row r="18" spans="1:61" x14ac:dyDescent="0.25">
      <c r="A18" s="59">
        <f>companies!A18</f>
        <v>17</v>
      </c>
      <c r="B18" s="61" t="s">
        <v>1056</v>
      </c>
      <c r="C18" s="73" t="s">
        <v>1095</v>
      </c>
      <c r="D18" s="73" t="s">
        <v>1095</v>
      </c>
      <c r="E18" s="73" t="s">
        <v>1095</v>
      </c>
      <c r="F18" s="73" t="s">
        <v>1095</v>
      </c>
      <c r="G18" s="73" t="s">
        <v>1095</v>
      </c>
      <c r="H18" s="73" t="s">
        <v>1095</v>
      </c>
      <c r="I18" s="73" t="s">
        <v>1095</v>
      </c>
      <c r="J18" s="73" t="s">
        <v>1095</v>
      </c>
      <c r="K18" s="73" t="s">
        <v>1095</v>
      </c>
      <c r="L18" s="73" t="s">
        <v>1095</v>
      </c>
      <c r="M18" s="73" t="s">
        <v>1095</v>
      </c>
      <c r="N18" s="73" t="s">
        <v>1095</v>
      </c>
      <c r="O18" s="73" t="s">
        <v>1095</v>
      </c>
      <c r="P18" s="73" t="s">
        <v>1095</v>
      </c>
      <c r="Q18" s="73" t="s">
        <v>1095</v>
      </c>
      <c r="R18" s="73" t="s">
        <v>1095</v>
      </c>
      <c r="S18" s="73" t="s">
        <v>1095</v>
      </c>
      <c r="T18" s="73" t="s">
        <v>1095</v>
      </c>
      <c r="U18" s="73" t="s">
        <v>1095</v>
      </c>
      <c r="V18" s="73" t="s">
        <v>1095</v>
      </c>
      <c r="W18" s="62">
        <f t="shared" si="8"/>
        <v>0</v>
      </c>
      <c r="X18" s="62"/>
      <c r="Y18" s="62"/>
      <c r="Z18" s="62"/>
      <c r="AA18" s="62"/>
      <c r="AB18" s="62"/>
      <c r="AC18" s="62"/>
      <c r="AD18" s="62" t="e">
        <v>#N/A</v>
      </c>
      <c r="AE18" s="62" t="e">
        <v>#N/A</v>
      </c>
      <c r="AF18" s="66" t="str">
        <f>Table1[[#This Row],[2019 Scope 1 (MeT Co2)]]</f>
        <v>NR</v>
      </c>
      <c r="AG18" s="67" t="e">
        <f t="shared" si="0"/>
        <v>#VALUE!</v>
      </c>
      <c r="AH18" s="68" t="e">
        <f t="shared" si="1"/>
        <v>#VALUE!</v>
      </c>
      <c r="AK18" s="62" t="e">
        <v>#N/A</v>
      </c>
      <c r="AL18" s="62" t="e">
        <v>#N/A</v>
      </c>
      <c r="AM18" s="66" t="str">
        <f>Table1[[#This Row],[2019 Scope 2 ]]</f>
        <v>NR</v>
      </c>
      <c r="AN18" s="67" t="e">
        <f t="shared" si="2"/>
        <v>#VALUE!</v>
      </c>
      <c r="AO18" s="68" t="e">
        <f t="shared" si="3"/>
        <v>#VALUE!</v>
      </c>
      <c r="AP18" s="67" t="e">
        <f t="shared" si="4"/>
        <v>#VALUE!</v>
      </c>
      <c r="AQ18" s="68" t="e">
        <f t="shared" si="5"/>
        <v>#VALUE!</v>
      </c>
      <c r="AR18" s="72" t="str">
        <f>Table1[[#This Row],[2019 Scope 3 ]]</f>
        <v>NR</v>
      </c>
      <c r="AS18" s="71" t="e">
        <f t="shared" si="6"/>
        <v>#VALUE!</v>
      </c>
      <c r="AT18" s="51" t="e">
        <f t="shared" si="7"/>
        <v>#VALUE!</v>
      </c>
    </row>
    <row r="19" spans="1:61" x14ac:dyDescent="0.25">
      <c r="A19" s="59">
        <f>companies!A19</f>
        <v>18</v>
      </c>
      <c r="B19" s="61" t="s">
        <v>1056</v>
      </c>
      <c r="C19" s="73">
        <v>67031</v>
      </c>
      <c r="D19" s="73">
        <v>36802</v>
      </c>
      <c r="E19" s="73">
        <v>106</v>
      </c>
      <c r="F19" s="73">
        <v>334954</v>
      </c>
      <c r="G19" s="73">
        <v>32759</v>
      </c>
      <c r="H19" s="73">
        <v>10515</v>
      </c>
      <c r="I19" s="73" t="s">
        <v>1096</v>
      </c>
      <c r="J19" s="73">
        <v>645</v>
      </c>
      <c r="K19" s="73">
        <v>24083</v>
      </c>
      <c r="L19" s="73">
        <v>9516</v>
      </c>
      <c r="M19" s="62">
        <v>0</v>
      </c>
      <c r="N19" s="62" t="s">
        <v>1096</v>
      </c>
      <c r="O19" s="62" t="s">
        <v>1096</v>
      </c>
      <c r="P19" s="62" t="s">
        <v>1096</v>
      </c>
      <c r="Q19" s="62">
        <v>12065</v>
      </c>
      <c r="R19" s="73" t="s">
        <v>1096</v>
      </c>
      <c r="S19" s="62" t="s">
        <v>1096</v>
      </c>
      <c r="T19" s="62" t="s">
        <v>1096</v>
      </c>
      <c r="U19" s="62" t="s">
        <v>1096</v>
      </c>
      <c r="V19" s="62" t="s">
        <v>1096</v>
      </c>
      <c r="W19" s="62">
        <f t="shared" si="8"/>
        <v>424537</v>
      </c>
      <c r="X19" s="73"/>
      <c r="Y19" s="73"/>
      <c r="Z19" s="73"/>
      <c r="AA19" s="73"/>
      <c r="AB19" s="73"/>
      <c r="AC19" s="73"/>
      <c r="AD19" s="62" t="s">
        <v>1096</v>
      </c>
      <c r="AE19" s="62" t="s">
        <v>1096</v>
      </c>
      <c r="AF19" s="66">
        <f>Table1[[#This Row],[2019 Scope 1 (MeT Co2)]]</f>
        <v>67031</v>
      </c>
      <c r="AG19" s="67">
        <f t="shared" si="0"/>
        <v>0</v>
      </c>
      <c r="AH19" s="68">
        <f t="shared" si="1"/>
        <v>0</v>
      </c>
      <c r="AK19" s="62" t="s">
        <v>1096</v>
      </c>
      <c r="AL19" s="62" t="s">
        <v>1096</v>
      </c>
      <c r="AM19" s="66">
        <f>Table1[[#This Row],[2019 Scope 2 ]]</f>
        <v>106</v>
      </c>
      <c r="AN19" s="67">
        <f t="shared" si="2"/>
        <v>36696</v>
      </c>
      <c r="AO19" s="68">
        <f t="shared" si="3"/>
        <v>0.99711972175425245</v>
      </c>
      <c r="AP19" s="67">
        <f t="shared" si="4"/>
        <v>0</v>
      </c>
      <c r="AQ19" s="68">
        <f t="shared" si="5"/>
        <v>0</v>
      </c>
      <c r="AR19" s="72">
        <f>Table1[[#This Row],[2019 Scope 3 ]]</f>
        <v>424537</v>
      </c>
      <c r="AS19" s="71">
        <f t="shared" si="6"/>
        <v>0</v>
      </c>
      <c r="AT19" s="51">
        <f t="shared" si="7"/>
        <v>0</v>
      </c>
      <c r="BI19" s="58">
        <v>1857</v>
      </c>
    </row>
    <row r="20" spans="1:61" x14ac:dyDescent="0.25">
      <c r="A20" s="59">
        <f>companies!A20</f>
        <v>19</v>
      </c>
      <c r="B20" s="61" t="s">
        <v>1056</v>
      </c>
      <c r="C20" s="73">
        <v>5589</v>
      </c>
      <c r="D20" s="73">
        <v>20369</v>
      </c>
      <c r="E20" s="73">
        <v>0</v>
      </c>
      <c r="F20" s="73">
        <v>351950</v>
      </c>
      <c r="G20" s="73">
        <v>15521</v>
      </c>
      <c r="H20" s="73">
        <v>7865</v>
      </c>
      <c r="I20" s="73">
        <v>2462</v>
      </c>
      <c r="J20" s="73">
        <v>1162</v>
      </c>
      <c r="K20" s="73">
        <v>39116</v>
      </c>
      <c r="L20" s="73">
        <v>1161</v>
      </c>
      <c r="M20" s="62">
        <v>777</v>
      </c>
      <c r="N20" s="62" t="s">
        <v>1096</v>
      </c>
      <c r="O20" s="62" t="s">
        <v>1096</v>
      </c>
      <c r="P20" s="62" t="s">
        <v>1096</v>
      </c>
      <c r="Q20" s="62" t="s">
        <v>1096</v>
      </c>
      <c r="R20" s="73" t="s">
        <v>1096</v>
      </c>
      <c r="S20" s="62" t="s">
        <v>1096</v>
      </c>
      <c r="T20" s="62" t="s">
        <v>1096</v>
      </c>
      <c r="U20" s="62" t="s">
        <v>1096</v>
      </c>
      <c r="V20" s="62" t="s">
        <v>1096</v>
      </c>
      <c r="W20" s="62">
        <f t="shared" si="8"/>
        <v>420014</v>
      </c>
      <c r="X20" s="73"/>
      <c r="Y20" s="73"/>
      <c r="Z20" s="73"/>
      <c r="AA20" s="73"/>
      <c r="AB20" s="73"/>
      <c r="AC20" s="73"/>
      <c r="AD20" s="62" t="s">
        <v>1096</v>
      </c>
      <c r="AE20" s="62" t="s">
        <v>1096</v>
      </c>
      <c r="AF20" s="66">
        <f>Table1[[#This Row],[2019 Scope 1 (MeT Co2)]]</f>
        <v>5589</v>
      </c>
      <c r="AG20" s="67">
        <f t="shared" si="0"/>
        <v>0</v>
      </c>
      <c r="AH20" s="68">
        <f t="shared" si="1"/>
        <v>0</v>
      </c>
      <c r="AK20" s="62" t="s">
        <v>1096</v>
      </c>
      <c r="AL20" s="62" t="s">
        <v>1096</v>
      </c>
      <c r="AM20" s="66">
        <f>Table1[[#This Row],[2019 Scope 2 ]]</f>
        <v>0</v>
      </c>
      <c r="AN20" s="67">
        <f t="shared" si="2"/>
        <v>20369</v>
      </c>
      <c r="AO20" s="68">
        <f t="shared" si="3"/>
        <v>1</v>
      </c>
      <c r="AP20" s="67">
        <f t="shared" si="4"/>
        <v>0</v>
      </c>
      <c r="AQ20" s="68" t="e">
        <f t="shared" si="5"/>
        <v>#DIV/0!</v>
      </c>
      <c r="AR20" s="72">
        <f>Table1[[#This Row],[2019 Scope 3 ]]</f>
        <v>420014</v>
      </c>
      <c r="AS20" s="71">
        <f t="shared" si="6"/>
        <v>0</v>
      </c>
      <c r="AT20" s="51">
        <f t="shared" si="7"/>
        <v>0</v>
      </c>
      <c r="BI20" s="58">
        <v>1875</v>
      </c>
    </row>
    <row r="21" spans="1:61" x14ac:dyDescent="0.25">
      <c r="A21" s="59">
        <f>companies!A21</f>
        <v>20</v>
      </c>
      <c r="B21" s="61" t="s">
        <v>1056</v>
      </c>
      <c r="C21" s="73">
        <v>613000</v>
      </c>
      <c r="D21" s="73">
        <v>871000</v>
      </c>
      <c r="E21" s="73">
        <v>733000</v>
      </c>
      <c r="F21" s="73" t="s">
        <v>1096</v>
      </c>
      <c r="G21" s="73" t="s">
        <v>1096</v>
      </c>
      <c r="H21" s="73" t="s">
        <v>1096</v>
      </c>
      <c r="I21" s="73" t="s">
        <v>1096</v>
      </c>
      <c r="J21" s="73" t="s">
        <v>1096</v>
      </c>
      <c r="K21" s="73">
        <v>290000</v>
      </c>
      <c r="L21" s="73" t="s">
        <v>1096</v>
      </c>
      <c r="M21" s="62" t="s">
        <v>1096</v>
      </c>
      <c r="N21" s="62" t="s">
        <v>1096</v>
      </c>
      <c r="O21" s="62" t="s">
        <v>1096</v>
      </c>
      <c r="P21" s="62" t="s">
        <v>1096</v>
      </c>
      <c r="Q21" s="62" t="s">
        <v>1096</v>
      </c>
      <c r="R21" s="73" t="s">
        <v>1096</v>
      </c>
      <c r="S21" s="62" t="s">
        <v>1096</v>
      </c>
      <c r="T21" s="62" t="s">
        <v>1096</v>
      </c>
      <c r="U21" s="62" t="s">
        <v>1096</v>
      </c>
      <c r="V21" s="62" t="s">
        <v>1096</v>
      </c>
      <c r="W21" s="62">
        <f t="shared" si="8"/>
        <v>290000</v>
      </c>
      <c r="X21" s="73"/>
      <c r="Y21" s="73"/>
      <c r="Z21" s="73"/>
      <c r="AA21" s="73"/>
      <c r="AB21" s="73"/>
      <c r="AC21" s="73"/>
      <c r="AD21" s="62" t="s">
        <v>1096</v>
      </c>
      <c r="AE21" s="62" t="s">
        <v>1096</v>
      </c>
      <c r="AF21" s="66">
        <f>Table1[[#This Row],[2019 Scope 1 (MeT Co2)]]</f>
        <v>613000</v>
      </c>
      <c r="AG21" s="67">
        <f t="shared" si="0"/>
        <v>0</v>
      </c>
      <c r="AH21" s="68">
        <f t="shared" si="1"/>
        <v>0</v>
      </c>
      <c r="AK21" s="62" t="s">
        <v>1096</v>
      </c>
      <c r="AL21" s="62" t="s">
        <v>1096</v>
      </c>
      <c r="AM21" s="66">
        <f>Table1[[#This Row],[2019 Scope 2 ]]</f>
        <v>733000</v>
      </c>
      <c r="AN21" s="67">
        <f t="shared" si="2"/>
        <v>138000</v>
      </c>
      <c r="AO21" s="68">
        <f t="shared" si="3"/>
        <v>0.15843857634902411</v>
      </c>
      <c r="AP21" s="67">
        <f t="shared" si="4"/>
        <v>0</v>
      </c>
      <c r="AQ21" s="68">
        <f t="shared" si="5"/>
        <v>0</v>
      </c>
      <c r="AR21" s="72">
        <f>Table1[[#This Row],[2019 Scope 3 ]]</f>
        <v>290000</v>
      </c>
      <c r="AS21" s="71">
        <f t="shared" si="6"/>
        <v>0</v>
      </c>
      <c r="AT21" s="51">
        <f t="shared" si="7"/>
        <v>0</v>
      </c>
      <c r="BI21" s="58">
        <v>2017</v>
      </c>
    </row>
    <row r="22" spans="1:61" x14ac:dyDescent="0.25">
      <c r="A22" s="59">
        <f>companies!A22</f>
        <v>21</v>
      </c>
      <c r="B22" s="61" t="s">
        <v>1056</v>
      </c>
      <c r="C22" s="73" t="s">
        <v>1095</v>
      </c>
      <c r="D22" s="73" t="s">
        <v>1095</v>
      </c>
      <c r="E22" s="73" t="s">
        <v>1095</v>
      </c>
      <c r="F22" s="73" t="s">
        <v>1095</v>
      </c>
      <c r="G22" s="73" t="s">
        <v>1095</v>
      </c>
      <c r="H22" s="73" t="s">
        <v>1095</v>
      </c>
      <c r="I22" s="73" t="s">
        <v>1095</v>
      </c>
      <c r="J22" s="73" t="s">
        <v>1095</v>
      </c>
      <c r="K22" s="73" t="s">
        <v>1095</v>
      </c>
      <c r="L22" s="73" t="s">
        <v>1095</v>
      </c>
      <c r="M22" s="73" t="s">
        <v>1095</v>
      </c>
      <c r="N22" s="73" t="s">
        <v>1095</v>
      </c>
      <c r="O22" s="73" t="s">
        <v>1095</v>
      </c>
      <c r="P22" s="73" t="s">
        <v>1095</v>
      </c>
      <c r="Q22" s="73" t="s">
        <v>1095</v>
      </c>
      <c r="R22" s="73" t="s">
        <v>1095</v>
      </c>
      <c r="S22" s="73" t="s">
        <v>1095</v>
      </c>
      <c r="T22" s="73" t="s">
        <v>1095</v>
      </c>
      <c r="U22" s="73" t="s">
        <v>1095</v>
      </c>
      <c r="V22" s="73" t="s">
        <v>1095</v>
      </c>
      <c r="W22" s="62">
        <f t="shared" si="8"/>
        <v>0</v>
      </c>
      <c r="X22" s="62"/>
      <c r="Y22" s="62"/>
      <c r="Z22" s="62"/>
      <c r="AA22" s="62"/>
      <c r="AB22" s="62"/>
      <c r="AC22" s="62"/>
      <c r="AD22" s="62" t="e">
        <v>#N/A</v>
      </c>
      <c r="AE22" s="62" t="e">
        <v>#N/A</v>
      </c>
      <c r="AF22" s="66" t="str">
        <f>Table1[[#This Row],[2019 Scope 1 (MeT Co2)]]</f>
        <v>NR</v>
      </c>
      <c r="AG22" s="67" t="e">
        <f t="shared" si="0"/>
        <v>#VALUE!</v>
      </c>
      <c r="AH22" s="68" t="e">
        <f t="shared" si="1"/>
        <v>#VALUE!</v>
      </c>
      <c r="AK22" s="62" t="e">
        <v>#N/A</v>
      </c>
      <c r="AL22" s="62" t="e">
        <v>#N/A</v>
      </c>
      <c r="AM22" s="66" t="str">
        <f>Table1[[#This Row],[2019 Scope 2 ]]</f>
        <v>NR</v>
      </c>
      <c r="AN22" s="67" t="e">
        <f t="shared" si="2"/>
        <v>#VALUE!</v>
      </c>
      <c r="AO22" s="68" t="e">
        <f t="shared" si="3"/>
        <v>#VALUE!</v>
      </c>
      <c r="AP22" s="67" t="e">
        <f t="shared" si="4"/>
        <v>#VALUE!</v>
      </c>
      <c r="AQ22" s="68" t="e">
        <f t="shared" si="5"/>
        <v>#VALUE!</v>
      </c>
      <c r="AR22" s="72" t="str">
        <f>Table1[[#This Row],[2019 Scope 3 ]]</f>
        <v>NR</v>
      </c>
      <c r="AS22" s="71" t="e">
        <f t="shared" si="6"/>
        <v>#VALUE!</v>
      </c>
      <c r="AT22" s="51" t="e">
        <f t="shared" si="7"/>
        <v>#VALUE!</v>
      </c>
    </row>
    <row r="23" spans="1:61" x14ac:dyDescent="0.25">
      <c r="A23" s="59">
        <f>companies!A23</f>
        <v>22</v>
      </c>
      <c r="B23" s="61" t="s">
        <v>1056</v>
      </c>
      <c r="C23" s="73">
        <v>189193.66500000001</v>
      </c>
      <c r="D23" s="73">
        <v>122295.068</v>
      </c>
      <c r="E23" s="73">
        <v>111155.772</v>
      </c>
      <c r="F23" s="73">
        <v>17052094.850000001</v>
      </c>
      <c r="G23" s="73" t="s">
        <v>1096</v>
      </c>
      <c r="H23" s="73">
        <v>23768.400000000001</v>
      </c>
      <c r="I23" s="73">
        <v>28267.279999999999</v>
      </c>
      <c r="J23" s="73">
        <v>4607.3100000000004</v>
      </c>
      <c r="K23" s="73">
        <v>55785.66</v>
      </c>
      <c r="L23" s="73">
        <v>20400</v>
      </c>
      <c r="M23" s="62" t="s">
        <v>1096</v>
      </c>
      <c r="N23" s="62" t="s">
        <v>1096</v>
      </c>
      <c r="O23" s="62" t="s">
        <v>1096</v>
      </c>
      <c r="P23" s="62" t="s">
        <v>1096</v>
      </c>
      <c r="Q23" s="62" t="s">
        <v>1096</v>
      </c>
      <c r="R23" s="73" t="s">
        <v>1096</v>
      </c>
      <c r="S23" s="62" t="s">
        <v>1096</v>
      </c>
      <c r="T23" s="62" t="s">
        <v>1096</v>
      </c>
      <c r="U23" s="62" t="s">
        <v>1096</v>
      </c>
      <c r="V23" s="62" t="s">
        <v>1096</v>
      </c>
      <c r="W23" s="62">
        <f t="shared" si="8"/>
        <v>17184923.5</v>
      </c>
      <c r="X23" s="62"/>
      <c r="Y23" s="62"/>
      <c r="Z23" s="62"/>
      <c r="AA23" s="62"/>
      <c r="AB23" s="62"/>
      <c r="AC23" s="62"/>
      <c r="AD23" s="62" t="s">
        <v>1096</v>
      </c>
      <c r="AE23" s="62" t="s">
        <v>1096</v>
      </c>
      <c r="AF23" s="66" t="str">
        <f>Table1[[#This Row],[2019 Scope 1 (MeT Co2)]]</f>
        <v>NR</v>
      </c>
      <c r="AG23" s="67" t="e">
        <f t="shared" si="0"/>
        <v>#VALUE!</v>
      </c>
      <c r="AH23" s="68" t="e">
        <f t="shared" si="1"/>
        <v>#VALUE!</v>
      </c>
      <c r="AK23" s="62" t="s">
        <v>1096</v>
      </c>
      <c r="AL23" s="62" t="s">
        <v>1096</v>
      </c>
      <c r="AM23" s="66" t="str">
        <f>Table1[[#This Row],[2019 Scope 2 ]]</f>
        <v>NR</v>
      </c>
      <c r="AN23" s="67" t="e">
        <f t="shared" si="2"/>
        <v>#VALUE!</v>
      </c>
      <c r="AO23" s="68" t="e">
        <f t="shared" si="3"/>
        <v>#VALUE!</v>
      </c>
      <c r="AP23" s="67" t="e">
        <f t="shared" si="4"/>
        <v>#VALUE!</v>
      </c>
      <c r="AQ23" s="68" t="e">
        <f t="shared" si="5"/>
        <v>#VALUE!</v>
      </c>
      <c r="AR23" s="72" t="str">
        <f>Table1[[#This Row],[2019 Scope 3 ]]</f>
        <v>NR</v>
      </c>
      <c r="AS23" s="71" t="e">
        <f t="shared" si="6"/>
        <v>#VALUE!</v>
      </c>
      <c r="AT23" s="51" t="e">
        <f t="shared" si="7"/>
        <v>#VALUE!</v>
      </c>
      <c r="BI23" s="58">
        <v>2191</v>
      </c>
    </row>
    <row r="24" spans="1:61" x14ac:dyDescent="0.25">
      <c r="A24" s="59">
        <f>companies!A24</f>
        <v>23</v>
      </c>
      <c r="B24" s="61" t="s">
        <v>1056</v>
      </c>
      <c r="C24" s="73">
        <v>9495</v>
      </c>
      <c r="D24" s="73">
        <v>146671</v>
      </c>
      <c r="E24" s="73">
        <v>135</v>
      </c>
      <c r="F24" s="73">
        <v>165571</v>
      </c>
      <c r="G24" s="73" t="s">
        <v>1096</v>
      </c>
      <c r="H24" s="73">
        <v>8156</v>
      </c>
      <c r="I24" s="73">
        <v>67870</v>
      </c>
      <c r="J24" s="73">
        <v>4762</v>
      </c>
      <c r="K24" s="73">
        <v>37500</v>
      </c>
      <c r="L24" s="73">
        <v>101249</v>
      </c>
      <c r="M24" s="62" t="s">
        <v>1096</v>
      </c>
      <c r="N24" s="62" t="s">
        <v>1096</v>
      </c>
      <c r="O24" s="62" t="s">
        <v>1096</v>
      </c>
      <c r="P24" s="62" t="s">
        <v>1096</v>
      </c>
      <c r="Q24" s="62" t="s">
        <v>1096</v>
      </c>
      <c r="R24" s="73">
        <v>5866.51</v>
      </c>
      <c r="S24" s="62" t="s">
        <v>1096</v>
      </c>
      <c r="T24" s="62" t="s">
        <v>1096</v>
      </c>
      <c r="U24" s="62" t="s">
        <v>1096</v>
      </c>
      <c r="V24" s="62" t="s">
        <v>1096</v>
      </c>
      <c r="W24" s="62">
        <f t="shared" si="8"/>
        <v>390974.51</v>
      </c>
      <c r="X24" s="73"/>
      <c r="Y24" s="73"/>
      <c r="Z24" s="73"/>
      <c r="AA24" s="73"/>
      <c r="AB24" s="73"/>
      <c r="AC24" s="73"/>
      <c r="AD24" s="62" t="s">
        <v>1096</v>
      </c>
      <c r="AE24" s="62" t="s">
        <v>1096</v>
      </c>
      <c r="AF24" s="66">
        <f>Table1[[#This Row],[2019 Scope 1 (MeT Co2)]]</f>
        <v>9495</v>
      </c>
      <c r="AG24" s="67">
        <f t="shared" si="0"/>
        <v>0</v>
      </c>
      <c r="AH24" s="68">
        <f t="shared" si="1"/>
        <v>0</v>
      </c>
      <c r="AK24" s="62" t="s">
        <v>1096</v>
      </c>
      <c r="AL24" s="62" t="s">
        <v>1096</v>
      </c>
      <c r="AM24" s="66">
        <f>Table1[[#This Row],[2019 Scope 2 ]]</f>
        <v>135</v>
      </c>
      <c r="AN24" s="67">
        <f t="shared" si="2"/>
        <v>146536</v>
      </c>
      <c r="AO24" s="68">
        <f t="shared" si="3"/>
        <v>0.99907957264898994</v>
      </c>
      <c r="AP24" s="67">
        <f t="shared" si="4"/>
        <v>0</v>
      </c>
      <c r="AQ24" s="68">
        <f t="shared" si="5"/>
        <v>0</v>
      </c>
      <c r="AR24" s="72">
        <f>Table1[[#This Row],[2019 Scope 3 ]]</f>
        <v>390974.51</v>
      </c>
      <c r="AS24" s="71">
        <f t="shared" si="6"/>
        <v>0</v>
      </c>
      <c r="AT24" s="51">
        <f t="shared" si="7"/>
        <v>0</v>
      </c>
      <c r="BI24" s="58">
        <v>2695</v>
      </c>
    </row>
    <row r="25" spans="1:61" x14ac:dyDescent="0.25">
      <c r="A25" s="59">
        <f>companies!A25</f>
        <v>24</v>
      </c>
      <c r="B25" s="61" t="s">
        <v>1056</v>
      </c>
      <c r="C25" s="73" t="s">
        <v>1095</v>
      </c>
      <c r="D25" s="73" t="s">
        <v>1095</v>
      </c>
      <c r="E25" s="73" t="s">
        <v>1095</v>
      </c>
      <c r="F25" s="73" t="s">
        <v>1095</v>
      </c>
      <c r="G25" s="73" t="s">
        <v>1095</v>
      </c>
      <c r="H25" s="73" t="s">
        <v>1095</v>
      </c>
      <c r="I25" s="73" t="s">
        <v>1095</v>
      </c>
      <c r="J25" s="73" t="s">
        <v>1095</v>
      </c>
      <c r="K25" s="73" t="s">
        <v>1095</v>
      </c>
      <c r="L25" s="73" t="s">
        <v>1095</v>
      </c>
      <c r="M25" s="73" t="s">
        <v>1095</v>
      </c>
      <c r="N25" s="73" t="s">
        <v>1095</v>
      </c>
      <c r="O25" s="73" t="s">
        <v>1095</v>
      </c>
      <c r="P25" s="73" t="s">
        <v>1095</v>
      </c>
      <c r="Q25" s="73" t="s">
        <v>1095</v>
      </c>
      <c r="R25" s="73" t="s">
        <v>1095</v>
      </c>
      <c r="S25" s="73" t="s">
        <v>1095</v>
      </c>
      <c r="T25" s="73" t="s">
        <v>1095</v>
      </c>
      <c r="U25" s="73" t="s">
        <v>1095</v>
      </c>
      <c r="V25" s="73" t="s">
        <v>1095</v>
      </c>
      <c r="W25" s="62">
        <f t="shared" si="8"/>
        <v>0</v>
      </c>
      <c r="X25" s="62"/>
      <c r="Y25" s="62"/>
      <c r="Z25" s="62"/>
      <c r="AA25" s="62"/>
      <c r="AB25" s="62"/>
      <c r="AC25" s="62"/>
      <c r="AD25" s="62" t="e">
        <v>#N/A</v>
      </c>
      <c r="AE25" s="62" t="e">
        <v>#N/A</v>
      </c>
      <c r="AF25" s="66">
        <f>Table1[[#This Row],[2019 Scope 1 (MeT Co2)]]</f>
        <v>905000</v>
      </c>
      <c r="AG25" s="67" t="e">
        <f t="shared" si="0"/>
        <v>#VALUE!</v>
      </c>
      <c r="AH25" s="68" t="e">
        <f t="shared" si="1"/>
        <v>#VALUE!</v>
      </c>
      <c r="AK25" s="62" t="e">
        <v>#N/A</v>
      </c>
      <c r="AL25" s="62" t="e">
        <v>#N/A</v>
      </c>
      <c r="AM25" s="66">
        <f>Table1[[#This Row],[2019 Scope 2 ]]</f>
        <v>869000</v>
      </c>
      <c r="AN25" s="67" t="e">
        <f t="shared" si="2"/>
        <v>#VALUE!</v>
      </c>
      <c r="AO25" s="68" t="e">
        <f t="shared" si="3"/>
        <v>#VALUE!</v>
      </c>
      <c r="AP25" s="67" t="e">
        <f t="shared" si="4"/>
        <v>#VALUE!</v>
      </c>
      <c r="AQ25" s="68" t="e">
        <f t="shared" si="5"/>
        <v>#VALUE!</v>
      </c>
      <c r="AR25" s="72" t="str">
        <f>Table1[[#This Row],[2019 Scope 3 ]]</f>
        <v>NR</v>
      </c>
      <c r="AS25" s="71" t="e">
        <f t="shared" si="6"/>
        <v>#VALUE!</v>
      </c>
      <c r="AT25" s="51" t="e">
        <f t="shared" si="7"/>
        <v>#VALUE!</v>
      </c>
    </row>
    <row r="26" spans="1:61" x14ac:dyDescent="0.25">
      <c r="A26" s="59">
        <f>companies!A26</f>
        <v>25</v>
      </c>
      <c r="B26" s="61" t="s">
        <v>1056</v>
      </c>
      <c r="C26" s="73" t="s">
        <v>1095</v>
      </c>
      <c r="D26" s="73" t="s">
        <v>1095</v>
      </c>
      <c r="E26" s="73" t="s">
        <v>1095</v>
      </c>
      <c r="F26" s="73" t="s">
        <v>1095</v>
      </c>
      <c r="G26" s="73" t="s">
        <v>1095</v>
      </c>
      <c r="H26" s="73" t="s">
        <v>1095</v>
      </c>
      <c r="I26" s="73" t="s">
        <v>1095</v>
      </c>
      <c r="J26" s="73" t="s">
        <v>1095</v>
      </c>
      <c r="K26" s="73" t="s">
        <v>1095</v>
      </c>
      <c r="L26" s="73" t="s">
        <v>1095</v>
      </c>
      <c r="M26" s="73" t="s">
        <v>1095</v>
      </c>
      <c r="N26" s="73" t="s">
        <v>1095</v>
      </c>
      <c r="O26" s="73" t="s">
        <v>1095</v>
      </c>
      <c r="P26" s="73" t="s">
        <v>1095</v>
      </c>
      <c r="Q26" s="73" t="s">
        <v>1095</v>
      </c>
      <c r="R26" s="73" t="s">
        <v>1095</v>
      </c>
      <c r="S26" s="73" t="s">
        <v>1095</v>
      </c>
      <c r="T26" s="73" t="s">
        <v>1095</v>
      </c>
      <c r="U26" s="73" t="s">
        <v>1095</v>
      </c>
      <c r="V26" s="73" t="s">
        <v>1095</v>
      </c>
      <c r="W26" s="62">
        <f t="shared" si="8"/>
        <v>0</v>
      </c>
      <c r="X26" s="62"/>
      <c r="Y26" s="62"/>
      <c r="Z26" s="62"/>
      <c r="AA26" s="62"/>
      <c r="AB26" s="62"/>
      <c r="AC26" s="62"/>
      <c r="AD26" s="62" t="e">
        <v>#N/A</v>
      </c>
      <c r="AE26" s="62" t="e">
        <v>#N/A</v>
      </c>
      <c r="AF26" s="66" t="str">
        <f>Table1[[#This Row],[2019 Scope 1 (MeT Co2)]]</f>
        <v>NR</v>
      </c>
      <c r="AG26" s="67" t="e">
        <f t="shared" si="0"/>
        <v>#VALUE!</v>
      </c>
      <c r="AH26" s="68" t="e">
        <f t="shared" si="1"/>
        <v>#VALUE!</v>
      </c>
      <c r="AK26" s="62" t="e">
        <v>#N/A</v>
      </c>
      <c r="AL26" s="62" t="e">
        <v>#N/A</v>
      </c>
      <c r="AM26" s="66" t="str">
        <f>Table1[[#This Row],[2019 Scope 2 ]]</f>
        <v>NR</v>
      </c>
      <c r="AN26" s="67" t="e">
        <f t="shared" si="2"/>
        <v>#VALUE!</v>
      </c>
      <c r="AO26" s="68" t="e">
        <f t="shared" si="3"/>
        <v>#VALUE!</v>
      </c>
      <c r="AP26" s="67" t="e">
        <f t="shared" si="4"/>
        <v>#VALUE!</v>
      </c>
      <c r="AQ26" s="68" t="e">
        <f t="shared" si="5"/>
        <v>#VALUE!</v>
      </c>
      <c r="AR26" s="72" t="str">
        <f>Table1[[#This Row],[2019 Scope 3 ]]</f>
        <v>NR</v>
      </c>
      <c r="AS26" s="71" t="e">
        <f t="shared" si="6"/>
        <v>#VALUE!</v>
      </c>
      <c r="AT26" s="51" t="e">
        <f t="shared" si="7"/>
        <v>#VALUE!</v>
      </c>
    </row>
    <row r="27" spans="1:61" x14ac:dyDescent="0.25">
      <c r="A27" s="59">
        <f>companies!A27</f>
        <v>26</v>
      </c>
      <c r="B27" s="61" t="s">
        <v>1056</v>
      </c>
      <c r="C27" s="73" t="s">
        <v>1095</v>
      </c>
      <c r="D27" s="73" t="s">
        <v>1095</v>
      </c>
      <c r="E27" s="73" t="s">
        <v>1095</v>
      </c>
      <c r="F27" s="73" t="s">
        <v>1095</v>
      </c>
      <c r="G27" s="73" t="s">
        <v>1095</v>
      </c>
      <c r="H27" s="73" t="s">
        <v>1095</v>
      </c>
      <c r="I27" s="73" t="s">
        <v>1095</v>
      </c>
      <c r="J27" s="73" t="s">
        <v>1095</v>
      </c>
      <c r="K27" s="73" t="s">
        <v>1095</v>
      </c>
      <c r="L27" s="73" t="s">
        <v>1095</v>
      </c>
      <c r="M27" s="73" t="s">
        <v>1095</v>
      </c>
      <c r="N27" s="73" t="s">
        <v>1095</v>
      </c>
      <c r="O27" s="73" t="s">
        <v>1095</v>
      </c>
      <c r="P27" s="73" t="s">
        <v>1095</v>
      </c>
      <c r="Q27" s="73" t="s">
        <v>1095</v>
      </c>
      <c r="R27" s="73" t="s">
        <v>1095</v>
      </c>
      <c r="S27" s="73" t="s">
        <v>1095</v>
      </c>
      <c r="T27" s="73" t="s">
        <v>1095</v>
      </c>
      <c r="U27" s="73" t="s">
        <v>1095</v>
      </c>
      <c r="V27" s="73" t="s">
        <v>1095</v>
      </c>
      <c r="W27" s="62">
        <f t="shared" si="8"/>
        <v>0</v>
      </c>
      <c r="X27" s="62"/>
      <c r="Y27" s="62"/>
      <c r="Z27" s="62"/>
      <c r="AA27" s="62"/>
      <c r="AB27" s="62"/>
      <c r="AC27" s="62"/>
      <c r="AD27" s="62" t="e">
        <v>#N/A</v>
      </c>
      <c r="AE27" s="62" t="e">
        <v>#N/A</v>
      </c>
      <c r="AF27" s="66">
        <f>Table1[[#This Row],[2019 Scope 1 (MeT Co2)]]</f>
        <v>55000000</v>
      </c>
      <c r="AG27" s="67" t="e">
        <f t="shared" si="0"/>
        <v>#VALUE!</v>
      </c>
      <c r="AH27" s="68" t="e">
        <f t="shared" si="1"/>
        <v>#VALUE!</v>
      </c>
      <c r="AK27" s="62" t="e">
        <v>#N/A</v>
      </c>
      <c r="AL27" s="62" t="e">
        <v>#N/A</v>
      </c>
      <c r="AM27" s="66">
        <f>Table1[[#This Row],[2019 Scope 2 ]]</f>
        <v>2000000</v>
      </c>
      <c r="AN27" s="67" t="e">
        <f t="shared" si="2"/>
        <v>#VALUE!</v>
      </c>
      <c r="AO27" s="68" t="e">
        <f t="shared" si="3"/>
        <v>#VALUE!</v>
      </c>
      <c r="AP27" s="67" t="e">
        <f t="shared" si="4"/>
        <v>#VALUE!</v>
      </c>
      <c r="AQ27" s="68" t="e">
        <f t="shared" si="5"/>
        <v>#VALUE!</v>
      </c>
      <c r="AR27" s="72">
        <f>Table1[[#This Row],[2019 Scope 3 ]]</f>
        <v>413000000</v>
      </c>
      <c r="AS27" s="71">
        <f t="shared" si="6"/>
        <v>-413000000</v>
      </c>
      <c r="AT27" s="51" t="e">
        <f t="shared" si="7"/>
        <v>#DIV/0!</v>
      </c>
    </row>
    <row r="28" spans="1:61" x14ac:dyDescent="0.25">
      <c r="A28" s="59">
        <f>companies!A28</f>
        <v>27</v>
      </c>
      <c r="B28" s="61" t="s">
        <v>1056</v>
      </c>
      <c r="C28" s="73">
        <v>41181</v>
      </c>
      <c r="D28" s="73">
        <v>651331</v>
      </c>
      <c r="E28" s="73">
        <v>187428</v>
      </c>
      <c r="F28" s="73">
        <v>1154682</v>
      </c>
      <c r="G28" s="73">
        <v>40020</v>
      </c>
      <c r="H28" s="73">
        <v>39054</v>
      </c>
      <c r="I28" s="73">
        <v>36598</v>
      </c>
      <c r="J28" s="73">
        <v>779</v>
      </c>
      <c r="K28" s="73">
        <v>207323</v>
      </c>
      <c r="L28" s="73">
        <v>79699</v>
      </c>
      <c r="M28" s="62" t="s">
        <v>1096</v>
      </c>
      <c r="N28" s="62">
        <v>83396</v>
      </c>
      <c r="O28" s="62" t="s">
        <v>1096</v>
      </c>
      <c r="P28" s="62">
        <v>24929174</v>
      </c>
      <c r="Q28" s="62">
        <v>272</v>
      </c>
      <c r="R28" s="73" t="s">
        <v>1096</v>
      </c>
      <c r="S28" s="62" t="s">
        <v>1096</v>
      </c>
      <c r="T28" s="62" t="s">
        <v>1096</v>
      </c>
      <c r="U28" s="62" t="s">
        <v>1096</v>
      </c>
      <c r="V28" s="62" t="s">
        <v>1096</v>
      </c>
      <c r="W28" s="62">
        <f t="shared" si="8"/>
        <v>26570997</v>
      </c>
      <c r="X28" s="73"/>
      <c r="Y28" s="73"/>
      <c r="Z28" s="73"/>
      <c r="AA28" s="73"/>
      <c r="AB28" s="73"/>
      <c r="AC28" s="73"/>
      <c r="AD28" s="62" t="s">
        <v>1096</v>
      </c>
      <c r="AE28" s="62" t="s">
        <v>1096</v>
      </c>
      <c r="AF28" s="66">
        <f>Table1[[#This Row],[2019 Scope 1 (MeT Co2)]]</f>
        <v>41181</v>
      </c>
      <c r="AG28" s="67">
        <f t="shared" si="0"/>
        <v>0</v>
      </c>
      <c r="AH28" s="68">
        <f t="shared" si="1"/>
        <v>0</v>
      </c>
      <c r="AK28" s="62" t="s">
        <v>1096</v>
      </c>
      <c r="AL28" s="62" t="s">
        <v>1096</v>
      </c>
      <c r="AM28" s="66">
        <f>Table1[[#This Row],[2019 Scope 2 ]]</f>
        <v>187428</v>
      </c>
      <c r="AN28" s="67">
        <f t="shared" si="2"/>
        <v>463903</v>
      </c>
      <c r="AO28" s="68">
        <f t="shared" si="3"/>
        <v>0.71223847782463912</v>
      </c>
      <c r="AP28" s="67">
        <f t="shared" si="4"/>
        <v>0</v>
      </c>
      <c r="AQ28" s="68">
        <f t="shared" si="5"/>
        <v>0</v>
      </c>
      <c r="AR28" s="72">
        <f>Table1[[#This Row],[2019 Scope 3 ]]</f>
        <v>26570997</v>
      </c>
      <c r="AS28" s="71">
        <f t="shared" si="6"/>
        <v>0</v>
      </c>
      <c r="AT28" s="51">
        <f t="shared" si="7"/>
        <v>0</v>
      </c>
      <c r="BI28" s="58">
        <v>3329</v>
      </c>
    </row>
    <row r="29" spans="1:61" x14ac:dyDescent="0.25">
      <c r="A29" s="59">
        <f>companies!A29</f>
        <v>28</v>
      </c>
      <c r="B29" s="61" t="s">
        <v>1056</v>
      </c>
      <c r="C29" s="73">
        <v>23289</v>
      </c>
      <c r="D29" s="73">
        <v>593611</v>
      </c>
      <c r="E29" s="73">
        <v>359748</v>
      </c>
      <c r="F29" s="73">
        <v>3057.83</v>
      </c>
      <c r="G29" s="73">
        <v>365372.29</v>
      </c>
      <c r="H29" s="73">
        <v>170626.34</v>
      </c>
      <c r="I29" s="73" t="s">
        <v>1096</v>
      </c>
      <c r="J29" s="73" t="s">
        <v>1096</v>
      </c>
      <c r="K29" s="73">
        <v>126229</v>
      </c>
      <c r="L29" s="73">
        <v>82627.850000000006</v>
      </c>
      <c r="M29" s="62" t="s">
        <v>1096</v>
      </c>
      <c r="N29" s="62" t="s">
        <v>1096</v>
      </c>
      <c r="O29" s="62" t="s">
        <v>1096</v>
      </c>
      <c r="P29" s="62" t="s">
        <v>1096</v>
      </c>
      <c r="Q29" s="62" t="s">
        <v>1096</v>
      </c>
      <c r="R29" s="73" t="s">
        <v>1096</v>
      </c>
      <c r="S29" s="62" t="s">
        <v>1096</v>
      </c>
      <c r="T29" s="62" t="s">
        <v>1096</v>
      </c>
      <c r="U29" s="62" t="s">
        <v>1096</v>
      </c>
      <c r="V29" s="62" t="s">
        <v>1096</v>
      </c>
      <c r="W29" s="62">
        <f t="shared" si="8"/>
        <v>747913.30999999994</v>
      </c>
      <c r="X29" s="73"/>
      <c r="Y29" s="73"/>
      <c r="Z29" s="73"/>
      <c r="AA29" s="73"/>
      <c r="AB29" s="73"/>
      <c r="AC29" s="73"/>
      <c r="AD29" s="62" t="s">
        <v>1096</v>
      </c>
      <c r="AE29" s="62" t="s">
        <v>1096</v>
      </c>
      <c r="AF29" s="66">
        <f>Table1[[#This Row],[2019 Scope 1 (MeT Co2)]]</f>
        <v>23289</v>
      </c>
      <c r="AG29" s="67">
        <f t="shared" si="0"/>
        <v>0</v>
      </c>
      <c r="AH29" s="68">
        <f t="shared" si="1"/>
        <v>0</v>
      </c>
      <c r="AK29" s="62" t="s">
        <v>1096</v>
      </c>
      <c r="AL29" s="62" t="s">
        <v>1096</v>
      </c>
      <c r="AM29" s="66">
        <f>Table1[[#This Row],[2019 Scope 2 ]]</f>
        <v>593611</v>
      </c>
      <c r="AN29" s="67">
        <f t="shared" si="2"/>
        <v>0</v>
      </c>
      <c r="AO29" s="68">
        <f t="shared" si="3"/>
        <v>0</v>
      </c>
      <c r="AP29" s="67">
        <f t="shared" si="4"/>
        <v>233863</v>
      </c>
      <c r="AQ29" s="68">
        <f t="shared" si="5"/>
        <v>0.65007449659205885</v>
      </c>
      <c r="AR29" s="72">
        <f>Table1[[#This Row],[2019 Scope 3 ]]</f>
        <v>747913.30999999994</v>
      </c>
      <c r="AS29" s="71">
        <f t="shared" si="6"/>
        <v>0</v>
      </c>
      <c r="AT29" s="51">
        <f t="shared" si="7"/>
        <v>0</v>
      </c>
      <c r="BI29" s="58">
        <v>3398</v>
      </c>
    </row>
    <row r="30" spans="1:61" x14ac:dyDescent="0.25">
      <c r="A30" s="59">
        <f>companies!A30</f>
        <v>29</v>
      </c>
      <c r="B30" s="61" t="s">
        <v>1056</v>
      </c>
      <c r="C30" s="73">
        <v>687597</v>
      </c>
      <c r="D30" s="73">
        <v>868343</v>
      </c>
      <c r="E30" s="73">
        <v>871304</v>
      </c>
      <c r="F30" s="73">
        <v>22809959</v>
      </c>
      <c r="G30" s="73">
        <v>1799000</v>
      </c>
      <c r="H30" s="73" t="s">
        <v>1096</v>
      </c>
      <c r="I30" s="73" t="s">
        <v>1096</v>
      </c>
      <c r="J30" s="73">
        <v>0</v>
      </c>
      <c r="K30" s="73">
        <v>130838</v>
      </c>
      <c r="L30" s="73" t="s">
        <v>1096</v>
      </c>
      <c r="M30" s="62" t="s">
        <v>1096</v>
      </c>
      <c r="N30" s="62">
        <v>2290854</v>
      </c>
      <c r="O30" s="62">
        <v>22630377</v>
      </c>
      <c r="P30" s="62" t="s">
        <v>1096</v>
      </c>
      <c r="Q30" s="62" t="s">
        <v>1096</v>
      </c>
      <c r="R30" s="73" t="s">
        <v>1096</v>
      </c>
      <c r="S30" s="62">
        <v>4378013</v>
      </c>
      <c r="T30" s="62" t="s">
        <v>1096</v>
      </c>
      <c r="U30" s="62" t="s">
        <v>1096</v>
      </c>
      <c r="V30" s="62" t="s">
        <v>1096</v>
      </c>
      <c r="W30" s="62">
        <f t="shared" si="8"/>
        <v>54039041</v>
      </c>
      <c r="X30" s="73"/>
      <c r="Y30" s="73"/>
      <c r="Z30" s="73"/>
      <c r="AA30" s="73"/>
      <c r="AB30" s="73"/>
      <c r="AC30" s="73"/>
      <c r="AD30" s="62" t="s">
        <v>1096</v>
      </c>
      <c r="AE30" s="62" t="s">
        <v>1096</v>
      </c>
      <c r="AF30" s="66">
        <f>Table1[[#This Row],[2019 Scope 1 (MeT Co2)]]</f>
        <v>1830000</v>
      </c>
      <c r="AG30" s="67">
        <f t="shared" si="0"/>
        <v>-1142403</v>
      </c>
      <c r="AH30" s="69">
        <f t="shared" si="1"/>
        <v>-1.661442676451468</v>
      </c>
      <c r="AK30" s="62" t="s">
        <v>1096</v>
      </c>
      <c r="AL30" s="62" t="s">
        <v>1096</v>
      </c>
      <c r="AM30" s="66">
        <f>Table1[[#This Row],[2019 Scope 2 ]]</f>
        <v>3730000</v>
      </c>
      <c r="AN30" s="67">
        <f t="shared" si="2"/>
        <v>-2861657</v>
      </c>
      <c r="AO30" s="69">
        <f t="shared" si="3"/>
        <v>-3.2955375928636497</v>
      </c>
      <c r="AP30" s="67">
        <f t="shared" si="4"/>
        <v>2858696</v>
      </c>
      <c r="AQ30" s="69">
        <f t="shared" si="5"/>
        <v>3.2809398327105121</v>
      </c>
      <c r="AR30" s="72" t="str">
        <f>Table1[[#This Row],[2019 Scope 3 ]]</f>
        <v>NR</v>
      </c>
      <c r="AS30" s="71" t="e">
        <f t="shared" si="6"/>
        <v>#VALUE!</v>
      </c>
      <c r="AT30" s="51" t="e">
        <f t="shared" si="7"/>
        <v>#VALUE!</v>
      </c>
      <c r="BI30" s="61">
        <v>3564</v>
      </c>
    </row>
    <row r="31" spans="1:61" x14ac:dyDescent="0.25">
      <c r="A31" s="59">
        <f>companies!A31</f>
        <v>30</v>
      </c>
      <c r="B31" s="61" t="s">
        <v>1056</v>
      </c>
      <c r="C31" s="73">
        <v>197523</v>
      </c>
      <c r="D31" s="73">
        <v>379901</v>
      </c>
      <c r="E31" s="73">
        <v>283289</v>
      </c>
      <c r="F31" s="73">
        <v>3998484</v>
      </c>
      <c r="G31" s="73">
        <v>107147</v>
      </c>
      <c r="H31" s="73">
        <v>144711</v>
      </c>
      <c r="I31" s="73">
        <v>622256</v>
      </c>
      <c r="J31" s="73">
        <v>43842</v>
      </c>
      <c r="K31" s="73">
        <v>43504</v>
      </c>
      <c r="L31" s="73">
        <v>75573</v>
      </c>
      <c r="M31" s="62">
        <v>70599</v>
      </c>
      <c r="N31" s="62" t="s">
        <v>1096</v>
      </c>
      <c r="O31" s="62" t="s">
        <v>1096</v>
      </c>
      <c r="P31" s="62">
        <v>42014727</v>
      </c>
      <c r="Q31" s="62">
        <v>1559375</v>
      </c>
      <c r="R31" s="73" t="s">
        <v>1096</v>
      </c>
      <c r="S31" s="62" t="s">
        <v>1096</v>
      </c>
      <c r="T31" s="62" t="s">
        <v>1096</v>
      </c>
      <c r="U31" s="62" t="s">
        <v>1096</v>
      </c>
      <c r="V31" s="62" t="s">
        <v>1096</v>
      </c>
      <c r="W31" s="62">
        <f t="shared" si="8"/>
        <v>48680218</v>
      </c>
      <c r="X31" s="73"/>
      <c r="Y31" s="73"/>
      <c r="Z31" s="73"/>
      <c r="AA31" s="73"/>
      <c r="AB31" s="73"/>
      <c r="AC31" s="73"/>
      <c r="AD31" s="62" t="s">
        <v>1096</v>
      </c>
      <c r="AE31" s="62" t="s">
        <v>1096</v>
      </c>
      <c r="AF31" s="66">
        <f>Table1[[#This Row],[2019 Scope 1 (MeT Co2)]]</f>
        <v>191000</v>
      </c>
      <c r="AG31" s="67">
        <f t="shared" si="0"/>
        <v>6523</v>
      </c>
      <c r="AH31" s="68">
        <f t="shared" si="1"/>
        <v>3.3024002268090297E-2</v>
      </c>
      <c r="AK31" s="62" t="s">
        <v>1096</v>
      </c>
      <c r="AL31" s="62" t="s">
        <v>1096</v>
      </c>
      <c r="AM31" s="66">
        <f>Table1[[#This Row],[2019 Scope 2 ]]</f>
        <v>283000</v>
      </c>
      <c r="AN31" s="67">
        <f t="shared" si="2"/>
        <v>96901</v>
      </c>
      <c r="AO31" s="68">
        <f t="shared" si="3"/>
        <v>0.25506908378761833</v>
      </c>
      <c r="AP31" s="67">
        <f t="shared" si="4"/>
        <v>-289</v>
      </c>
      <c r="AQ31" s="68">
        <f t="shared" si="5"/>
        <v>-1.0201596249766139E-3</v>
      </c>
      <c r="AR31" s="72">
        <f>Table1[[#This Row],[2019 Scope 3 ]]</f>
        <v>48680000</v>
      </c>
      <c r="AS31" s="71">
        <f t="shared" si="6"/>
        <v>218</v>
      </c>
      <c r="AT31" s="51">
        <f t="shared" si="7"/>
        <v>4.4782050893855896E-6</v>
      </c>
      <c r="BI31" s="61">
        <v>3551</v>
      </c>
    </row>
    <row r="32" spans="1:61" x14ac:dyDescent="0.25">
      <c r="A32" s="59">
        <f>companies!A32</f>
        <v>31</v>
      </c>
      <c r="B32" s="61" t="s">
        <v>1056</v>
      </c>
      <c r="C32" s="73">
        <v>498455</v>
      </c>
      <c r="D32" s="73">
        <v>1568717</v>
      </c>
      <c r="E32" s="73">
        <v>1496771</v>
      </c>
      <c r="F32" s="73" t="s">
        <v>1096</v>
      </c>
      <c r="G32" s="73" t="s">
        <v>1096</v>
      </c>
      <c r="H32" s="73" t="s">
        <v>1096</v>
      </c>
      <c r="I32" s="73" t="s">
        <v>1096</v>
      </c>
      <c r="J32" s="73" t="s">
        <v>1096</v>
      </c>
      <c r="K32" s="73" t="s">
        <v>1096</v>
      </c>
      <c r="L32" s="73" t="s">
        <v>1096</v>
      </c>
      <c r="M32" s="62" t="s">
        <v>1096</v>
      </c>
      <c r="N32" s="62" t="s">
        <v>1096</v>
      </c>
      <c r="O32" s="62" t="s">
        <v>1096</v>
      </c>
      <c r="P32" s="62" t="s">
        <v>1096</v>
      </c>
      <c r="Q32" s="62" t="s">
        <v>1096</v>
      </c>
      <c r="R32" s="73" t="s">
        <v>1096</v>
      </c>
      <c r="S32" s="62" t="s">
        <v>1096</v>
      </c>
      <c r="T32" s="62" t="s">
        <v>1096</v>
      </c>
      <c r="U32" s="62" t="s">
        <v>1096</v>
      </c>
      <c r="V32" s="62" t="s">
        <v>1096</v>
      </c>
      <c r="W32" s="62">
        <f t="shared" si="8"/>
        <v>0</v>
      </c>
      <c r="X32" s="73"/>
      <c r="Y32" s="73"/>
      <c r="Z32" s="73"/>
      <c r="AA32" s="73"/>
      <c r="AB32" s="73"/>
      <c r="AC32" s="73"/>
      <c r="AD32" s="62" t="s">
        <v>1096</v>
      </c>
      <c r="AE32" s="62" t="s">
        <v>1096</v>
      </c>
      <c r="AF32" s="66">
        <f>Table1[[#This Row],[2019 Scope 1 (MeT Co2)]]</f>
        <v>498455</v>
      </c>
      <c r="AG32" s="67">
        <f t="shared" si="0"/>
        <v>0</v>
      </c>
      <c r="AH32" s="68">
        <f t="shared" si="1"/>
        <v>0</v>
      </c>
      <c r="AK32" s="62" t="s">
        <v>1096</v>
      </c>
      <c r="AL32" s="62" t="s">
        <v>1096</v>
      </c>
      <c r="AM32" s="66">
        <f>Table1[[#This Row],[2019 Scope 2 ]]</f>
        <v>1496771</v>
      </c>
      <c r="AN32" s="67">
        <f t="shared" si="2"/>
        <v>71946</v>
      </c>
      <c r="AO32" s="68">
        <f t="shared" si="3"/>
        <v>4.5862956798453772E-2</v>
      </c>
      <c r="AP32" s="67">
        <f t="shared" si="4"/>
        <v>0</v>
      </c>
      <c r="AQ32" s="68">
        <f t="shared" si="5"/>
        <v>0</v>
      </c>
      <c r="AR32" s="72" t="str">
        <f>Table1[[#This Row],[2019 Scope 3 ]]</f>
        <v>NR</v>
      </c>
      <c r="AS32" s="71" t="e">
        <f t="shared" si="6"/>
        <v>#VALUE!</v>
      </c>
      <c r="AT32" s="51" t="e">
        <f t="shared" si="7"/>
        <v>#VALUE!</v>
      </c>
      <c r="BI32" s="58">
        <v>3635</v>
      </c>
    </row>
    <row r="33" spans="1:61" x14ac:dyDescent="0.25">
      <c r="A33" s="59">
        <f>companies!A33</f>
        <v>32</v>
      </c>
      <c r="B33" s="61" t="s">
        <v>1056</v>
      </c>
      <c r="C33" s="73">
        <v>19500244</v>
      </c>
      <c r="D33" s="73">
        <v>956931</v>
      </c>
      <c r="E33" s="73" t="s">
        <v>1096</v>
      </c>
      <c r="F33" s="73" t="s">
        <v>1096</v>
      </c>
      <c r="G33" s="73" t="s">
        <v>1096</v>
      </c>
      <c r="H33" s="73" t="s">
        <v>1096</v>
      </c>
      <c r="I33" s="73">
        <v>2672913</v>
      </c>
      <c r="J33" s="73" t="s">
        <v>1096</v>
      </c>
      <c r="K33" s="73" t="s">
        <v>1096</v>
      </c>
      <c r="L33" s="73" t="s">
        <v>1096</v>
      </c>
      <c r="M33" s="62" t="s">
        <v>1096</v>
      </c>
      <c r="N33" s="62">
        <v>4901363</v>
      </c>
      <c r="O33" s="62">
        <v>14236023</v>
      </c>
      <c r="P33" s="62">
        <v>173354465</v>
      </c>
      <c r="Q33" s="62" t="s">
        <v>1096</v>
      </c>
      <c r="R33" s="73" t="s">
        <v>1096</v>
      </c>
      <c r="S33" s="62" t="s">
        <v>1096</v>
      </c>
      <c r="T33" s="62" t="s">
        <v>1096</v>
      </c>
      <c r="U33" s="62" t="s">
        <v>1096</v>
      </c>
      <c r="V33" s="62" t="s">
        <v>1096</v>
      </c>
      <c r="W33" s="62">
        <f t="shared" si="8"/>
        <v>195164764</v>
      </c>
      <c r="X33" s="62"/>
      <c r="Y33" s="62"/>
      <c r="Z33" s="62"/>
      <c r="AA33" s="62"/>
      <c r="AB33" s="62"/>
      <c r="AC33" s="62"/>
      <c r="AD33" s="62" t="s">
        <v>1096</v>
      </c>
      <c r="AE33" s="62" t="s">
        <v>1096</v>
      </c>
      <c r="AF33" s="66">
        <f>Table1[[#This Row],[2019 Scope 1 (MeT Co2)]]</f>
        <v>19500000</v>
      </c>
      <c r="AG33" s="67">
        <f t="shared" si="0"/>
        <v>244</v>
      </c>
      <c r="AH33" s="68">
        <f t="shared" si="1"/>
        <v>1.2512663944102444E-5</v>
      </c>
      <c r="AK33" s="62" t="s">
        <v>1096</v>
      </c>
      <c r="AL33" s="62" t="s">
        <v>1096</v>
      </c>
      <c r="AM33" s="66">
        <f>Table1[[#This Row],[2019 Scope 2 ]]</f>
        <v>1000000</v>
      </c>
      <c r="AN33" s="67">
        <f t="shared" si="2"/>
        <v>-43069</v>
      </c>
      <c r="AO33" s="68">
        <f t="shared" si="3"/>
        <v>-4.5007424777753047E-2</v>
      </c>
      <c r="AP33" s="67" t="e">
        <f t="shared" si="4"/>
        <v>#VALUE!</v>
      </c>
      <c r="AQ33" s="68" t="e">
        <f t="shared" si="5"/>
        <v>#VALUE!</v>
      </c>
      <c r="AR33" s="72">
        <f>Table1[[#This Row],[2019 Scope 3 ]]</f>
        <v>173400000</v>
      </c>
      <c r="AS33" s="71">
        <f t="shared" si="6"/>
        <v>21764764</v>
      </c>
      <c r="AT33" s="51">
        <f t="shared" si="7"/>
        <v>0.11151994629522366</v>
      </c>
      <c r="BI33" s="61">
        <v>3751</v>
      </c>
    </row>
    <row r="34" spans="1:61" x14ac:dyDescent="0.25">
      <c r="A34" s="59">
        <f>companies!A34</f>
        <v>33</v>
      </c>
      <c r="B34" s="61" t="s">
        <v>1056</v>
      </c>
      <c r="C34" s="73">
        <v>1108562.25</v>
      </c>
      <c r="D34" s="73">
        <v>1473874.16</v>
      </c>
      <c r="E34" s="73" t="s">
        <v>1096</v>
      </c>
      <c r="F34" s="73" t="s">
        <v>1096</v>
      </c>
      <c r="G34" s="73" t="s">
        <v>1096</v>
      </c>
      <c r="H34" s="73" t="s">
        <v>1096</v>
      </c>
      <c r="I34" s="73" t="s">
        <v>1096</v>
      </c>
      <c r="J34" s="73" t="s">
        <v>1096</v>
      </c>
      <c r="K34" s="73" t="s">
        <v>1096</v>
      </c>
      <c r="L34" s="73" t="s">
        <v>1096</v>
      </c>
      <c r="M34" s="62" t="s">
        <v>1096</v>
      </c>
      <c r="N34" s="62" t="s">
        <v>1096</v>
      </c>
      <c r="O34" s="62" t="s">
        <v>1096</v>
      </c>
      <c r="P34" s="62" t="s">
        <v>1096</v>
      </c>
      <c r="Q34" s="62" t="s">
        <v>1096</v>
      </c>
      <c r="R34" s="73" t="s">
        <v>1096</v>
      </c>
      <c r="S34" s="62" t="s">
        <v>1096</v>
      </c>
      <c r="T34" s="62" t="s">
        <v>1096</v>
      </c>
      <c r="U34" s="62" t="s">
        <v>1096</v>
      </c>
      <c r="V34" s="62" t="s">
        <v>1096</v>
      </c>
      <c r="W34" s="62">
        <f t="shared" si="8"/>
        <v>0</v>
      </c>
      <c r="X34" s="62"/>
      <c r="Y34" s="62"/>
      <c r="Z34" s="62"/>
      <c r="AA34" s="62"/>
      <c r="AB34" s="62"/>
      <c r="AC34" s="62"/>
      <c r="AD34" s="62" t="s">
        <v>1064</v>
      </c>
      <c r="AE34" s="62" t="s">
        <v>1065</v>
      </c>
      <c r="AF34" s="66">
        <f>Table1[[#This Row],[2019 Scope 1 (MeT Co2)]]</f>
        <v>1108562.25</v>
      </c>
      <c r="AG34" s="67">
        <f t="shared" ref="AG34:AG65" si="9">C34-AF34</f>
        <v>0</v>
      </c>
      <c r="AH34" s="68">
        <f t="shared" ref="AH34:AH65" si="10">AG34/C34</f>
        <v>0</v>
      </c>
      <c r="AK34" s="62" t="s">
        <v>1064</v>
      </c>
      <c r="AL34" s="62" t="s">
        <v>1065</v>
      </c>
      <c r="AM34" s="66">
        <f>Table1[[#This Row],[2019 Scope 2 ]]</f>
        <v>1473874.16</v>
      </c>
      <c r="AN34" s="67">
        <f t="shared" ref="AN34:AN65" si="11">D34-AM34</f>
        <v>0</v>
      </c>
      <c r="AO34" s="68">
        <f t="shared" ref="AO34:AO65" si="12">AN34/D34</f>
        <v>0</v>
      </c>
      <c r="AP34" s="67" t="e">
        <f t="shared" ref="AP34:AP65" si="13">AM34-E34</f>
        <v>#VALUE!</v>
      </c>
      <c r="AQ34" s="68" t="e">
        <f t="shared" ref="AQ34:AQ65" si="14">AP34/E34</f>
        <v>#VALUE!</v>
      </c>
      <c r="AR34" s="72" t="str">
        <f>Table1[[#This Row],[2019 Scope 3 ]]</f>
        <v>NR</v>
      </c>
      <c r="AS34" s="71" t="e">
        <f t="shared" ref="AS34:AS65" si="15">W34-AR34</f>
        <v>#VALUE!</v>
      </c>
      <c r="AT34" s="51" t="e">
        <f t="shared" ref="AT34:AT65" si="16">AS34/W34</f>
        <v>#VALUE!</v>
      </c>
      <c r="BI34" s="58">
        <v>3944</v>
      </c>
    </row>
    <row r="35" spans="1:61" x14ac:dyDescent="0.25">
      <c r="A35" s="59">
        <f>companies!A35</f>
        <v>34</v>
      </c>
      <c r="B35" s="61" t="s">
        <v>1056</v>
      </c>
      <c r="C35" s="73">
        <v>157199.32</v>
      </c>
      <c r="D35" s="73">
        <v>1024681.56</v>
      </c>
      <c r="E35" s="73">
        <v>1036690.44</v>
      </c>
      <c r="F35" s="73">
        <v>14584739.119999999</v>
      </c>
      <c r="G35" s="73">
        <v>1011729.83</v>
      </c>
      <c r="H35" s="73">
        <v>51656.89</v>
      </c>
      <c r="I35" s="73" t="s">
        <v>1096</v>
      </c>
      <c r="J35" s="73">
        <v>35236.879999999997</v>
      </c>
      <c r="K35" s="73">
        <v>106796.09</v>
      </c>
      <c r="L35" s="73">
        <v>20400</v>
      </c>
      <c r="M35" s="62" t="s">
        <v>1096</v>
      </c>
      <c r="N35" s="62">
        <v>46624.82</v>
      </c>
      <c r="O35" s="62" t="s">
        <v>1096</v>
      </c>
      <c r="P35" s="62" t="s">
        <v>1096</v>
      </c>
      <c r="Q35" s="62" t="s">
        <v>1096</v>
      </c>
      <c r="R35" s="73" t="s">
        <v>1096</v>
      </c>
      <c r="S35" s="62" t="s">
        <v>1096</v>
      </c>
      <c r="T35" s="62" t="s">
        <v>1096</v>
      </c>
      <c r="U35" s="62" t="s">
        <v>1096</v>
      </c>
      <c r="V35" s="62" t="s">
        <v>1096</v>
      </c>
      <c r="W35" s="62">
        <f t="shared" si="8"/>
        <v>15857183.630000001</v>
      </c>
      <c r="X35" s="62"/>
      <c r="Y35" s="62"/>
      <c r="Z35" s="62"/>
      <c r="AA35" s="62"/>
      <c r="AB35" s="62"/>
      <c r="AC35" s="62"/>
      <c r="AD35" s="62" t="s">
        <v>1096</v>
      </c>
      <c r="AE35" s="62" t="s">
        <v>1096</v>
      </c>
      <c r="AF35" s="66">
        <f>Table1[[#This Row],[2019 Scope 1 (MeT Co2)]]</f>
        <v>157114</v>
      </c>
      <c r="AG35" s="67">
        <f t="shared" si="9"/>
        <v>85.320000000006985</v>
      </c>
      <c r="AH35" s="68">
        <f t="shared" si="10"/>
        <v>5.4275043937853534E-4</v>
      </c>
      <c r="AK35" s="62" t="s">
        <v>1096</v>
      </c>
      <c r="AL35" s="62" t="s">
        <v>1096</v>
      </c>
      <c r="AM35" s="66">
        <f>Table1[[#This Row],[2019 Scope 2 ]]</f>
        <v>1024682</v>
      </c>
      <c r="AN35" s="67">
        <f t="shared" si="11"/>
        <v>-0.43999999994412065</v>
      </c>
      <c r="AO35" s="68">
        <f t="shared" si="12"/>
        <v>-4.2940169621489102E-7</v>
      </c>
      <c r="AP35" s="67">
        <f t="shared" si="13"/>
        <v>-12008.439999999944</v>
      </c>
      <c r="AQ35" s="68">
        <f t="shared" si="14"/>
        <v>-1.1583438543139209E-2</v>
      </c>
      <c r="AR35" s="72">
        <f>Table1[[#This Row],[2019 Scope 3 ]]</f>
        <v>15857183.630000001</v>
      </c>
      <c r="AS35" s="71">
        <f t="shared" si="15"/>
        <v>0</v>
      </c>
      <c r="AT35" s="51">
        <f t="shared" si="16"/>
        <v>0</v>
      </c>
      <c r="BI35" s="61">
        <v>4151</v>
      </c>
    </row>
    <row r="36" spans="1:61" x14ac:dyDescent="0.25">
      <c r="A36" s="59">
        <f>companies!A36</f>
        <v>35</v>
      </c>
      <c r="B36" s="61" t="s">
        <v>1056</v>
      </c>
      <c r="C36" s="73" t="s">
        <v>1095</v>
      </c>
      <c r="D36" s="73" t="s">
        <v>1095</v>
      </c>
      <c r="E36" s="73" t="s">
        <v>1095</v>
      </c>
      <c r="F36" s="73" t="s">
        <v>1095</v>
      </c>
      <c r="G36" s="73" t="s">
        <v>1095</v>
      </c>
      <c r="H36" s="73" t="s">
        <v>1095</v>
      </c>
      <c r="I36" s="73" t="s">
        <v>1095</v>
      </c>
      <c r="J36" s="73" t="s">
        <v>1095</v>
      </c>
      <c r="K36" s="73" t="s">
        <v>1095</v>
      </c>
      <c r="L36" s="73" t="s">
        <v>1095</v>
      </c>
      <c r="M36" s="73" t="s">
        <v>1095</v>
      </c>
      <c r="N36" s="73" t="s">
        <v>1095</v>
      </c>
      <c r="O36" s="73" t="s">
        <v>1095</v>
      </c>
      <c r="P36" s="73" t="s">
        <v>1095</v>
      </c>
      <c r="Q36" s="73" t="s">
        <v>1095</v>
      </c>
      <c r="R36" s="73" t="s">
        <v>1095</v>
      </c>
      <c r="S36" s="73" t="s">
        <v>1095</v>
      </c>
      <c r="T36" s="73" t="s">
        <v>1095</v>
      </c>
      <c r="U36" s="73" t="s">
        <v>1095</v>
      </c>
      <c r="V36" s="73" t="s">
        <v>1095</v>
      </c>
      <c r="W36" s="62">
        <f t="shared" si="8"/>
        <v>0</v>
      </c>
      <c r="X36" s="62"/>
      <c r="Y36" s="62"/>
      <c r="Z36" s="62"/>
      <c r="AA36" s="62"/>
      <c r="AB36" s="62"/>
      <c r="AC36" s="62"/>
      <c r="AD36" s="62" t="e">
        <v>#N/A</v>
      </c>
      <c r="AE36" s="62" t="e">
        <v>#N/A</v>
      </c>
      <c r="AF36" s="66" t="str">
        <f>Table1[[#This Row],[2019 Scope 1 (MeT Co2)]]</f>
        <v>NR</v>
      </c>
      <c r="AG36" s="67" t="e">
        <f t="shared" si="9"/>
        <v>#VALUE!</v>
      </c>
      <c r="AH36" s="68" t="e">
        <f t="shared" si="10"/>
        <v>#VALUE!</v>
      </c>
      <c r="AK36" s="62" t="e">
        <v>#N/A</v>
      </c>
      <c r="AL36" s="62" t="e">
        <v>#N/A</v>
      </c>
      <c r="AM36" s="66" t="str">
        <f>Table1[[#This Row],[2019 Scope 2 ]]</f>
        <v>NR</v>
      </c>
      <c r="AN36" s="67" t="e">
        <f t="shared" si="11"/>
        <v>#VALUE!</v>
      </c>
      <c r="AO36" s="68" t="e">
        <f t="shared" si="12"/>
        <v>#VALUE!</v>
      </c>
      <c r="AP36" s="67" t="e">
        <f t="shared" si="13"/>
        <v>#VALUE!</v>
      </c>
      <c r="AQ36" s="68" t="e">
        <f t="shared" si="14"/>
        <v>#VALUE!</v>
      </c>
      <c r="AR36" s="72" t="str">
        <f>Table1[[#This Row],[2019 Scope 3 ]]</f>
        <v>NR</v>
      </c>
      <c r="AS36" s="71" t="e">
        <f t="shared" si="15"/>
        <v>#VALUE!</v>
      </c>
      <c r="AT36" s="51" t="e">
        <f t="shared" si="16"/>
        <v>#VALUE!</v>
      </c>
    </row>
    <row r="37" spans="1:61" x14ac:dyDescent="0.25">
      <c r="A37" s="59">
        <f>companies!A37</f>
        <v>36</v>
      </c>
      <c r="B37" s="61" t="s">
        <v>1056</v>
      </c>
      <c r="C37" s="73">
        <v>27522854</v>
      </c>
      <c r="D37" s="73">
        <v>5058885</v>
      </c>
      <c r="E37" s="73">
        <v>6058164</v>
      </c>
      <c r="F37" s="73">
        <v>60053499</v>
      </c>
      <c r="G37" s="73">
        <v>2776452</v>
      </c>
      <c r="H37" s="73">
        <v>8269874</v>
      </c>
      <c r="I37" s="73" t="s">
        <v>1096</v>
      </c>
      <c r="J37" s="73">
        <v>1560507</v>
      </c>
      <c r="K37" s="73">
        <v>31832</v>
      </c>
      <c r="L37" s="73">
        <v>86849</v>
      </c>
      <c r="M37" s="62">
        <v>16600</v>
      </c>
      <c r="N37" s="62">
        <v>4094062</v>
      </c>
      <c r="O37" s="62" t="s">
        <v>1096</v>
      </c>
      <c r="P37" s="62">
        <v>3184348</v>
      </c>
      <c r="Q37" s="62">
        <v>7052492</v>
      </c>
      <c r="R37" s="73" t="s">
        <v>1096</v>
      </c>
      <c r="S37" s="62" t="s">
        <v>1096</v>
      </c>
      <c r="T37" s="62">
        <v>4295442</v>
      </c>
      <c r="U37" s="62" t="s">
        <v>1096</v>
      </c>
      <c r="V37" s="62" t="s">
        <v>1096</v>
      </c>
      <c r="W37" s="62">
        <f t="shared" si="8"/>
        <v>91421957</v>
      </c>
      <c r="X37" s="73"/>
      <c r="Y37" s="73"/>
      <c r="Z37" s="73"/>
      <c r="AA37" s="73"/>
      <c r="AB37" s="73"/>
      <c r="AC37" s="73"/>
      <c r="AD37" s="62" t="s">
        <v>1064</v>
      </c>
      <c r="AE37" s="62" t="s">
        <v>1065</v>
      </c>
      <c r="AF37" s="66">
        <f>Table1[[#This Row],[2019 Scope 1 (MeT Co2)]]</f>
        <v>27600000</v>
      </c>
      <c r="AG37" s="67">
        <f t="shared" si="9"/>
        <v>-77146</v>
      </c>
      <c r="AH37" s="68">
        <f t="shared" si="10"/>
        <v>-2.8029796619202354E-3</v>
      </c>
      <c r="AK37" s="62" t="s">
        <v>1064</v>
      </c>
      <c r="AL37" s="62" t="s">
        <v>1065</v>
      </c>
      <c r="AM37" s="66">
        <f>Table1[[#This Row],[2019 Scope 2 ]]</f>
        <v>6050000</v>
      </c>
      <c r="AN37" s="67">
        <f t="shared" si="11"/>
        <v>-991115</v>
      </c>
      <c r="AO37" s="68">
        <f t="shared" si="12"/>
        <v>-0.19591570079177525</v>
      </c>
      <c r="AP37" s="67">
        <f t="shared" si="13"/>
        <v>-8164</v>
      </c>
      <c r="AQ37" s="68">
        <f t="shared" si="14"/>
        <v>-1.3476030031540909E-3</v>
      </c>
      <c r="AR37" s="72">
        <f>Table1[[#This Row],[2019 Scope 3 ]]</f>
        <v>91400000</v>
      </c>
      <c r="AS37" s="71">
        <f t="shared" si="15"/>
        <v>21957</v>
      </c>
      <c r="AT37" s="51">
        <f t="shared" si="16"/>
        <v>2.401720628229387E-4</v>
      </c>
      <c r="BI37" s="46">
        <v>4826</v>
      </c>
    </row>
    <row r="38" spans="1:61" x14ac:dyDescent="0.25">
      <c r="A38" s="59">
        <f>companies!A38</f>
        <v>37</v>
      </c>
      <c r="B38" s="61" t="s">
        <v>1056</v>
      </c>
      <c r="C38" s="73">
        <v>85525000</v>
      </c>
      <c r="D38" s="73">
        <v>5200</v>
      </c>
      <c r="E38" s="73" t="s">
        <v>1096</v>
      </c>
      <c r="F38" s="73" t="s">
        <v>1096</v>
      </c>
      <c r="G38" s="73" t="s">
        <v>1096</v>
      </c>
      <c r="H38" s="73">
        <v>12100000</v>
      </c>
      <c r="I38" s="73" t="s">
        <v>1096</v>
      </c>
      <c r="J38" s="73" t="s">
        <v>1096</v>
      </c>
      <c r="K38" s="73">
        <v>15113</v>
      </c>
      <c r="L38" s="73" t="s">
        <v>1096</v>
      </c>
      <c r="M38" s="62" t="s">
        <v>1096</v>
      </c>
      <c r="N38" s="62" t="s">
        <v>1096</v>
      </c>
      <c r="O38" s="62" t="s">
        <v>1096</v>
      </c>
      <c r="P38" s="62">
        <v>17600000</v>
      </c>
      <c r="Q38" s="62" t="s">
        <v>1096</v>
      </c>
      <c r="R38" s="73" t="s">
        <v>1096</v>
      </c>
      <c r="S38" s="62" t="s">
        <v>1096</v>
      </c>
      <c r="T38" s="62" t="s">
        <v>1096</v>
      </c>
      <c r="U38" s="62" t="s">
        <v>1096</v>
      </c>
      <c r="V38" s="62" t="s">
        <v>1096</v>
      </c>
      <c r="W38" s="62">
        <f t="shared" si="8"/>
        <v>29715113</v>
      </c>
      <c r="X38" s="62"/>
      <c r="Y38" s="62"/>
      <c r="Z38" s="62"/>
      <c r="AA38" s="62"/>
      <c r="AB38" s="62"/>
      <c r="AC38" s="62"/>
      <c r="AD38" s="62" t="s">
        <v>1096</v>
      </c>
      <c r="AE38" s="62" t="s">
        <v>1096</v>
      </c>
      <c r="AF38" s="66">
        <f>Table1[[#This Row],[2019 Scope 1 (MeT Co2)]]</f>
        <v>93000000</v>
      </c>
      <c r="AG38" s="67">
        <f t="shared" si="9"/>
        <v>-7475000</v>
      </c>
      <c r="AH38" s="69">
        <f t="shared" si="10"/>
        <v>-8.7401344636071326E-2</v>
      </c>
      <c r="AK38" s="62" t="s">
        <v>1096</v>
      </c>
      <c r="AL38" s="62" t="s">
        <v>1096</v>
      </c>
      <c r="AM38" s="66">
        <f>Table1[[#This Row],[2019 Scope 2 ]]</f>
        <v>11122000</v>
      </c>
      <c r="AN38" s="67">
        <f t="shared" si="11"/>
        <v>-11116800</v>
      </c>
      <c r="AO38" s="69">
        <f t="shared" si="12"/>
        <v>-2137.8461538461538</v>
      </c>
      <c r="AP38" s="67" t="e">
        <f t="shared" si="13"/>
        <v>#VALUE!</v>
      </c>
      <c r="AQ38" s="69" t="e">
        <f t="shared" si="14"/>
        <v>#VALUE!</v>
      </c>
      <c r="AR38" s="72">
        <f>Table1[[#This Row],[2019 Scope 3 ]]</f>
        <v>19811000</v>
      </c>
      <c r="AS38" s="71">
        <f t="shared" si="15"/>
        <v>9904113</v>
      </c>
      <c r="AT38" s="51">
        <f t="shared" si="16"/>
        <v>0.33330221560994905</v>
      </c>
      <c r="BI38" s="61">
        <v>5052</v>
      </c>
    </row>
    <row r="39" spans="1:61" x14ac:dyDescent="0.25">
      <c r="A39" s="59">
        <f>companies!A39</f>
        <v>38</v>
      </c>
      <c r="B39" s="61" t="s">
        <v>1056</v>
      </c>
      <c r="C39" s="73">
        <v>3057437</v>
      </c>
      <c r="D39" s="73">
        <v>2322922</v>
      </c>
      <c r="E39" s="73">
        <v>2532756</v>
      </c>
      <c r="F39" s="73" t="s">
        <v>1096</v>
      </c>
      <c r="G39" s="73" t="s">
        <v>1096</v>
      </c>
      <c r="H39" s="73">
        <v>1207243</v>
      </c>
      <c r="I39" s="73" t="s">
        <v>1096</v>
      </c>
      <c r="J39" s="73" t="s">
        <v>1096</v>
      </c>
      <c r="K39" s="73">
        <v>23037</v>
      </c>
      <c r="L39" s="73" t="s">
        <v>1096</v>
      </c>
      <c r="M39" s="62" t="s">
        <v>1096</v>
      </c>
      <c r="N39" s="62" t="s">
        <v>1096</v>
      </c>
      <c r="O39" s="62" t="s">
        <v>1096</v>
      </c>
      <c r="P39" s="62" t="s">
        <v>1096</v>
      </c>
      <c r="Q39" s="62" t="s">
        <v>1096</v>
      </c>
      <c r="R39" s="73">
        <v>72464</v>
      </c>
      <c r="S39" s="62" t="s">
        <v>1096</v>
      </c>
      <c r="T39" s="62" t="s">
        <v>1096</v>
      </c>
      <c r="U39" s="62" t="s">
        <v>1096</v>
      </c>
      <c r="V39" s="62" t="s">
        <v>1096</v>
      </c>
      <c r="W39" s="62">
        <f t="shared" si="8"/>
        <v>1302744</v>
      </c>
      <c r="X39" s="73"/>
      <c r="Y39" s="73"/>
      <c r="Z39" s="73"/>
      <c r="AA39" s="73"/>
      <c r="AB39" s="73"/>
      <c r="AC39" s="73"/>
      <c r="AD39" s="62" t="s">
        <v>1096</v>
      </c>
      <c r="AE39" s="62" t="s">
        <v>1096</v>
      </c>
      <c r="AF39" s="66">
        <f>Table1[[#This Row],[2019 Scope 1 (MeT Co2)]]</f>
        <v>3057000</v>
      </c>
      <c r="AG39" s="67">
        <f t="shared" si="9"/>
        <v>437</v>
      </c>
      <c r="AH39" s="68">
        <f t="shared" si="10"/>
        <v>1.429301732137081E-4</v>
      </c>
      <c r="AK39" s="62" t="s">
        <v>1096</v>
      </c>
      <c r="AL39" s="62" t="s">
        <v>1096</v>
      </c>
      <c r="AM39" s="66">
        <f>Table1[[#This Row],[2019 Scope 2 ]]</f>
        <v>2323000</v>
      </c>
      <c r="AN39" s="67">
        <f t="shared" si="11"/>
        <v>-78</v>
      </c>
      <c r="AO39" s="68">
        <f t="shared" si="12"/>
        <v>-3.3578398241525114E-5</v>
      </c>
      <c r="AP39" s="67">
        <f t="shared" si="13"/>
        <v>-209756</v>
      </c>
      <c r="AQ39" s="68">
        <f t="shared" si="14"/>
        <v>-8.2817294678208239E-2</v>
      </c>
      <c r="AR39" s="72">
        <f>Table1[[#This Row],[2019 Scope 3 ]]</f>
        <v>1302744</v>
      </c>
      <c r="AS39" s="71">
        <f t="shared" si="15"/>
        <v>0</v>
      </c>
      <c r="AT39" s="51">
        <f t="shared" si="16"/>
        <v>0</v>
      </c>
      <c r="BI39" s="61">
        <v>73894</v>
      </c>
    </row>
    <row r="40" spans="1:61" x14ac:dyDescent="0.25">
      <c r="A40" s="59">
        <f>companies!A40</f>
        <v>39</v>
      </c>
      <c r="B40" s="61" t="s">
        <v>1056</v>
      </c>
      <c r="C40" s="73">
        <v>192075</v>
      </c>
      <c r="D40" s="73">
        <v>616431</v>
      </c>
      <c r="E40" s="73">
        <v>556855</v>
      </c>
      <c r="F40" s="73" t="s">
        <v>1096</v>
      </c>
      <c r="G40" s="73" t="s">
        <v>1096</v>
      </c>
      <c r="H40" s="73" t="s">
        <v>1096</v>
      </c>
      <c r="I40" s="73">
        <v>32680</v>
      </c>
      <c r="J40" s="73">
        <v>42021</v>
      </c>
      <c r="K40" s="73">
        <v>98410</v>
      </c>
      <c r="L40" s="73">
        <v>61685</v>
      </c>
      <c r="M40" s="62">
        <v>0</v>
      </c>
      <c r="N40" s="62" t="s">
        <v>1096</v>
      </c>
      <c r="O40" s="62" t="s">
        <v>1096</v>
      </c>
      <c r="P40" s="62" t="s">
        <v>1096</v>
      </c>
      <c r="Q40" s="62" t="s">
        <v>1096</v>
      </c>
      <c r="R40" s="73">
        <v>0</v>
      </c>
      <c r="S40" s="62">
        <v>0</v>
      </c>
      <c r="T40" s="62">
        <v>0</v>
      </c>
      <c r="U40" s="62" t="s">
        <v>1096</v>
      </c>
      <c r="V40" s="62" t="s">
        <v>1096</v>
      </c>
      <c r="W40" s="62">
        <f t="shared" si="8"/>
        <v>234796</v>
      </c>
      <c r="X40" s="73"/>
      <c r="Y40" s="73"/>
      <c r="Z40" s="73"/>
      <c r="AA40" s="73"/>
      <c r="AB40" s="73"/>
      <c r="AC40" s="73"/>
      <c r="AD40" s="62" t="s">
        <v>1096</v>
      </c>
      <c r="AE40" s="62" t="s">
        <v>1096</v>
      </c>
      <c r="AF40" s="66">
        <f>Table1[[#This Row],[2019 Scope 1 (MeT Co2)]]</f>
        <v>193000</v>
      </c>
      <c r="AG40" s="67">
        <f t="shared" si="9"/>
        <v>-925</v>
      </c>
      <c r="AH40" s="68">
        <f t="shared" si="10"/>
        <v>-4.8158271508525318E-3</v>
      </c>
      <c r="AK40" s="62" t="s">
        <v>1096</v>
      </c>
      <c r="AL40" s="62" t="s">
        <v>1096</v>
      </c>
      <c r="AM40" s="66">
        <f>Table1[[#This Row],[2019 Scope 2 ]]</f>
        <v>671000</v>
      </c>
      <c r="AN40" s="67">
        <f t="shared" si="11"/>
        <v>-54569</v>
      </c>
      <c r="AO40" s="69">
        <f t="shared" si="12"/>
        <v>-8.8524100832047703E-2</v>
      </c>
      <c r="AP40" s="67">
        <f t="shared" si="13"/>
        <v>114145</v>
      </c>
      <c r="AQ40" s="69">
        <f t="shared" si="14"/>
        <v>0.20498154815885644</v>
      </c>
      <c r="AR40" s="72">
        <f>Table1[[#This Row],[2019 Scope 3 ]]</f>
        <v>240000</v>
      </c>
      <c r="AS40" s="71">
        <f t="shared" si="15"/>
        <v>-5204</v>
      </c>
      <c r="AT40" s="51">
        <f t="shared" si="16"/>
        <v>-2.2163921020801034E-2</v>
      </c>
      <c r="BI40" s="61">
        <v>5377</v>
      </c>
    </row>
    <row r="41" spans="1:61" x14ac:dyDescent="0.25">
      <c r="A41" s="59">
        <f>companies!A41</f>
        <v>40</v>
      </c>
      <c r="B41" s="61" t="s">
        <v>1056</v>
      </c>
      <c r="C41" s="73" t="s">
        <v>1095</v>
      </c>
      <c r="D41" s="73" t="s">
        <v>1095</v>
      </c>
      <c r="E41" s="73" t="s">
        <v>1095</v>
      </c>
      <c r="F41" s="73" t="s">
        <v>1095</v>
      </c>
      <c r="G41" s="73" t="s">
        <v>1095</v>
      </c>
      <c r="H41" s="73" t="s">
        <v>1095</v>
      </c>
      <c r="I41" s="73" t="s">
        <v>1095</v>
      </c>
      <c r="J41" s="73" t="s">
        <v>1095</v>
      </c>
      <c r="K41" s="73" t="s">
        <v>1095</v>
      </c>
      <c r="L41" s="73" t="s">
        <v>1095</v>
      </c>
      <c r="M41" s="73" t="s">
        <v>1095</v>
      </c>
      <c r="N41" s="73" t="s">
        <v>1095</v>
      </c>
      <c r="O41" s="73" t="s">
        <v>1095</v>
      </c>
      <c r="P41" s="73" t="s">
        <v>1095</v>
      </c>
      <c r="Q41" s="73" t="s">
        <v>1095</v>
      </c>
      <c r="R41" s="73" t="s">
        <v>1095</v>
      </c>
      <c r="S41" s="73" t="s">
        <v>1095</v>
      </c>
      <c r="T41" s="73" t="s">
        <v>1095</v>
      </c>
      <c r="U41" s="73" t="s">
        <v>1095</v>
      </c>
      <c r="V41" s="73" t="s">
        <v>1095</v>
      </c>
      <c r="W41" s="62">
        <f t="shared" si="8"/>
        <v>0</v>
      </c>
      <c r="X41" s="62"/>
      <c r="Y41" s="62"/>
      <c r="Z41" s="62"/>
      <c r="AA41" s="62"/>
      <c r="AB41" s="62"/>
      <c r="AC41" s="62"/>
      <c r="AD41" s="62" t="e">
        <v>#N/A</v>
      </c>
      <c r="AE41" s="62" t="e">
        <v>#N/A</v>
      </c>
      <c r="AF41" s="66">
        <f>Table1[[#This Row],[2019 Scope 1 (MeT Co2)]]</f>
        <v>163945</v>
      </c>
      <c r="AG41" s="67" t="e">
        <f t="shared" si="9"/>
        <v>#VALUE!</v>
      </c>
      <c r="AH41" s="68" t="e">
        <f t="shared" si="10"/>
        <v>#VALUE!</v>
      </c>
      <c r="AK41" s="62" t="e">
        <v>#N/A</v>
      </c>
      <c r="AL41" s="62" t="e">
        <v>#N/A</v>
      </c>
      <c r="AM41" s="66">
        <f>Table1[[#This Row],[2019 Scope 2 ]]</f>
        <v>699739</v>
      </c>
      <c r="AN41" s="67" t="e">
        <f t="shared" si="11"/>
        <v>#VALUE!</v>
      </c>
      <c r="AO41" s="68" t="e">
        <f t="shared" si="12"/>
        <v>#VALUE!</v>
      </c>
      <c r="AP41" s="67" t="e">
        <f t="shared" si="13"/>
        <v>#VALUE!</v>
      </c>
      <c r="AQ41" s="68" t="e">
        <f t="shared" si="14"/>
        <v>#VALUE!</v>
      </c>
      <c r="AR41" s="72" t="str">
        <f>Table1[[#This Row],[2019 Scope 3 ]]</f>
        <v>NR</v>
      </c>
      <c r="AS41" s="71" t="e">
        <f t="shared" si="15"/>
        <v>#VALUE!</v>
      </c>
      <c r="AT41" s="51" t="e">
        <f t="shared" si="16"/>
        <v>#VALUE!</v>
      </c>
    </row>
    <row r="42" spans="1:61" x14ac:dyDescent="0.25">
      <c r="A42" s="59">
        <f>companies!A42</f>
        <v>41</v>
      </c>
      <c r="B42" s="61" t="s">
        <v>1056</v>
      </c>
      <c r="C42" s="73">
        <v>9394598</v>
      </c>
      <c r="D42" s="73">
        <v>6103307</v>
      </c>
      <c r="E42" s="73">
        <v>4913525</v>
      </c>
      <c r="F42" s="73" t="s">
        <v>1096</v>
      </c>
      <c r="G42" s="73" t="s">
        <v>1096</v>
      </c>
      <c r="H42" s="73">
        <v>18864278</v>
      </c>
      <c r="I42" s="73" t="s">
        <v>1096</v>
      </c>
      <c r="J42" s="73">
        <v>63094</v>
      </c>
      <c r="K42" s="73">
        <v>28980</v>
      </c>
      <c r="L42" s="73" t="s">
        <v>1096</v>
      </c>
      <c r="M42" s="62">
        <v>19363</v>
      </c>
      <c r="N42" s="62">
        <v>0</v>
      </c>
      <c r="O42" s="62">
        <v>0</v>
      </c>
      <c r="P42" s="62">
        <v>84817268</v>
      </c>
      <c r="Q42" s="62">
        <v>0</v>
      </c>
      <c r="R42" s="73" t="s">
        <v>1096</v>
      </c>
      <c r="S42" s="62">
        <v>0</v>
      </c>
      <c r="T42" s="62" t="s">
        <v>1096</v>
      </c>
      <c r="U42" s="62">
        <v>0</v>
      </c>
      <c r="V42" s="62">
        <v>76320</v>
      </c>
      <c r="W42" s="62">
        <f t="shared" si="8"/>
        <v>103869303</v>
      </c>
      <c r="X42" s="73"/>
      <c r="Y42" s="73"/>
      <c r="Z42" s="73"/>
      <c r="AA42" s="73"/>
      <c r="AB42" s="73"/>
      <c r="AC42" s="73"/>
      <c r="AD42" s="62" t="s">
        <v>1096</v>
      </c>
      <c r="AE42" s="62" t="s">
        <v>1096</v>
      </c>
      <c r="AF42" s="66">
        <f>Table1[[#This Row],[2019 Scope 1 (MeT Co2)]]</f>
        <v>9395000</v>
      </c>
      <c r="AG42" s="67">
        <f t="shared" si="9"/>
        <v>-402</v>
      </c>
      <c r="AH42" s="68">
        <f t="shared" si="10"/>
        <v>-4.2790548355554969E-5</v>
      </c>
      <c r="AK42" s="62" t="s">
        <v>1096</v>
      </c>
      <c r="AL42" s="62" t="s">
        <v>1096</v>
      </c>
      <c r="AM42" s="66">
        <f>Table1[[#This Row],[2019 Scope 2 ]]</f>
        <v>6103000</v>
      </c>
      <c r="AN42" s="67">
        <f t="shared" si="11"/>
        <v>307</v>
      </c>
      <c r="AO42" s="68">
        <f t="shared" si="12"/>
        <v>5.0300599330821797E-5</v>
      </c>
      <c r="AP42" s="67">
        <f t="shared" si="13"/>
        <v>1189475</v>
      </c>
      <c r="AQ42" s="68">
        <f t="shared" si="14"/>
        <v>0.24208180481426267</v>
      </c>
      <c r="AR42" s="72">
        <f>Table1[[#This Row],[2019 Scope 3 ]]</f>
        <v>180732000</v>
      </c>
      <c r="AS42" s="71">
        <f t="shared" si="15"/>
        <v>-76862697</v>
      </c>
      <c r="AT42" s="51">
        <f t="shared" si="16"/>
        <v>-0.73999434654914364</v>
      </c>
      <c r="BI42" s="61">
        <v>6113</v>
      </c>
    </row>
    <row r="43" spans="1:61" x14ac:dyDescent="0.25">
      <c r="A43" s="59">
        <f>companies!A43</f>
        <v>42</v>
      </c>
      <c r="B43" s="61" t="s">
        <v>1056</v>
      </c>
      <c r="C43" s="73" t="s">
        <v>1095</v>
      </c>
      <c r="D43" s="73" t="s">
        <v>1095</v>
      </c>
      <c r="E43" s="73" t="s">
        <v>1095</v>
      </c>
      <c r="F43" s="73" t="s">
        <v>1095</v>
      </c>
      <c r="G43" s="73" t="s">
        <v>1095</v>
      </c>
      <c r="H43" s="73" t="s">
        <v>1095</v>
      </c>
      <c r="I43" s="73" t="s">
        <v>1095</v>
      </c>
      <c r="J43" s="73" t="s">
        <v>1095</v>
      </c>
      <c r="K43" s="73" t="s">
        <v>1095</v>
      </c>
      <c r="L43" s="73" t="s">
        <v>1095</v>
      </c>
      <c r="M43" s="73" t="s">
        <v>1095</v>
      </c>
      <c r="N43" s="73" t="s">
        <v>1095</v>
      </c>
      <c r="O43" s="73" t="s">
        <v>1095</v>
      </c>
      <c r="P43" s="73" t="s">
        <v>1095</v>
      </c>
      <c r="Q43" s="73" t="s">
        <v>1095</v>
      </c>
      <c r="R43" s="73" t="s">
        <v>1095</v>
      </c>
      <c r="S43" s="73" t="s">
        <v>1095</v>
      </c>
      <c r="T43" s="73" t="s">
        <v>1095</v>
      </c>
      <c r="U43" s="73" t="s">
        <v>1095</v>
      </c>
      <c r="V43" s="73" t="s">
        <v>1095</v>
      </c>
      <c r="W43" s="62">
        <f t="shared" si="8"/>
        <v>0</v>
      </c>
      <c r="X43" s="62"/>
      <c r="Y43" s="62"/>
      <c r="Z43" s="62"/>
      <c r="AA43" s="62"/>
      <c r="AB43" s="62"/>
      <c r="AC43" s="62"/>
      <c r="AD43" s="62" t="e">
        <v>#N/A</v>
      </c>
      <c r="AE43" s="62" t="e">
        <v>#N/A</v>
      </c>
      <c r="AF43" s="66" t="str">
        <f>Table1[[#This Row],[2019 Scope 1 (MeT Co2)]]</f>
        <v>NR</v>
      </c>
      <c r="AG43" s="67" t="e">
        <f t="shared" si="9"/>
        <v>#VALUE!</v>
      </c>
      <c r="AH43" s="68" t="e">
        <f t="shared" si="10"/>
        <v>#VALUE!</v>
      </c>
      <c r="AK43" s="62" t="e">
        <v>#N/A</v>
      </c>
      <c r="AL43" s="62" t="e">
        <v>#N/A</v>
      </c>
      <c r="AM43" s="66" t="str">
        <f>Table1[[#This Row],[2019 Scope 2 ]]</f>
        <v>NR</v>
      </c>
      <c r="AN43" s="67" t="e">
        <f t="shared" si="11"/>
        <v>#VALUE!</v>
      </c>
      <c r="AO43" s="68" t="e">
        <f t="shared" si="12"/>
        <v>#VALUE!</v>
      </c>
      <c r="AP43" s="67" t="e">
        <f t="shared" si="13"/>
        <v>#VALUE!</v>
      </c>
      <c r="AQ43" s="68" t="e">
        <f t="shared" si="14"/>
        <v>#VALUE!</v>
      </c>
      <c r="AR43" s="72" t="str">
        <f>Table1[[#This Row],[2019 Scope 3 ]]</f>
        <v>NR</v>
      </c>
      <c r="AS43" s="71" t="e">
        <f t="shared" si="15"/>
        <v>#VALUE!</v>
      </c>
      <c r="AT43" s="51" t="e">
        <f t="shared" si="16"/>
        <v>#VALUE!</v>
      </c>
    </row>
    <row r="44" spans="1:61" x14ac:dyDescent="0.25">
      <c r="A44" s="59">
        <f>companies!A44</f>
        <v>43</v>
      </c>
      <c r="B44" s="61" t="s">
        <v>1056</v>
      </c>
      <c r="C44" s="73" t="s">
        <v>1095</v>
      </c>
      <c r="D44" s="73" t="s">
        <v>1095</v>
      </c>
      <c r="E44" s="73" t="s">
        <v>1095</v>
      </c>
      <c r="F44" s="73" t="s">
        <v>1095</v>
      </c>
      <c r="G44" s="73" t="s">
        <v>1095</v>
      </c>
      <c r="H44" s="73" t="s">
        <v>1095</v>
      </c>
      <c r="I44" s="73" t="s">
        <v>1095</v>
      </c>
      <c r="J44" s="73" t="s">
        <v>1095</v>
      </c>
      <c r="K44" s="73" t="s">
        <v>1095</v>
      </c>
      <c r="L44" s="73" t="s">
        <v>1095</v>
      </c>
      <c r="M44" s="73" t="s">
        <v>1095</v>
      </c>
      <c r="N44" s="73" t="s">
        <v>1095</v>
      </c>
      <c r="O44" s="73" t="s">
        <v>1095</v>
      </c>
      <c r="P44" s="73" t="s">
        <v>1095</v>
      </c>
      <c r="Q44" s="73" t="s">
        <v>1095</v>
      </c>
      <c r="R44" s="73" t="s">
        <v>1095</v>
      </c>
      <c r="S44" s="73" t="s">
        <v>1095</v>
      </c>
      <c r="T44" s="73" t="s">
        <v>1095</v>
      </c>
      <c r="U44" s="73" t="s">
        <v>1095</v>
      </c>
      <c r="V44" s="73" t="s">
        <v>1095</v>
      </c>
      <c r="W44" s="62">
        <f t="shared" si="8"/>
        <v>0</v>
      </c>
      <c r="X44" s="62"/>
      <c r="Y44" s="62"/>
      <c r="Z44" s="62"/>
      <c r="AA44" s="62"/>
      <c r="AB44" s="62"/>
      <c r="AC44" s="62"/>
      <c r="AD44" s="62" t="e">
        <v>#N/A</v>
      </c>
      <c r="AE44" s="62" t="e">
        <v>#N/A</v>
      </c>
      <c r="AF44" s="66">
        <f>Table1[[#This Row],[2019 Scope 1 (MeT Co2)]]</f>
        <v>207000</v>
      </c>
      <c r="AG44" s="67" t="e">
        <f t="shared" si="9"/>
        <v>#VALUE!</v>
      </c>
      <c r="AH44" s="68" t="e">
        <f t="shared" si="10"/>
        <v>#VALUE!</v>
      </c>
      <c r="AK44" s="62" t="e">
        <v>#N/A</v>
      </c>
      <c r="AL44" s="62" t="e">
        <v>#N/A</v>
      </c>
      <c r="AM44" s="66">
        <f>Table1[[#This Row],[2019 Scope 2 ]]</f>
        <v>44000</v>
      </c>
      <c r="AN44" s="67" t="e">
        <f t="shared" si="11"/>
        <v>#VALUE!</v>
      </c>
      <c r="AO44" s="68" t="e">
        <f t="shared" si="12"/>
        <v>#VALUE!</v>
      </c>
      <c r="AP44" s="67" t="e">
        <f t="shared" si="13"/>
        <v>#VALUE!</v>
      </c>
      <c r="AQ44" s="68" t="e">
        <f t="shared" si="14"/>
        <v>#VALUE!</v>
      </c>
      <c r="AR44" s="72" t="str">
        <f>Table1[[#This Row],[2019 Scope 3 ]]</f>
        <v>NR</v>
      </c>
      <c r="AS44" s="71" t="e">
        <f t="shared" si="15"/>
        <v>#VALUE!</v>
      </c>
      <c r="AT44" s="51" t="e">
        <f t="shared" si="16"/>
        <v>#VALUE!</v>
      </c>
    </row>
    <row r="45" spans="1:61" x14ac:dyDescent="0.25">
      <c r="A45" s="59">
        <f>companies!A45</f>
        <v>44</v>
      </c>
      <c r="B45" s="61" t="s">
        <v>1056</v>
      </c>
      <c r="C45" s="73">
        <v>15406173</v>
      </c>
      <c r="D45" s="73">
        <v>995988</v>
      </c>
      <c r="E45" s="73">
        <v>995988</v>
      </c>
      <c r="F45" s="73" t="s">
        <v>1096</v>
      </c>
      <c r="G45" s="73" t="s">
        <v>1096</v>
      </c>
      <c r="H45" s="73" t="s">
        <v>1096</v>
      </c>
      <c r="I45" s="73">
        <v>2817829</v>
      </c>
      <c r="J45" s="73" t="s">
        <v>1096</v>
      </c>
      <c r="K45" s="73">
        <v>79054</v>
      </c>
      <c r="L45" s="73" t="s">
        <v>1096</v>
      </c>
      <c r="M45" s="62" t="s">
        <v>1096</v>
      </c>
      <c r="N45" s="62" t="s">
        <v>1096</v>
      </c>
      <c r="O45" s="62" t="s">
        <v>1096</v>
      </c>
      <c r="P45" s="62" t="s">
        <v>1096</v>
      </c>
      <c r="Q45" s="62" t="s">
        <v>1096</v>
      </c>
      <c r="R45" s="73">
        <v>202410</v>
      </c>
      <c r="S45" s="62" t="s">
        <v>1096</v>
      </c>
      <c r="T45" s="62" t="s">
        <v>1096</v>
      </c>
      <c r="U45" s="62" t="s">
        <v>1096</v>
      </c>
      <c r="V45" s="62" t="s">
        <v>1096</v>
      </c>
      <c r="W45" s="62">
        <f t="shared" si="8"/>
        <v>3099293</v>
      </c>
      <c r="X45" s="73"/>
      <c r="Y45" s="73"/>
      <c r="Z45" s="73"/>
      <c r="AA45" s="73"/>
      <c r="AB45" s="73"/>
      <c r="AC45" s="73"/>
      <c r="AD45" s="62" t="s">
        <v>1096</v>
      </c>
      <c r="AE45" s="62" t="s">
        <v>1096</v>
      </c>
      <c r="AF45" s="66">
        <f>Table1[[#This Row],[2019 Scope 1 (MeT Co2)]]</f>
        <v>15406173</v>
      </c>
      <c r="AG45" s="67">
        <f t="shared" si="9"/>
        <v>0</v>
      </c>
      <c r="AH45" s="68">
        <f t="shared" si="10"/>
        <v>0</v>
      </c>
      <c r="AK45" s="62" t="s">
        <v>1096</v>
      </c>
      <c r="AL45" s="62" t="s">
        <v>1096</v>
      </c>
      <c r="AM45" s="66">
        <f>Table1[[#This Row],[2019 Scope 2 ]]</f>
        <v>995988</v>
      </c>
      <c r="AN45" s="67">
        <f t="shared" si="11"/>
        <v>0</v>
      </c>
      <c r="AO45" s="68">
        <f t="shared" si="12"/>
        <v>0</v>
      </c>
      <c r="AP45" s="67">
        <f t="shared" si="13"/>
        <v>0</v>
      </c>
      <c r="AQ45" s="68">
        <f t="shared" si="14"/>
        <v>0</v>
      </c>
      <c r="AR45" s="72">
        <f>Table1[[#This Row],[2019 Scope 3 ]]</f>
        <v>3099293</v>
      </c>
      <c r="AS45" s="71">
        <f t="shared" si="15"/>
        <v>0</v>
      </c>
      <c r="AT45" s="51">
        <f t="shared" si="16"/>
        <v>0</v>
      </c>
      <c r="BI45" s="58">
        <v>6287</v>
      </c>
    </row>
    <row r="46" spans="1:61" x14ac:dyDescent="0.25">
      <c r="A46" s="59">
        <f>companies!A46</f>
        <v>45</v>
      </c>
      <c r="B46" s="61" t="s">
        <v>1056</v>
      </c>
      <c r="C46" s="73">
        <v>1451947</v>
      </c>
      <c r="D46" s="73">
        <v>3195704</v>
      </c>
      <c r="E46" s="73">
        <v>3068182</v>
      </c>
      <c r="F46" s="73">
        <v>39676648</v>
      </c>
      <c r="G46" s="73">
        <v>1280384</v>
      </c>
      <c r="H46" s="73">
        <v>1066000</v>
      </c>
      <c r="I46" s="73">
        <v>2102900</v>
      </c>
      <c r="J46" s="73">
        <v>9297</v>
      </c>
      <c r="K46" s="73">
        <v>61306</v>
      </c>
      <c r="L46" s="73">
        <v>803387</v>
      </c>
      <c r="M46" s="62" t="s">
        <v>1096</v>
      </c>
      <c r="N46" s="62" t="s">
        <v>1096</v>
      </c>
      <c r="O46" s="62" t="s">
        <v>1096</v>
      </c>
      <c r="P46" s="62">
        <v>134760000</v>
      </c>
      <c r="Q46" s="62">
        <v>1360000</v>
      </c>
      <c r="R46" s="73" t="s">
        <v>1096</v>
      </c>
      <c r="S46" s="62">
        <v>1957800</v>
      </c>
      <c r="T46" s="62" t="s">
        <v>1096</v>
      </c>
      <c r="U46" s="62" t="s">
        <v>1096</v>
      </c>
      <c r="V46" s="62" t="s">
        <v>1096</v>
      </c>
      <c r="W46" s="62">
        <f t="shared" si="8"/>
        <v>183077722</v>
      </c>
      <c r="X46" s="73"/>
      <c r="Y46" s="73"/>
      <c r="Z46" s="73"/>
      <c r="AA46" s="73"/>
      <c r="AB46" s="73"/>
      <c r="AC46" s="73"/>
      <c r="AD46" s="62" t="s">
        <v>1096</v>
      </c>
      <c r="AE46" s="62" t="s">
        <v>1096</v>
      </c>
      <c r="AF46" s="66">
        <f>Table1[[#This Row],[2019 Scope 1 (MeT Co2)]]</f>
        <v>1451947</v>
      </c>
      <c r="AG46" s="67">
        <f t="shared" si="9"/>
        <v>0</v>
      </c>
      <c r="AH46" s="68">
        <f t="shared" si="10"/>
        <v>0</v>
      </c>
      <c r="AK46" s="62" t="s">
        <v>1096</v>
      </c>
      <c r="AL46" s="62" t="s">
        <v>1096</v>
      </c>
      <c r="AM46" s="66">
        <f>Table1[[#This Row],[2019 Scope 2 ]]</f>
        <v>3068182</v>
      </c>
      <c r="AN46" s="67">
        <f t="shared" si="11"/>
        <v>127522</v>
      </c>
      <c r="AO46" s="68">
        <f t="shared" si="12"/>
        <v>3.9904196383645042E-2</v>
      </c>
      <c r="AP46" s="67">
        <f t="shared" si="13"/>
        <v>0</v>
      </c>
      <c r="AQ46" s="68">
        <f t="shared" si="14"/>
        <v>0</v>
      </c>
      <c r="AR46" s="72">
        <f>Table1[[#This Row],[2019 Scope 3 ]]</f>
        <v>183077722</v>
      </c>
      <c r="AS46" s="71">
        <f t="shared" si="15"/>
        <v>0</v>
      </c>
      <c r="AT46" s="51">
        <f t="shared" si="16"/>
        <v>0</v>
      </c>
      <c r="BI46" s="58">
        <v>6595</v>
      </c>
    </row>
    <row r="47" spans="1:61" x14ac:dyDescent="0.25">
      <c r="A47" s="59">
        <f>companies!A47</f>
        <v>46</v>
      </c>
      <c r="B47" s="61" t="s">
        <v>1056</v>
      </c>
      <c r="C47" s="73">
        <v>317081</v>
      </c>
      <c r="D47" s="73" t="s">
        <v>1096</v>
      </c>
      <c r="E47" s="73">
        <v>445119</v>
      </c>
      <c r="F47" s="73" t="s">
        <v>1096</v>
      </c>
      <c r="G47" s="73" t="s">
        <v>1096</v>
      </c>
      <c r="H47" s="73" t="s">
        <v>1096</v>
      </c>
      <c r="I47" s="73" t="s">
        <v>1096</v>
      </c>
      <c r="J47" s="73" t="s">
        <v>1096</v>
      </c>
      <c r="K47" s="73" t="s">
        <v>1096</v>
      </c>
      <c r="L47" s="73" t="s">
        <v>1096</v>
      </c>
      <c r="M47" s="62" t="s">
        <v>1096</v>
      </c>
      <c r="N47" s="62" t="s">
        <v>1096</v>
      </c>
      <c r="O47" s="62" t="s">
        <v>1096</v>
      </c>
      <c r="P47" s="62" t="s">
        <v>1096</v>
      </c>
      <c r="Q47" s="62" t="s">
        <v>1096</v>
      </c>
      <c r="R47" s="73" t="s">
        <v>1096</v>
      </c>
      <c r="S47" s="62" t="s">
        <v>1096</v>
      </c>
      <c r="T47" s="62" t="s">
        <v>1096</v>
      </c>
      <c r="U47" s="62" t="s">
        <v>1096</v>
      </c>
      <c r="V47" s="62" t="s">
        <v>1096</v>
      </c>
      <c r="W47" s="62">
        <f t="shared" si="8"/>
        <v>0</v>
      </c>
      <c r="X47" s="73"/>
      <c r="Y47" s="73"/>
      <c r="Z47" s="73"/>
      <c r="AA47" s="73"/>
      <c r="AB47" s="73"/>
      <c r="AC47" s="73"/>
      <c r="AD47" s="62" t="s">
        <v>1064</v>
      </c>
      <c r="AE47" s="62" t="s">
        <v>1065</v>
      </c>
      <c r="AF47" s="66">
        <f>Table1[[#This Row],[2019 Scope 1 (MeT Co2)]]</f>
        <v>317081</v>
      </c>
      <c r="AG47" s="67">
        <f t="shared" si="9"/>
        <v>0</v>
      </c>
      <c r="AH47" s="68">
        <f t="shared" si="10"/>
        <v>0</v>
      </c>
      <c r="AK47" s="62" t="s">
        <v>1064</v>
      </c>
      <c r="AL47" s="62" t="s">
        <v>1065</v>
      </c>
      <c r="AM47" s="66">
        <f>Table1[[#This Row],[2019 Scope 2 ]]</f>
        <v>445119</v>
      </c>
      <c r="AN47" s="67" t="e">
        <f t="shared" si="11"/>
        <v>#VALUE!</v>
      </c>
      <c r="AO47" s="68" t="e">
        <f t="shared" si="12"/>
        <v>#VALUE!</v>
      </c>
      <c r="AP47" s="67">
        <f t="shared" si="13"/>
        <v>0</v>
      </c>
      <c r="AQ47" s="68">
        <f t="shared" si="14"/>
        <v>0</v>
      </c>
      <c r="AR47" s="72" t="str">
        <f>Table1[[#This Row],[2019 Scope 3 ]]</f>
        <v>NR</v>
      </c>
      <c r="AS47" s="71" t="e">
        <f t="shared" si="15"/>
        <v>#VALUE!</v>
      </c>
      <c r="AT47" s="51" t="e">
        <f t="shared" si="16"/>
        <v>#VALUE!</v>
      </c>
      <c r="BI47" s="58">
        <v>7147</v>
      </c>
    </row>
    <row r="48" spans="1:61" x14ac:dyDescent="0.25">
      <c r="A48" s="59">
        <f>companies!A48</f>
        <v>47</v>
      </c>
      <c r="B48" s="61" t="s">
        <v>1056</v>
      </c>
      <c r="C48" s="73">
        <v>997409.51899999997</v>
      </c>
      <c r="D48" s="73">
        <v>1416578.8840000001</v>
      </c>
      <c r="E48" s="73">
        <v>1387615.0179999999</v>
      </c>
      <c r="F48" s="73" t="s">
        <v>1096</v>
      </c>
      <c r="G48" s="73" t="s">
        <v>1096</v>
      </c>
      <c r="H48" s="73" t="s">
        <v>1096</v>
      </c>
      <c r="I48" s="73" t="s">
        <v>1096</v>
      </c>
      <c r="J48" s="73" t="s">
        <v>1096</v>
      </c>
      <c r="K48" s="73">
        <v>183639.07800000001</v>
      </c>
      <c r="L48" s="73" t="s">
        <v>1096</v>
      </c>
      <c r="M48" s="62" t="s">
        <v>1096</v>
      </c>
      <c r="N48" s="62" t="s">
        <v>1096</v>
      </c>
      <c r="O48" s="62" t="s">
        <v>1096</v>
      </c>
      <c r="P48" s="62" t="s">
        <v>1096</v>
      </c>
      <c r="Q48" s="62" t="s">
        <v>1096</v>
      </c>
      <c r="R48" s="73" t="s">
        <v>1096</v>
      </c>
      <c r="S48" s="62" t="s">
        <v>1096</v>
      </c>
      <c r="T48" s="62">
        <v>682075</v>
      </c>
      <c r="U48" s="62" t="s">
        <v>1096</v>
      </c>
      <c r="V48" s="62" t="s">
        <v>1096</v>
      </c>
      <c r="W48" s="62">
        <f t="shared" si="8"/>
        <v>865714.07799999998</v>
      </c>
      <c r="X48" s="62"/>
      <c r="Y48" s="62"/>
      <c r="Z48" s="62"/>
      <c r="AA48" s="62"/>
      <c r="AB48" s="62"/>
      <c r="AC48" s="62"/>
      <c r="AD48" s="62" t="s">
        <v>1096</v>
      </c>
      <c r="AE48" s="62" t="s">
        <v>1096</v>
      </c>
      <c r="AF48" s="66">
        <f>Table1[[#This Row],[2019 Scope 1 (MeT Co2)]]</f>
        <v>1000000</v>
      </c>
      <c r="AG48" s="67">
        <f t="shared" si="9"/>
        <v>-2590.4810000000289</v>
      </c>
      <c r="AH48" s="68">
        <f t="shared" si="10"/>
        <v>-2.5972090206209763E-3</v>
      </c>
      <c r="AK48" s="62" t="s">
        <v>1096</v>
      </c>
      <c r="AL48" s="62" t="s">
        <v>1096</v>
      </c>
      <c r="AM48" s="66">
        <f>Table1[[#This Row],[2019 Scope 2 ]]</f>
        <v>1390000</v>
      </c>
      <c r="AN48" s="67">
        <f t="shared" si="11"/>
        <v>26578.884000000078</v>
      </c>
      <c r="AO48" s="68">
        <f t="shared" si="12"/>
        <v>1.8762727794550463E-2</v>
      </c>
      <c r="AP48" s="67">
        <f t="shared" si="13"/>
        <v>2384.9820000000764</v>
      </c>
      <c r="AQ48" s="68">
        <f t="shared" si="14"/>
        <v>1.7187634675773424E-3</v>
      </c>
      <c r="AR48" s="72">
        <f>Table1[[#This Row],[2019 Scope 3 ]]</f>
        <v>680000</v>
      </c>
      <c r="AS48" s="71">
        <f t="shared" si="15"/>
        <v>185714.07799999998</v>
      </c>
      <c r="AT48" s="51">
        <f t="shared" si="16"/>
        <v>0.21452126368216456</v>
      </c>
      <c r="BI48" s="61">
        <v>7166</v>
      </c>
    </row>
    <row r="49" spans="1:61" x14ac:dyDescent="0.25">
      <c r="A49" s="59">
        <f>companies!A49</f>
        <v>48</v>
      </c>
      <c r="B49" s="61" t="s">
        <v>1056</v>
      </c>
      <c r="C49" s="73">
        <v>1589700</v>
      </c>
      <c r="D49" s="73">
        <v>4381970</v>
      </c>
      <c r="E49" s="73">
        <v>3721875</v>
      </c>
      <c r="F49" s="73">
        <v>45505504</v>
      </c>
      <c r="G49" s="73">
        <v>4597425</v>
      </c>
      <c r="H49" s="73">
        <v>322403</v>
      </c>
      <c r="I49" s="73">
        <v>3449729</v>
      </c>
      <c r="J49" s="73">
        <v>954</v>
      </c>
      <c r="K49" s="73">
        <v>40051</v>
      </c>
      <c r="L49" s="73">
        <v>123000</v>
      </c>
      <c r="M49" s="62">
        <v>10077</v>
      </c>
      <c r="N49" s="62">
        <v>1922037</v>
      </c>
      <c r="O49" s="62">
        <v>120731</v>
      </c>
      <c r="P49" s="62">
        <v>190123729</v>
      </c>
      <c r="Q49" s="62">
        <v>2938656</v>
      </c>
      <c r="R49" s="73">
        <v>20459</v>
      </c>
      <c r="S49" s="62">
        <v>138641</v>
      </c>
      <c r="T49" s="62" t="s">
        <v>1096</v>
      </c>
      <c r="U49" s="62" t="s">
        <v>1096</v>
      </c>
      <c r="V49" s="62" t="s">
        <v>1096</v>
      </c>
      <c r="W49" s="62">
        <f t="shared" si="8"/>
        <v>249313396</v>
      </c>
      <c r="X49" s="73"/>
      <c r="Y49" s="73"/>
      <c r="Z49" s="73"/>
      <c r="AA49" s="73"/>
      <c r="AB49" s="73"/>
      <c r="AC49" s="73"/>
      <c r="AD49" s="62" t="s">
        <v>1096</v>
      </c>
      <c r="AE49" s="62" t="s">
        <v>1096</v>
      </c>
      <c r="AF49" s="66">
        <f>Table1[[#This Row],[2019 Scope 1 (MeT Co2)]]</f>
        <v>1589700</v>
      </c>
      <c r="AG49" s="67">
        <f t="shared" si="9"/>
        <v>0</v>
      </c>
      <c r="AH49" s="68">
        <f t="shared" si="10"/>
        <v>0</v>
      </c>
      <c r="AK49" s="62" t="s">
        <v>1096</v>
      </c>
      <c r="AL49" s="62" t="s">
        <v>1096</v>
      </c>
      <c r="AM49" s="66">
        <f>Table1[[#This Row],[2019 Scope 2 ]]</f>
        <v>3721875</v>
      </c>
      <c r="AN49" s="67">
        <f t="shared" si="11"/>
        <v>660095</v>
      </c>
      <c r="AO49" s="68">
        <f t="shared" si="12"/>
        <v>0.1506388679064439</v>
      </c>
      <c r="AP49" s="67">
        <f t="shared" si="13"/>
        <v>0</v>
      </c>
      <c r="AQ49" s="68">
        <f t="shared" si="14"/>
        <v>0</v>
      </c>
      <c r="AR49" s="72">
        <f>Table1[[#This Row],[2019 Scope 3 ]]</f>
        <v>249384317</v>
      </c>
      <c r="AS49" s="71">
        <f t="shared" si="15"/>
        <v>-70921</v>
      </c>
      <c r="AT49" s="51">
        <f t="shared" si="16"/>
        <v>-2.8446525994134706E-4</v>
      </c>
      <c r="BI49" s="58">
        <v>7164</v>
      </c>
    </row>
    <row r="50" spans="1:61" x14ac:dyDescent="0.25">
      <c r="A50" s="59">
        <f>companies!A50</f>
        <v>49</v>
      </c>
      <c r="B50" s="61" t="s">
        <v>1056</v>
      </c>
      <c r="C50" s="73">
        <v>52019</v>
      </c>
      <c r="D50" s="73">
        <v>42546</v>
      </c>
      <c r="E50" s="73">
        <v>21716</v>
      </c>
      <c r="F50" s="73">
        <v>1229479</v>
      </c>
      <c r="G50" s="73">
        <v>95700</v>
      </c>
      <c r="H50" s="73">
        <v>25250</v>
      </c>
      <c r="I50" s="73">
        <v>17003</v>
      </c>
      <c r="J50" s="73">
        <v>4810</v>
      </c>
      <c r="K50" s="73">
        <v>40399</v>
      </c>
      <c r="L50" s="73">
        <v>23656</v>
      </c>
      <c r="M50" s="62" t="s">
        <v>1096</v>
      </c>
      <c r="N50" s="62" t="s">
        <v>1096</v>
      </c>
      <c r="O50" s="62" t="s">
        <v>1096</v>
      </c>
      <c r="P50" s="62" t="s">
        <v>1096</v>
      </c>
      <c r="Q50" s="62" t="s">
        <v>1096</v>
      </c>
      <c r="R50" s="73" t="s">
        <v>1096</v>
      </c>
      <c r="S50" s="62" t="s">
        <v>1096</v>
      </c>
      <c r="T50" s="62" t="s">
        <v>1096</v>
      </c>
      <c r="U50" s="62" t="s">
        <v>1096</v>
      </c>
      <c r="V50" s="62" t="s">
        <v>1096</v>
      </c>
      <c r="W50" s="62">
        <f t="shared" si="8"/>
        <v>1436297</v>
      </c>
      <c r="X50" s="73"/>
      <c r="Y50" s="73"/>
      <c r="Z50" s="73"/>
      <c r="AA50" s="73"/>
      <c r="AB50" s="73"/>
      <c r="AC50" s="73"/>
      <c r="AD50" s="62" t="s">
        <v>1096</v>
      </c>
      <c r="AE50" s="62" t="s">
        <v>1096</v>
      </c>
      <c r="AF50" s="66">
        <f>Table1[[#This Row],[2019 Scope 1 (MeT Co2)]]</f>
        <v>52019</v>
      </c>
      <c r="AG50" s="67">
        <f t="shared" si="9"/>
        <v>0</v>
      </c>
      <c r="AH50" s="68">
        <f t="shared" si="10"/>
        <v>0</v>
      </c>
      <c r="AK50" s="62" t="s">
        <v>1096</v>
      </c>
      <c r="AL50" s="62" t="s">
        <v>1096</v>
      </c>
      <c r="AM50" s="66">
        <f>Table1[[#This Row],[2019 Scope 2 ]]</f>
        <v>21716</v>
      </c>
      <c r="AN50" s="67">
        <f t="shared" si="11"/>
        <v>20830</v>
      </c>
      <c r="AO50" s="68">
        <f t="shared" si="12"/>
        <v>0.48958774032811547</v>
      </c>
      <c r="AP50" s="67">
        <f t="shared" si="13"/>
        <v>0</v>
      </c>
      <c r="AQ50" s="68">
        <f t="shared" si="14"/>
        <v>0</v>
      </c>
      <c r="AR50" s="72">
        <f>Table1[[#This Row],[2019 Scope 3 ]]</f>
        <v>1436297</v>
      </c>
      <c r="AS50" s="71">
        <f t="shared" si="15"/>
        <v>0</v>
      </c>
      <c r="AT50" s="51">
        <f t="shared" si="16"/>
        <v>0</v>
      </c>
      <c r="BI50" s="58">
        <v>7345</v>
      </c>
    </row>
    <row r="51" spans="1:61" x14ac:dyDescent="0.25">
      <c r="A51" s="59">
        <f>companies!A51</f>
        <v>50</v>
      </c>
      <c r="B51" s="61" t="s">
        <v>1056</v>
      </c>
      <c r="C51" s="73">
        <v>12673</v>
      </c>
      <c r="D51" s="73">
        <v>166249</v>
      </c>
      <c r="E51" s="73">
        <v>9109</v>
      </c>
      <c r="F51" s="73">
        <v>1125000</v>
      </c>
      <c r="G51" s="73" t="s">
        <v>1096</v>
      </c>
      <c r="H51" s="73">
        <v>40000</v>
      </c>
      <c r="I51" s="73" t="s">
        <v>1096</v>
      </c>
      <c r="J51" s="73">
        <v>291</v>
      </c>
      <c r="K51" s="73">
        <v>135473</v>
      </c>
      <c r="L51" s="73">
        <v>91000</v>
      </c>
      <c r="M51" s="62" t="s">
        <v>1096</v>
      </c>
      <c r="N51" s="62" t="s">
        <v>1096</v>
      </c>
      <c r="O51" s="62" t="s">
        <v>1096</v>
      </c>
      <c r="P51" s="62" t="s">
        <v>1096</v>
      </c>
      <c r="Q51" s="62" t="s">
        <v>1096</v>
      </c>
      <c r="R51" s="73">
        <v>12700</v>
      </c>
      <c r="S51" s="62" t="s">
        <v>1096</v>
      </c>
      <c r="T51" s="62" t="s">
        <v>1096</v>
      </c>
      <c r="U51" s="62" t="s">
        <v>1096</v>
      </c>
      <c r="V51" s="62" t="s">
        <v>1096</v>
      </c>
      <c r="W51" s="62">
        <f t="shared" si="8"/>
        <v>1404464</v>
      </c>
      <c r="X51" s="73"/>
      <c r="Y51" s="73"/>
      <c r="Z51" s="73"/>
      <c r="AA51" s="73"/>
      <c r="AB51" s="73"/>
      <c r="AC51" s="73"/>
      <c r="AD51" s="62" t="s">
        <v>1096</v>
      </c>
      <c r="AE51" s="62" t="s">
        <v>1096</v>
      </c>
      <c r="AF51" s="66">
        <f>Table1[[#This Row],[2019 Scope 1 (MeT Co2)]]</f>
        <v>12673</v>
      </c>
      <c r="AG51" s="67">
        <f t="shared" si="9"/>
        <v>0</v>
      </c>
      <c r="AH51" s="68">
        <f t="shared" si="10"/>
        <v>0</v>
      </c>
      <c r="AK51" s="62" t="s">
        <v>1096</v>
      </c>
      <c r="AL51" s="62" t="s">
        <v>1096</v>
      </c>
      <c r="AM51" s="66">
        <f>Table1[[#This Row],[2019 Scope 2 ]]</f>
        <v>9109</v>
      </c>
      <c r="AN51" s="67">
        <f t="shared" si="11"/>
        <v>157140</v>
      </c>
      <c r="AO51" s="68">
        <f t="shared" si="12"/>
        <v>0.9452086929846194</v>
      </c>
      <c r="AP51" s="67">
        <f t="shared" si="13"/>
        <v>0</v>
      </c>
      <c r="AQ51" s="68">
        <f t="shared" si="14"/>
        <v>0</v>
      </c>
      <c r="AR51" s="72">
        <f>Table1[[#This Row],[2019 Scope 3 ]]</f>
        <v>135473</v>
      </c>
      <c r="AS51" s="71">
        <f t="shared" si="15"/>
        <v>1268991</v>
      </c>
      <c r="AT51" s="51">
        <f t="shared" si="16"/>
        <v>0.90354113740188424</v>
      </c>
      <c r="BI51" s="58">
        <v>7599</v>
      </c>
    </row>
    <row r="52" spans="1:61" x14ac:dyDescent="0.25">
      <c r="A52" s="59">
        <f>companies!A52</f>
        <v>51</v>
      </c>
      <c r="B52" s="61" t="s">
        <v>1056</v>
      </c>
      <c r="C52" s="73">
        <v>554317</v>
      </c>
      <c r="D52" s="73">
        <v>1393916</v>
      </c>
      <c r="E52" s="73">
        <v>1302648</v>
      </c>
      <c r="F52" s="73">
        <v>44487507</v>
      </c>
      <c r="G52" s="73" t="s">
        <v>1096</v>
      </c>
      <c r="H52" s="73">
        <v>420000</v>
      </c>
      <c r="I52" s="73">
        <v>2665080</v>
      </c>
      <c r="J52" s="73" t="s">
        <v>1096</v>
      </c>
      <c r="K52" s="73" t="s">
        <v>1096</v>
      </c>
      <c r="L52" s="73">
        <v>564400</v>
      </c>
      <c r="M52" s="62" t="s">
        <v>1096</v>
      </c>
      <c r="N52" s="62" t="s">
        <v>1096</v>
      </c>
      <c r="O52" s="62" t="s">
        <v>1096</v>
      </c>
      <c r="P52" s="62">
        <v>156500611</v>
      </c>
      <c r="Q52" s="62" t="s">
        <v>1096</v>
      </c>
      <c r="R52" s="73" t="s">
        <v>1096</v>
      </c>
      <c r="S52" s="62" t="s">
        <v>1096</v>
      </c>
      <c r="T52" s="62" t="s">
        <v>1096</v>
      </c>
      <c r="U52" s="62" t="s">
        <v>1096</v>
      </c>
      <c r="V52" s="62" t="s">
        <v>1096</v>
      </c>
      <c r="W52" s="62">
        <f t="shared" si="8"/>
        <v>204637598</v>
      </c>
      <c r="X52" s="73"/>
      <c r="Y52" s="73"/>
      <c r="Z52" s="73"/>
      <c r="AA52" s="73"/>
      <c r="AB52" s="73"/>
      <c r="AC52" s="73"/>
      <c r="AD52" s="62" t="s">
        <v>1096</v>
      </c>
      <c r="AE52" s="62" t="s">
        <v>1096</v>
      </c>
      <c r="AF52" s="66">
        <f>Table1[[#This Row],[2019 Scope 1 (MeT Co2)]]</f>
        <v>554317</v>
      </c>
      <c r="AG52" s="67">
        <f t="shared" si="9"/>
        <v>0</v>
      </c>
      <c r="AH52" s="68">
        <f t="shared" si="10"/>
        <v>0</v>
      </c>
      <c r="AK52" s="62" t="s">
        <v>1096</v>
      </c>
      <c r="AL52" s="62" t="s">
        <v>1096</v>
      </c>
      <c r="AM52" s="66">
        <f>Table1[[#This Row],[2019 Scope 2 ]]</f>
        <v>1302648</v>
      </c>
      <c r="AN52" s="67">
        <f t="shared" si="11"/>
        <v>91268</v>
      </c>
      <c r="AO52" s="68">
        <f t="shared" si="12"/>
        <v>6.5475968422774394E-2</v>
      </c>
      <c r="AP52" s="67">
        <f t="shared" si="13"/>
        <v>0</v>
      </c>
      <c r="AQ52" s="68">
        <f t="shared" si="14"/>
        <v>0</v>
      </c>
      <c r="AR52" s="72">
        <f>Table1[[#This Row],[2019 Scope 3 ]]</f>
        <v>204637598</v>
      </c>
      <c r="AS52" s="71">
        <f t="shared" si="15"/>
        <v>0</v>
      </c>
      <c r="AT52" s="51">
        <f t="shared" si="16"/>
        <v>0</v>
      </c>
      <c r="BI52" s="58">
        <v>8526</v>
      </c>
    </row>
    <row r="53" spans="1:61" x14ac:dyDescent="0.25">
      <c r="A53" s="59">
        <f>companies!A53</f>
        <v>52</v>
      </c>
      <c r="B53" s="61" t="s">
        <v>1056</v>
      </c>
      <c r="C53" s="73">
        <v>1090649</v>
      </c>
      <c r="D53" s="73">
        <v>951982</v>
      </c>
      <c r="E53" s="73">
        <v>933484</v>
      </c>
      <c r="F53" s="73">
        <v>16976983</v>
      </c>
      <c r="G53" s="73">
        <v>518408</v>
      </c>
      <c r="H53" s="73">
        <v>306478</v>
      </c>
      <c r="I53" s="73" t="s">
        <v>1096</v>
      </c>
      <c r="J53" s="73" t="s">
        <v>1096</v>
      </c>
      <c r="K53" s="73">
        <v>163207</v>
      </c>
      <c r="L53" s="73">
        <v>104444</v>
      </c>
      <c r="M53" s="62" t="s">
        <v>1096</v>
      </c>
      <c r="N53" s="62" t="s">
        <v>1096</v>
      </c>
      <c r="O53" s="62" t="s">
        <v>1096</v>
      </c>
      <c r="P53" s="62" t="s">
        <v>1096</v>
      </c>
      <c r="Q53" s="62" t="s">
        <v>1096</v>
      </c>
      <c r="R53" s="73">
        <v>17530</v>
      </c>
      <c r="S53" s="62" t="s">
        <v>1096</v>
      </c>
      <c r="T53" s="62" t="s">
        <v>1096</v>
      </c>
      <c r="U53" s="62" t="s">
        <v>1096</v>
      </c>
      <c r="V53" s="62" t="s">
        <v>1096</v>
      </c>
      <c r="W53" s="62">
        <f t="shared" si="8"/>
        <v>18087050</v>
      </c>
      <c r="X53" s="73"/>
      <c r="Y53" s="73"/>
      <c r="Z53" s="73"/>
      <c r="AA53" s="73"/>
      <c r="AB53" s="73"/>
      <c r="AC53" s="73"/>
      <c r="AD53" s="62" t="s">
        <v>1096</v>
      </c>
      <c r="AE53" s="62" t="s">
        <v>1096</v>
      </c>
      <c r="AF53" s="66">
        <f>Table1[[#This Row],[2019 Scope 1 (MeT Co2)]]</f>
        <v>1090649</v>
      </c>
      <c r="AG53" s="67">
        <f t="shared" si="9"/>
        <v>0</v>
      </c>
      <c r="AH53" s="68">
        <f t="shared" si="10"/>
        <v>0</v>
      </c>
      <c r="AK53" s="62" t="s">
        <v>1096</v>
      </c>
      <c r="AL53" s="62" t="s">
        <v>1096</v>
      </c>
      <c r="AM53" s="66">
        <f>Table1[[#This Row],[2019 Scope 2 ]]</f>
        <v>933484</v>
      </c>
      <c r="AN53" s="67">
        <f t="shared" si="11"/>
        <v>18498</v>
      </c>
      <c r="AO53" s="68">
        <f t="shared" si="12"/>
        <v>1.9431039662514627E-2</v>
      </c>
      <c r="AP53" s="67">
        <f t="shared" si="13"/>
        <v>0</v>
      </c>
      <c r="AQ53" s="68">
        <f t="shared" si="14"/>
        <v>0</v>
      </c>
      <c r="AR53" s="72">
        <f>Table1[[#This Row],[2019 Scope 3 ]]</f>
        <v>18087050</v>
      </c>
      <c r="AS53" s="71">
        <f t="shared" si="15"/>
        <v>0</v>
      </c>
      <c r="AT53" s="51">
        <f t="shared" si="16"/>
        <v>0</v>
      </c>
      <c r="BI53" s="58">
        <v>8553</v>
      </c>
    </row>
    <row r="54" spans="1:61" x14ac:dyDescent="0.25">
      <c r="A54" s="59">
        <f>companies!A54</f>
        <v>53</v>
      </c>
      <c r="B54" s="61" t="s">
        <v>1056</v>
      </c>
      <c r="C54" s="73">
        <v>117723</v>
      </c>
      <c r="D54" s="73">
        <v>987066</v>
      </c>
      <c r="E54" s="73">
        <v>827369</v>
      </c>
      <c r="F54" s="73">
        <v>318989</v>
      </c>
      <c r="G54" s="73" t="s">
        <v>1096</v>
      </c>
      <c r="H54" s="73" t="s">
        <v>1096</v>
      </c>
      <c r="I54" s="73" t="s">
        <v>1096</v>
      </c>
      <c r="J54" s="73" t="s">
        <v>1096</v>
      </c>
      <c r="K54" s="73">
        <v>393448</v>
      </c>
      <c r="L54" s="73">
        <v>119404</v>
      </c>
      <c r="M54" s="62">
        <v>39505</v>
      </c>
      <c r="N54" s="62" t="s">
        <v>1096</v>
      </c>
      <c r="O54" s="62" t="s">
        <v>1096</v>
      </c>
      <c r="P54" s="62">
        <v>287068</v>
      </c>
      <c r="Q54" s="62" t="s">
        <v>1096</v>
      </c>
      <c r="R54" s="73" t="s">
        <v>1096</v>
      </c>
      <c r="S54" s="62" t="s">
        <v>1096</v>
      </c>
      <c r="T54" s="62" t="s">
        <v>1096</v>
      </c>
      <c r="U54" s="62" t="s">
        <v>1096</v>
      </c>
      <c r="V54" s="62" t="s">
        <v>1096</v>
      </c>
      <c r="W54" s="62">
        <f t="shared" si="8"/>
        <v>1158414</v>
      </c>
      <c r="X54" s="73"/>
      <c r="Y54" s="73"/>
      <c r="Z54" s="73"/>
      <c r="AA54" s="73"/>
      <c r="AB54" s="73"/>
      <c r="AC54" s="73"/>
      <c r="AD54" s="62" t="s">
        <v>1096</v>
      </c>
      <c r="AE54" s="62" t="s">
        <v>1096</v>
      </c>
      <c r="AF54" s="66">
        <f>Table1[[#This Row],[2019 Scope 1 (MeT Co2)]]</f>
        <v>114640</v>
      </c>
      <c r="AG54" s="67">
        <f t="shared" si="9"/>
        <v>3083</v>
      </c>
      <c r="AH54" s="68">
        <f t="shared" si="10"/>
        <v>2.6188595261758534E-2</v>
      </c>
      <c r="AK54" s="62" t="s">
        <v>1096</v>
      </c>
      <c r="AL54" s="62" t="s">
        <v>1096</v>
      </c>
      <c r="AM54" s="66">
        <f>Table1[[#This Row],[2019 Scope 2 ]]</f>
        <v>822616</v>
      </c>
      <c r="AN54" s="67">
        <f t="shared" si="11"/>
        <v>164450</v>
      </c>
      <c r="AO54" s="68">
        <f t="shared" si="12"/>
        <v>0.16660486735436131</v>
      </c>
      <c r="AP54" s="67">
        <f t="shared" si="13"/>
        <v>-4753</v>
      </c>
      <c r="AQ54" s="68">
        <f t="shared" si="14"/>
        <v>-5.7447160819416726E-3</v>
      </c>
      <c r="AR54" s="72">
        <f>Table1[[#This Row],[2019 Scope 3 ]]</f>
        <v>1158416</v>
      </c>
      <c r="AS54" s="71">
        <f t="shared" si="15"/>
        <v>-2</v>
      </c>
      <c r="AT54" s="51">
        <f t="shared" si="16"/>
        <v>-1.7264984711856037E-6</v>
      </c>
      <c r="BI54" s="61">
        <v>9284</v>
      </c>
    </row>
    <row r="55" spans="1:61" x14ac:dyDescent="0.25">
      <c r="A55" s="59">
        <f>companies!A55</f>
        <v>54</v>
      </c>
      <c r="B55" s="61" t="s">
        <v>1056</v>
      </c>
      <c r="C55" s="73">
        <v>1489000</v>
      </c>
      <c r="D55" s="73">
        <v>3345000</v>
      </c>
      <c r="E55" s="73">
        <v>1299000</v>
      </c>
      <c r="F55" s="73">
        <v>4446000</v>
      </c>
      <c r="G55" s="73">
        <v>36000</v>
      </c>
      <c r="H55" s="73">
        <v>115000</v>
      </c>
      <c r="I55" s="73">
        <v>157000</v>
      </c>
      <c r="J55" s="73">
        <v>2000</v>
      </c>
      <c r="K55" s="73">
        <v>136000</v>
      </c>
      <c r="L55" s="73">
        <v>516000</v>
      </c>
      <c r="M55" s="62">
        <v>21000</v>
      </c>
      <c r="N55" s="62">
        <v>98000</v>
      </c>
      <c r="O55" s="62">
        <v>285000</v>
      </c>
      <c r="P55" s="62">
        <v>3927000</v>
      </c>
      <c r="Q55" s="62" t="s">
        <v>1096</v>
      </c>
      <c r="R55" s="73" t="s">
        <v>1096</v>
      </c>
      <c r="S55" s="62" t="s">
        <v>1096</v>
      </c>
      <c r="T55" s="62" t="s">
        <v>1096</v>
      </c>
      <c r="U55" s="62" t="s">
        <v>1096</v>
      </c>
      <c r="V55" s="62" t="s">
        <v>1096</v>
      </c>
      <c r="W55" s="62">
        <f t="shared" si="8"/>
        <v>9739000</v>
      </c>
      <c r="X55" s="73"/>
      <c r="Y55" s="73"/>
      <c r="Z55" s="73"/>
      <c r="AA55" s="73"/>
      <c r="AB55" s="73"/>
      <c r="AC55" s="73"/>
      <c r="AD55" s="62" t="s">
        <v>1096</v>
      </c>
      <c r="AE55" s="62" t="s">
        <v>1096</v>
      </c>
      <c r="AF55" s="66">
        <f>Table1[[#This Row],[2019 Scope 1 (MeT Co2)]]</f>
        <v>1489000</v>
      </c>
      <c r="AG55" s="67">
        <f t="shared" si="9"/>
        <v>0</v>
      </c>
      <c r="AH55" s="68">
        <f t="shared" si="10"/>
        <v>0</v>
      </c>
      <c r="AK55" s="62" t="s">
        <v>1096</v>
      </c>
      <c r="AL55" s="62" t="s">
        <v>1096</v>
      </c>
      <c r="AM55" s="66">
        <f>Table1[[#This Row],[2019 Scope 2 ]]</f>
        <v>1299000</v>
      </c>
      <c r="AN55" s="67">
        <f t="shared" si="11"/>
        <v>2046000</v>
      </c>
      <c r="AO55" s="68">
        <f t="shared" si="12"/>
        <v>0.61165919282511205</v>
      </c>
      <c r="AP55" s="67">
        <f t="shared" si="13"/>
        <v>0</v>
      </c>
      <c r="AQ55" s="68">
        <f t="shared" si="14"/>
        <v>0</v>
      </c>
      <c r="AR55" s="72">
        <f>Table1[[#This Row],[2019 Scope 3 ]]</f>
        <v>20342000</v>
      </c>
      <c r="AS55" s="71">
        <f t="shared" si="15"/>
        <v>-10603000</v>
      </c>
      <c r="AT55" s="51">
        <f t="shared" si="16"/>
        <v>-1.0887154738679536</v>
      </c>
      <c r="BI55" s="58">
        <v>9298</v>
      </c>
    </row>
    <row r="56" spans="1:61" x14ac:dyDescent="0.25">
      <c r="A56" s="59">
        <f>companies!A56</f>
        <v>55</v>
      </c>
      <c r="B56" s="61" t="s">
        <v>1056</v>
      </c>
      <c r="C56" s="73">
        <v>415094</v>
      </c>
      <c r="D56" s="73">
        <v>648598</v>
      </c>
      <c r="E56" s="73">
        <v>518542</v>
      </c>
      <c r="F56" s="73">
        <v>9229943</v>
      </c>
      <c r="G56" s="73">
        <v>281092</v>
      </c>
      <c r="H56" s="73">
        <v>47245</v>
      </c>
      <c r="I56" s="73">
        <v>2201590</v>
      </c>
      <c r="J56" s="73">
        <v>3618</v>
      </c>
      <c r="K56" s="73">
        <v>601637</v>
      </c>
      <c r="L56" s="73">
        <v>267881</v>
      </c>
      <c r="M56" s="62">
        <v>39830</v>
      </c>
      <c r="N56" s="62">
        <v>65447</v>
      </c>
      <c r="O56" s="62" t="s">
        <v>1096</v>
      </c>
      <c r="P56" s="62">
        <v>7417224</v>
      </c>
      <c r="Q56" s="62">
        <v>209994</v>
      </c>
      <c r="R56" s="73" t="s">
        <v>1096</v>
      </c>
      <c r="S56" s="62" t="s">
        <v>1096</v>
      </c>
      <c r="T56" s="62" t="s">
        <v>1096</v>
      </c>
      <c r="U56" s="62" t="s">
        <v>1096</v>
      </c>
      <c r="V56" s="62" t="s">
        <v>1096</v>
      </c>
      <c r="W56" s="62">
        <f t="shared" si="8"/>
        <v>20365501</v>
      </c>
      <c r="X56" s="73"/>
      <c r="Y56" s="73"/>
      <c r="Z56" s="73"/>
      <c r="AA56" s="73"/>
      <c r="AB56" s="73"/>
      <c r="AC56" s="73"/>
      <c r="AD56" s="62" t="s">
        <v>1096</v>
      </c>
      <c r="AE56" s="62" t="s">
        <v>1096</v>
      </c>
      <c r="AF56" s="66">
        <f>Table1[[#This Row],[2019 Scope 1 (MeT Co2)]]</f>
        <v>415094</v>
      </c>
      <c r="AG56" s="67">
        <f t="shared" si="9"/>
        <v>0</v>
      </c>
      <c r="AH56" s="68">
        <f t="shared" si="10"/>
        <v>0</v>
      </c>
      <c r="AK56" s="62" t="s">
        <v>1096</v>
      </c>
      <c r="AL56" s="62" t="s">
        <v>1096</v>
      </c>
      <c r="AM56" s="66">
        <f>Table1[[#This Row],[2019 Scope 2 ]]</f>
        <v>518542</v>
      </c>
      <c r="AN56" s="67">
        <f t="shared" si="11"/>
        <v>130056</v>
      </c>
      <c r="AO56" s="68">
        <f t="shared" si="12"/>
        <v>0.20051865716514697</v>
      </c>
      <c r="AP56" s="67">
        <f t="shared" si="13"/>
        <v>0</v>
      </c>
      <c r="AQ56" s="68">
        <f t="shared" si="14"/>
        <v>0</v>
      </c>
      <c r="AR56" s="72">
        <f>Table1[[#This Row],[2019 Scope 3 ]]</f>
        <v>20300054</v>
      </c>
      <c r="AS56" s="71">
        <f t="shared" si="15"/>
        <v>65447</v>
      </c>
      <c r="AT56" s="51">
        <f t="shared" si="16"/>
        <v>3.2136209170596885E-3</v>
      </c>
      <c r="BI56" s="58">
        <v>9829</v>
      </c>
    </row>
    <row r="57" spans="1:61" x14ac:dyDescent="0.25">
      <c r="A57" s="59">
        <f>companies!A57</f>
        <v>56</v>
      </c>
      <c r="B57" s="61" t="s">
        <v>1056</v>
      </c>
      <c r="C57" s="73">
        <v>81655</v>
      </c>
      <c r="D57" s="73">
        <v>692299</v>
      </c>
      <c r="E57" s="73">
        <v>556142</v>
      </c>
      <c r="F57" s="73" t="s">
        <v>1096</v>
      </c>
      <c r="G57" s="73" t="s">
        <v>1096</v>
      </c>
      <c r="H57" s="73">
        <v>32229</v>
      </c>
      <c r="I57" s="73" t="s">
        <v>1096</v>
      </c>
      <c r="J57" s="73" t="s">
        <v>1096</v>
      </c>
      <c r="K57" s="73">
        <v>181004</v>
      </c>
      <c r="L57" s="73" t="s">
        <v>1096</v>
      </c>
      <c r="M57" s="62" t="s">
        <v>1096</v>
      </c>
      <c r="N57" s="62" t="s">
        <v>1096</v>
      </c>
      <c r="O57" s="62" t="s">
        <v>1096</v>
      </c>
      <c r="P57" s="62" t="s">
        <v>1096</v>
      </c>
      <c r="Q57" s="62" t="s">
        <v>1096</v>
      </c>
      <c r="R57" s="73" t="s">
        <v>1096</v>
      </c>
      <c r="S57" s="62" t="s">
        <v>1096</v>
      </c>
      <c r="T57" s="62" t="s">
        <v>1096</v>
      </c>
      <c r="U57" s="62" t="s">
        <v>1096</v>
      </c>
      <c r="V57" s="62" t="s">
        <v>1096</v>
      </c>
      <c r="W57" s="62">
        <f t="shared" si="8"/>
        <v>213233</v>
      </c>
      <c r="X57" s="73"/>
      <c r="Y57" s="73"/>
      <c r="Z57" s="73"/>
      <c r="AA57" s="73"/>
      <c r="AB57" s="73"/>
      <c r="AC57" s="73"/>
      <c r="AD57" s="62" t="s">
        <v>1096</v>
      </c>
      <c r="AE57" s="62" t="s">
        <v>1096</v>
      </c>
      <c r="AF57" s="66">
        <f>Table1[[#This Row],[2019 Scope 1 (MeT Co2)]]</f>
        <v>81655</v>
      </c>
      <c r="AG57" s="67">
        <f t="shared" si="9"/>
        <v>0</v>
      </c>
      <c r="AH57" s="68">
        <f t="shared" si="10"/>
        <v>0</v>
      </c>
      <c r="AK57" s="62" t="s">
        <v>1096</v>
      </c>
      <c r="AL57" s="62" t="s">
        <v>1096</v>
      </c>
      <c r="AM57" s="66">
        <f>Table1[[#This Row],[2019 Scope 2 ]]</f>
        <v>556142</v>
      </c>
      <c r="AN57" s="67">
        <f t="shared" si="11"/>
        <v>136157</v>
      </c>
      <c r="AO57" s="68">
        <f t="shared" si="12"/>
        <v>0.19667369156968303</v>
      </c>
      <c r="AP57" s="67">
        <f t="shared" si="13"/>
        <v>0</v>
      </c>
      <c r="AQ57" s="68">
        <f t="shared" si="14"/>
        <v>0</v>
      </c>
      <c r="AR57" s="72">
        <f>Table1[[#This Row],[2019 Scope 3 ]]</f>
        <v>181004</v>
      </c>
      <c r="AS57" s="71">
        <f t="shared" si="15"/>
        <v>32229</v>
      </c>
      <c r="AT57" s="51">
        <f t="shared" si="16"/>
        <v>0.15114452265831274</v>
      </c>
      <c r="BI57" s="58">
        <v>9871</v>
      </c>
    </row>
    <row r="58" spans="1:61" x14ac:dyDescent="0.25">
      <c r="A58" s="59">
        <f>companies!A58</f>
        <v>57</v>
      </c>
      <c r="B58" s="61" t="s">
        <v>1056</v>
      </c>
      <c r="C58" s="73" t="s">
        <v>1095</v>
      </c>
      <c r="D58" s="73" t="s">
        <v>1095</v>
      </c>
      <c r="E58" s="73" t="s">
        <v>1095</v>
      </c>
      <c r="F58" s="73" t="s">
        <v>1095</v>
      </c>
      <c r="G58" s="73" t="s">
        <v>1095</v>
      </c>
      <c r="H58" s="73" t="s">
        <v>1095</v>
      </c>
      <c r="I58" s="73" t="s">
        <v>1095</v>
      </c>
      <c r="J58" s="73" t="s">
        <v>1095</v>
      </c>
      <c r="K58" s="73" t="s">
        <v>1095</v>
      </c>
      <c r="L58" s="73" t="s">
        <v>1095</v>
      </c>
      <c r="M58" s="73" t="s">
        <v>1095</v>
      </c>
      <c r="N58" s="73" t="s">
        <v>1095</v>
      </c>
      <c r="O58" s="73" t="s">
        <v>1095</v>
      </c>
      <c r="P58" s="73" t="s">
        <v>1095</v>
      </c>
      <c r="Q58" s="73" t="s">
        <v>1095</v>
      </c>
      <c r="R58" s="73" t="s">
        <v>1095</v>
      </c>
      <c r="S58" s="73" t="s">
        <v>1095</v>
      </c>
      <c r="T58" s="73" t="s">
        <v>1095</v>
      </c>
      <c r="U58" s="73" t="s">
        <v>1095</v>
      </c>
      <c r="V58" s="73" t="s">
        <v>1095</v>
      </c>
      <c r="W58" s="62">
        <f t="shared" si="8"/>
        <v>0</v>
      </c>
      <c r="X58" s="62"/>
      <c r="Y58" s="62"/>
      <c r="Z58" s="62"/>
      <c r="AA58" s="62"/>
      <c r="AB58" s="62"/>
      <c r="AC58" s="62"/>
      <c r="AD58" s="62" t="e">
        <v>#N/A</v>
      </c>
      <c r="AE58" s="62" t="e">
        <v>#N/A</v>
      </c>
      <c r="AF58" s="66" t="str">
        <f>Table1[[#This Row],[2019 Scope 1 (MeT Co2)]]</f>
        <v>NR</v>
      </c>
      <c r="AG58" s="67" t="e">
        <f t="shared" si="9"/>
        <v>#VALUE!</v>
      </c>
      <c r="AH58" s="68" t="e">
        <f t="shared" si="10"/>
        <v>#VALUE!</v>
      </c>
      <c r="AK58" s="62" t="e">
        <v>#N/A</v>
      </c>
      <c r="AL58" s="62" t="e">
        <v>#N/A</v>
      </c>
      <c r="AM58" s="66" t="str">
        <f>Table1[[#This Row],[2019 Scope 2 ]]</f>
        <v>NR</v>
      </c>
      <c r="AN58" s="67" t="e">
        <f t="shared" si="11"/>
        <v>#VALUE!</v>
      </c>
      <c r="AO58" s="68" t="e">
        <f t="shared" si="12"/>
        <v>#VALUE!</v>
      </c>
      <c r="AP58" s="67" t="e">
        <f t="shared" si="13"/>
        <v>#VALUE!</v>
      </c>
      <c r="AQ58" s="68" t="e">
        <f t="shared" si="14"/>
        <v>#VALUE!</v>
      </c>
      <c r="AR58" s="72" t="str">
        <f>Table1[[#This Row],[2019 Scope 3 ]]</f>
        <v>NR</v>
      </c>
      <c r="AS58" s="71" t="e">
        <f t="shared" si="15"/>
        <v>#VALUE!</v>
      </c>
      <c r="AT58" s="51" t="e">
        <f t="shared" si="16"/>
        <v>#VALUE!</v>
      </c>
    </row>
    <row r="59" spans="1:61" x14ac:dyDescent="0.25">
      <c r="A59" s="59">
        <f>companies!A59</f>
        <v>58</v>
      </c>
      <c r="B59" s="61" t="s">
        <v>1056</v>
      </c>
      <c r="C59" s="73">
        <v>649256</v>
      </c>
      <c r="D59" s="73">
        <v>773066</v>
      </c>
      <c r="E59" s="73" t="s">
        <v>1096</v>
      </c>
      <c r="F59" s="73">
        <v>18282750.168000001</v>
      </c>
      <c r="G59" s="73">
        <v>397603.64799999999</v>
      </c>
      <c r="H59" s="73">
        <v>717228.77500000002</v>
      </c>
      <c r="I59" s="73">
        <v>1366415.4040000001</v>
      </c>
      <c r="J59" s="73">
        <v>52106.122000000003</v>
      </c>
      <c r="K59" s="73">
        <v>18988.075000000001</v>
      </c>
      <c r="L59" s="73">
        <v>105896.625</v>
      </c>
      <c r="M59" s="62" t="s">
        <v>1096</v>
      </c>
      <c r="N59" s="62">
        <v>1307392.304</v>
      </c>
      <c r="O59" s="62" t="s">
        <v>1096</v>
      </c>
      <c r="P59" s="62" t="s">
        <v>1096</v>
      </c>
      <c r="Q59" s="62">
        <v>1029151.785</v>
      </c>
      <c r="R59" s="73" t="s">
        <v>1096</v>
      </c>
      <c r="S59" s="62" t="s">
        <v>1096</v>
      </c>
      <c r="T59" s="62" t="s">
        <v>1096</v>
      </c>
      <c r="U59" s="62" t="s">
        <v>1096</v>
      </c>
      <c r="V59" s="62" t="s">
        <v>1096</v>
      </c>
      <c r="W59" s="62">
        <f t="shared" si="8"/>
        <v>23277532.905999999</v>
      </c>
      <c r="X59" s="62"/>
      <c r="Y59" s="62"/>
      <c r="Z59" s="62"/>
      <c r="AA59" s="62"/>
      <c r="AB59" s="62"/>
      <c r="AC59" s="62"/>
      <c r="AD59" s="62" t="s">
        <v>1096</v>
      </c>
      <c r="AE59" s="62" t="s">
        <v>1096</v>
      </c>
      <c r="AF59" s="66">
        <f>Table1[[#This Row],[2019 Scope 1 (MeT Co2)]]</f>
        <v>649256</v>
      </c>
      <c r="AG59" s="67">
        <f t="shared" si="9"/>
        <v>0</v>
      </c>
      <c r="AH59" s="68">
        <f t="shared" si="10"/>
        <v>0</v>
      </c>
      <c r="AK59" s="62" t="s">
        <v>1096</v>
      </c>
      <c r="AL59" s="62" t="s">
        <v>1096</v>
      </c>
      <c r="AM59" s="66">
        <f>Table1[[#This Row],[2019 Scope 2 ]]</f>
        <v>773066</v>
      </c>
      <c r="AN59" s="67">
        <f t="shared" si="11"/>
        <v>0</v>
      </c>
      <c r="AO59" s="68">
        <f t="shared" si="12"/>
        <v>0</v>
      </c>
      <c r="AP59" s="67" t="e">
        <f t="shared" si="13"/>
        <v>#VALUE!</v>
      </c>
      <c r="AQ59" s="68" t="e">
        <f t="shared" si="14"/>
        <v>#VALUE!</v>
      </c>
      <c r="AR59" s="72">
        <f>Table1[[#This Row],[2019 Scope 3 ]]</f>
        <v>23277532.905999999</v>
      </c>
      <c r="AS59" s="71">
        <f t="shared" si="15"/>
        <v>0</v>
      </c>
      <c r="AT59" s="51">
        <f t="shared" si="16"/>
        <v>0</v>
      </c>
      <c r="BI59" s="58">
        <v>58857</v>
      </c>
    </row>
    <row r="60" spans="1:61" x14ac:dyDescent="0.25">
      <c r="A60" s="59">
        <f>companies!A60</f>
        <v>59</v>
      </c>
      <c r="B60" s="61" t="s">
        <v>1056</v>
      </c>
      <c r="C60" s="73">
        <v>305362</v>
      </c>
      <c r="D60" s="73">
        <v>662659</v>
      </c>
      <c r="E60" s="73">
        <v>466073</v>
      </c>
      <c r="F60" s="73">
        <v>7700000</v>
      </c>
      <c r="G60" s="73">
        <v>370000</v>
      </c>
      <c r="H60" s="73">
        <v>105000</v>
      </c>
      <c r="I60" s="73">
        <v>60000</v>
      </c>
      <c r="J60" s="73">
        <v>4500</v>
      </c>
      <c r="K60" s="73">
        <v>190000</v>
      </c>
      <c r="L60" s="73">
        <v>215000</v>
      </c>
      <c r="M60" s="62" t="s">
        <v>1096</v>
      </c>
      <c r="N60" s="62" t="s">
        <v>1096</v>
      </c>
      <c r="O60" s="62" t="s">
        <v>1096</v>
      </c>
      <c r="P60" s="62">
        <v>22000000</v>
      </c>
      <c r="Q60" s="62" t="s">
        <v>1096</v>
      </c>
      <c r="R60" s="73" t="s">
        <v>1096</v>
      </c>
      <c r="S60" s="62" t="s">
        <v>1096</v>
      </c>
      <c r="T60" s="62" t="s">
        <v>1096</v>
      </c>
      <c r="U60" s="62" t="s">
        <v>1096</v>
      </c>
      <c r="V60" s="62" t="s">
        <v>1096</v>
      </c>
      <c r="W60" s="62">
        <f t="shared" si="8"/>
        <v>30644500</v>
      </c>
      <c r="X60" s="73"/>
      <c r="Y60" s="73"/>
      <c r="Z60" s="73"/>
      <c r="AA60" s="73"/>
      <c r="AB60" s="73"/>
      <c r="AC60" s="73"/>
      <c r="AD60" s="62" t="s">
        <v>1096</v>
      </c>
      <c r="AE60" s="62" t="s">
        <v>1096</v>
      </c>
      <c r="AF60" s="66">
        <f>Table1[[#This Row],[2019 Scope 1 (MeT Co2)]]</f>
        <v>305362</v>
      </c>
      <c r="AG60" s="67">
        <f t="shared" si="9"/>
        <v>0</v>
      </c>
      <c r="AH60" s="68">
        <f t="shared" si="10"/>
        <v>0</v>
      </c>
      <c r="AK60" s="62" t="s">
        <v>1096</v>
      </c>
      <c r="AL60" s="62" t="s">
        <v>1096</v>
      </c>
      <c r="AM60" s="66">
        <f>Table1[[#This Row],[2019 Scope 2 ]]</f>
        <v>466073</v>
      </c>
      <c r="AN60" s="67">
        <f t="shared" si="11"/>
        <v>196586</v>
      </c>
      <c r="AO60" s="68">
        <f t="shared" si="12"/>
        <v>0.29666238593303645</v>
      </c>
      <c r="AP60" s="67">
        <f t="shared" si="13"/>
        <v>0</v>
      </c>
      <c r="AQ60" s="68">
        <f t="shared" si="14"/>
        <v>0</v>
      </c>
      <c r="AR60" s="72">
        <f>Table1[[#This Row],[2019 Scope 3 ]]</f>
        <v>30584500</v>
      </c>
      <c r="AS60" s="71">
        <f t="shared" si="15"/>
        <v>60000</v>
      </c>
      <c r="AT60" s="51">
        <f t="shared" si="16"/>
        <v>1.9579369870612998E-3</v>
      </c>
      <c r="BI60" s="58" t="s">
        <v>867</v>
      </c>
    </row>
    <row r="61" spans="1:61" x14ac:dyDescent="0.25">
      <c r="A61" s="59">
        <f>companies!A61</f>
        <v>60</v>
      </c>
      <c r="B61" s="61" t="s">
        <v>1056</v>
      </c>
      <c r="C61" s="73">
        <v>484737</v>
      </c>
      <c r="D61" s="73">
        <v>1623768</v>
      </c>
      <c r="E61" s="73" t="s">
        <v>1096</v>
      </c>
      <c r="F61" s="73" t="s">
        <v>1096</v>
      </c>
      <c r="G61" s="73" t="s">
        <v>1096</v>
      </c>
      <c r="H61" s="73" t="s">
        <v>1096</v>
      </c>
      <c r="I61" s="73">
        <v>426134</v>
      </c>
      <c r="J61" s="73" t="s">
        <v>1096</v>
      </c>
      <c r="K61" s="73">
        <v>10700</v>
      </c>
      <c r="L61" s="73" t="s">
        <v>1096</v>
      </c>
      <c r="M61" s="62" t="s">
        <v>1096</v>
      </c>
      <c r="N61" s="62" t="s">
        <v>1096</v>
      </c>
      <c r="O61" s="62" t="s">
        <v>1096</v>
      </c>
      <c r="P61" s="62">
        <v>123208225.78</v>
      </c>
      <c r="Q61" s="62" t="s">
        <v>1096</v>
      </c>
      <c r="R61" s="73" t="s">
        <v>1096</v>
      </c>
      <c r="S61" s="62" t="s">
        <v>1096</v>
      </c>
      <c r="T61" s="62" t="s">
        <v>1096</v>
      </c>
      <c r="U61" s="62" t="s">
        <v>1096</v>
      </c>
      <c r="V61" s="62" t="s">
        <v>1096</v>
      </c>
      <c r="W61" s="62">
        <f t="shared" si="8"/>
        <v>123645059.78</v>
      </c>
      <c r="X61" s="62"/>
      <c r="Y61" s="62"/>
      <c r="Z61" s="62"/>
      <c r="AA61" s="62"/>
      <c r="AB61" s="62"/>
      <c r="AC61" s="62"/>
      <c r="AD61" s="62" t="s">
        <v>1096</v>
      </c>
      <c r="AE61" s="62" t="s">
        <v>1096</v>
      </c>
      <c r="AF61" s="66">
        <f>Table1[[#This Row],[2019 Scope 1 (MeT Co2)]]</f>
        <v>484737</v>
      </c>
      <c r="AG61" s="67">
        <f t="shared" si="9"/>
        <v>0</v>
      </c>
      <c r="AH61" s="68">
        <f t="shared" si="10"/>
        <v>0</v>
      </c>
      <c r="AK61" s="62" t="s">
        <v>1096</v>
      </c>
      <c r="AL61" s="62" t="s">
        <v>1096</v>
      </c>
      <c r="AM61" s="66">
        <f>Table1[[#This Row],[2019 Scope 2 ]]</f>
        <v>1623768</v>
      </c>
      <c r="AN61" s="67">
        <f t="shared" si="11"/>
        <v>0</v>
      </c>
      <c r="AO61" s="68">
        <f t="shared" si="12"/>
        <v>0</v>
      </c>
      <c r="AP61" s="67" t="e">
        <f t="shared" si="13"/>
        <v>#VALUE!</v>
      </c>
      <c r="AQ61" s="68" t="e">
        <f t="shared" si="14"/>
        <v>#VALUE!</v>
      </c>
      <c r="AR61" s="72">
        <f>Table1[[#This Row],[2019 Scope 3 ]]</f>
        <v>123645059.78</v>
      </c>
      <c r="AS61" s="71">
        <f t="shared" si="15"/>
        <v>0</v>
      </c>
      <c r="AT61" s="51">
        <f t="shared" si="16"/>
        <v>0</v>
      </c>
      <c r="BI61" s="58">
        <v>11017</v>
      </c>
    </row>
    <row r="62" spans="1:61" x14ac:dyDescent="0.25">
      <c r="A62" s="59">
        <f>companies!A62</f>
        <v>61</v>
      </c>
      <c r="B62" s="61" t="s">
        <v>1056</v>
      </c>
      <c r="C62" s="73">
        <v>4758.3999999999996</v>
      </c>
      <c r="D62" s="73">
        <v>52140.56</v>
      </c>
      <c r="E62" s="73">
        <v>162</v>
      </c>
      <c r="F62" s="73">
        <v>396269.96</v>
      </c>
      <c r="G62" s="73">
        <v>0</v>
      </c>
      <c r="H62" s="73">
        <v>8451.8700000000008</v>
      </c>
      <c r="I62" s="73">
        <v>0</v>
      </c>
      <c r="J62" s="73">
        <v>1288.49</v>
      </c>
      <c r="K62" s="73">
        <v>53738</v>
      </c>
      <c r="L62" s="73">
        <v>43263.87</v>
      </c>
      <c r="M62" s="62" t="s">
        <v>1096</v>
      </c>
      <c r="N62" s="62" t="s">
        <v>1096</v>
      </c>
      <c r="O62" s="62" t="s">
        <v>1096</v>
      </c>
      <c r="P62" s="62" t="s">
        <v>1096</v>
      </c>
      <c r="Q62" s="62" t="s">
        <v>1096</v>
      </c>
      <c r="R62" s="73" t="s">
        <v>1096</v>
      </c>
      <c r="S62" s="62" t="s">
        <v>1096</v>
      </c>
      <c r="T62" s="62" t="s">
        <v>1096</v>
      </c>
      <c r="U62" s="62" t="s">
        <v>1096</v>
      </c>
      <c r="V62" s="62" t="s">
        <v>1096</v>
      </c>
      <c r="W62" s="62">
        <f t="shared" si="8"/>
        <v>503012.19</v>
      </c>
      <c r="X62" s="73"/>
      <c r="Y62" s="73"/>
      <c r="Z62" s="73"/>
      <c r="AA62" s="73"/>
      <c r="AB62" s="73"/>
      <c r="AC62" s="73"/>
      <c r="AD62" s="62" t="s">
        <v>1096</v>
      </c>
      <c r="AE62" s="62" t="s">
        <v>1096</v>
      </c>
      <c r="AF62" s="66">
        <f>Table1[[#This Row],[2019 Scope 1 (MeT Co2)]]</f>
        <v>4758.3999999999996</v>
      </c>
      <c r="AG62" s="67">
        <f t="shared" si="9"/>
        <v>0</v>
      </c>
      <c r="AH62" s="68">
        <f t="shared" si="10"/>
        <v>0</v>
      </c>
      <c r="AK62" s="62" t="s">
        <v>1096</v>
      </c>
      <c r="AL62" s="62" t="s">
        <v>1096</v>
      </c>
      <c r="AM62" s="66">
        <f>Table1[[#This Row],[2019 Scope 2 ]]</f>
        <v>162</v>
      </c>
      <c r="AN62" s="67">
        <f t="shared" si="11"/>
        <v>51978.559999999998</v>
      </c>
      <c r="AO62" s="68">
        <f t="shared" si="12"/>
        <v>0.99689301380729323</v>
      </c>
      <c r="AP62" s="67">
        <f t="shared" si="13"/>
        <v>0</v>
      </c>
      <c r="AQ62" s="68">
        <f t="shared" si="14"/>
        <v>0</v>
      </c>
      <c r="AR62" s="72">
        <f>Table1[[#This Row],[2019 Scope 3 ]]</f>
        <v>503012.19</v>
      </c>
      <c r="AS62" s="71">
        <f t="shared" si="15"/>
        <v>0</v>
      </c>
      <c r="AT62" s="51">
        <f t="shared" si="16"/>
        <v>0</v>
      </c>
      <c r="BI62" s="58">
        <v>11421</v>
      </c>
    </row>
    <row r="63" spans="1:61" x14ac:dyDescent="0.25">
      <c r="A63" s="59">
        <f>companies!A63</f>
        <v>62</v>
      </c>
      <c r="B63" s="61" t="s">
        <v>1056</v>
      </c>
      <c r="C63" s="73">
        <v>107034.65</v>
      </c>
      <c r="D63" s="73">
        <v>569598.23</v>
      </c>
      <c r="E63" s="73">
        <v>492114.18</v>
      </c>
      <c r="F63" s="73">
        <v>41115851.549999997</v>
      </c>
      <c r="G63" s="73" t="s">
        <v>1096</v>
      </c>
      <c r="H63" s="73">
        <v>2358793.15</v>
      </c>
      <c r="I63" s="73">
        <v>1947637.85</v>
      </c>
      <c r="J63" s="73">
        <v>1535857.79</v>
      </c>
      <c r="K63" s="73" t="s">
        <v>1096</v>
      </c>
      <c r="L63" s="73" t="s">
        <v>1096</v>
      </c>
      <c r="M63" s="62" t="s">
        <v>1096</v>
      </c>
      <c r="N63" s="62" t="s">
        <v>1096</v>
      </c>
      <c r="O63" s="62" t="s">
        <v>1096</v>
      </c>
      <c r="P63" s="62" t="s">
        <v>1096</v>
      </c>
      <c r="Q63" s="62" t="s">
        <v>1096</v>
      </c>
      <c r="R63" s="73" t="s">
        <v>1096</v>
      </c>
      <c r="S63" s="62">
        <v>5997501.7599999998</v>
      </c>
      <c r="T63" s="62" t="s">
        <v>1096</v>
      </c>
      <c r="U63" s="62" t="s">
        <v>1096</v>
      </c>
      <c r="V63" s="62" t="s">
        <v>1096</v>
      </c>
      <c r="W63" s="62">
        <f t="shared" si="8"/>
        <v>52955642.099999994</v>
      </c>
      <c r="X63" s="62"/>
      <c r="Y63" s="62"/>
      <c r="Z63" s="62"/>
      <c r="AA63" s="62"/>
      <c r="AB63" s="62"/>
      <c r="AC63" s="62"/>
      <c r="AD63" s="62" t="s">
        <v>1064</v>
      </c>
      <c r="AE63" s="62" t="s">
        <v>1065</v>
      </c>
      <c r="AF63" s="66">
        <f>Table1[[#This Row],[2019 Scope 1 (MeT Co2)]]</f>
        <v>107034.65</v>
      </c>
      <c r="AG63" s="67">
        <f t="shared" si="9"/>
        <v>0</v>
      </c>
      <c r="AH63" s="68">
        <f t="shared" si="10"/>
        <v>0</v>
      </c>
      <c r="AK63" s="62" t="s">
        <v>1064</v>
      </c>
      <c r="AL63" s="62" t="s">
        <v>1065</v>
      </c>
      <c r="AM63" s="66">
        <f>Table1[[#This Row],[2019 Scope 2 ]]</f>
        <v>492114.18</v>
      </c>
      <c r="AN63" s="67">
        <f t="shared" si="11"/>
        <v>77484.049999999988</v>
      </c>
      <c r="AO63" s="68">
        <f t="shared" si="12"/>
        <v>0.13603281386601218</v>
      </c>
      <c r="AP63" s="67">
        <f t="shared" si="13"/>
        <v>0</v>
      </c>
      <c r="AQ63" s="68">
        <f t="shared" si="14"/>
        <v>0</v>
      </c>
      <c r="AR63" s="72">
        <f>Table1[[#This Row],[2019 Scope 3 ]]</f>
        <v>52955642.099999994</v>
      </c>
      <c r="AS63" s="71">
        <f t="shared" si="15"/>
        <v>0</v>
      </c>
      <c r="AT63" s="51">
        <f t="shared" si="16"/>
        <v>0</v>
      </c>
      <c r="BI63" s="58">
        <v>11581</v>
      </c>
    </row>
    <row r="64" spans="1:61" x14ac:dyDescent="0.25">
      <c r="A64" s="59">
        <f>companies!A64</f>
        <v>63</v>
      </c>
      <c r="B64" s="61" t="s">
        <v>1056</v>
      </c>
      <c r="C64" s="73">
        <v>61803</v>
      </c>
      <c r="D64" s="73" t="s">
        <v>1096</v>
      </c>
      <c r="E64" s="73">
        <v>218742</v>
      </c>
      <c r="F64" s="73" t="s">
        <v>1096</v>
      </c>
      <c r="G64" s="73" t="s">
        <v>1096</v>
      </c>
      <c r="H64" s="73" t="s">
        <v>1096</v>
      </c>
      <c r="I64" s="73" t="s">
        <v>1096</v>
      </c>
      <c r="J64" s="73" t="s">
        <v>1096</v>
      </c>
      <c r="K64" s="73">
        <v>235863</v>
      </c>
      <c r="L64" s="73" t="s">
        <v>1096</v>
      </c>
      <c r="M64" s="62" t="s">
        <v>1096</v>
      </c>
      <c r="N64" s="62">
        <v>42619</v>
      </c>
      <c r="O64" s="62" t="s">
        <v>1096</v>
      </c>
      <c r="P64" s="62" t="s">
        <v>1096</v>
      </c>
      <c r="Q64" s="62" t="s">
        <v>1096</v>
      </c>
      <c r="R64" s="73" t="s">
        <v>1096</v>
      </c>
      <c r="S64" s="62" t="s">
        <v>1096</v>
      </c>
      <c r="T64" s="62" t="s">
        <v>1096</v>
      </c>
      <c r="U64" s="62" t="s">
        <v>1096</v>
      </c>
      <c r="V64" s="62" t="s">
        <v>1096</v>
      </c>
      <c r="W64" s="62">
        <f t="shared" si="8"/>
        <v>278482</v>
      </c>
      <c r="X64" s="73"/>
      <c r="Y64" s="73"/>
      <c r="Z64" s="73"/>
      <c r="AA64" s="73"/>
      <c r="AB64" s="73"/>
      <c r="AC64" s="73"/>
      <c r="AD64" s="62" t="s">
        <v>1096</v>
      </c>
      <c r="AE64" s="62" t="s">
        <v>1096</v>
      </c>
      <c r="AF64" s="66">
        <f>Table1[[#This Row],[2019 Scope 1 (MeT Co2)]]</f>
        <v>62931</v>
      </c>
      <c r="AG64" s="67">
        <f t="shared" si="9"/>
        <v>-1128</v>
      </c>
      <c r="AH64" s="68">
        <f t="shared" si="10"/>
        <v>-1.8251541187321006E-2</v>
      </c>
      <c r="AK64" s="62" t="s">
        <v>1096</v>
      </c>
      <c r="AL64" s="62" t="s">
        <v>1096</v>
      </c>
      <c r="AM64" s="66">
        <f>Table1[[#This Row],[2019 Scope 2 ]]</f>
        <v>225841</v>
      </c>
      <c r="AN64" s="67" t="e">
        <f t="shared" si="11"/>
        <v>#VALUE!</v>
      </c>
      <c r="AO64" s="68" t="e">
        <f t="shared" si="12"/>
        <v>#VALUE!</v>
      </c>
      <c r="AP64" s="67">
        <f t="shared" si="13"/>
        <v>7099</v>
      </c>
      <c r="AQ64" s="68">
        <f t="shared" si="14"/>
        <v>3.2453758308875293E-2</v>
      </c>
      <c r="AR64" s="72">
        <f>Table1[[#This Row],[2019 Scope 3 ]]</f>
        <v>278482</v>
      </c>
      <c r="AS64" s="71">
        <f t="shared" si="15"/>
        <v>0</v>
      </c>
      <c r="AT64" s="51">
        <f t="shared" si="16"/>
        <v>0</v>
      </c>
      <c r="BI64" s="61">
        <v>11651</v>
      </c>
    </row>
    <row r="65" spans="1:61" x14ac:dyDescent="0.25">
      <c r="A65" s="59">
        <f>companies!A65</f>
        <v>64</v>
      </c>
      <c r="B65" s="61" t="s">
        <v>1056</v>
      </c>
      <c r="C65" s="73">
        <v>755340</v>
      </c>
      <c r="D65" s="73">
        <v>413550</v>
      </c>
      <c r="E65" s="73">
        <v>316630</v>
      </c>
      <c r="F65" s="73">
        <v>5155100</v>
      </c>
      <c r="G65" s="73">
        <v>339900</v>
      </c>
      <c r="H65" s="73">
        <v>240700</v>
      </c>
      <c r="I65" s="73">
        <v>271200</v>
      </c>
      <c r="J65" s="73">
        <v>19500</v>
      </c>
      <c r="K65" s="73">
        <v>340400</v>
      </c>
      <c r="L65" s="73">
        <v>272000</v>
      </c>
      <c r="M65" s="62" t="s">
        <v>1096</v>
      </c>
      <c r="N65" s="62">
        <v>133200</v>
      </c>
      <c r="O65" s="62" t="s">
        <v>1096</v>
      </c>
      <c r="P65" s="62">
        <v>142100</v>
      </c>
      <c r="Q65" s="62">
        <v>51500</v>
      </c>
      <c r="R65" s="73" t="s">
        <v>1096</v>
      </c>
      <c r="S65" s="62" t="s">
        <v>1096</v>
      </c>
      <c r="T65" s="62" t="s">
        <v>1096</v>
      </c>
      <c r="U65" s="62" t="s">
        <v>1096</v>
      </c>
      <c r="V65" s="62" t="s">
        <v>1096</v>
      </c>
      <c r="W65" s="62">
        <f t="shared" si="8"/>
        <v>6965600</v>
      </c>
      <c r="X65" s="73"/>
      <c r="Y65" s="73"/>
      <c r="Z65" s="73"/>
      <c r="AA65" s="73"/>
      <c r="AB65" s="73"/>
      <c r="AC65" s="73"/>
      <c r="AD65" s="62" t="s">
        <v>1096</v>
      </c>
      <c r="AE65" s="62" t="s">
        <v>1096</v>
      </c>
      <c r="AF65" s="66">
        <f>Table1[[#This Row],[2019 Scope 1 (MeT Co2)]]</f>
        <v>755340</v>
      </c>
      <c r="AG65" s="67">
        <f t="shared" si="9"/>
        <v>0</v>
      </c>
      <c r="AH65" s="68">
        <f t="shared" si="10"/>
        <v>0</v>
      </c>
      <c r="AK65" s="62" t="s">
        <v>1096</v>
      </c>
      <c r="AL65" s="62" t="s">
        <v>1096</v>
      </c>
      <c r="AM65" s="66">
        <f>Table1[[#This Row],[2019 Scope 2 ]]</f>
        <v>316630</v>
      </c>
      <c r="AN65" s="67">
        <f t="shared" si="11"/>
        <v>96920</v>
      </c>
      <c r="AO65" s="68">
        <f t="shared" si="12"/>
        <v>0.23436102043283763</v>
      </c>
      <c r="AP65" s="67">
        <f t="shared" si="13"/>
        <v>0</v>
      </c>
      <c r="AQ65" s="68">
        <f t="shared" si="14"/>
        <v>0</v>
      </c>
      <c r="AR65" s="72">
        <f>Table1[[#This Row],[2019 Scope 3 ]]</f>
        <v>6965600</v>
      </c>
      <c r="AS65" s="71">
        <f t="shared" si="15"/>
        <v>0</v>
      </c>
      <c r="AT65" s="51">
        <f t="shared" si="16"/>
        <v>0</v>
      </c>
      <c r="BI65" s="58">
        <v>11765</v>
      </c>
    </row>
    <row r="66" spans="1:61" x14ac:dyDescent="0.25">
      <c r="A66" s="59">
        <f>companies!A66</f>
        <v>65</v>
      </c>
      <c r="B66" s="61" t="s">
        <v>1056</v>
      </c>
      <c r="C66" s="73">
        <v>13613</v>
      </c>
      <c r="D66" s="73">
        <v>90280</v>
      </c>
      <c r="E66" s="73">
        <v>0</v>
      </c>
      <c r="F66" s="73">
        <v>5248302</v>
      </c>
      <c r="G66" s="73">
        <v>261.14999999999998</v>
      </c>
      <c r="H66" s="73">
        <v>21804</v>
      </c>
      <c r="I66" s="73">
        <v>6781</v>
      </c>
      <c r="J66" s="73">
        <v>810</v>
      </c>
      <c r="K66" s="73">
        <v>25959</v>
      </c>
      <c r="L66" s="73">
        <v>150269</v>
      </c>
      <c r="M66" s="62" t="s">
        <v>1096</v>
      </c>
      <c r="N66" s="62" t="s">
        <v>1096</v>
      </c>
      <c r="O66" s="62" t="s">
        <v>1096</v>
      </c>
      <c r="P66" s="62" t="s">
        <v>1096</v>
      </c>
      <c r="Q66" s="62" t="s">
        <v>1096</v>
      </c>
      <c r="R66" s="73">
        <v>7777</v>
      </c>
      <c r="S66" s="62" t="s">
        <v>1096</v>
      </c>
      <c r="T66" s="62" t="s">
        <v>1096</v>
      </c>
      <c r="U66" s="62" t="s">
        <v>1096</v>
      </c>
      <c r="V66" s="62" t="s">
        <v>1096</v>
      </c>
      <c r="W66" s="62">
        <f t="shared" si="8"/>
        <v>5461963.1500000004</v>
      </c>
      <c r="X66" s="73"/>
      <c r="Y66" s="73"/>
      <c r="Z66" s="73"/>
      <c r="AA66" s="73"/>
      <c r="AB66" s="73"/>
      <c r="AC66" s="73"/>
      <c r="AD66" s="62" t="s">
        <v>1096</v>
      </c>
      <c r="AE66" s="62" t="s">
        <v>1096</v>
      </c>
      <c r="AF66" s="66">
        <f>Table1[[#This Row],[2019 Scope 1 (MeT Co2)]]</f>
        <v>13613</v>
      </c>
      <c r="AG66" s="67">
        <f t="shared" ref="AG66:AG97" si="17">C66-AF66</f>
        <v>0</v>
      </c>
      <c r="AH66" s="68">
        <f t="shared" ref="AH66:AH97" si="18">AG66/C66</f>
        <v>0</v>
      </c>
      <c r="AK66" s="62" t="s">
        <v>1096</v>
      </c>
      <c r="AL66" s="62" t="s">
        <v>1096</v>
      </c>
      <c r="AM66" s="66">
        <f>Table1[[#This Row],[2019 Scope 2 ]]</f>
        <v>0</v>
      </c>
      <c r="AN66" s="67">
        <f t="shared" ref="AN66:AN97" si="19">D66-AM66</f>
        <v>90280</v>
      </c>
      <c r="AO66" s="68">
        <f t="shared" ref="AO66:AO97" si="20">AN66/D66</f>
        <v>1</v>
      </c>
      <c r="AP66" s="67">
        <f t="shared" ref="AP66:AP101" si="21">AM66-E66</f>
        <v>0</v>
      </c>
      <c r="AQ66" s="68" t="e">
        <f t="shared" ref="AQ66:AQ97" si="22">AP66/E66</f>
        <v>#DIV/0!</v>
      </c>
      <c r="AR66" s="72">
        <f>Table1[[#This Row],[2019 Scope 3 ]]</f>
        <v>25959</v>
      </c>
      <c r="AS66" s="71">
        <f t="shared" ref="AS66:AS97" si="23">W66-AR66</f>
        <v>5436004.1500000004</v>
      </c>
      <c r="AT66" s="51">
        <f t="shared" ref="AT66:AT97" si="24">AS66/W66</f>
        <v>0.99524731323022564</v>
      </c>
      <c r="BI66" s="58">
        <v>11796</v>
      </c>
    </row>
    <row r="67" spans="1:61" x14ac:dyDescent="0.25">
      <c r="A67" s="59">
        <f>companies!A67</f>
        <v>66</v>
      </c>
      <c r="B67" s="61" t="s">
        <v>1056</v>
      </c>
      <c r="C67" s="73">
        <v>113412</v>
      </c>
      <c r="D67" s="73">
        <v>3556553</v>
      </c>
      <c r="E67" s="73">
        <v>275375</v>
      </c>
      <c r="F67" s="73">
        <v>4200000</v>
      </c>
      <c r="G67" s="73">
        <v>2100000</v>
      </c>
      <c r="H67" s="73">
        <v>170000</v>
      </c>
      <c r="I67" s="73">
        <v>60000</v>
      </c>
      <c r="J67" s="73">
        <v>1200</v>
      </c>
      <c r="K67" s="73">
        <v>392557</v>
      </c>
      <c r="L67" s="73">
        <v>395000</v>
      </c>
      <c r="M67" s="62" t="s">
        <v>1096</v>
      </c>
      <c r="N67" s="62">
        <v>53000</v>
      </c>
      <c r="O67" s="62" t="s">
        <v>1096</v>
      </c>
      <c r="P67" s="62">
        <v>3874000</v>
      </c>
      <c r="Q67" s="62">
        <v>76000</v>
      </c>
      <c r="R67" s="73">
        <v>770</v>
      </c>
      <c r="S67" s="62" t="s">
        <v>1096</v>
      </c>
      <c r="T67" s="62" t="s">
        <v>1096</v>
      </c>
      <c r="U67" s="62" t="s">
        <v>1096</v>
      </c>
      <c r="V67" s="62" t="s">
        <v>1096</v>
      </c>
      <c r="W67" s="62">
        <f t="shared" ref="W67:W101" si="25">SUM(F67:V67)</f>
        <v>11322527</v>
      </c>
      <c r="X67" s="73"/>
      <c r="Y67" s="73"/>
      <c r="Z67" s="73"/>
      <c r="AA67" s="73"/>
      <c r="AB67" s="73"/>
      <c r="AC67" s="73"/>
      <c r="AD67" s="62" t="s">
        <v>1096</v>
      </c>
      <c r="AE67" s="62" t="s">
        <v>1096</v>
      </c>
      <c r="AF67" s="66">
        <f>Table1[[#This Row],[2019 Scope 1 (MeT Co2)]]</f>
        <v>113412</v>
      </c>
      <c r="AG67" s="67">
        <f t="shared" si="17"/>
        <v>0</v>
      </c>
      <c r="AH67" s="68">
        <f t="shared" si="18"/>
        <v>0</v>
      </c>
      <c r="AK67" s="62" t="s">
        <v>1096</v>
      </c>
      <c r="AL67" s="62" t="s">
        <v>1096</v>
      </c>
      <c r="AM67" s="66">
        <f>Table1[[#This Row],[2019 Scope 2 ]]</f>
        <v>275375</v>
      </c>
      <c r="AN67" s="67">
        <f t="shared" si="19"/>
        <v>3281178</v>
      </c>
      <c r="AO67" s="68">
        <f t="shared" si="20"/>
        <v>0.92257250208277508</v>
      </c>
      <c r="AP67" s="67">
        <f t="shared" si="21"/>
        <v>0</v>
      </c>
      <c r="AQ67" s="68">
        <f t="shared" si="22"/>
        <v>0</v>
      </c>
      <c r="AR67" s="72">
        <f>Table1[[#This Row],[2019 Scope 3 ]]</f>
        <v>11322213</v>
      </c>
      <c r="AS67" s="71">
        <f t="shared" si="23"/>
        <v>314</v>
      </c>
      <c r="AT67" s="51">
        <f t="shared" si="24"/>
        <v>2.7732325124947813E-5</v>
      </c>
      <c r="BI67" s="58">
        <v>11930</v>
      </c>
    </row>
    <row r="68" spans="1:61" x14ac:dyDescent="0.25">
      <c r="A68" s="59">
        <f>companies!A68</f>
        <v>67</v>
      </c>
      <c r="B68" s="61" t="s">
        <v>1056</v>
      </c>
      <c r="C68" s="73">
        <v>856590</v>
      </c>
      <c r="D68" s="73">
        <v>938601</v>
      </c>
      <c r="E68" s="73">
        <v>906349</v>
      </c>
      <c r="F68" s="73">
        <v>15034298</v>
      </c>
      <c r="G68" s="73" t="s">
        <v>1096</v>
      </c>
      <c r="H68" s="73">
        <v>1164761</v>
      </c>
      <c r="I68" s="73">
        <v>2311217</v>
      </c>
      <c r="J68" s="73">
        <v>84072</v>
      </c>
      <c r="K68" s="73">
        <v>41446</v>
      </c>
      <c r="L68" s="73">
        <v>190306</v>
      </c>
      <c r="M68" s="62" t="s">
        <v>1096</v>
      </c>
      <c r="N68" s="62">
        <v>89945</v>
      </c>
      <c r="O68" s="62" t="s">
        <v>1096</v>
      </c>
      <c r="P68" s="62">
        <v>52986</v>
      </c>
      <c r="Q68" s="62">
        <v>883179</v>
      </c>
      <c r="R68" s="73" t="s">
        <v>1096</v>
      </c>
      <c r="S68" s="62" t="s">
        <v>1096</v>
      </c>
      <c r="T68" s="62" t="s">
        <v>1096</v>
      </c>
      <c r="U68" s="62" t="s">
        <v>1096</v>
      </c>
      <c r="V68" s="62" t="s">
        <v>1096</v>
      </c>
      <c r="W68" s="62">
        <f t="shared" si="25"/>
        <v>19852210</v>
      </c>
      <c r="X68" s="73"/>
      <c r="Y68" s="73"/>
      <c r="Z68" s="73"/>
      <c r="AA68" s="73"/>
      <c r="AB68" s="73"/>
      <c r="AC68" s="73"/>
      <c r="AD68" s="62" t="s">
        <v>1096</v>
      </c>
      <c r="AE68" s="62" t="s">
        <v>1096</v>
      </c>
      <c r="AF68" s="66">
        <f>Table1[[#This Row],[2019 Scope 1 (MeT Co2)]]</f>
        <v>856590</v>
      </c>
      <c r="AG68" s="67">
        <f t="shared" si="17"/>
        <v>0</v>
      </c>
      <c r="AH68" s="68">
        <f t="shared" si="18"/>
        <v>0</v>
      </c>
      <c r="AK68" s="62" t="s">
        <v>1096</v>
      </c>
      <c r="AL68" s="62" t="s">
        <v>1096</v>
      </c>
      <c r="AM68" s="66">
        <f>Table1[[#This Row],[2019 Scope 2 ]]</f>
        <v>906349</v>
      </c>
      <c r="AN68" s="67">
        <f t="shared" si="19"/>
        <v>32252</v>
      </c>
      <c r="AO68" s="68">
        <f t="shared" si="20"/>
        <v>3.4361778860239868E-2</v>
      </c>
      <c r="AP68" s="67">
        <f t="shared" si="21"/>
        <v>0</v>
      </c>
      <c r="AQ68" s="68">
        <f t="shared" si="22"/>
        <v>0</v>
      </c>
      <c r="AR68" s="72">
        <f>Table1[[#This Row],[2019 Scope 3 ]]</f>
        <v>19852210</v>
      </c>
      <c r="AS68" s="71">
        <f t="shared" si="23"/>
        <v>0</v>
      </c>
      <c r="AT68" s="51">
        <f t="shared" si="24"/>
        <v>0</v>
      </c>
      <c r="BI68" s="58">
        <v>42037</v>
      </c>
    </row>
    <row r="69" spans="1:61" x14ac:dyDescent="0.25">
      <c r="A69" s="59">
        <f>companies!A69</f>
        <v>68</v>
      </c>
      <c r="B69" s="61" t="s">
        <v>1056</v>
      </c>
      <c r="C69" s="73">
        <v>28300</v>
      </c>
      <c r="D69" s="73">
        <v>199800</v>
      </c>
      <c r="E69" s="73">
        <v>176200</v>
      </c>
      <c r="F69" s="73">
        <v>911000</v>
      </c>
      <c r="G69" s="73">
        <v>192000</v>
      </c>
      <c r="H69" s="73">
        <v>46600</v>
      </c>
      <c r="I69" s="73" t="s">
        <v>1096</v>
      </c>
      <c r="J69" s="73">
        <v>6490</v>
      </c>
      <c r="K69" s="73">
        <v>99700</v>
      </c>
      <c r="L69" s="73">
        <v>112550</v>
      </c>
      <c r="M69" s="62" t="s">
        <v>1096</v>
      </c>
      <c r="N69" s="62" t="s">
        <v>1096</v>
      </c>
      <c r="O69" s="62" t="s">
        <v>1096</v>
      </c>
      <c r="P69" s="62" t="s">
        <v>1096</v>
      </c>
      <c r="Q69" s="62">
        <v>6000</v>
      </c>
      <c r="R69" s="73">
        <v>200</v>
      </c>
      <c r="S69" s="62" t="s">
        <v>1096</v>
      </c>
      <c r="T69" s="62" t="s">
        <v>1096</v>
      </c>
      <c r="U69" s="62" t="s">
        <v>1096</v>
      </c>
      <c r="V69" s="62" t="s">
        <v>1096</v>
      </c>
      <c r="W69" s="62">
        <f t="shared" si="25"/>
        <v>1374540</v>
      </c>
      <c r="X69" s="73"/>
      <c r="Y69" s="73"/>
      <c r="Z69" s="73"/>
      <c r="AA69" s="73"/>
      <c r="AB69" s="73"/>
      <c r="AC69" s="73"/>
      <c r="AD69" s="62" t="s">
        <v>1096</v>
      </c>
      <c r="AE69" s="62" t="s">
        <v>1096</v>
      </c>
      <c r="AF69" s="66">
        <f>Table1[[#This Row],[2019 Scope 1 (MeT Co2)]]</f>
        <v>28300</v>
      </c>
      <c r="AG69" s="67">
        <f t="shared" si="17"/>
        <v>0</v>
      </c>
      <c r="AH69" s="68">
        <f t="shared" si="18"/>
        <v>0</v>
      </c>
      <c r="AK69" s="62" t="s">
        <v>1096</v>
      </c>
      <c r="AL69" s="62" t="s">
        <v>1096</v>
      </c>
      <c r="AM69" s="66">
        <f>Table1[[#This Row],[2019 Scope 2 ]]</f>
        <v>176200</v>
      </c>
      <c r="AN69" s="67">
        <f t="shared" si="19"/>
        <v>23600</v>
      </c>
      <c r="AO69" s="68">
        <f t="shared" si="20"/>
        <v>0.11811811811811812</v>
      </c>
      <c r="AP69" s="67">
        <f t="shared" si="21"/>
        <v>0</v>
      </c>
      <c r="AQ69" s="68">
        <f t="shared" si="22"/>
        <v>0</v>
      </c>
      <c r="AR69" s="72">
        <f>Table1[[#This Row],[2019 Scope 3 ]]</f>
        <v>1374540</v>
      </c>
      <c r="AS69" s="71">
        <f t="shared" si="23"/>
        <v>0</v>
      </c>
      <c r="AT69" s="51">
        <f t="shared" si="24"/>
        <v>0</v>
      </c>
      <c r="BI69" s="58">
        <v>12406</v>
      </c>
    </row>
    <row r="70" spans="1:61" x14ac:dyDescent="0.25">
      <c r="A70" s="59">
        <f>companies!A70</f>
        <v>69</v>
      </c>
      <c r="B70" s="61" t="s">
        <v>1056</v>
      </c>
      <c r="C70" s="73" t="s">
        <v>1095</v>
      </c>
      <c r="D70" s="73" t="s">
        <v>1095</v>
      </c>
      <c r="E70" s="73" t="s">
        <v>1095</v>
      </c>
      <c r="F70" s="73" t="s">
        <v>1095</v>
      </c>
      <c r="G70" s="73" t="s">
        <v>1095</v>
      </c>
      <c r="H70" s="73" t="s">
        <v>1095</v>
      </c>
      <c r="I70" s="73" t="s">
        <v>1095</v>
      </c>
      <c r="J70" s="73" t="s">
        <v>1095</v>
      </c>
      <c r="K70" s="73" t="s">
        <v>1095</v>
      </c>
      <c r="L70" s="73" t="s">
        <v>1095</v>
      </c>
      <c r="M70" s="73" t="s">
        <v>1095</v>
      </c>
      <c r="N70" s="73" t="s">
        <v>1095</v>
      </c>
      <c r="O70" s="73" t="s">
        <v>1095</v>
      </c>
      <c r="P70" s="73" t="s">
        <v>1095</v>
      </c>
      <c r="Q70" s="73" t="s">
        <v>1095</v>
      </c>
      <c r="R70" s="73" t="s">
        <v>1095</v>
      </c>
      <c r="S70" s="73" t="s">
        <v>1095</v>
      </c>
      <c r="T70" s="73" t="s">
        <v>1095</v>
      </c>
      <c r="U70" s="73" t="s">
        <v>1095</v>
      </c>
      <c r="V70" s="73" t="s">
        <v>1095</v>
      </c>
      <c r="W70" s="62">
        <f t="shared" si="25"/>
        <v>0</v>
      </c>
      <c r="X70" s="62"/>
      <c r="Y70" s="62"/>
      <c r="Z70" s="62"/>
      <c r="AA70" s="62"/>
      <c r="AB70" s="62"/>
      <c r="AC70" s="62"/>
      <c r="AD70" s="62" t="e">
        <v>#N/A</v>
      </c>
      <c r="AE70" s="62" t="e">
        <v>#N/A</v>
      </c>
      <c r="AF70" s="66" t="str">
        <f>Table1[[#This Row],[2019 Scope 1 (MeT Co2)]]</f>
        <v>NR</v>
      </c>
      <c r="AG70" s="67" t="e">
        <f t="shared" si="17"/>
        <v>#VALUE!</v>
      </c>
      <c r="AH70" s="68" t="e">
        <f t="shared" si="18"/>
        <v>#VALUE!</v>
      </c>
      <c r="AK70" s="62" t="e">
        <v>#N/A</v>
      </c>
      <c r="AL70" s="62" t="e">
        <v>#N/A</v>
      </c>
      <c r="AM70" s="66" t="str">
        <f>Table1[[#This Row],[2019 Scope 2 ]]</f>
        <v>NR</v>
      </c>
      <c r="AN70" s="67" t="e">
        <f t="shared" si="19"/>
        <v>#VALUE!</v>
      </c>
      <c r="AO70" s="68" t="e">
        <f t="shared" si="20"/>
        <v>#VALUE!</v>
      </c>
      <c r="AP70" s="67" t="e">
        <f t="shared" si="21"/>
        <v>#VALUE!</v>
      </c>
      <c r="AQ70" s="68" t="e">
        <f t="shared" si="22"/>
        <v>#VALUE!</v>
      </c>
      <c r="AR70" s="72" t="str">
        <f>Table1[[#This Row],[2019 Scope 3 ]]</f>
        <v>NR</v>
      </c>
      <c r="AS70" s="71" t="e">
        <f t="shared" si="23"/>
        <v>#VALUE!</v>
      </c>
      <c r="AT70" s="51" t="e">
        <f t="shared" si="24"/>
        <v>#VALUE!</v>
      </c>
    </row>
    <row r="71" spans="1:61" x14ac:dyDescent="0.25">
      <c r="A71" s="59">
        <f>companies!A71</f>
        <v>70</v>
      </c>
      <c r="B71" s="61" t="s">
        <v>1056</v>
      </c>
      <c r="C71" s="73" t="s">
        <v>1095</v>
      </c>
      <c r="D71" s="73" t="s">
        <v>1095</v>
      </c>
      <c r="E71" s="73" t="s">
        <v>1095</v>
      </c>
      <c r="F71" s="73" t="s">
        <v>1095</v>
      </c>
      <c r="G71" s="73" t="s">
        <v>1095</v>
      </c>
      <c r="H71" s="73" t="s">
        <v>1095</v>
      </c>
      <c r="I71" s="73" t="s">
        <v>1095</v>
      </c>
      <c r="J71" s="73" t="s">
        <v>1095</v>
      </c>
      <c r="K71" s="73" t="s">
        <v>1095</v>
      </c>
      <c r="L71" s="73" t="s">
        <v>1095</v>
      </c>
      <c r="M71" s="73" t="s">
        <v>1095</v>
      </c>
      <c r="N71" s="73" t="s">
        <v>1095</v>
      </c>
      <c r="O71" s="73" t="s">
        <v>1095</v>
      </c>
      <c r="P71" s="73" t="s">
        <v>1095</v>
      </c>
      <c r="Q71" s="73" t="s">
        <v>1095</v>
      </c>
      <c r="R71" s="73" t="s">
        <v>1095</v>
      </c>
      <c r="S71" s="73" t="s">
        <v>1095</v>
      </c>
      <c r="T71" s="73" t="s">
        <v>1095</v>
      </c>
      <c r="U71" s="73" t="s">
        <v>1095</v>
      </c>
      <c r="V71" s="73" t="s">
        <v>1095</v>
      </c>
      <c r="W71" s="62">
        <f t="shared" si="25"/>
        <v>0</v>
      </c>
      <c r="X71" s="62"/>
      <c r="Y71" s="62"/>
      <c r="Z71" s="62"/>
      <c r="AA71" s="62"/>
      <c r="AB71" s="62"/>
      <c r="AC71" s="62"/>
      <c r="AD71" s="62" t="e">
        <v>#N/A</v>
      </c>
      <c r="AE71" s="62" t="e">
        <v>#N/A</v>
      </c>
      <c r="AF71" s="66" t="str">
        <f>Table1[[#This Row],[2019 Scope 1 (MeT Co2)]]</f>
        <v>NR</v>
      </c>
      <c r="AG71" s="67" t="e">
        <f t="shared" si="17"/>
        <v>#VALUE!</v>
      </c>
      <c r="AH71" s="68" t="e">
        <f t="shared" si="18"/>
        <v>#VALUE!</v>
      </c>
      <c r="AK71" s="62" t="e">
        <v>#N/A</v>
      </c>
      <c r="AL71" s="62" t="e">
        <v>#N/A</v>
      </c>
      <c r="AM71" s="66" t="str">
        <f>Table1[[#This Row],[2019 Scope 2 ]]</f>
        <v>NR</v>
      </c>
      <c r="AN71" s="67" t="e">
        <f t="shared" si="19"/>
        <v>#VALUE!</v>
      </c>
      <c r="AO71" s="68" t="e">
        <f t="shared" si="20"/>
        <v>#VALUE!</v>
      </c>
      <c r="AP71" s="67" t="e">
        <f t="shared" si="21"/>
        <v>#VALUE!</v>
      </c>
      <c r="AQ71" s="68" t="e">
        <f t="shared" si="22"/>
        <v>#VALUE!</v>
      </c>
      <c r="AR71" s="72" t="str">
        <f>Table1[[#This Row],[2019 Scope 3 ]]</f>
        <v>NR</v>
      </c>
      <c r="AS71" s="71" t="e">
        <f t="shared" si="23"/>
        <v>#VALUE!</v>
      </c>
      <c r="AT71" s="51" t="e">
        <f t="shared" si="24"/>
        <v>#VALUE!</v>
      </c>
    </row>
    <row r="72" spans="1:61" x14ac:dyDescent="0.25">
      <c r="A72" s="59">
        <f>companies!A72</f>
        <v>71</v>
      </c>
      <c r="B72" s="61" t="s">
        <v>1056</v>
      </c>
      <c r="C72" s="73">
        <v>46714</v>
      </c>
      <c r="D72" s="73">
        <v>258171</v>
      </c>
      <c r="E72" s="73">
        <v>209065</v>
      </c>
      <c r="F72" s="73">
        <v>7700000</v>
      </c>
      <c r="G72" s="73" t="s">
        <v>1096</v>
      </c>
      <c r="H72" s="73">
        <v>15000</v>
      </c>
      <c r="I72" s="73">
        <v>1100000</v>
      </c>
      <c r="J72" s="73">
        <v>2000</v>
      </c>
      <c r="K72" s="73">
        <v>89000</v>
      </c>
      <c r="L72" s="73">
        <v>131000</v>
      </c>
      <c r="M72" s="62" t="s">
        <v>1096</v>
      </c>
      <c r="N72" s="62">
        <v>101000</v>
      </c>
      <c r="O72" s="62" t="s">
        <v>1096</v>
      </c>
      <c r="P72" s="62">
        <v>6200000</v>
      </c>
      <c r="Q72" s="62">
        <v>439000</v>
      </c>
      <c r="R72" s="73" t="s">
        <v>1096</v>
      </c>
      <c r="S72" s="62" t="s">
        <v>1096</v>
      </c>
      <c r="T72" s="62" t="s">
        <v>1096</v>
      </c>
      <c r="U72" s="62" t="s">
        <v>1096</v>
      </c>
      <c r="V72" s="62" t="s">
        <v>1096</v>
      </c>
      <c r="W72" s="62">
        <f t="shared" si="25"/>
        <v>15777000</v>
      </c>
      <c r="X72" s="73"/>
      <c r="Y72" s="73"/>
      <c r="Z72" s="73"/>
      <c r="AA72" s="73"/>
      <c r="AB72" s="73"/>
      <c r="AC72" s="73"/>
      <c r="AD72" s="62" t="s">
        <v>1066</v>
      </c>
      <c r="AE72" s="62" t="s">
        <v>1067</v>
      </c>
      <c r="AF72" s="66">
        <f>Table1[[#This Row],[2019 Scope 1 (MeT Co2)]]</f>
        <v>46714</v>
      </c>
      <c r="AG72" s="67">
        <f t="shared" si="17"/>
        <v>0</v>
      </c>
      <c r="AH72" s="68">
        <f t="shared" si="18"/>
        <v>0</v>
      </c>
      <c r="AK72" s="62" t="s">
        <v>1066</v>
      </c>
      <c r="AL72" s="62" t="s">
        <v>1067</v>
      </c>
      <c r="AM72" s="66">
        <f>Table1[[#This Row],[2019 Scope 2 ]]</f>
        <v>209065</v>
      </c>
      <c r="AN72" s="67">
        <f t="shared" si="19"/>
        <v>49106</v>
      </c>
      <c r="AO72" s="68">
        <f t="shared" si="20"/>
        <v>0.19020726572697941</v>
      </c>
      <c r="AP72" s="67">
        <f t="shared" si="21"/>
        <v>0</v>
      </c>
      <c r="AQ72" s="68">
        <f t="shared" si="22"/>
        <v>0</v>
      </c>
      <c r="AR72" s="72">
        <f>Table1[[#This Row],[2019 Scope 3 ]]</f>
        <v>3250744</v>
      </c>
      <c r="AS72" s="71">
        <f t="shared" si="23"/>
        <v>12526256</v>
      </c>
      <c r="AT72" s="51">
        <f t="shared" si="24"/>
        <v>0.79395677251695507</v>
      </c>
      <c r="BI72" s="58">
        <v>13279</v>
      </c>
    </row>
    <row r="73" spans="1:61" x14ac:dyDescent="0.25">
      <c r="A73" s="59">
        <f>companies!A73</f>
        <v>72</v>
      </c>
      <c r="B73" s="61" t="s">
        <v>1056</v>
      </c>
      <c r="C73" s="73">
        <v>2817</v>
      </c>
      <c r="D73" s="73">
        <v>74692</v>
      </c>
      <c r="E73" s="73">
        <v>65936</v>
      </c>
      <c r="F73" s="73">
        <v>224687</v>
      </c>
      <c r="G73" s="73">
        <v>72946</v>
      </c>
      <c r="H73" s="73">
        <v>27885</v>
      </c>
      <c r="I73" s="73">
        <v>30380</v>
      </c>
      <c r="J73" s="73">
        <v>752</v>
      </c>
      <c r="K73" s="73">
        <v>31285</v>
      </c>
      <c r="L73" s="73">
        <v>17929</v>
      </c>
      <c r="M73" s="62">
        <v>9329</v>
      </c>
      <c r="N73" s="62" t="s">
        <v>1096</v>
      </c>
      <c r="O73" s="62" t="s">
        <v>1096</v>
      </c>
      <c r="P73" s="62" t="s">
        <v>1096</v>
      </c>
      <c r="Q73" s="62" t="s">
        <v>1096</v>
      </c>
      <c r="R73" s="73" t="s">
        <v>1096</v>
      </c>
      <c r="S73" s="62" t="s">
        <v>1096</v>
      </c>
      <c r="T73" s="62" t="s">
        <v>1096</v>
      </c>
      <c r="U73" s="62" t="s">
        <v>1096</v>
      </c>
      <c r="V73" s="62" t="s">
        <v>1096</v>
      </c>
      <c r="W73" s="62">
        <f t="shared" si="25"/>
        <v>415193</v>
      </c>
      <c r="X73" s="73"/>
      <c r="Y73" s="73"/>
      <c r="Z73" s="73"/>
      <c r="AA73" s="73"/>
      <c r="AB73" s="73"/>
      <c r="AC73" s="73"/>
      <c r="AD73" s="62" t="s">
        <v>1096</v>
      </c>
      <c r="AE73" s="62" t="s">
        <v>1096</v>
      </c>
      <c r="AF73" s="66">
        <f>Table1[[#This Row],[2019 Scope 1 (MeT Co2)]]</f>
        <v>2695</v>
      </c>
      <c r="AG73" s="67">
        <f t="shared" si="17"/>
        <v>122</v>
      </c>
      <c r="AH73" s="68">
        <f t="shared" si="18"/>
        <v>4.3308484203052895E-2</v>
      </c>
      <c r="AK73" s="62" t="s">
        <v>1096</v>
      </c>
      <c r="AL73" s="62" t="s">
        <v>1096</v>
      </c>
      <c r="AM73" s="66">
        <f>Table1[[#This Row],[2019 Scope 2 ]]</f>
        <v>60093</v>
      </c>
      <c r="AN73" s="67">
        <f t="shared" si="19"/>
        <v>14599</v>
      </c>
      <c r="AO73" s="69">
        <f t="shared" si="20"/>
        <v>0.19545600599796498</v>
      </c>
      <c r="AP73" s="67">
        <f t="shared" si="21"/>
        <v>-5843</v>
      </c>
      <c r="AQ73" s="69">
        <f t="shared" si="22"/>
        <v>-8.8616233923804896E-2</v>
      </c>
      <c r="AR73" s="72">
        <f>Table1[[#This Row],[2019 Scope 3 ]]</f>
        <v>427730</v>
      </c>
      <c r="AS73" s="71">
        <f t="shared" si="23"/>
        <v>-12537</v>
      </c>
      <c r="AT73" s="51">
        <f t="shared" si="24"/>
        <v>-3.0195595783165902E-2</v>
      </c>
      <c r="BI73" s="61">
        <v>13604</v>
      </c>
    </row>
    <row r="74" spans="1:61" x14ac:dyDescent="0.25">
      <c r="A74" s="59">
        <f>companies!A74</f>
        <v>73</v>
      </c>
      <c r="B74" s="61" t="s">
        <v>1056</v>
      </c>
      <c r="C74" s="73">
        <v>22430197</v>
      </c>
      <c r="D74" s="73">
        <v>6420000</v>
      </c>
      <c r="E74" s="73" t="s">
        <v>1096</v>
      </c>
      <c r="F74" s="73" t="s">
        <v>1096</v>
      </c>
      <c r="G74" s="73" t="s">
        <v>1096</v>
      </c>
      <c r="H74" s="73" t="s">
        <v>1096</v>
      </c>
      <c r="I74" s="73">
        <v>0</v>
      </c>
      <c r="J74" s="73" t="s">
        <v>1096</v>
      </c>
      <c r="K74" s="73" t="s">
        <v>1096</v>
      </c>
      <c r="L74" s="73" t="s">
        <v>1096</v>
      </c>
      <c r="M74" s="62" t="s">
        <v>1096</v>
      </c>
      <c r="N74" s="62" t="s">
        <v>1096</v>
      </c>
      <c r="O74" s="62">
        <v>103000000</v>
      </c>
      <c r="P74" s="62">
        <v>103000000</v>
      </c>
      <c r="Q74" s="62" t="s">
        <v>1096</v>
      </c>
      <c r="R74" s="73" t="s">
        <v>1096</v>
      </c>
      <c r="S74" s="62" t="s">
        <v>1096</v>
      </c>
      <c r="T74" s="62" t="s">
        <v>1096</v>
      </c>
      <c r="U74" s="62" t="s">
        <v>1096</v>
      </c>
      <c r="V74" s="62" t="s">
        <v>1096</v>
      </c>
      <c r="W74" s="62">
        <f t="shared" si="25"/>
        <v>206000000</v>
      </c>
      <c r="X74" s="62"/>
      <c r="Y74" s="62"/>
      <c r="Z74" s="62"/>
      <c r="AA74" s="62"/>
      <c r="AB74" s="62"/>
      <c r="AC74" s="62"/>
      <c r="AD74" s="62" t="s">
        <v>1096</v>
      </c>
      <c r="AE74" s="62" t="s">
        <v>1096</v>
      </c>
      <c r="AF74" s="66">
        <f>Table1[[#This Row],[2019 Scope 1 (MeT Co2)]]</f>
        <v>22430197</v>
      </c>
      <c r="AG74" s="67">
        <f t="shared" si="17"/>
        <v>0</v>
      </c>
      <c r="AH74" s="68">
        <f t="shared" si="18"/>
        <v>0</v>
      </c>
      <c r="AK74" s="62" t="s">
        <v>1096</v>
      </c>
      <c r="AL74" s="62" t="s">
        <v>1096</v>
      </c>
      <c r="AM74" s="66">
        <f>Table1[[#This Row],[2019 Scope 2 ]]</f>
        <v>6420000</v>
      </c>
      <c r="AN74" s="67">
        <f t="shared" si="19"/>
        <v>0</v>
      </c>
      <c r="AO74" s="68">
        <f t="shared" si="20"/>
        <v>0</v>
      </c>
      <c r="AP74" s="67" t="e">
        <f t="shared" si="21"/>
        <v>#VALUE!</v>
      </c>
      <c r="AQ74" s="68" t="e">
        <f t="shared" si="22"/>
        <v>#VALUE!</v>
      </c>
      <c r="AR74" s="72">
        <f>Table1[[#This Row],[2019 Scope 3 ]]</f>
        <v>103000000</v>
      </c>
      <c r="AS74" s="71">
        <f t="shared" si="23"/>
        <v>103000000</v>
      </c>
      <c r="AT74" s="51">
        <f t="shared" si="24"/>
        <v>0.5</v>
      </c>
      <c r="BI74" s="58">
        <v>13649</v>
      </c>
    </row>
    <row r="75" spans="1:61" x14ac:dyDescent="0.25">
      <c r="A75" s="59">
        <f>companies!A75</f>
        <v>74</v>
      </c>
      <c r="B75" s="61" t="s">
        <v>1056</v>
      </c>
      <c r="C75" s="73">
        <v>16520</v>
      </c>
      <c r="D75" s="73">
        <v>560683</v>
      </c>
      <c r="E75" s="73">
        <v>349022</v>
      </c>
      <c r="F75" s="73">
        <v>1139792</v>
      </c>
      <c r="G75" s="73">
        <v>151888</v>
      </c>
      <c r="H75" s="73">
        <v>21233</v>
      </c>
      <c r="I75" s="73">
        <v>8956</v>
      </c>
      <c r="J75" s="73">
        <v>1055</v>
      </c>
      <c r="K75" s="73">
        <v>173807</v>
      </c>
      <c r="L75" s="73">
        <v>70</v>
      </c>
      <c r="M75" s="62" t="s">
        <v>1096</v>
      </c>
      <c r="N75" s="62">
        <v>35824</v>
      </c>
      <c r="O75" s="62" t="s">
        <v>1096</v>
      </c>
      <c r="P75" s="62" t="s">
        <v>1096</v>
      </c>
      <c r="Q75" s="62" t="s">
        <v>1096</v>
      </c>
      <c r="R75" s="73">
        <v>10915</v>
      </c>
      <c r="S75" s="62" t="s">
        <v>1096</v>
      </c>
      <c r="T75" s="62" t="s">
        <v>1096</v>
      </c>
      <c r="U75" s="62" t="s">
        <v>1096</v>
      </c>
      <c r="V75" s="62" t="s">
        <v>1096</v>
      </c>
      <c r="W75" s="62">
        <f t="shared" si="25"/>
        <v>1543540</v>
      </c>
      <c r="X75" s="73"/>
      <c r="Y75" s="73"/>
      <c r="Z75" s="73"/>
      <c r="AA75" s="73"/>
      <c r="AB75" s="73"/>
      <c r="AC75" s="73"/>
      <c r="AD75" s="62" t="s">
        <v>1096</v>
      </c>
      <c r="AE75" s="62" t="s">
        <v>1096</v>
      </c>
      <c r="AF75" s="66">
        <f>Table1[[#This Row],[2019 Scope 1 (MeT Co2)]]</f>
        <v>16520</v>
      </c>
      <c r="AG75" s="67">
        <f t="shared" si="17"/>
        <v>0</v>
      </c>
      <c r="AH75" s="68">
        <f t="shared" si="18"/>
        <v>0</v>
      </c>
      <c r="AK75" s="62" t="s">
        <v>1096</v>
      </c>
      <c r="AL75" s="62" t="s">
        <v>1096</v>
      </c>
      <c r="AM75" s="66">
        <f>Table1[[#This Row],[2019 Scope 2 ]]</f>
        <v>349022</v>
      </c>
      <c r="AN75" s="67">
        <f t="shared" si="19"/>
        <v>211661</v>
      </c>
      <c r="AO75" s="68">
        <f t="shared" si="20"/>
        <v>0.37750564935979869</v>
      </c>
      <c r="AP75" s="67">
        <f t="shared" si="21"/>
        <v>0</v>
      </c>
      <c r="AQ75" s="68">
        <f t="shared" si="22"/>
        <v>0</v>
      </c>
      <c r="AR75" s="72">
        <f>Table1[[#This Row],[2019 Scope 3 ]]</f>
        <v>1543540</v>
      </c>
      <c r="AS75" s="71">
        <f t="shared" si="23"/>
        <v>0</v>
      </c>
      <c r="AT75" s="51">
        <f t="shared" si="24"/>
        <v>0</v>
      </c>
      <c r="BI75" s="58">
        <v>14013</v>
      </c>
    </row>
    <row r="76" spans="1:61" x14ac:dyDescent="0.25">
      <c r="A76" s="59">
        <f>companies!A76</f>
        <v>75</v>
      </c>
      <c r="B76" s="61" t="s">
        <v>1056</v>
      </c>
      <c r="C76" s="73">
        <v>9897</v>
      </c>
      <c r="D76" s="73" t="s">
        <v>1096</v>
      </c>
      <c r="E76" s="73">
        <v>47911</v>
      </c>
      <c r="F76" s="73" t="s">
        <v>1096</v>
      </c>
      <c r="G76" s="73" t="s">
        <v>1096</v>
      </c>
      <c r="H76" s="73" t="s">
        <v>1096</v>
      </c>
      <c r="I76" s="73" t="s">
        <v>1096</v>
      </c>
      <c r="J76" s="73" t="s">
        <v>1096</v>
      </c>
      <c r="K76" s="73">
        <v>32130.06</v>
      </c>
      <c r="L76" s="73" t="s">
        <v>1096</v>
      </c>
      <c r="M76" s="62" t="s">
        <v>1096</v>
      </c>
      <c r="N76" s="62" t="s">
        <v>1096</v>
      </c>
      <c r="O76" s="62" t="s">
        <v>1096</v>
      </c>
      <c r="P76" s="62" t="s">
        <v>1096</v>
      </c>
      <c r="Q76" s="62" t="s">
        <v>1096</v>
      </c>
      <c r="R76" s="73" t="s">
        <v>1096</v>
      </c>
      <c r="S76" s="62" t="s">
        <v>1096</v>
      </c>
      <c r="T76" s="62" t="s">
        <v>1096</v>
      </c>
      <c r="U76" s="62" t="s">
        <v>1096</v>
      </c>
      <c r="V76" s="62" t="s">
        <v>1096</v>
      </c>
      <c r="W76" s="62">
        <f t="shared" si="25"/>
        <v>32130.06</v>
      </c>
      <c r="X76" s="73"/>
      <c r="Y76" s="73"/>
      <c r="Z76" s="73"/>
      <c r="AA76" s="73"/>
      <c r="AB76" s="73"/>
      <c r="AC76" s="73"/>
      <c r="AD76" s="62" t="s">
        <v>1064</v>
      </c>
      <c r="AE76" s="62" t="s">
        <v>1065</v>
      </c>
      <c r="AF76" s="66">
        <f>Table1[[#This Row],[2019 Scope 1 (MeT Co2)]]</f>
        <v>9900</v>
      </c>
      <c r="AG76" s="67">
        <f t="shared" si="17"/>
        <v>-3</v>
      </c>
      <c r="AH76" s="68">
        <f t="shared" si="18"/>
        <v>-3.031221582297666E-4</v>
      </c>
      <c r="AK76" s="62" t="s">
        <v>1064</v>
      </c>
      <c r="AL76" s="62" t="s">
        <v>1065</v>
      </c>
      <c r="AM76" s="66">
        <f>Table1[[#This Row],[2019 Scope 2 ]]</f>
        <v>47000</v>
      </c>
      <c r="AN76" s="67" t="e">
        <f t="shared" si="19"/>
        <v>#VALUE!</v>
      </c>
      <c r="AO76" s="68" t="e">
        <f t="shared" si="20"/>
        <v>#VALUE!</v>
      </c>
      <c r="AP76" s="67">
        <f t="shared" si="21"/>
        <v>-911</v>
      </c>
      <c r="AQ76" s="68">
        <f t="shared" si="22"/>
        <v>-1.9014422575191502E-2</v>
      </c>
      <c r="AR76" s="72">
        <f>Table1[[#This Row],[2019 Scope 3 ]]</f>
        <v>32100</v>
      </c>
      <c r="AS76" s="71">
        <f t="shared" si="23"/>
        <v>30.06000000000131</v>
      </c>
      <c r="AT76" s="51">
        <f t="shared" si="24"/>
        <v>9.3557248259110962E-4</v>
      </c>
      <c r="BI76" s="61">
        <v>58304</v>
      </c>
    </row>
    <row r="77" spans="1:61" x14ac:dyDescent="0.25">
      <c r="A77" s="59">
        <f>companies!A77</f>
        <v>76</v>
      </c>
      <c r="B77" s="61" t="s">
        <v>1056</v>
      </c>
      <c r="C77" s="73">
        <v>3552415</v>
      </c>
      <c r="D77" s="73">
        <v>1556523</v>
      </c>
      <c r="E77" s="73">
        <v>1425255</v>
      </c>
      <c r="F77" s="73">
        <v>33599797</v>
      </c>
      <c r="G77" s="73">
        <v>600278</v>
      </c>
      <c r="H77" s="73">
        <v>946616</v>
      </c>
      <c r="I77" s="73">
        <v>720951</v>
      </c>
      <c r="J77" s="73">
        <v>25353</v>
      </c>
      <c r="K77" s="73">
        <v>140452</v>
      </c>
      <c r="L77" s="73">
        <v>201663</v>
      </c>
      <c r="M77" s="62" t="s">
        <v>1096</v>
      </c>
      <c r="N77" s="62">
        <v>11088559</v>
      </c>
      <c r="O77" s="62">
        <v>231426</v>
      </c>
      <c r="P77" s="62" t="s">
        <v>1096</v>
      </c>
      <c r="Q77" s="62">
        <v>811130</v>
      </c>
      <c r="R77" s="73" t="s">
        <v>1096</v>
      </c>
      <c r="S77" s="62">
        <v>1843424</v>
      </c>
      <c r="T77" s="62">
        <v>255417</v>
      </c>
      <c r="U77" s="62" t="s">
        <v>1096</v>
      </c>
      <c r="V77" s="62" t="s">
        <v>1096</v>
      </c>
      <c r="W77" s="62">
        <f t="shared" si="25"/>
        <v>50465066</v>
      </c>
      <c r="X77" s="73"/>
      <c r="Y77" s="73"/>
      <c r="Z77" s="73"/>
      <c r="AA77" s="73"/>
      <c r="AB77" s="73"/>
      <c r="AC77" s="73"/>
      <c r="AD77" s="62" t="s">
        <v>1096</v>
      </c>
      <c r="AE77" s="62" t="s">
        <v>1096</v>
      </c>
      <c r="AF77" s="66">
        <f>Table1[[#This Row],[2019 Scope 1 (MeT Co2)]]</f>
        <v>3552415</v>
      </c>
      <c r="AG77" s="67">
        <f t="shared" si="17"/>
        <v>0</v>
      </c>
      <c r="AH77" s="68">
        <f t="shared" si="18"/>
        <v>0</v>
      </c>
      <c r="AK77" s="62" t="s">
        <v>1096</v>
      </c>
      <c r="AL77" s="62" t="s">
        <v>1096</v>
      </c>
      <c r="AM77" s="66">
        <f>Table1[[#This Row],[2019 Scope 2 ]]</f>
        <v>1425255</v>
      </c>
      <c r="AN77" s="67">
        <f t="shared" si="19"/>
        <v>131268</v>
      </c>
      <c r="AO77" s="68">
        <f t="shared" si="20"/>
        <v>8.4334121628784162E-2</v>
      </c>
      <c r="AP77" s="67">
        <f t="shared" si="21"/>
        <v>0</v>
      </c>
      <c r="AQ77" s="68">
        <f t="shared" si="22"/>
        <v>0</v>
      </c>
      <c r="AR77" s="72">
        <f>Table1[[#This Row],[2019 Scope 3 ]]</f>
        <v>50465066</v>
      </c>
      <c r="AS77" s="71">
        <f t="shared" si="23"/>
        <v>0</v>
      </c>
      <c r="AT77" s="51">
        <f t="shared" si="24"/>
        <v>0</v>
      </c>
      <c r="BI77" s="58">
        <v>14605</v>
      </c>
    </row>
    <row r="78" spans="1:61" x14ac:dyDescent="0.25">
      <c r="A78" s="59">
        <f>companies!A78</f>
        <v>77</v>
      </c>
      <c r="B78" s="61" t="s">
        <v>1056</v>
      </c>
      <c r="C78" s="73">
        <v>734638</v>
      </c>
      <c r="D78" s="73">
        <v>762286</v>
      </c>
      <c r="E78" s="73">
        <v>634205</v>
      </c>
      <c r="F78" s="73">
        <v>3794093</v>
      </c>
      <c r="G78" s="73">
        <v>345953</v>
      </c>
      <c r="H78" s="73">
        <v>252909</v>
      </c>
      <c r="I78" s="73">
        <v>873030</v>
      </c>
      <c r="J78" s="73">
        <v>16420</v>
      </c>
      <c r="K78" s="73">
        <v>195718</v>
      </c>
      <c r="L78" s="73">
        <v>60645</v>
      </c>
      <c r="M78" s="62">
        <v>36273</v>
      </c>
      <c r="N78" s="62">
        <v>99576</v>
      </c>
      <c r="O78" s="62" t="s">
        <v>1096</v>
      </c>
      <c r="P78" s="62" t="s">
        <v>1096</v>
      </c>
      <c r="Q78" s="62" t="s">
        <v>1096</v>
      </c>
      <c r="R78" s="73" t="s">
        <v>1096</v>
      </c>
      <c r="S78" s="62" t="s">
        <v>1096</v>
      </c>
      <c r="T78" s="62">
        <v>33892</v>
      </c>
      <c r="U78" s="62" t="s">
        <v>1096</v>
      </c>
      <c r="V78" s="62" t="s">
        <v>1096</v>
      </c>
      <c r="W78" s="62">
        <f t="shared" si="25"/>
        <v>5708509</v>
      </c>
      <c r="X78" s="73"/>
      <c r="Y78" s="73"/>
      <c r="Z78" s="73"/>
      <c r="AA78" s="73"/>
      <c r="AB78" s="73"/>
      <c r="AC78" s="73"/>
      <c r="AD78" s="62" t="s">
        <v>1064</v>
      </c>
      <c r="AE78" s="62" t="s">
        <v>1065</v>
      </c>
      <c r="AF78" s="66">
        <f>Table1[[#This Row],[2019 Scope 1 (MeT Co2)]]</f>
        <v>734638</v>
      </c>
      <c r="AG78" s="67">
        <f t="shared" si="17"/>
        <v>0</v>
      </c>
      <c r="AH78" s="68">
        <f t="shared" si="18"/>
        <v>0</v>
      </c>
      <c r="AK78" s="62" t="s">
        <v>1064</v>
      </c>
      <c r="AL78" s="62" t="s">
        <v>1065</v>
      </c>
      <c r="AM78" s="66">
        <f>Table1[[#This Row],[2019 Scope 2 ]]</f>
        <v>634205</v>
      </c>
      <c r="AN78" s="67">
        <f t="shared" si="19"/>
        <v>128081</v>
      </c>
      <c r="AO78" s="68">
        <f t="shared" si="20"/>
        <v>0.16802223837247438</v>
      </c>
      <c r="AP78" s="67">
        <f t="shared" si="21"/>
        <v>0</v>
      </c>
      <c r="AQ78" s="68">
        <f t="shared" si="22"/>
        <v>0</v>
      </c>
      <c r="AR78" s="72">
        <f>Table1[[#This Row],[2019 Scope 3 ]]</f>
        <v>5674617</v>
      </c>
      <c r="AS78" s="71">
        <f t="shared" si="23"/>
        <v>33892</v>
      </c>
      <c r="AT78" s="51">
        <f t="shared" si="24"/>
        <v>5.9371019648037692E-3</v>
      </c>
      <c r="BI78" s="58">
        <v>14683</v>
      </c>
    </row>
    <row r="79" spans="1:61" x14ac:dyDescent="0.25">
      <c r="A79" s="59">
        <f>companies!A79</f>
        <v>78</v>
      </c>
      <c r="B79" s="61" t="s">
        <v>1056</v>
      </c>
      <c r="C79" s="73">
        <v>397210</v>
      </c>
      <c r="D79" s="73">
        <v>447322</v>
      </c>
      <c r="E79" s="73">
        <v>158672</v>
      </c>
      <c r="F79" s="73">
        <v>3079756</v>
      </c>
      <c r="G79" s="73">
        <v>112716</v>
      </c>
      <c r="H79" s="73">
        <v>113778</v>
      </c>
      <c r="I79" s="73">
        <v>437675</v>
      </c>
      <c r="J79" s="73">
        <v>1832</v>
      </c>
      <c r="K79" s="73">
        <v>111283</v>
      </c>
      <c r="L79" s="73">
        <v>58200</v>
      </c>
      <c r="M79" s="62" t="s">
        <v>1096</v>
      </c>
      <c r="N79" s="62">
        <v>46621</v>
      </c>
      <c r="O79" s="62" t="s">
        <v>1096</v>
      </c>
      <c r="P79" s="62">
        <v>107477</v>
      </c>
      <c r="Q79" s="62">
        <v>57272</v>
      </c>
      <c r="R79" s="73" t="s">
        <v>1096</v>
      </c>
      <c r="S79" s="62" t="s">
        <v>1096</v>
      </c>
      <c r="T79" s="62" t="s">
        <v>1096</v>
      </c>
      <c r="U79" s="62" t="s">
        <v>1096</v>
      </c>
      <c r="V79" s="62" t="s">
        <v>1096</v>
      </c>
      <c r="W79" s="62">
        <f t="shared" si="25"/>
        <v>4126610</v>
      </c>
      <c r="X79" s="73"/>
      <c r="Y79" s="73"/>
      <c r="Z79" s="73"/>
      <c r="AA79" s="73"/>
      <c r="AB79" s="73"/>
      <c r="AC79" s="73"/>
      <c r="AD79" s="62" t="s">
        <v>1096</v>
      </c>
      <c r="AE79" s="62" t="s">
        <v>1096</v>
      </c>
      <c r="AF79" s="66">
        <f>Table1[[#This Row],[2019 Scope 1 (MeT Co2)]]</f>
        <v>397970</v>
      </c>
      <c r="AG79" s="67">
        <f t="shared" si="17"/>
        <v>-760</v>
      </c>
      <c r="AH79" s="68">
        <f t="shared" si="18"/>
        <v>-1.9133455854585737E-3</v>
      </c>
      <c r="AK79" s="62" t="s">
        <v>1096</v>
      </c>
      <c r="AL79" s="62" t="s">
        <v>1096</v>
      </c>
      <c r="AM79" s="66">
        <f>Table1[[#This Row],[2019 Scope 2 ]]</f>
        <v>159188</v>
      </c>
      <c r="AN79" s="67">
        <f t="shared" si="19"/>
        <v>288134</v>
      </c>
      <c r="AO79" s="68">
        <f t="shared" si="20"/>
        <v>0.64413107336549513</v>
      </c>
      <c r="AP79" s="67">
        <f t="shared" si="21"/>
        <v>516</v>
      </c>
      <c r="AQ79" s="68">
        <f t="shared" si="22"/>
        <v>3.2519915296964808E-3</v>
      </c>
      <c r="AR79" s="72">
        <f>Table1[[#This Row],[2019 Scope 3 ]]</f>
        <v>4124842</v>
      </c>
      <c r="AS79" s="71">
        <f t="shared" si="23"/>
        <v>1768</v>
      </c>
      <c r="AT79" s="51">
        <f t="shared" si="24"/>
        <v>4.2843883962865405E-4</v>
      </c>
      <c r="BI79" s="61">
        <v>14712</v>
      </c>
    </row>
    <row r="80" spans="1:61" x14ac:dyDescent="0.25">
      <c r="A80" s="59">
        <f>companies!A80</f>
        <v>79</v>
      </c>
      <c r="B80" s="61" t="s">
        <v>1056</v>
      </c>
      <c r="C80" s="73">
        <v>2210497</v>
      </c>
      <c r="D80" s="73">
        <v>2544389</v>
      </c>
      <c r="E80" s="73">
        <v>1839862</v>
      </c>
      <c r="F80" s="73">
        <v>164210001</v>
      </c>
      <c r="G80" s="73">
        <v>247000</v>
      </c>
      <c r="H80" s="73">
        <v>495000</v>
      </c>
      <c r="I80" s="73">
        <v>0</v>
      </c>
      <c r="J80" s="73">
        <v>9000</v>
      </c>
      <c r="K80" s="73">
        <v>151042</v>
      </c>
      <c r="L80" s="73">
        <v>117000</v>
      </c>
      <c r="M80" s="62" t="s">
        <v>1096</v>
      </c>
      <c r="N80" s="62">
        <v>3700000</v>
      </c>
      <c r="O80" s="62" t="s">
        <v>1096</v>
      </c>
      <c r="P80" s="62">
        <v>199133000</v>
      </c>
      <c r="Q80" s="62">
        <v>13251000</v>
      </c>
      <c r="R80" s="73" t="s">
        <v>1096</v>
      </c>
      <c r="S80" s="62" t="s">
        <v>1096</v>
      </c>
      <c r="T80" s="62" t="s">
        <v>1096</v>
      </c>
      <c r="U80" s="62" t="s">
        <v>1096</v>
      </c>
      <c r="V80" s="62" t="s">
        <v>1096</v>
      </c>
      <c r="W80" s="62">
        <f t="shared" si="25"/>
        <v>381313043</v>
      </c>
      <c r="X80" s="73"/>
      <c r="Y80" s="73"/>
      <c r="Z80" s="73"/>
      <c r="AA80" s="73"/>
      <c r="AB80" s="73"/>
      <c r="AC80" s="73"/>
      <c r="AD80" s="62" t="s">
        <v>1096</v>
      </c>
      <c r="AE80" s="62" t="s">
        <v>1096</v>
      </c>
      <c r="AF80" s="66">
        <f>Table1[[#This Row],[2019 Scope 1 (MeT Co2)]]</f>
        <v>2210000</v>
      </c>
      <c r="AG80" s="67">
        <f t="shared" si="17"/>
        <v>497</v>
      </c>
      <c r="AH80" s="68">
        <f t="shared" si="18"/>
        <v>2.248363150911311E-4</v>
      </c>
      <c r="AK80" s="62" t="s">
        <v>1096</v>
      </c>
      <c r="AL80" s="62" t="s">
        <v>1096</v>
      </c>
      <c r="AM80" s="66">
        <f>Table1[[#This Row],[2019 Scope 2 ]]</f>
        <v>1840000</v>
      </c>
      <c r="AN80" s="67">
        <f t="shared" si="19"/>
        <v>704389</v>
      </c>
      <c r="AO80" s="68">
        <f t="shared" si="20"/>
        <v>0.27684013725888612</v>
      </c>
      <c r="AP80" s="67">
        <f t="shared" si="21"/>
        <v>138</v>
      </c>
      <c r="AQ80" s="68">
        <f t="shared" si="22"/>
        <v>7.5005625421906637E-5</v>
      </c>
      <c r="AR80" s="72">
        <f>Table1[[#This Row],[2019 Scope 3 ]]</f>
        <v>381313043</v>
      </c>
      <c r="AS80" s="71">
        <f t="shared" si="23"/>
        <v>0</v>
      </c>
      <c r="AT80" s="51">
        <f t="shared" si="24"/>
        <v>0</v>
      </c>
      <c r="BI80" s="61">
        <v>15132</v>
      </c>
    </row>
    <row r="81" spans="1:61" x14ac:dyDescent="0.25">
      <c r="A81" s="59">
        <f>companies!A81</f>
        <v>80</v>
      </c>
      <c r="B81" s="61" t="s">
        <v>1056</v>
      </c>
      <c r="C81" s="73">
        <v>78290</v>
      </c>
      <c r="D81" s="73">
        <v>135967</v>
      </c>
      <c r="E81" s="73">
        <v>114060</v>
      </c>
      <c r="F81" s="73" t="s">
        <v>1096</v>
      </c>
      <c r="G81" s="73" t="s">
        <v>1096</v>
      </c>
      <c r="H81" s="73" t="s">
        <v>1096</v>
      </c>
      <c r="I81" s="73" t="s">
        <v>1096</v>
      </c>
      <c r="J81" s="73" t="s">
        <v>1096</v>
      </c>
      <c r="K81" s="73">
        <v>80928</v>
      </c>
      <c r="L81" s="73">
        <v>30324</v>
      </c>
      <c r="M81" s="62" t="s">
        <v>1096</v>
      </c>
      <c r="N81" s="62" t="s">
        <v>1096</v>
      </c>
      <c r="O81" s="62" t="s">
        <v>1096</v>
      </c>
      <c r="P81" s="62" t="s">
        <v>1096</v>
      </c>
      <c r="Q81" s="62" t="s">
        <v>1096</v>
      </c>
      <c r="R81" s="73" t="s">
        <v>1096</v>
      </c>
      <c r="S81" s="62" t="s">
        <v>1096</v>
      </c>
      <c r="T81" s="62" t="s">
        <v>1096</v>
      </c>
      <c r="U81" s="62" t="s">
        <v>1096</v>
      </c>
      <c r="V81" s="62" t="s">
        <v>1096</v>
      </c>
      <c r="W81" s="62">
        <f t="shared" si="25"/>
        <v>111252</v>
      </c>
      <c r="X81" s="73"/>
      <c r="Y81" s="73"/>
      <c r="Z81" s="73"/>
      <c r="AA81" s="73"/>
      <c r="AB81" s="73"/>
      <c r="AC81" s="73"/>
      <c r="AD81" s="62" t="s">
        <v>1096</v>
      </c>
      <c r="AE81" s="62" t="s">
        <v>1096</v>
      </c>
      <c r="AF81" s="66">
        <f>Table1[[#This Row],[2019 Scope 1 (MeT Co2)]]</f>
        <v>75290</v>
      </c>
      <c r="AG81" s="67">
        <f t="shared" si="17"/>
        <v>3000</v>
      </c>
      <c r="AH81" s="68">
        <f t="shared" si="18"/>
        <v>3.8319070123898326E-2</v>
      </c>
      <c r="AK81" s="62" t="s">
        <v>1096</v>
      </c>
      <c r="AL81" s="62" t="s">
        <v>1096</v>
      </c>
      <c r="AM81" s="66">
        <f>Table1[[#This Row],[2019 Scope 2 ]]</f>
        <v>114060</v>
      </c>
      <c r="AN81" s="67">
        <f t="shared" si="19"/>
        <v>21907</v>
      </c>
      <c r="AO81" s="68">
        <f t="shared" si="20"/>
        <v>0.16111997764163363</v>
      </c>
      <c r="AP81" s="67">
        <f t="shared" si="21"/>
        <v>0</v>
      </c>
      <c r="AQ81" s="68">
        <f t="shared" si="22"/>
        <v>0</v>
      </c>
      <c r="AR81" s="72">
        <f>Table1[[#This Row],[2019 Scope 3 ]]</f>
        <v>112252</v>
      </c>
      <c r="AS81" s="71">
        <f t="shared" si="23"/>
        <v>-1000</v>
      </c>
      <c r="AT81" s="51">
        <f t="shared" si="24"/>
        <v>-8.9886024520907486E-3</v>
      </c>
      <c r="BI81" s="61">
        <v>15419</v>
      </c>
    </row>
    <row r="82" spans="1:61" x14ac:dyDescent="0.25">
      <c r="A82" s="59">
        <f>companies!A82</f>
        <v>81</v>
      </c>
      <c r="B82" s="61" t="s">
        <v>1056</v>
      </c>
      <c r="C82" s="73" t="s">
        <v>1095</v>
      </c>
      <c r="D82" s="73" t="s">
        <v>1095</v>
      </c>
      <c r="E82" s="73" t="s">
        <v>1095</v>
      </c>
      <c r="F82" s="73" t="s">
        <v>1095</v>
      </c>
      <c r="G82" s="73" t="s">
        <v>1095</v>
      </c>
      <c r="H82" s="73" t="s">
        <v>1095</v>
      </c>
      <c r="I82" s="73" t="s">
        <v>1095</v>
      </c>
      <c r="J82" s="73" t="s">
        <v>1095</v>
      </c>
      <c r="K82" s="73" t="s">
        <v>1095</v>
      </c>
      <c r="L82" s="73" t="s">
        <v>1095</v>
      </c>
      <c r="M82" s="73" t="s">
        <v>1095</v>
      </c>
      <c r="N82" s="73" t="s">
        <v>1095</v>
      </c>
      <c r="O82" s="73" t="s">
        <v>1095</v>
      </c>
      <c r="P82" s="73" t="s">
        <v>1095</v>
      </c>
      <c r="Q82" s="73" t="s">
        <v>1095</v>
      </c>
      <c r="R82" s="73" t="s">
        <v>1095</v>
      </c>
      <c r="S82" s="73" t="s">
        <v>1095</v>
      </c>
      <c r="T82" s="73" t="s">
        <v>1095</v>
      </c>
      <c r="U82" s="73" t="s">
        <v>1095</v>
      </c>
      <c r="V82" s="73" t="s">
        <v>1095</v>
      </c>
      <c r="W82" s="62">
        <f t="shared" si="25"/>
        <v>0</v>
      </c>
      <c r="X82" s="62"/>
      <c r="Y82" s="62"/>
      <c r="Z82" s="62"/>
      <c r="AA82" s="62"/>
      <c r="AB82" s="62"/>
      <c r="AC82" s="62"/>
      <c r="AD82" s="62" t="e">
        <v>#N/A</v>
      </c>
      <c r="AE82" s="62" t="e">
        <v>#N/A</v>
      </c>
      <c r="AF82" s="66">
        <f>Table1[[#This Row],[2019 Scope 1 (MeT Co2)]]</f>
        <v>612307</v>
      </c>
      <c r="AG82" s="67" t="e">
        <f t="shared" si="17"/>
        <v>#VALUE!</v>
      </c>
      <c r="AH82" s="68" t="e">
        <f t="shared" si="18"/>
        <v>#VALUE!</v>
      </c>
      <c r="AK82" s="62" t="e">
        <v>#N/A</v>
      </c>
      <c r="AL82" s="62" t="e">
        <v>#N/A</v>
      </c>
      <c r="AM82" s="66">
        <f>Table1[[#This Row],[2019 Scope 2 ]]</f>
        <v>1114227</v>
      </c>
      <c r="AN82" s="67" t="e">
        <f t="shared" si="19"/>
        <v>#VALUE!</v>
      </c>
      <c r="AO82" s="68" t="e">
        <f t="shared" si="20"/>
        <v>#VALUE!</v>
      </c>
      <c r="AP82" s="67" t="e">
        <f t="shared" si="21"/>
        <v>#VALUE!</v>
      </c>
      <c r="AQ82" s="68" t="e">
        <f t="shared" si="22"/>
        <v>#VALUE!</v>
      </c>
      <c r="AR82" s="72">
        <f>Table1[[#This Row],[2019 Scope 3 ]]</f>
        <v>11061240</v>
      </c>
      <c r="AS82" s="71">
        <f t="shared" si="23"/>
        <v>-11061240</v>
      </c>
      <c r="AT82" s="51" t="e">
        <f t="shared" si="24"/>
        <v>#DIV/0!</v>
      </c>
    </row>
    <row r="83" spans="1:61" x14ac:dyDescent="0.25">
      <c r="A83" s="59">
        <f>companies!A83</f>
        <v>82</v>
      </c>
      <c r="B83" s="61" t="s">
        <v>1056</v>
      </c>
      <c r="C83" s="73">
        <v>5747</v>
      </c>
      <c r="D83" s="73">
        <v>290938</v>
      </c>
      <c r="E83" s="73">
        <v>134760</v>
      </c>
      <c r="F83" s="73">
        <v>550606</v>
      </c>
      <c r="G83" s="73">
        <v>149751</v>
      </c>
      <c r="H83" s="73">
        <v>25675</v>
      </c>
      <c r="I83" s="73">
        <v>4517</v>
      </c>
      <c r="J83" s="73">
        <v>221</v>
      </c>
      <c r="K83" s="73">
        <v>142000</v>
      </c>
      <c r="L83" s="73">
        <v>36000</v>
      </c>
      <c r="M83" s="62">
        <v>95321</v>
      </c>
      <c r="N83" s="62" t="s">
        <v>1096</v>
      </c>
      <c r="O83" s="62" t="s">
        <v>1096</v>
      </c>
      <c r="P83" s="62">
        <v>22020</v>
      </c>
      <c r="Q83" s="62" t="s">
        <v>1096</v>
      </c>
      <c r="R83" s="73" t="s">
        <v>1096</v>
      </c>
      <c r="S83" s="62" t="s">
        <v>1096</v>
      </c>
      <c r="T83" s="62">
        <v>1440</v>
      </c>
      <c r="U83" s="62" t="s">
        <v>1096</v>
      </c>
      <c r="V83" s="62" t="s">
        <v>1096</v>
      </c>
      <c r="W83" s="62">
        <f t="shared" si="25"/>
        <v>1027551</v>
      </c>
      <c r="X83" s="73"/>
      <c r="Y83" s="73"/>
      <c r="Z83" s="73"/>
      <c r="AA83" s="73"/>
      <c r="AB83" s="73"/>
      <c r="AC83" s="73"/>
      <c r="AD83" s="62" t="s">
        <v>1096</v>
      </c>
      <c r="AE83" s="62" t="s">
        <v>1096</v>
      </c>
      <c r="AF83" s="66">
        <f>Table1[[#This Row],[2019 Scope 1 (MeT Co2)]]</f>
        <v>5000</v>
      </c>
      <c r="AG83" s="67">
        <f t="shared" si="17"/>
        <v>747</v>
      </c>
      <c r="AH83" s="69">
        <f t="shared" si="18"/>
        <v>0.12998085957891073</v>
      </c>
      <c r="AK83" s="62" t="s">
        <v>1096</v>
      </c>
      <c r="AL83" s="62" t="s">
        <v>1096</v>
      </c>
      <c r="AM83" s="66">
        <f>Table1[[#This Row],[2019 Scope 2 ]]</f>
        <v>291000</v>
      </c>
      <c r="AN83" s="67">
        <f t="shared" si="19"/>
        <v>-62</v>
      </c>
      <c r="AO83" s="69">
        <f t="shared" si="20"/>
        <v>-2.131038228076085E-4</v>
      </c>
      <c r="AP83" s="67">
        <f t="shared" si="21"/>
        <v>156240</v>
      </c>
      <c r="AQ83" s="69">
        <f t="shared" si="22"/>
        <v>1.1593944790739092</v>
      </c>
      <c r="AR83" s="72">
        <f>Table1[[#This Row],[2019 Scope 3 ]]</f>
        <v>181000</v>
      </c>
      <c r="AS83" s="71">
        <f t="shared" si="23"/>
        <v>846551</v>
      </c>
      <c r="AT83" s="51">
        <f t="shared" si="24"/>
        <v>0.82385302529996074</v>
      </c>
      <c r="BI83" s="61">
        <v>16158</v>
      </c>
    </row>
    <row r="84" spans="1:61" x14ac:dyDescent="0.25">
      <c r="A84" s="59">
        <f>companies!A84</f>
        <v>83</v>
      </c>
      <c r="B84" s="61" t="s">
        <v>1056</v>
      </c>
      <c r="C84" s="73" t="s">
        <v>1095</v>
      </c>
      <c r="D84" s="73" t="s">
        <v>1095</v>
      </c>
      <c r="E84" s="73" t="s">
        <v>1095</v>
      </c>
      <c r="F84" s="73" t="s">
        <v>1095</v>
      </c>
      <c r="G84" s="73" t="s">
        <v>1095</v>
      </c>
      <c r="H84" s="73" t="s">
        <v>1095</v>
      </c>
      <c r="I84" s="73" t="s">
        <v>1095</v>
      </c>
      <c r="J84" s="73" t="s">
        <v>1095</v>
      </c>
      <c r="K84" s="73" t="s">
        <v>1095</v>
      </c>
      <c r="L84" s="73" t="s">
        <v>1095</v>
      </c>
      <c r="M84" s="73" t="s">
        <v>1095</v>
      </c>
      <c r="N84" s="73" t="s">
        <v>1095</v>
      </c>
      <c r="O84" s="73" t="s">
        <v>1095</v>
      </c>
      <c r="P84" s="73" t="s">
        <v>1095</v>
      </c>
      <c r="Q84" s="73" t="s">
        <v>1095</v>
      </c>
      <c r="R84" s="73" t="s">
        <v>1095</v>
      </c>
      <c r="S84" s="73" t="s">
        <v>1095</v>
      </c>
      <c r="T84" s="73" t="s">
        <v>1095</v>
      </c>
      <c r="U84" s="73" t="s">
        <v>1095</v>
      </c>
      <c r="V84" s="73" t="s">
        <v>1095</v>
      </c>
      <c r="W84" s="62">
        <f t="shared" si="25"/>
        <v>0</v>
      </c>
      <c r="X84" s="62"/>
      <c r="Y84" s="62"/>
      <c r="Z84" s="62"/>
      <c r="AA84" s="62"/>
      <c r="AB84" s="62"/>
      <c r="AC84" s="62"/>
      <c r="AD84" s="62" t="e">
        <v>#N/A</v>
      </c>
      <c r="AE84" s="62" t="e">
        <v>#N/A</v>
      </c>
      <c r="AF84" s="66" t="str">
        <f>Table1[[#This Row],[2019 Scope 1 (MeT Co2)]]</f>
        <v>NR</v>
      </c>
      <c r="AG84" s="67" t="e">
        <f t="shared" si="17"/>
        <v>#VALUE!</v>
      </c>
      <c r="AH84" s="68" t="e">
        <f t="shared" si="18"/>
        <v>#VALUE!</v>
      </c>
      <c r="AK84" s="62" t="e">
        <v>#N/A</v>
      </c>
      <c r="AL84" s="62" t="e">
        <v>#N/A</v>
      </c>
      <c r="AM84" s="66" t="str">
        <f>Table1[[#This Row],[2019 Scope 2 ]]</f>
        <v>NR</v>
      </c>
      <c r="AN84" s="67" t="e">
        <f t="shared" si="19"/>
        <v>#VALUE!</v>
      </c>
      <c r="AO84" s="68" t="e">
        <f t="shared" si="20"/>
        <v>#VALUE!</v>
      </c>
      <c r="AP84" s="67" t="e">
        <f t="shared" si="21"/>
        <v>#VALUE!</v>
      </c>
      <c r="AQ84" s="68" t="e">
        <f t="shared" si="22"/>
        <v>#VALUE!</v>
      </c>
      <c r="AR84" s="72" t="str">
        <f>Table1[[#This Row],[2019 Scope 3 ]]</f>
        <v>NR</v>
      </c>
      <c r="AS84" s="71" t="e">
        <f t="shared" si="23"/>
        <v>#VALUE!</v>
      </c>
      <c r="AT84" s="51" t="e">
        <f t="shared" si="24"/>
        <v>#VALUE!</v>
      </c>
    </row>
    <row r="85" spans="1:61" x14ac:dyDescent="0.25">
      <c r="A85" s="59">
        <f>companies!A85</f>
        <v>84</v>
      </c>
      <c r="B85" s="61" t="s">
        <v>1056</v>
      </c>
      <c r="C85" s="73">
        <v>16863.186000000002</v>
      </c>
      <c r="D85" s="73">
        <v>249714.82</v>
      </c>
      <c r="E85" s="73">
        <v>249714.82</v>
      </c>
      <c r="F85" s="73" t="s">
        <v>1096</v>
      </c>
      <c r="G85" s="73" t="s">
        <v>1096</v>
      </c>
      <c r="H85" s="73">
        <v>11746</v>
      </c>
      <c r="I85" s="73" t="s">
        <v>1096</v>
      </c>
      <c r="J85" s="73">
        <v>136900</v>
      </c>
      <c r="K85" s="73">
        <v>5154</v>
      </c>
      <c r="L85" s="73">
        <v>6531</v>
      </c>
      <c r="M85" s="62" t="s">
        <v>1096</v>
      </c>
      <c r="N85" s="62" t="s">
        <v>1096</v>
      </c>
      <c r="O85" s="62" t="s">
        <v>1096</v>
      </c>
      <c r="P85" s="62" t="s">
        <v>1096</v>
      </c>
      <c r="Q85" s="62" t="s">
        <v>1096</v>
      </c>
      <c r="R85" s="73">
        <v>419157</v>
      </c>
      <c r="S85" s="62" t="s">
        <v>1096</v>
      </c>
      <c r="T85" s="62" t="s">
        <v>1096</v>
      </c>
      <c r="U85" s="62" t="s">
        <v>1096</v>
      </c>
      <c r="V85" s="62" t="s">
        <v>1096</v>
      </c>
      <c r="W85" s="62">
        <f t="shared" si="25"/>
        <v>579488</v>
      </c>
      <c r="X85" s="62"/>
      <c r="Y85" s="62"/>
      <c r="Z85" s="62"/>
      <c r="AA85" s="62"/>
      <c r="AB85" s="62"/>
      <c r="AC85" s="62"/>
      <c r="AD85" s="62" t="s">
        <v>1064</v>
      </c>
      <c r="AE85" s="62" t="s">
        <v>1065</v>
      </c>
      <c r="AF85" s="66">
        <f>Table1[[#This Row],[2019 Scope 1 (MeT Co2)]]</f>
        <v>16863.186000000002</v>
      </c>
      <c r="AG85" s="67">
        <f t="shared" si="17"/>
        <v>0</v>
      </c>
      <c r="AH85" s="68">
        <f t="shared" si="18"/>
        <v>0</v>
      </c>
      <c r="AK85" s="62" t="s">
        <v>1064</v>
      </c>
      <c r="AL85" s="62" t="s">
        <v>1065</v>
      </c>
      <c r="AM85" s="66">
        <f>Table1[[#This Row],[2019 Scope 2 ]]</f>
        <v>249714.82</v>
      </c>
      <c r="AN85" s="67">
        <f t="shared" si="19"/>
        <v>0</v>
      </c>
      <c r="AO85" s="68">
        <f t="shared" si="20"/>
        <v>0</v>
      </c>
      <c r="AP85" s="67">
        <f t="shared" si="21"/>
        <v>0</v>
      </c>
      <c r="AQ85" s="68">
        <f t="shared" si="22"/>
        <v>0</v>
      </c>
      <c r="AR85" s="72">
        <f>Table1[[#This Row],[2019 Scope 3 ]]</f>
        <v>579588</v>
      </c>
      <c r="AS85" s="71">
        <f t="shared" si="23"/>
        <v>-100</v>
      </c>
      <c r="AT85" s="51">
        <f t="shared" si="24"/>
        <v>-1.7256612733999668E-4</v>
      </c>
      <c r="BI85" s="58">
        <v>17069</v>
      </c>
    </row>
    <row r="86" spans="1:61" x14ac:dyDescent="0.25">
      <c r="A86" s="59">
        <f>companies!A86</f>
        <v>85</v>
      </c>
      <c r="B86" s="61" t="s">
        <v>1056</v>
      </c>
      <c r="C86" s="73">
        <v>88213565</v>
      </c>
      <c r="D86" s="73">
        <v>36845</v>
      </c>
      <c r="E86" s="73">
        <v>35568</v>
      </c>
      <c r="F86" s="73" t="s">
        <v>1096</v>
      </c>
      <c r="G86" s="73" t="s">
        <v>1096</v>
      </c>
      <c r="H86" s="73">
        <v>3423778</v>
      </c>
      <c r="I86" s="73" t="s">
        <v>1096</v>
      </c>
      <c r="J86" s="73" t="s">
        <v>1096</v>
      </c>
      <c r="K86" s="73" t="s">
        <v>1096</v>
      </c>
      <c r="L86" s="73" t="s">
        <v>1096</v>
      </c>
      <c r="M86" s="62">
        <v>88879</v>
      </c>
      <c r="N86" s="62" t="s">
        <v>1096</v>
      </c>
      <c r="O86" s="62" t="s">
        <v>1096</v>
      </c>
      <c r="P86" s="62">
        <v>35260791</v>
      </c>
      <c r="Q86" s="62" t="s">
        <v>1096</v>
      </c>
      <c r="R86" s="73" t="s">
        <v>1096</v>
      </c>
      <c r="S86" s="62" t="s">
        <v>1096</v>
      </c>
      <c r="T86" s="62" t="s">
        <v>1096</v>
      </c>
      <c r="U86" s="62" t="s">
        <v>1096</v>
      </c>
      <c r="V86" s="62" t="s">
        <v>1096</v>
      </c>
      <c r="W86" s="62">
        <f t="shared" si="25"/>
        <v>38773448</v>
      </c>
      <c r="X86" s="73"/>
      <c r="Y86" s="73"/>
      <c r="Z86" s="73"/>
      <c r="AA86" s="73"/>
      <c r="AB86" s="73"/>
      <c r="AC86" s="73"/>
      <c r="AD86" s="62" t="s">
        <v>1096</v>
      </c>
      <c r="AE86" s="62" t="s">
        <v>1096</v>
      </c>
      <c r="AF86" s="66">
        <f>Table1[[#This Row],[2019 Scope 1 (MeT Co2)]]</f>
        <v>88213565</v>
      </c>
      <c r="AG86" s="67">
        <f t="shared" si="17"/>
        <v>0</v>
      </c>
      <c r="AH86" s="68">
        <f t="shared" si="18"/>
        <v>0</v>
      </c>
      <c r="AK86" s="62" t="s">
        <v>1096</v>
      </c>
      <c r="AL86" s="62" t="s">
        <v>1096</v>
      </c>
      <c r="AM86" s="66">
        <f>Table1[[#This Row],[2019 Scope 2 ]]</f>
        <v>35568</v>
      </c>
      <c r="AN86" s="67">
        <f t="shared" si="19"/>
        <v>1277</v>
      </c>
      <c r="AO86" s="68">
        <f t="shared" si="20"/>
        <v>3.4658705387433847E-2</v>
      </c>
      <c r="AP86" s="67">
        <f t="shared" si="21"/>
        <v>0</v>
      </c>
      <c r="AQ86" s="68">
        <f t="shared" si="22"/>
        <v>0</v>
      </c>
      <c r="AR86" s="72">
        <f>Table1[[#This Row],[2019 Scope 3 ]]</f>
        <v>38773448</v>
      </c>
      <c r="AS86" s="71">
        <f t="shared" si="23"/>
        <v>0</v>
      </c>
      <c r="AT86" s="51">
        <f t="shared" si="24"/>
        <v>0</v>
      </c>
      <c r="BI86" s="58">
        <v>18951</v>
      </c>
    </row>
    <row r="87" spans="1:61" x14ac:dyDescent="0.25">
      <c r="A87" s="59">
        <f>companies!A87</f>
        <v>86</v>
      </c>
      <c r="B87" s="61" t="s">
        <v>1056</v>
      </c>
      <c r="C87" s="73">
        <v>381198.61</v>
      </c>
      <c r="D87" s="73">
        <v>790373.35</v>
      </c>
      <c r="E87" s="73">
        <v>281700.89</v>
      </c>
      <c r="F87" s="73">
        <v>8844532.7100000009</v>
      </c>
      <c r="G87" s="73">
        <v>1549767.91</v>
      </c>
      <c r="H87" s="73">
        <v>1339261.73</v>
      </c>
      <c r="I87" s="73">
        <v>544171.31000000006</v>
      </c>
      <c r="J87" s="73">
        <v>1022025.11</v>
      </c>
      <c r="K87" s="73">
        <v>19035.53</v>
      </c>
      <c r="L87" s="73">
        <v>821116.5</v>
      </c>
      <c r="M87" s="62" t="s">
        <v>1096</v>
      </c>
      <c r="N87" s="62" t="s">
        <v>1096</v>
      </c>
      <c r="O87" s="62">
        <v>62449.06</v>
      </c>
      <c r="P87" s="62">
        <v>149443.20000000001</v>
      </c>
      <c r="Q87" s="62">
        <v>612189.99</v>
      </c>
      <c r="R87" s="73" t="s">
        <v>1096</v>
      </c>
      <c r="S87" s="62" t="s">
        <v>1096</v>
      </c>
      <c r="T87" s="62" t="s">
        <v>1096</v>
      </c>
      <c r="U87" s="62" t="s">
        <v>1096</v>
      </c>
      <c r="V87" s="62" t="s">
        <v>1096</v>
      </c>
      <c r="W87" s="62">
        <f t="shared" si="25"/>
        <v>14963993.050000001</v>
      </c>
      <c r="X87" s="62"/>
      <c r="Y87" s="62"/>
      <c r="Z87" s="62"/>
      <c r="AA87" s="62"/>
      <c r="AB87" s="62"/>
      <c r="AC87" s="62"/>
      <c r="AD87" s="62" t="s">
        <v>1096</v>
      </c>
      <c r="AE87" s="62" t="s">
        <v>1096</v>
      </c>
      <c r="AF87" s="66">
        <f>Table1[[#This Row],[2019 Scope 1 (MeT Co2)]]</f>
        <v>381198.61</v>
      </c>
      <c r="AG87" s="67">
        <f t="shared" si="17"/>
        <v>0</v>
      </c>
      <c r="AH87" s="68">
        <f t="shared" si="18"/>
        <v>0</v>
      </c>
      <c r="AK87" s="62" t="s">
        <v>1096</v>
      </c>
      <c r="AL87" s="62" t="s">
        <v>1096</v>
      </c>
      <c r="AM87" s="66">
        <f>Table1[[#This Row],[2019 Scope 2 ]]</f>
        <v>281700.89</v>
      </c>
      <c r="AN87" s="67">
        <f t="shared" si="19"/>
        <v>508672.45999999996</v>
      </c>
      <c r="AO87" s="68">
        <f t="shared" si="20"/>
        <v>0.64358503484460849</v>
      </c>
      <c r="AP87" s="67">
        <f t="shared" si="21"/>
        <v>0</v>
      </c>
      <c r="AQ87" s="68">
        <f t="shared" si="22"/>
        <v>0</v>
      </c>
      <c r="AR87" s="72">
        <f>Table1[[#This Row],[2019 Scope 3 ]]</f>
        <v>14963993.050000001</v>
      </c>
      <c r="AS87" s="71">
        <f t="shared" si="23"/>
        <v>0</v>
      </c>
      <c r="AT87" s="51">
        <f t="shared" si="24"/>
        <v>0</v>
      </c>
      <c r="BI87" s="58">
        <v>17652</v>
      </c>
    </row>
    <row r="88" spans="1:61" x14ac:dyDescent="0.25">
      <c r="A88" s="59">
        <f>companies!A88</f>
        <v>87</v>
      </c>
      <c r="B88" s="61" t="s">
        <v>1056</v>
      </c>
      <c r="C88" s="73">
        <v>752552</v>
      </c>
      <c r="D88" s="73">
        <v>1680682</v>
      </c>
      <c r="E88" s="73">
        <v>1545898</v>
      </c>
      <c r="F88" s="73">
        <v>27389000</v>
      </c>
      <c r="G88" s="73">
        <v>743000</v>
      </c>
      <c r="H88" s="73">
        <v>509000</v>
      </c>
      <c r="I88" s="73">
        <v>1655000</v>
      </c>
      <c r="J88" s="73">
        <v>271000</v>
      </c>
      <c r="K88" s="73">
        <v>22000</v>
      </c>
      <c r="L88" s="73">
        <v>585000</v>
      </c>
      <c r="M88" s="62" t="s">
        <v>1096</v>
      </c>
      <c r="N88" s="62">
        <v>5672000</v>
      </c>
      <c r="O88" s="62" t="s">
        <v>1096</v>
      </c>
      <c r="P88" s="62">
        <v>12897000</v>
      </c>
      <c r="Q88" s="62">
        <v>2306000</v>
      </c>
      <c r="R88" s="73" t="s">
        <v>1096</v>
      </c>
      <c r="S88" s="62" t="s">
        <v>1096</v>
      </c>
      <c r="T88" s="62" t="s">
        <v>1096</v>
      </c>
      <c r="U88" s="62" t="s">
        <v>1096</v>
      </c>
      <c r="V88" s="62" t="s">
        <v>1096</v>
      </c>
      <c r="W88" s="62">
        <f t="shared" si="25"/>
        <v>52049000</v>
      </c>
      <c r="X88" s="73"/>
      <c r="Y88" s="73"/>
      <c r="Z88" s="73"/>
      <c r="AA88" s="73"/>
      <c r="AB88" s="73"/>
      <c r="AC88" s="73"/>
      <c r="AD88" s="62" t="s">
        <v>1096</v>
      </c>
      <c r="AE88" s="62" t="s">
        <v>1096</v>
      </c>
      <c r="AF88" s="66">
        <f>Table1[[#This Row],[2019 Scope 1 (MeT Co2)]]</f>
        <v>752552</v>
      </c>
      <c r="AG88" s="67">
        <f t="shared" si="17"/>
        <v>0</v>
      </c>
      <c r="AH88" s="68">
        <f t="shared" si="18"/>
        <v>0</v>
      </c>
      <c r="AK88" s="62" t="s">
        <v>1096</v>
      </c>
      <c r="AL88" s="62" t="s">
        <v>1096</v>
      </c>
      <c r="AM88" s="66">
        <f>Table1[[#This Row],[2019 Scope 2 ]]</f>
        <v>1545898</v>
      </c>
      <c r="AN88" s="67">
        <f t="shared" si="19"/>
        <v>134784</v>
      </c>
      <c r="AO88" s="68">
        <f t="shared" si="20"/>
        <v>8.0196015665069301E-2</v>
      </c>
      <c r="AP88" s="67">
        <f t="shared" si="21"/>
        <v>0</v>
      </c>
      <c r="AQ88" s="68">
        <f t="shared" si="22"/>
        <v>0</v>
      </c>
      <c r="AR88" s="72">
        <f>Table1[[#This Row],[2019 Scope 3 ]]</f>
        <v>52049000</v>
      </c>
      <c r="AS88" s="71">
        <f t="shared" si="23"/>
        <v>0</v>
      </c>
      <c r="AT88" s="51">
        <f t="shared" si="24"/>
        <v>0</v>
      </c>
      <c r="BI88" s="58">
        <v>18320</v>
      </c>
    </row>
    <row r="89" spans="1:61" x14ac:dyDescent="0.25">
      <c r="A89" s="59">
        <f>companies!A89</f>
        <v>88</v>
      </c>
      <c r="B89" s="61" t="s">
        <v>1056</v>
      </c>
      <c r="C89" s="73">
        <v>966579</v>
      </c>
      <c r="D89" s="73">
        <v>1054751</v>
      </c>
      <c r="E89" s="73">
        <v>13430</v>
      </c>
      <c r="F89" s="73" t="s">
        <v>1096</v>
      </c>
      <c r="G89" s="73" t="s">
        <v>1096</v>
      </c>
      <c r="H89" s="73" t="s">
        <v>1096</v>
      </c>
      <c r="I89" s="73" t="s">
        <v>1096</v>
      </c>
      <c r="J89" s="73" t="s">
        <v>1096</v>
      </c>
      <c r="K89" s="73">
        <v>27544</v>
      </c>
      <c r="L89" s="73" t="s">
        <v>1096</v>
      </c>
      <c r="M89" s="62" t="s">
        <v>1096</v>
      </c>
      <c r="N89" s="62" t="s">
        <v>1096</v>
      </c>
      <c r="O89" s="62" t="s">
        <v>1096</v>
      </c>
      <c r="P89" s="62" t="s">
        <v>1096</v>
      </c>
      <c r="Q89" s="62" t="s">
        <v>1096</v>
      </c>
      <c r="R89" s="73" t="s">
        <v>1096</v>
      </c>
      <c r="S89" s="62" t="s">
        <v>1096</v>
      </c>
      <c r="T89" s="62" t="s">
        <v>1096</v>
      </c>
      <c r="U89" s="62" t="s">
        <v>1096</v>
      </c>
      <c r="V89" s="62" t="s">
        <v>1096</v>
      </c>
      <c r="W89" s="62">
        <f t="shared" si="25"/>
        <v>27544</v>
      </c>
      <c r="X89" s="73"/>
      <c r="Y89" s="73"/>
      <c r="Z89" s="73"/>
      <c r="AA89" s="73"/>
      <c r="AB89" s="73"/>
      <c r="AC89" s="73"/>
      <c r="AD89" s="62" t="s">
        <v>1096</v>
      </c>
      <c r="AE89" s="62" t="s">
        <v>1096</v>
      </c>
      <c r="AF89" s="66">
        <f>Table1[[#This Row],[2019 Scope 1 (MeT Co2)]]</f>
        <v>966579</v>
      </c>
      <c r="AG89" s="67">
        <f t="shared" si="17"/>
        <v>0</v>
      </c>
      <c r="AH89" s="68">
        <f t="shared" si="18"/>
        <v>0</v>
      </c>
      <c r="AK89" s="62" t="s">
        <v>1096</v>
      </c>
      <c r="AL89" s="62" t="s">
        <v>1096</v>
      </c>
      <c r="AM89" s="66">
        <f>Table1[[#This Row],[2019 Scope 2 ]]</f>
        <v>13430</v>
      </c>
      <c r="AN89" s="67">
        <f t="shared" si="19"/>
        <v>1041321</v>
      </c>
      <c r="AO89" s="68">
        <f t="shared" si="20"/>
        <v>0.98726713698304147</v>
      </c>
      <c r="AP89" s="67">
        <f t="shared" si="21"/>
        <v>0</v>
      </c>
      <c r="AQ89" s="68">
        <f t="shared" si="22"/>
        <v>0</v>
      </c>
      <c r="AR89" s="72" t="str">
        <f>Table1[[#This Row],[2019 Scope 3 ]]</f>
        <v>NR</v>
      </c>
      <c r="AS89" s="71" t="e">
        <f t="shared" si="23"/>
        <v>#VALUE!</v>
      </c>
      <c r="AT89" s="51" t="e">
        <f t="shared" si="24"/>
        <v>#VALUE!</v>
      </c>
      <c r="BI89" s="58">
        <v>18640</v>
      </c>
    </row>
    <row r="90" spans="1:61" x14ac:dyDescent="0.25">
      <c r="A90" s="59">
        <f>companies!A90</f>
        <v>89</v>
      </c>
      <c r="B90" s="61" t="s">
        <v>1056</v>
      </c>
      <c r="C90" s="73">
        <v>8102</v>
      </c>
      <c r="D90" s="73">
        <v>130205</v>
      </c>
      <c r="E90" s="73">
        <v>3397</v>
      </c>
      <c r="F90" s="73">
        <v>292735</v>
      </c>
      <c r="G90" s="73">
        <v>37090</v>
      </c>
      <c r="H90" s="73">
        <v>12987</v>
      </c>
      <c r="I90" s="73">
        <v>1719</v>
      </c>
      <c r="J90" s="73">
        <v>638</v>
      </c>
      <c r="K90" s="73">
        <v>14605</v>
      </c>
      <c r="L90" s="73">
        <v>72090</v>
      </c>
      <c r="M90" s="62" t="s">
        <v>1096</v>
      </c>
      <c r="N90" s="62" t="s">
        <v>1096</v>
      </c>
      <c r="O90" s="62" t="s">
        <v>1096</v>
      </c>
      <c r="P90" s="62" t="s">
        <v>1096</v>
      </c>
      <c r="Q90" s="62" t="s">
        <v>1096</v>
      </c>
      <c r="R90" s="73">
        <v>3095</v>
      </c>
      <c r="S90" s="62" t="s">
        <v>1096</v>
      </c>
      <c r="T90" s="62" t="s">
        <v>1096</v>
      </c>
      <c r="U90" s="62" t="s">
        <v>1096</v>
      </c>
      <c r="V90" s="62" t="s">
        <v>1096</v>
      </c>
      <c r="W90" s="62">
        <f t="shared" si="25"/>
        <v>434959</v>
      </c>
      <c r="X90" s="73"/>
      <c r="Y90" s="73"/>
      <c r="Z90" s="73"/>
      <c r="AA90" s="73"/>
      <c r="AB90" s="73"/>
      <c r="AC90" s="73"/>
      <c r="AD90" s="62" t="s">
        <v>1096</v>
      </c>
      <c r="AE90" s="62" t="s">
        <v>1096</v>
      </c>
      <c r="AF90" s="66">
        <f>Table1[[#This Row],[2019 Scope 1 (MeT Co2)]]</f>
        <v>8102</v>
      </c>
      <c r="AG90" s="67">
        <f t="shared" si="17"/>
        <v>0</v>
      </c>
      <c r="AH90" s="68">
        <f t="shared" si="18"/>
        <v>0</v>
      </c>
      <c r="AK90" s="62" t="s">
        <v>1096</v>
      </c>
      <c r="AL90" s="62" t="s">
        <v>1096</v>
      </c>
      <c r="AM90" s="66">
        <f>Table1[[#This Row],[2019 Scope 2 ]]</f>
        <v>3397</v>
      </c>
      <c r="AN90" s="67">
        <f t="shared" si="19"/>
        <v>126808</v>
      </c>
      <c r="AO90" s="68">
        <f t="shared" si="20"/>
        <v>0.97391037210552589</v>
      </c>
      <c r="AP90" s="67">
        <f t="shared" si="21"/>
        <v>0</v>
      </c>
      <c r="AQ90" s="68">
        <f t="shared" si="22"/>
        <v>0</v>
      </c>
      <c r="AR90" s="72">
        <f>Table1[[#This Row],[2019 Scope 3 ]]</f>
        <v>14605</v>
      </c>
      <c r="AS90" s="71">
        <f t="shared" si="23"/>
        <v>420354</v>
      </c>
      <c r="AT90" s="51">
        <f t="shared" si="24"/>
        <v>0.96642212254488358</v>
      </c>
      <c r="BI90" s="58">
        <v>1464</v>
      </c>
    </row>
    <row r="91" spans="1:61" x14ac:dyDescent="0.25">
      <c r="A91" s="59">
        <f>companies!A91</f>
        <v>90</v>
      </c>
      <c r="B91" s="61" t="s">
        <v>1056</v>
      </c>
      <c r="C91" s="73">
        <v>855073</v>
      </c>
      <c r="D91" s="73">
        <v>1010307</v>
      </c>
      <c r="E91" s="73">
        <v>931544</v>
      </c>
      <c r="F91" s="73" t="s">
        <v>1096</v>
      </c>
      <c r="G91" s="73" t="s">
        <v>1096</v>
      </c>
      <c r="H91" s="73" t="s">
        <v>1096</v>
      </c>
      <c r="I91" s="73" t="s">
        <v>1096</v>
      </c>
      <c r="J91" s="73" t="s">
        <v>1096</v>
      </c>
      <c r="K91" s="73" t="s">
        <v>1096</v>
      </c>
      <c r="L91" s="73" t="s">
        <v>1096</v>
      </c>
      <c r="M91" s="62" t="s">
        <v>1096</v>
      </c>
      <c r="N91" s="62" t="s">
        <v>1096</v>
      </c>
      <c r="O91" s="62" t="s">
        <v>1096</v>
      </c>
      <c r="P91" s="62" t="s">
        <v>1096</v>
      </c>
      <c r="Q91" s="62" t="s">
        <v>1096</v>
      </c>
      <c r="R91" s="73" t="s">
        <v>1096</v>
      </c>
      <c r="S91" s="62" t="s">
        <v>1096</v>
      </c>
      <c r="T91" s="62" t="s">
        <v>1096</v>
      </c>
      <c r="U91" s="62" t="s">
        <v>1096</v>
      </c>
      <c r="V91" s="62" t="s">
        <v>1096</v>
      </c>
      <c r="W91" s="62">
        <f t="shared" si="25"/>
        <v>0</v>
      </c>
      <c r="X91" s="73"/>
      <c r="Y91" s="73"/>
      <c r="Z91" s="73"/>
      <c r="AA91" s="73"/>
      <c r="AB91" s="73"/>
      <c r="AC91" s="73"/>
      <c r="AD91" s="62" t="s">
        <v>1096</v>
      </c>
      <c r="AE91" s="62" t="s">
        <v>1096</v>
      </c>
      <c r="AF91" s="66">
        <f>Table1[[#This Row],[2019 Scope 1 (MeT Co2)]]</f>
        <v>855073</v>
      </c>
      <c r="AG91" s="67">
        <f t="shared" si="17"/>
        <v>0</v>
      </c>
      <c r="AH91" s="68">
        <f t="shared" si="18"/>
        <v>0</v>
      </c>
      <c r="AK91" s="62" t="s">
        <v>1096</v>
      </c>
      <c r="AL91" s="62" t="s">
        <v>1096</v>
      </c>
      <c r="AM91" s="66">
        <f>Table1[[#This Row],[2019 Scope 2 ]]</f>
        <v>931544</v>
      </c>
      <c r="AN91" s="67">
        <f t="shared" si="19"/>
        <v>78763</v>
      </c>
      <c r="AO91" s="68">
        <f t="shared" si="20"/>
        <v>7.7959471724931131E-2</v>
      </c>
      <c r="AP91" s="67">
        <f t="shared" si="21"/>
        <v>0</v>
      </c>
      <c r="AQ91" s="68">
        <f t="shared" si="22"/>
        <v>0</v>
      </c>
      <c r="AR91" s="72" t="str">
        <f>Table1[[#This Row],[2019 Scope 3 ]]</f>
        <v>NR</v>
      </c>
      <c r="AS91" s="71" t="e">
        <f t="shared" si="23"/>
        <v>#VALUE!</v>
      </c>
      <c r="AT91" s="51" t="e">
        <f t="shared" si="24"/>
        <v>#VALUE!</v>
      </c>
      <c r="BI91" s="58">
        <v>20384</v>
      </c>
    </row>
    <row r="92" spans="1:61" x14ac:dyDescent="0.25">
      <c r="A92" s="59">
        <f>companies!A92</f>
        <v>91</v>
      </c>
      <c r="B92" s="61" t="s">
        <v>1056</v>
      </c>
      <c r="C92" s="73" t="s">
        <v>1095</v>
      </c>
      <c r="D92" s="73" t="s">
        <v>1095</v>
      </c>
      <c r="E92" s="73" t="s">
        <v>1095</v>
      </c>
      <c r="F92" s="73" t="s">
        <v>1095</v>
      </c>
      <c r="G92" s="73" t="s">
        <v>1095</v>
      </c>
      <c r="H92" s="73" t="s">
        <v>1095</v>
      </c>
      <c r="I92" s="73" t="s">
        <v>1095</v>
      </c>
      <c r="J92" s="73" t="s">
        <v>1095</v>
      </c>
      <c r="K92" s="73" t="s">
        <v>1095</v>
      </c>
      <c r="L92" s="73" t="s">
        <v>1095</v>
      </c>
      <c r="M92" s="73" t="s">
        <v>1095</v>
      </c>
      <c r="N92" s="73" t="s">
        <v>1095</v>
      </c>
      <c r="O92" s="73" t="s">
        <v>1095</v>
      </c>
      <c r="P92" s="73" t="s">
        <v>1095</v>
      </c>
      <c r="Q92" s="73" t="s">
        <v>1095</v>
      </c>
      <c r="R92" s="73" t="s">
        <v>1095</v>
      </c>
      <c r="S92" s="73" t="s">
        <v>1095</v>
      </c>
      <c r="T92" s="73" t="s">
        <v>1095</v>
      </c>
      <c r="U92" s="73" t="s">
        <v>1095</v>
      </c>
      <c r="V92" s="73" t="s">
        <v>1095</v>
      </c>
      <c r="W92" s="62">
        <f t="shared" si="25"/>
        <v>0</v>
      </c>
      <c r="X92" s="62"/>
      <c r="Y92" s="62"/>
      <c r="Z92" s="62"/>
      <c r="AA92" s="62"/>
      <c r="AB92" s="62"/>
      <c r="AC92" s="62"/>
      <c r="AD92" s="62" t="e">
        <v>#N/A</v>
      </c>
      <c r="AE92" s="62" t="e">
        <v>#N/A</v>
      </c>
      <c r="AF92" s="66" t="str">
        <f>Table1[[#This Row],[2019 Scope 1 (MeT Co2)]]</f>
        <v>NR</v>
      </c>
      <c r="AG92" s="67" t="e">
        <f t="shared" si="17"/>
        <v>#VALUE!</v>
      </c>
      <c r="AH92" s="68" t="e">
        <f t="shared" si="18"/>
        <v>#VALUE!</v>
      </c>
      <c r="AK92" s="62" t="e">
        <v>#N/A</v>
      </c>
      <c r="AL92" s="62" t="e">
        <v>#N/A</v>
      </c>
      <c r="AM92" s="66" t="str">
        <f>Table1[[#This Row],[2019 Scope 2 ]]</f>
        <v>NR</v>
      </c>
      <c r="AN92" s="67" t="e">
        <f t="shared" si="19"/>
        <v>#VALUE!</v>
      </c>
      <c r="AO92" s="68" t="e">
        <f t="shared" si="20"/>
        <v>#VALUE!</v>
      </c>
      <c r="AP92" s="67" t="e">
        <f t="shared" si="21"/>
        <v>#VALUE!</v>
      </c>
      <c r="AQ92" s="68" t="e">
        <f t="shared" si="22"/>
        <v>#VALUE!</v>
      </c>
      <c r="AR92" s="72" t="str">
        <f>Table1[[#This Row],[2019 Scope 3 ]]</f>
        <v>NR</v>
      </c>
      <c r="AS92" s="71" t="e">
        <f t="shared" si="23"/>
        <v>#VALUE!</v>
      </c>
      <c r="AT92" s="51" t="e">
        <f t="shared" si="24"/>
        <v>#VALUE!</v>
      </c>
    </row>
    <row r="93" spans="1:61" x14ac:dyDescent="0.25">
      <c r="A93" s="59">
        <f>companies!A93</f>
        <v>92</v>
      </c>
      <c r="B93" s="61" t="s">
        <v>1056</v>
      </c>
      <c r="C93" s="73">
        <v>10066595</v>
      </c>
      <c r="D93" s="73">
        <v>344024</v>
      </c>
      <c r="E93" s="73">
        <v>314075</v>
      </c>
      <c r="F93" s="73">
        <v>11587</v>
      </c>
      <c r="G93" s="73">
        <v>197684</v>
      </c>
      <c r="H93" s="73">
        <v>2486703</v>
      </c>
      <c r="I93" s="73">
        <v>7967</v>
      </c>
      <c r="J93" s="73">
        <v>452268</v>
      </c>
      <c r="K93" s="73">
        <v>15499</v>
      </c>
      <c r="L93" s="73">
        <v>3712</v>
      </c>
      <c r="M93" s="62" t="s">
        <v>1096</v>
      </c>
      <c r="N93" s="62" t="s">
        <v>1096</v>
      </c>
      <c r="O93" s="62" t="s">
        <v>1096</v>
      </c>
      <c r="P93" s="62" t="s">
        <v>1096</v>
      </c>
      <c r="Q93" s="62" t="s">
        <v>1096</v>
      </c>
      <c r="R93" s="73" t="s">
        <v>1096</v>
      </c>
      <c r="S93" s="62" t="s">
        <v>1096</v>
      </c>
      <c r="T93" s="62" t="s">
        <v>1096</v>
      </c>
      <c r="U93" s="62" t="s">
        <v>1096</v>
      </c>
      <c r="V93" s="62" t="s">
        <v>1096</v>
      </c>
      <c r="W93" s="62">
        <f t="shared" si="25"/>
        <v>3175420</v>
      </c>
      <c r="X93" s="73"/>
      <c r="Y93" s="73"/>
      <c r="Z93" s="73"/>
      <c r="AA93" s="73"/>
      <c r="AB93" s="73"/>
      <c r="AC93" s="73"/>
      <c r="AD93" s="62" t="s">
        <v>1096</v>
      </c>
      <c r="AE93" s="62" t="s">
        <v>1096</v>
      </c>
      <c r="AF93" s="66">
        <f>Table1[[#This Row],[2019 Scope 1 (MeT Co2)]]</f>
        <v>9688964</v>
      </c>
      <c r="AG93" s="67">
        <f t="shared" si="17"/>
        <v>377631</v>
      </c>
      <c r="AH93" s="68">
        <f t="shared" si="18"/>
        <v>3.751328030977704E-2</v>
      </c>
      <c r="AK93" s="62" t="s">
        <v>1096</v>
      </c>
      <c r="AL93" s="62" t="s">
        <v>1096</v>
      </c>
      <c r="AM93" s="66">
        <f>Table1[[#This Row],[2019 Scope 2 ]]</f>
        <v>726505</v>
      </c>
      <c r="AN93" s="67">
        <f t="shared" si="19"/>
        <v>-382481</v>
      </c>
      <c r="AO93" s="69">
        <f t="shared" si="20"/>
        <v>-1.1117858056414669</v>
      </c>
      <c r="AP93" s="67">
        <f t="shared" si="21"/>
        <v>412430</v>
      </c>
      <c r="AQ93" s="69">
        <f t="shared" si="22"/>
        <v>1.3131576852662581</v>
      </c>
      <c r="AR93" s="72">
        <f>Table1[[#This Row],[2019 Scope 3 ]]</f>
        <v>15495</v>
      </c>
      <c r="AS93" s="71">
        <f t="shared" si="23"/>
        <v>3159925</v>
      </c>
      <c r="AT93" s="51">
        <f t="shared" si="24"/>
        <v>0.99512033053895232</v>
      </c>
      <c r="BI93" s="61">
        <v>19845</v>
      </c>
    </row>
    <row r="94" spans="1:61" x14ac:dyDescent="0.25">
      <c r="A94" s="59">
        <f>companies!A94</f>
        <v>93</v>
      </c>
      <c r="B94" s="61" t="s">
        <v>1056</v>
      </c>
      <c r="C94" s="73">
        <v>17709</v>
      </c>
      <c r="D94" s="73">
        <v>153004</v>
      </c>
      <c r="E94" s="73">
        <v>149418</v>
      </c>
      <c r="F94" s="73" t="s">
        <v>1096</v>
      </c>
      <c r="G94" s="73" t="s">
        <v>1096</v>
      </c>
      <c r="H94" s="73" t="s">
        <v>1096</v>
      </c>
      <c r="I94" s="73" t="s">
        <v>1096</v>
      </c>
      <c r="J94" s="73">
        <v>25934</v>
      </c>
      <c r="K94" s="73">
        <v>63005</v>
      </c>
      <c r="L94" s="73">
        <v>252683</v>
      </c>
      <c r="M94" s="62">
        <v>88189</v>
      </c>
      <c r="N94" s="62" t="s">
        <v>1096</v>
      </c>
      <c r="O94" s="62" t="s">
        <v>1096</v>
      </c>
      <c r="P94" s="62" t="s">
        <v>1096</v>
      </c>
      <c r="Q94" s="62" t="s">
        <v>1096</v>
      </c>
      <c r="R94" s="73" t="s">
        <v>1096</v>
      </c>
      <c r="S94" s="62" t="s">
        <v>1096</v>
      </c>
      <c r="T94" s="62" t="s">
        <v>1096</v>
      </c>
      <c r="U94" s="62" t="s">
        <v>1096</v>
      </c>
      <c r="V94" s="62" t="s">
        <v>1096</v>
      </c>
      <c r="W94" s="62">
        <f t="shared" si="25"/>
        <v>429811</v>
      </c>
      <c r="X94" s="73"/>
      <c r="Y94" s="73"/>
      <c r="Z94" s="73"/>
      <c r="AA94" s="73"/>
      <c r="AB94" s="73"/>
      <c r="AC94" s="73"/>
      <c r="AD94" s="62" t="s">
        <v>1096</v>
      </c>
      <c r="AE94" s="62" t="s">
        <v>1096</v>
      </c>
      <c r="AF94" s="66">
        <f>Table1[[#This Row],[2019 Scope 1 (MeT Co2)]]</f>
        <v>17709</v>
      </c>
      <c r="AG94" s="67">
        <f t="shared" si="17"/>
        <v>0</v>
      </c>
      <c r="AH94" s="68">
        <f t="shared" si="18"/>
        <v>0</v>
      </c>
      <c r="AK94" s="62" t="s">
        <v>1096</v>
      </c>
      <c r="AL94" s="62" t="s">
        <v>1096</v>
      </c>
      <c r="AM94" s="66">
        <f>Table1[[#This Row],[2019 Scope 2 ]]</f>
        <v>149418</v>
      </c>
      <c r="AN94" s="67">
        <f t="shared" si="19"/>
        <v>3586</v>
      </c>
      <c r="AO94" s="68">
        <f t="shared" si="20"/>
        <v>2.3437295756973675E-2</v>
      </c>
      <c r="AP94" s="67">
        <f t="shared" si="21"/>
        <v>0</v>
      </c>
      <c r="AQ94" s="68">
        <f t="shared" si="22"/>
        <v>0</v>
      </c>
      <c r="AR94" s="72">
        <f>Table1[[#This Row],[2019 Scope 3 ]]</f>
        <v>429811</v>
      </c>
      <c r="AS94" s="71">
        <f t="shared" si="23"/>
        <v>0</v>
      </c>
      <c r="AT94" s="51">
        <f t="shared" si="24"/>
        <v>0</v>
      </c>
      <c r="BI94" s="58">
        <v>19858</v>
      </c>
    </row>
    <row r="95" spans="1:61" x14ac:dyDescent="0.25">
      <c r="A95" s="59">
        <f>companies!A95</f>
        <v>94</v>
      </c>
      <c r="B95" s="61" t="s">
        <v>1056</v>
      </c>
      <c r="C95" s="73">
        <v>14223000</v>
      </c>
      <c r="D95" s="73">
        <v>754000</v>
      </c>
      <c r="E95" s="73">
        <v>731000</v>
      </c>
      <c r="F95" s="73">
        <v>3122000</v>
      </c>
      <c r="G95" s="73">
        <v>4629000</v>
      </c>
      <c r="H95" s="73">
        <v>2820000</v>
      </c>
      <c r="I95" s="73">
        <v>8198000</v>
      </c>
      <c r="J95" s="73">
        <v>25000</v>
      </c>
      <c r="K95" s="73">
        <v>69000</v>
      </c>
      <c r="L95" s="73">
        <v>2079000</v>
      </c>
      <c r="M95" s="62" t="s">
        <v>1096</v>
      </c>
      <c r="N95" s="62" t="s">
        <v>1096</v>
      </c>
      <c r="O95" s="62" t="s">
        <v>1096</v>
      </c>
      <c r="P95" s="62" t="s">
        <v>1096</v>
      </c>
      <c r="Q95" s="62">
        <v>9000</v>
      </c>
      <c r="R95" s="73" t="s">
        <v>1096</v>
      </c>
      <c r="S95" s="62">
        <v>57000</v>
      </c>
      <c r="T95" s="62" t="s">
        <v>1096</v>
      </c>
      <c r="U95" s="62" t="s">
        <v>1096</v>
      </c>
      <c r="V95" s="62" t="s">
        <v>1096</v>
      </c>
      <c r="W95" s="62">
        <f t="shared" si="25"/>
        <v>21008000</v>
      </c>
      <c r="X95" s="73"/>
      <c r="Y95" s="73"/>
      <c r="Z95" s="73"/>
      <c r="AA95" s="73"/>
      <c r="AB95" s="73"/>
      <c r="AC95" s="73"/>
      <c r="AD95" s="62" t="s">
        <v>1096</v>
      </c>
      <c r="AE95" s="62" t="s">
        <v>1096</v>
      </c>
      <c r="AF95" s="66">
        <f>Table1[[#This Row],[2019 Scope 1 (MeT Co2)]]</f>
        <v>14223000</v>
      </c>
      <c r="AG95" s="67">
        <f t="shared" si="17"/>
        <v>0</v>
      </c>
      <c r="AH95" s="68">
        <f t="shared" si="18"/>
        <v>0</v>
      </c>
      <c r="AK95" s="62" t="s">
        <v>1096</v>
      </c>
      <c r="AL95" s="62" t="s">
        <v>1096</v>
      </c>
      <c r="AM95" s="66">
        <f>Table1[[#This Row],[2019 Scope 2 ]]</f>
        <v>731000</v>
      </c>
      <c r="AN95" s="67">
        <f t="shared" si="19"/>
        <v>23000</v>
      </c>
      <c r="AO95" s="68">
        <f t="shared" si="20"/>
        <v>3.0503978779840849E-2</v>
      </c>
      <c r="AP95" s="67">
        <f t="shared" si="21"/>
        <v>0</v>
      </c>
      <c r="AQ95" s="68">
        <f t="shared" si="22"/>
        <v>0</v>
      </c>
      <c r="AR95" s="72">
        <f>Table1[[#This Row],[2019 Scope 3 ]]</f>
        <v>21008000</v>
      </c>
      <c r="AS95" s="71">
        <f t="shared" si="23"/>
        <v>0</v>
      </c>
      <c r="AT95" s="51">
        <f t="shared" si="24"/>
        <v>0</v>
      </c>
      <c r="BI95" s="58">
        <v>19898</v>
      </c>
    </row>
    <row r="96" spans="1:61" x14ac:dyDescent="0.25">
      <c r="A96" s="59">
        <f>companies!A96</f>
        <v>95</v>
      </c>
      <c r="B96" s="61" t="s">
        <v>1056</v>
      </c>
      <c r="C96" s="73">
        <v>56482</v>
      </c>
      <c r="D96" s="73">
        <v>255929</v>
      </c>
      <c r="E96" s="73">
        <v>176447</v>
      </c>
      <c r="F96" s="73" t="s">
        <v>1096</v>
      </c>
      <c r="G96" s="73" t="s">
        <v>1096</v>
      </c>
      <c r="H96" s="73" t="s">
        <v>1096</v>
      </c>
      <c r="I96" s="73" t="s">
        <v>1096</v>
      </c>
      <c r="J96" s="73">
        <v>8528</v>
      </c>
      <c r="K96" s="73">
        <v>38762</v>
      </c>
      <c r="L96" s="73">
        <v>79195</v>
      </c>
      <c r="M96" s="62" t="s">
        <v>1096</v>
      </c>
      <c r="N96" s="62" t="s">
        <v>1096</v>
      </c>
      <c r="O96" s="62" t="s">
        <v>1096</v>
      </c>
      <c r="P96" s="62" t="s">
        <v>1096</v>
      </c>
      <c r="Q96" s="62" t="s">
        <v>1096</v>
      </c>
      <c r="R96" s="73">
        <v>44088</v>
      </c>
      <c r="S96" s="62" t="s">
        <v>1096</v>
      </c>
      <c r="T96" s="62" t="s">
        <v>1096</v>
      </c>
      <c r="U96" s="62" t="s">
        <v>1096</v>
      </c>
      <c r="V96" s="62" t="s">
        <v>1096</v>
      </c>
      <c r="W96" s="62">
        <f t="shared" si="25"/>
        <v>170573</v>
      </c>
      <c r="X96" s="73"/>
      <c r="Y96" s="73"/>
      <c r="Z96" s="73"/>
      <c r="AA96" s="73"/>
      <c r="AB96" s="73"/>
      <c r="AC96" s="73"/>
      <c r="AD96" s="62" t="s">
        <v>1064</v>
      </c>
      <c r="AE96" s="62" t="s">
        <v>1065</v>
      </c>
      <c r="AF96" s="66">
        <f>Table1[[#This Row],[2019 Scope 1 (MeT Co2)]]</f>
        <v>56482</v>
      </c>
      <c r="AG96" s="67">
        <f t="shared" si="17"/>
        <v>0</v>
      </c>
      <c r="AH96" s="68">
        <f t="shared" si="18"/>
        <v>0</v>
      </c>
      <c r="AK96" s="62" t="s">
        <v>1064</v>
      </c>
      <c r="AL96" s="62" t="s">
        <v>1065</v>
      </c>
      <c r="AM96" s="66">
        <f>Table1[[#This Row],[2019 Scope 2 ]]</f>
        <v>176447</v>
      </c>
      <c r="AN96" s="67">
        <f t="shared" si="19"/>
        <v>79482</v>
      </c>
      <c r="AO96" s="68">
        <f t="shared" si="20"/>
        <v>0.31056269512247536</v>
      </c>
      <c r="AP96" s="67">
        <f t="shared" si="21"/>
        <v>0</v>
      </c>
      <c r="AQ96" s="68">
        <f t="shared" si="22"/>
        <v>0</v>
      </c>
      <c r="AR96" s="72">
        <f>Table1[[#This Row],[2019 Scope 3 ]]</f>
        <v>170573</v>
      </c>
      <c r="AS96" s="71">
        <f t="shared" si="23"/>
        <v>0</v>
      </c>
      <c r="AT96" s="51">
        <f t="shared" si="24"/>
        <v>0</v>
      </c>
      <c r="BI96" s="58">
        <v>19593</v>
      </c>
    </row>
    <row r="97" spans="1:61" x14ac:dyDescent="0.25">
      <c r="A97" s="59">
        <f>companies!A97</f>
        <v>96</v>
      </c>
      <c r="B97" s="61" t="s">
        <v>1056</v>
      </c>
      <c r="C97" s="73">
        <v>358753</v>
      </c>
      <c r="D97" s="73">
        <v>4006874</v>
      </c>
      <c r="E97" s="73">
        <v>3982613</v>
      </c>
      <c r="F97" s="73">
        <v>12502929</v>
      </c>
      <c r="G97" s="73">
        <v>0</v>
      </c>
      <c r="H97" s="73">
        <v>1057075</v>
      </c>
      <c r="I97" s="73">
        <v>65443</v>
      </c>
      <c r="J97" s="73">
        <v>36503</v>
      </c>
      <c r="K97" s="73">
        <v>92882</v>
      </c>
      <c r="L97" s="73">
        <v>511555</v>
      </c>
      <c r="M97" s="62" t="s">
        <v>1096</v>
      </c>
      <c r="N97" s="62">
        <v>56906</v>
      </c>
      <c r="O97" s="62" t="s">
        <v>1096</v>
      </c>
      <c r="P97" s="62">
        <v>2736735</v>
      </c>
      <c r="Q97" s="62">
        <v>1619</v>
      </c>
      <c r="R97" s="73" t="s">
        <v>1096</v>
      </c>
      <c r="S97" s="62" t="s">
        <v>1096</v>
      </c>
      <c r="T97" s="62" t="s">
        <v>1096</v>
      </c>
      <c r="U97" s="62" t="s">
        <v>1096</v>
      </c>
      <c r="V97" s="62" t="s">
        <v>1096</v>
      </c>
      <c r="W97" s="62">
        <f t="shared" si="25"/>
        <v>17061647</v>
      </c>
      <c r="X97" s="73"/>
      <c r="Y97" s="73"/>
      <c r="Z97" s="73"/>
      <c r="AA97" s="73"/>
      <c r="AB97" s="73"/>
      <c r="AC97" s="73"/>
      <c r="AD97" s="62" t="s">
        <v>1096</v>
      </c>
      <c r="AE97" s="62" t="s">
        <v>1096</v>
      </c>
      <c r="AF97" s="66">
        <f>Table1[[#This Row],[2019 Scope 1 (MeT Co2)]]</f>
        <v>358753</v>
      </c>
      <c r="AG97" s="67">
        <f t="shared" si="17"/>
        <v>0</v>
      </c>
      <c r="AH97" s="68">
        <f t="shared" si="18"/>
        <v>0</v>
      </c>
      <c r="AK97" s="62" t="s">
        <v>1096</v>
      </c>
      <c r="AL97" s="62" t="s">
        <v>1096</v>
      </c>
      <c r="AM97" s="66">
        <f>Table1[[#This Row],[2019 Scope 2 ]]</f>
        <v>3982613</v>
      </c>
      <c r="AN97" s="67">
        <f t="shared" si="19"/>
        <v>24261</v>
      </c>
      <c r="AO97" s="68">
        <f t="shared" si="20"/>
        <v>6.054844749298331E-3</v>
      </c>
      <c r="AP97" s="67">
        <f t="shared" si="21"/>
        <v>0</v>
      </c>
      <c r="AQ97" s="68">
        <f t="shared" si="22"/>
        <v>0</v>
      </c>
      <c r="AR97" s="72">
        <f>Table1[[#This Row],[2019 Scope 3 ]]</f>
        <v>17061647</v>
      </c>
      <c r="AS97" s="71">
        <f t="shared" si="23"/>
        <v>0</v>
      </c>
      <c r="AT97" s="51">
        <f t="shared" si="24"/>
        <v>0</v>
      </c>
      <c r="BI97" s="58">
        <v>20175</v>
      </c>
    </row>
    <row r="98" spans="1:61" x14ac:dyDescent="0.25">
      <c r="A98" s="59">
        <f>companies!A98</f>
        <v>97</v>
      </c>
      <c r="B98" s="61" t="s">
        <v>1056</v>
      </c>
      <c r="C98" s="73">
        <v>8642</v>
      </c>
      <c r="D98" s="73">
        <v>66009</v>
      </c>
      <c r="E98" s="73">
        <v>51366</v>
      </c>
      <c r="F98" s="73">
        <v>430410</v>
      </c>
      <c r="G98" s="73" t="s">
        <v>1096</v>
      </c>
      <c r="H98" s="73">
        <v>13729</v>
      </c>
      <c r="I98" s="73" t="s">
        <v>1096</v>
      </c>
      <c r="J98" s="73">
        <v>2203</v>
      </c>
      <c r="K98" s="73">
        <v>48009</v>
      </c>
      <c r="L98" s="73">
        <v>29518</v>
      </c>
      <c r="M98" s="62" t="s">
        <v>1096</v>
      </c>
      <c r="N98" s="62" t="s">
        <v>1096</v>
      </c>
      <c r="O98" s="62" t="s">
        <v>1096</v>
      </c>
      <c r="P98" s="62" t="s">
        <v>1096</v>
      </c>
      <c r="Q98" s="62" t="s">
        <v>1096</v>
      </c>
      <c r="R98" s="73">
        <v>94</v>
      </c>
      <c r="S98" s="62" t="s">
        <v>1096</v>
      </c>
      <c r="T98" s="62" t="s">
        <v>1096</v>
      </c>
      <c r="U98" s="62" t="s">
        <v>1096</v>
      </c>
      <c r="V98" s="62" t="s">
        <v>1096</v>
      </c>
      <c r="W98" s="62">
        <f t="shared" si="25"/>
        <v>523963</v>
      </c>
      <c r="X98" s="73"/>
      <c r="Y98" s="73"/>
      <c r="Z98" s="73"/>
      <c r="AA98" s="73"/>
      <c r="AB98" s="73"/>
      <c r="AC98" s="73"/>
      <c r="AD98" s="62" t="s">
        <v>1096</v>
      </c>
      <c r="AE98" s="62" t="s">
        <v>1096</v>
      </c>
      <c r="AF98" s="66">
        <f>Table1[[#This Row],[2019 Scope 1 (MeT Co2)]]</f>
        <v>8642</v>
      </c>
      <c r="AG98" s="67">
        <f t="shared" ref="AG98:AG101" si="26">C98-AF98</f>
        <v>0</v>
      </c>
      <c r="AH98" s="68">
        <f t="shared" ref="AH98:AH101" si="27">AG98/C98</f>
        <v>0</v>
      </c>
      <c r="AK98" s="62" t="s">
        <v>1096</v>
      </c>
      <c r="AL98" s="62" t="s">
        <v>1096</v>
      </c>
      <c r="AM98" s="66">
        <f>Table1[[#This Row],[2019 Scope 2 ]]</f>
        <v>51366</v>
      </c>
      <c r="AN98" s="67">
        <f t="shared" ref="AN98:AN101" si="28">D98-AM98</f>
        <v>14643</v>
      </c>
      <c r="AO98" s="68">
        <f t="shared" ref="AO98:AO101" si="29">AN98/D98</f>
        <v>0.22183338635640595</v>
      </c>
      <c r="AP98" s="67">
        <f t="shared" si="21"/>
        <v>0</v>
      </c>
      <c r="AQ98" s="68">
        <f t="shared" ref="AQ98:AQ101" si="30">AP98/E98</f>
        <v>0</v>
      </c>
      <c r="AR98" s="72">
        <f>Table1[[#This Row],[2019 Scope 3 ]]</f>
        <v>523963</v>
      </c>
      <c r="AS98" s="71">
        <f t="shared" ref="AS98:AS101" si="31">W98-AR98</f>
        <v>0</v>
      </c>
      <c r="AT98" s="51">
        <f t="shared" ref="AT98:AT101" si="32">AS98/W98</f>
        <v>0</v>
      </c>
      <c r="BI98" s="58">
        <v>22867</v>
      </c>
    </row>
    <row r="99" spans="1:61" x14ac:dyDescent="0.25">
      <c r="A99" s="59">
        <f>companies!A99</f>
        <v>98</v>
      </c>
      <c r="B99" s="61" t="s">
        <v>1056</v>
      </c>
      <c r="C99" s="73">
        <v>421000</v>
      </c>
      <c r="D99" s="73">
        <v>1645000</v>
      </c>
      <c r="E99" s="73">
        <v>1575000</v>
      </c>
      <c r="F99" s="73">
        <v>25508000</v>
      </c>
      <c r="G99" s="73">
        <v>776000</v>
      </c>
      <c r="H99" s="73">
        <v>298000</v>
      </c>
      <c r="I99" s="73">
        <v>167000</v>
      </c>
      <c r="J99" s="73">
        <v>40000</v>
      </c>
      <c r="K99" s="73">
        <v>53000</v>
      </c>
      <c r="L99" s="73">
        <v>878000</v>
      </c>
      <c r="M99" s="62" t="s">
        <v>1096</v>
      </c>
      <c r="N99" s="62">
        <v>9835000</v>
      </c>
      <c r="O99" s="62" t="s">
        <v>1096</v>
      </c>
      <c r="P99" s="62">
        <v>15000</v>
      </c>
      <c r="Q99" s="62">
        <v>58000</v>
      </c>
      <c r="R99" s="73">
        <v>28000</v>
      </c>
      <c r="S99" s="62" t="s">
        <v>1096</v>
      </c>
      <c r="T99" s="62">
        <v>243000</v>
      </c>
      <c r="U99" s="62" t="s">
        <v>1096</v>
      </c>
      <c r="V99" s="62" t="s">
        <v>1096</v>
      </c>
      <c r="W99" s="62">
        <f t="shared" si="25"/>
        <v>37899000</v>
      </c>
      <c r="X99" s="73"/>
      <c r="Y99" s="73"/>
      <c r="Z99" s="73"/>
      <c r="AA99" s="73"/>
      <c r="AB99" s="73"/>
      <c r="AC99" s="73"/>
      <c r="AD99" s="62" t="s">
        <v>1096</v>
      </c>
      <c r="AE99" s="62" t="s">
        <v>1096</v>
      </c>
      <c r="AF99" s="66">
        <f>Table1[[#This Row],[2019 Scope 1 (MeT Co2)]]</f>
        <v>389000</v>
      </c>
      <c r="AG99" s="67">
        <f t="shared" si="26"/>
        <v>32000</v>
      </c>
      <c r="AH99" s="68">
        <f t="shared" si="27"/>
        <v>7.6009501187648459E-2</v>
      </c>
      <c r="AK99" s="62" t="s">
        <v>1096</v>
      </c>
      <c r="AL99" s="62" t="s">
        <v>1096</v>
      </c>
      <c r="AM99" s="66">
        <f>Table1[[#This Row],[2019 Scope 2 ]]</f>
        <v>1645000</v>
      </c>
      <c r="AN99" s="67">
        <f t="shared" si="28"/>
        <v>0</v>
      </c>
      <c r="AO99" s="68">
        <f t="shared" si="29"/>
        <v>0</v>
      </c>
      <c r="AP99" s="67">
        <f t="shared" si="21"/>
        <v>70000</v>
      </c>
      <c r="AQ99" s="68">
        <f t="shared" si="30"/>
        <v>4.4444444444444446E-2</v>
      </c>
      <c r="AR99" s="72">
        <f>Table1[[#This Row],[2019 Scope 3 ]]</f>
        <v>107000</v>
      </c>
      <c r="AS99" s="71">
        <f t="shared" si="31"/>
        <v>37792000</v>
      </c>
      <c r="AT99" s="51">
        <f t="shared" si="32"/>
        <v>0.9971767065094066</v>
      </c>
      <c r="BI99" s="61">
        <v>20398</v>
      </c>
    </row>
    <row r="100" spans="1:61" x14ac:dyDescent="0.25">
      <c r="A100" s="59">
        <f>companies!A100</f>
        <v>99</v>
      </c>
      <c r="B100" s="61" t="s">
        <v>1056</v>
      </c>
      <c r="C100" s="73">
        <v>6484616</v>
      </c>
      <c r="D100" s="73">
        <v>12190878</v>
      </c>
      <c r="E100" s="73">
        <v>11078980</v>
      </c>
      <c r="F100" s="73">
        <v>143267842</v>
      </c>
      <c r="G100" s="73">
        <v>645328</v>
      </c>
      <c r="H100" s="73">
        <v>3327874</v>
      </c>
      <c r="I100" s="73">
        <v>342577</v>
      </c>
      <c r="J100" s="73">
        <v>968265</v>
      </c>
      <c r="K100" s="73">
        <v>76296</v>
      </c>
      <c r="L100" s="73">
        <v>3500000</v>
      </c>
      <c r="M100" s="62" t="s">
        <v>1096</v>
      </c>
      <c r="N100" s="62">
        <v>5099</v>
      </c>
      <c r="O100" s="62" t="s">
        <v>1096</v>
      </c>
      <c r="P100" s="62">
        <v>32211000</v>
      </c>
      <c r="Q100" s="62">
        <v>130</v>
      </c>
      <c r="R100" s="73">
        <v>130000</v>
      </c>
      <c r="S100" s="62" t="s">
        <v>1096</v>
      </c>
      <c r="T100" s="62" t="s">
        <v>1096</v>
      </c>
      <c r="U100" s="62" t="s">
        <v>1096</v>
      </c>
      <c r="V100" s="62" t="s">
        <v>1096</v>
      </c>
      <c r="W100" s="62">
        <f t="shared" si="25"/>
        <v>184474411</v>
      </c>
      <c r="X100" s="73"/>
      <c r="Y100" s="73"/>
      <c r="Z100" s="73"/>
      <c r="AA100" s="73"/>
      <c r="AB100" s="73"/>
      <c r="AC100" s="73"/>
      <c r="AD100" s="62" t="s">
        <v>1096</v>
      </c>
      <c r="AE100" s="62" t="s">
        <v>1096</v>
      </c>
      <c r="AF100" s="66">
        <f>Table1[[#This Row],[2019 Scope 1 (MeT Co2)]]</f>
        <v>6484616</v>
      </c>
      <c r="AG100" s="67">
        <f t="shared" si="26"/>
        <v>0</v>
      </c>
      <c r="AH100" s="68">
        <f t="shared" si="27"/>
        <v>0</v>
      </c>
      <c r="AK100" s="62" t="s">
        <v>1096</v>
      </c>
      <c r="AL100" s="62" t="s">
        <v>1096</v>
      </c>
      <c r="AM100" s="66">
        <f>Table1[[#This Row],[2019 Scope 2 ]]</f>
        <v>11078980</v>
      </c>
      <c r="AN100" s="67">
        <f t="shared" si="28"/>
        <v>1111898</v>
      </c>
      <c r="AO100" s="68">
        <f t="shared" si="29"/>
        <v>9.1207376531862588E-2</v>
      </c>
      <c r="AP100" s="67">
        <f t="shared" si="21"/>
        <v>0</v>
      </c>
      <c r="AQ100" s="68">
        <f t="shared" si="30"/>
        <v>0</v>
      </c>
      <c r="AR100" s="72">
        <f>Table1[[#This Row],[2019 Scope 3 ]]</f>
        <v>184474411</v>
      </c>
      <c r="AS100" s="71">
        <f t="shared" si="31"/>
        <v>0</v>
      </c>
      <c r="AT100" s="51">
        <f t="shared" si="32"/>
        <v>0</v>
      </c>
      <c r="BI100" s="58">
        <v>20402</v>
      </c>
    </row>
    <row r="101" spans="1:61" x14ac:dyDescent="0.25">
      <c r="A101" s="59">
        <f>companies!A101</f>
        <v>100</v>
      </c>
      <c r="B101" s="61" t="s">
        <v>1056</v>
      </c>
      <c r="C101" s="73">
        <v>91993</v>
      </c>
      <c r="D101" s="73">
        <v>771327</v>
      </c>
      <c r="E101" s="73">
        <v>4988</v>
      </c>
      <c r="F101" s="73">
        <v>2304829</v>
      </c>
      <c r="G101" s="73">
        <v>455599</v>
      </c>
      <c r="H101" s="73">
        <v>148420</v>
      </c>
      <c r="I101" s="73" t="s">
        <v>1096</v>
      </c>
      <c r="J101" s="73">
        <v>9921</v>
      </c>
      <c r="K101" s="73">
        <v>78277</v>
      </c>
      <c r="L101" s="73">
        <v>613405</v>
      </c>
      <c r="M101" s="62" t="s">
        <v>1096</v>
      </c>
      <c r="N101" s="62" t="s">
        <v>1096</v>
      </c>
      <c r="O101" s="62" t="s">
        <v>1096</v>
      </c>
      <c r="P101" s="62" t="s">
        <v>1096</v>
      </c>
      <c r="Q101" s="62" t="s">
        <v>1096</v>
      </c>
      <c r="R101" s="73" t="s">
        <v>1096</v>
      </c>
      <c r="S101" s="62" t="s">
        <v>1096</v>
      </c>
      <c r="T101" s="62" t="s">
        <v>1096</v>
      </c>
      <c r="U101" s="62" t="s">
        <v>1096</v>
      </c>
      <c r="V101" s="62" t="s">
        <v>1096</v>
      </c>
      <c r="W101" s="62">
        <f t="shared" si="25"/>
        <v>3610451</v>
      </c>
      <c r="X101" s="73"/>
      <c r="Y101" s="73"/>
      <c r="Z101" s="73"/>
      <c r="AA101" s="73"/>
      <c r="AB101" s="73"/>
      <c r="AC101" s="73"/>
      <c r="AD101" s="62" t="s">
        <v>1096</v>
      </c>
      <c r="AE101" s="62" t="s">
        <v>1096</v>
      </c>
      <c r="AF101" s="66">
        <f>Table1[[#This Row],[2019 Scope 1 (MeT Co2)]]</f>
        <v>91993</v>
      </c>
      <c r="AG101" s="67">
        <f t="shared" si="26"/>
        <v>0</v>
      </c>
      <c r="AH101" s="68">
        <f t="shared" si="27"/>
        <v>0</v>
      </c>
      <c r="AK101" s="62" t="s">
        <v>1096</v>
      </c>
      <c r="AL101" s="62" t="s">
        <v>1096</v>
      </c>
      <c r="AM101" s="66">
        <f>Table1[[#This Row],[2019 Scope 2 ]]</f>
        <v>4988</v>
      </c>
      <c r="AN101" s="67">
        <f t="shared" si="28"/>
        <v>766339</v>
      </c>
      <c r="AO101" s="68">
        <f t="shared" si="29"/>
        <v>0.99353322261505173</v>
      </c>
      <c r="AP101" s="67">
        <f t="shared" si="21"/>
        <v>0</v>
      </c>
      <c r="AQ101" s="68">
        <f t="shared" si="30"/>
        <v>0</v>
      </c>
      <c r="AR101" s="72">
        <f>Table1[[#This Row],[2019 Scope 3 ]]</f>
        <v>3610451</v>
      </c>
      <c r="AS101" s="71">
        <f t="shared" si="31"/>
        <v>0</v>
      </c>
      <c r="AT101" s="51">
        <f t="shared" si="32"/>
        <v>0</v>
      </c>
      <c r="BI101" s="58">
        <v>20575</v>
      </c>
    </row>
    <row r="1048561" spans="1:1" x14ac:dyDescent="0.25">
      <c r="A1048561" s="57"/>
    </row>
    <row r="1048562" spans="1:1" x14ac:dyDescent="0.25">
      <c r="A1048562" s="58"/>
    </row>
    <row r="1048563" spans="1:1" x14ac:dyDescent="0.25">
      <c r="A1048563" s="58"/>
    </row>
    <row r="1048564" spans="1:1" x14ac:dyDescent="0.25">
      <c r="A1048564" s="58"/>
    </row>
    <row r="1048565" spans="1:1" x14ac:dyDescent="0.25">
      <c r="A1048565" s="58"/>
    </row>
    <row r="1048566" spans="1:1" x14ac:dyDescent="0.25">
      <c r="A1048566" s="58"/>
    </row>
    <row r="1048567" spans="1:1" x14ac:dyDescent="0.25">
      <c r="A1048567" s="58"/>
    </row>
    <row r="1048568" spans="1:1" x14ac:dyDescent="0.25">
      <c r="A1048568" s="58"/>
    </row>
    <row r="1048569" spans="1:1" x14ac:dyDescent="0.25">
      <c r="A1048569" s="58"/>
    </row>
    <row r="1048570" spans="1:1" x14ac:dyDescent="0.25">
      <c r="A1048570" s="58"/>
    </row>
    <row r="1048571" spans="1:1" x14ac:dyDescent="0.25">
      <c r="A1048571" s="58"/>
    </row>
    <row r="1048572" spans="1:1" x14ac:dyDescent="0.25">
      <c r="A1048572" s="58"/>
    </row>
    <row r="1048573" spans="1:1" x14ac:dyDescent="0.25">
      <c r="A1048573" s="58"/>
    </row>
    <row r="1048574" spans="1:1" x14ac:dyDescent="0.25">
      <c r="A1048574" s="58"/>
    </row>
    <row r="1048575" spans="1:1" x14ac:dyDescent="0.25">
      <c r="A1048575" s="58"/>
    </row>
    <row r="1048576" spans="1:1" x14ac:dyDescent="0.25">
      <c r="A1048576" s="5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43B7D-D362-4FA2-AD34-5F39CF9A1891}">
  <dimension ref="A1:C101"/>
  <sheetViews>
    <sheetView workbookViewId="0"/>
  </sheetViews>
  <sheetFormatPr defaultRowHeight="12.5" x14ac:dyDescent="0.25"/>
  <cols>
    <col min="1" max="1" width="7.7265625" bestFit="1" customWidth="1"/>
    <col min="2" max="2" width="29.81640625" customWidth="1"/>
  </cols>
  <sheetData>
    <row r="1" spans="1:2" x14ac:dyDescent="0.25">
      <c r="A1" s="60" t="s">
        <v>557</v>
      </c>
      <c r="B1" s="70" t="s">
        <v>1098</v>
      </c>
    </row>
    <row r="2" spans="1:2" x14ac:dyDescent="0.25">
      <c r="A2" s="59">
        <v>1</v>
      </c>
    </row>
    <row r="3" spans="1:2" x14ac:dyDescent="0.25">
      <c r="A3" s="59">
        <f>A2+1</f>
        <v>2</v>
      </c>
    </row>
    <row r="4" spans="1:2" x14ac:dyDescent="0.25">
      <c r="A4" s="59">
        <f t="shared" ref="A4:A67" si="0">A3+1</f>
        <v>3</v>
      </c>
    </row>
    <row r="5" spans="1:2" x14ac:dyDescent="0.25">
      <c r="A5" s="59">
        <f t="shared" si="0"/>
        <v>4</v>
      </c>
    </row>
    <row r="6" spans="1:2" x14ac:dyDescent="0.25">
      <c r="A6" s="59">
        <f t="shared" si="0"/>
        <v>5</v>
      </c>
    </row>
    <row r="7" spans="1:2" x14ac:dyDescent="0.25">
      <c r="A7" s="59">
        <f t="shared" si="0"/>
        <v>6</v>
      </c>
    </row>
    <row r="8" spans="1:2" x14ac:dyDescent="0.25">
      <c r="A8" s="59">
        <f t="shared" si="0"/>
        <v>7</v>
      </c>
    </row>
    <row r="9" spans="1:2" x14ac:dyDescent="0.25">
      <c r="A9" s="59">
        <f t="shared" si="0"/>
        <v>8</v>
      </c>
    </row>
    <row r="10" spans="1:2" x14ac:dyDescent="0.25">
      <c r="A10" s="59">
        <f t="shared" si="0"/>
        <v>9</v>
      </c>
    </row>
    <row r="11" spans="1:2" x14ac:dyDescent="0.25">
      <c r="A11" s="59">
        <f t="shared" si="0"/>
        <v>10</v>
      </c>
    </row>
    <row r="12" spans="1:2" x14ac:dyDescent="0.25">
      <c r="A12" s="59">
        <f t="shared" si="0"/>
        <v>11</v>
      </c>
    </row>
    <row r="13" spans="1:2" x14ac:dyDescent="0.25">
      <c r="A13" s="59">
        <f t="shared" si="0"/>
        <v>12</v>
      </c>
    </row>
    <row r="14" spans="1:2" x14ac:dyDescent="0.25">
      <c r="A14" s="59">
        <f t="shared" si="0"/>
        <v>13</v>
      </c>
    </row>
    <row r="15" spans="1:2" x14ac:dyDescent="0.25">
      <c r="A15" s="59">
        <f t="shared" si="0"/>
        <v>14</v>
      </c>
    </row>
    <row r="16" spans="1:2" x14ac:dyDescent="0.25">
      <c r="A16" s="59">
        <f t="shared" si="0"/>
        <v>15</v>
      </c>
    </row>
    <row r="17" spans="1:3" x14ac:dyDescent="0.25">
      <c r="A17" s="59">
        <f t="shared" si="0"/>
        <v>16</v>
      </c>
    </row>
    <row r="18" spans="1:3" x14ac:dyDescent="0.25">
      <c r="A18" s="59">
        <f t="shared" si="0"/>
        <v>17</v>
      </c>
    </row>
    <row r="19" spans="1:3" x14ac:dyDescent="0.25">
      <c r="A19" s="59">
        <f t="shared" si="0"/>
        <v>18</v>
      </c>
    </row>
    <row r="20" spans="1:3" x14ac:dyDescent="0.25">
      <c r="A20" s="59">
        <f t="shared" si="0"/>
        <v>19</v>
      </c>
    </row>
    <row r="21" spans="1:3" x14ac:dyDescent="0.25">
      <c r="A21" s="59">
        <f t="shared" si="0"/>
        <v>20</v>
      </c>
    </row>
    <row r="22" spans="1:3" x14ac:dyDescent="0.25">
      <c r="A22" s="59">
        <f t="shared" si="0"/>
        <v>21</v>
      </c>
    </row>
    <row r="23" spans="1:3" x14ac:dyDescent="0.25">
      <c r="A23" s="59">
        <f t="shared" si="0"/>
        <v>22</v>
      </c>
      <c r="B23" t="s">
        <v>1097</v>
      </c>
      <c r="C23" t="s">
        <v>1099</v>
      </c>
    </row>
    <row r="24" spans="1:3" x14ac:dyDescent="0.25">
      <c r="A24" s="59">
        <f t="shared" si="0"/>
        <v>23</v>
      </c>
    </row>
    <row r="25" spans="1:3" x14ac:dyDescent="0.25">
      <c r="A25" s="59">
        <f t="shared" si="0"/>
        <v>24</v>
      </c>
    </row>
    <row r="26" spans="1:3" x14ac:dyDescent="0.25">
      <c r="A26" s="59">
        <f t="shared" si="0"/>
        <v>25</v>
      </c>
    </row>
    <row r="27" spans="1:3" x14ac:dyDescent="0.25">
      <c r="A27" s="59">
        <f t="shared" si="0"/>
        <v>26</v>
      </c>
    </row>
    <row r="28" spans="1:3" x14ac:dyDescent="0.25">
      <c r="A28" s="59">
        <f t="shared" si="0"/>
        <v>27</v>
      </c>
    </row>
    <row r="29" spans="1:3" x14ac:dyDescent="0.25">
      <c r="A29" s="59">
        <f t="shared" si="0"/>
        <v>28</v>
      </c>
    </row>
    <row r="30" spans="1:3" x14ac:dyDescent="0.25">
      <c r="A30" s="59">
        <f t="shared" si="0"/>
        <v>29</v>
      </c>
    </row>
    <row r="31" spans="1:3" x14ac:dyDescent="0.25">
      <c r="A31" s="59">
        <f t="shared" si="0"/>
        <v>30</v>
      </c>
    </row>
    <row r="32" spans="1:3" x14ac:dyDescent="0.25">
      <c r="A32" s="59">
        <f t="shared" si="0"/>
        <v>31</v>
      </c>
    </row>
    <row r="33" spans="1:1" x14ac:dyDescent="0.25">
      <c r="A33" s="59">
        <f t="shared" si="0"/>
        <v>32</v>
      </c>
    </row>
    <row r="34" spans="1:1" x14ac:dyDescent="0.25">
      <c r="A34" s="59">
        <f t="shared" si="0"/>
        <v>33</v>
      </c>
    </row>
    <row r="35" spans="1:1" x14ac:dyDescent="0.25">
      <c r="A35" s="59">
        <f t="shared" si="0"/>
        <v>34</v>
      </c>
    </row>
    <row r="36" spans="1:1" x14ac:dyDescent="0.25">
      <c r="A36" s="59">
        <f t="shared" si="0"/>
        <v>35</v>
      </c>
    </row>
    <row r="37" spans="1:1" x14ac:dyDescent="0.25">
      <c r="A37" s="59">
        <f t="shared" si="0"/>
        <v>36</v>
      </c>
    </row>
    <row r="38" spans="1:1" x14ac:dyDescent="0.25">
      <c r="A38" s="59">
        <f t="shared" si="0"/>
        <v>37</v>
      </c>
    </row>
    <row r="39" spans="1:1" x14ac:dyDescent="0.25">
      <c r="A39" s="59">
        <f t="shared" si="0"/>
        <v>38</v>
      </c>
    </row>
    <row r="40" spans="1:1" x14ac:dyDescent="0.25">
      <c r="A40" s="59">
        <f t="shared" si="0"/>
        <v>39</v>
      </c>
    </row>
    <row r="41" spans="1:1" x14ac:dyDescent="0.25">
      <c r="A41" s="59">
        <f t="shared" si="0"/>
        <v>40</v>
      </c>
    </row>
    <row r="42" spans="1:1" x14ac:dyDescent="0.25">
      <c r="A42" s="59">
        <f t="shared" si="0"/>
        <v>41</v>
      </c>
    </row>
    <row r="43" spans="1:1" x14ac:dyDescent="0.25">
      <c r="A43" s="59">
        <f t="shared" si="0"/>
        <v>42</v>
      </c>
    </row>
    <row r="44" spans="1:1" x14ac:dyDescent="0.25">
      <c r="A44" s="59">
        <f t="shared" si="0"/>
        <v>43</v>
      </c>
    </row>
    <row r="45" spans="1:1" x14ac:dyDescent="0.25">
      <c r="A45" s="59">
        <f t="shared" si="0"/>
        <v>44</v>
      </c>
    </row>
    <row r="46" spans="1:1" x14ac:dyDescent="0.25">
      <c r="A46" s="59">
        <f t="shared" si="0"/>
        <v>45</v>
      </c>
    </row>
    <row r="47" spans="1:1" x14ac:dyDescent="0.25">
      <c r="A47" s="59">
        <f t="shared" si="0"/>
        <v>46</v>
      </c>
    </row>
    <row r="48" spans="1:1" x14ac:dyDescent="0.25">
      <c r="A48" s="59">
        <f t="shared" si="0"/>
        <v>47</v>
      </c>
    </row>
    <row r="49" spans="1:1" x14ac:dyDescent="0.25">
      <c r="A49" s="59">
        <f t="shared" si="0"/>
        <v>48</v>
      </c>
    </row>
    <row r="50" spans="1:1" x14ac:dyDescent="0.25">
      <c r="A50" s="59">
        <f t="shared" si="0"/>
        <v>49</v>
      </c>
    </row>
    <row r="51" spans="1:1" x14ac:dyDescent="0.25">
      <c r="A51" s="59">
        <f t="shared" si="0"/>
        <v>50</v>
      </c>
    </row>
    <row r="52" spans="1:1" x14ac:dyDescent="0.25">
      <c r="A52" s="59">
        <f t="shared" si="0"/>
        <v>51</v>
      </c>
    </row>
    <row r="53" spans="1:1" x14ac:dyDescent="0.25">
      <c r="A53" s="59">
        <f t="shared" si="0"/>
        <v>52</v>
      </c>
    </row>
    <row r="54" spans="1:1" x14ac:dyDescent="0.25">
      <c r="A54" s="59">
        <f t="shared" si="0"/>
        <v>53</v>
      </c>
    </row>
    <row r="55" spans="1:1" x14ac:dyDescent="0.25">
      <c r="A55" s="59">
        <f t="shared" si="0"/>
        <v>54</v>
      </c>
    </row>
    <row r="56" spans="1:1" x14ac:dyDescent="0.25">
      <c r="A56" s="59">
        <f t="shared" si="0"/>
        <v>55</v>
      </c>
    </row>
    <row r="57" spans="1:1" x14ac:dyDescent="0.25">
      <c r="A57" s="59">
        <f t="shared" si="0"/>
        <v>56</v>
      </c>
    </row>
    <row r="58" spans="1:1" x14ac:dyDescent="0.25">
      <c r="A58" s="59">
        <f t="shared" si="0"/>
        <v>57</v>
      </c>
    </row>
    <row r="59" spans="1:1" x14ac:dyDescent="0.25">
      <c r="A59" s="59">
        <f t="shared" si="0"/>
        <v>58</v>
      </c>
    </row>
    <row r="60" spans="1:1" x14ac:dyDescent="0.25">
      <c r="A60" s="59">
        <f t="shared" si="0"/>
        <v>59</v>
      </c>
    </row>
    <row r="61" spans="1:1" x14ac:dyDescent="0.25">
      <c r="A61" s="59">
        <f t="shared" si="0"/>
        <v>60</v>
      </c>
    </row>
    <row r="62" spans="1:1" x14ac:dyDescent="0.25">
      <c r="A62" s="59">
        <f t="shared" si="0"/>
        <v>61</v>
      </c>
    </row>
    <row r="63" spans="1:1" x14ac:dyDescent="0.25">
      <c r="A63" s="59">
        <f t="shared" si="0"/>
        <v>62</v>
      </c>
    </row>
    <row r="64" spans="1:1" x14ac:dyDescent="0.25">
      <c r="A64" s="59">
        <f t="shared" si="0"/>
        <v>63</v>
      </c>
    </row>
    <row r="65" spans="1:1" x14ac:dyDescent="0.25">
      <c r="A65" s="59">
        <f t="shared" si="0"/>
        <v>64</v>
      </c>
    </row>
    <row r="66" spans="1:1" x14ac:dyDescent="0.25">
      <c r="A66" s="59">
        <f t="shared" si="0"/>
        <v>65</v>
      </c>
    </row>
    <row r="67" spans="1:1" x14ac:dyDescent="0.25">
      <c r="A67" s="59">
        <f t="shared" si="0"/>
        <v>66</v>
      </c>
    </row>
    <row r="68" spans="1:1" x14ac:dyDescent="0.25">
      <c r="A68" s="59">
        <f t="shared" ref="A68:A101" si="1">A67+1</f>
        <v>67</v>
      </c>
    </row>
    <row r="69" spans="1:1" x14ac:dyDescent="0.25">
      <c r="A69" s="59">
        <f t="shared" si="1"/>
        <v>68</v>
      </c>
    </row>
    <row r="70" spans="1:1" x14ac:dyDescent="0.25">
      <c r="A70" s="59">
        <f t="shared" si="1"/>
        <v>69</v>
      </c>
    </row>
    <row r="71" spans="1:1" x14ac:dyDescent="0.25">
      <c r="A71" s="59">
        <f t="shared" si="1"/>
        <v>70</v>
      </c>
    </row>
    <row r="72" spans="1:1" x14ac:dyDescent="0.25">
      <c r="A72" s="59">
        <f t="shared" si="1"/>
        <v>71</v>
      </c>
    </row>
    <row r="73" spans="1:1" x14ac:dyDescent="0.25">
      <c r="A73" s="59">
        <f t="shared" si="1"/>
        <v>72</v>
      </c>
    </row>
    <row r="74" spans="1:1" x14ac:dyDescent="0.25">
      <c r="A74" s="59">
        <f t="shared" si="1"/>
        <v>73</v>
      </c>
    </row>
    <row r="75" spans="1:1" x14ac:dyDescent="0.25">
      <c r="A75" s="59">
        <f t="shared" si="1"/>
        <v>74</v>
      </c>
    </row>
    <row r="76" spans="1:1" x14ac:dyDescent="0.25">
      <c r="A76" s="59">
        <f t="shared" si="1"/>
        <v>75</v>
      </c>
    </row>
    <row r="77" spans="1:1" x14ac:dyDescent="0.25">
      <c r="A77" s="59">
        <f t="shared" si="1"/>
        <v>76</v>
      </c>
    </row>
    <row r="78" spans="1:1" x14ac:dyDescent="0.25">
      <c r="A78" s="59">
        <f t="shared" si="1"/>
        <v>77</v>
      </c>
    </row>
    <row r="79" spans="1:1" x14ac:dyDescent="0.25">
      <c r="A79" s="59">
        <f t="shared" si="1"/>
        <v>78</v>
      </c>
    </row>
    <row r="80" spans="1:1" x14ac:dyDescent="0.25">
      <c r="A80" s="59">
        <f t="shared" si="1"/>
        <v>79</v>
      </c>
    </row>
    <row r="81" spans="1:1" x14ac:dyDescent="0.25">
      <c r="A81" s="59">
        <f t="shared" si="1"/>
        <v>80</v>
      </c>
    </row>
    <row r="82" spans="1:1" x14ac:dyDescent="0.25">
      <c r="A82" s="59">
        <f t="shared" si="1"/>
        <v>81</v>
      </c>
    </row>
    <row r="83" spans="1:1" x14ac:dyDescent="0.25">
      <c r="A83" s="59">
        <f t="shared" si="1"/>
        <v>82</v>
      </c>
    </row>
    <row r="84" spans="1:1" x14ac:dyDescent="0.25">
      <c r="A84" s="59">
        <f t="shared" si="1"/>
        <v>83</v>
      </c>
    </row>
    <row r="85" spans="1:1" x14ac:dyDescent="0.25">
      <c r="A85" s="59">
        <f t="shared" si="1"/>
        <v>84</v>
      </c>
    </row>
    <row r="86" spans="1:1" x14ac:dyDescent="0.25">
      <c r="A86" s="59">
        <f t="shared" si="1"/>
        <v>85</v>
      </c>
    </row>
    <row r="87" spans="1:1" x14ac:dyDescent="0.25">
      <c r="A87" s="59">
        <f t="shared" si="1"/>
        <v>86</v>
      </c>
    </row>
    <row r="88" spans="1:1" x14ac:dyDescent="0.25">
      <c r="A88" s="59">
        <f t="shared" si="1"/>
        <v>87</v>
      </c>
    </row>
    <row r="89" spans="1:1" x14ac:dyDescent="0.25">
      <c r="A89" s="59">
        <f t="shared" si="1"/>
        <v>88</v>
      </c>
    </row>
    <row r="90" spans="1:1" x14ac:dyDescent="0.25">
      <c r="A90" s="59">
        <f t="shared" si="1"/>
        <v>89</v>
      </c>
    </row>
    <row r="91" spans="1:1" x14ac:dyDescent="0.25">
      <c r="A91" s="59">
        <f t="shared" si="1"/>
        <v>90</v>
      </c>
    </row>
    <row r="92" spans="1:1" x14ac:dyDescent="0.25">
      <c r="A92" s="59">
        <f t="shared" si="1"/>
        <v>91</v>
      </c>
    </row>
    <row r="93" spans="1:1" x14ac:dyDescent="0.25">
      <c r="A93" s="59">
        <f t="shared" si="1"/>
        <v>92</v>
      </c>
    </row>
    <row r="94" spans="1:1" x14ac:dyDescent="0.25">
      <c r="A94" s="59">
        <f t="shared" si="1"/>
        <v>93</v>
      </c>
    </row>
    <row r="95" spans="1:1" x14ac:dyDescent="0.25">
      <c r="A95" s="59">
        <f t="shared" si="1"/>
        <v>94</v>
      </c>
    </row>
    <row r="96" spans="1:1" x14ac:dyDescent="0.25">
      <c r="A96" s="59">
        <f t="shared" si="1"/>
        <v>95</v>
      </c>
    </row>
    <row r="97" spans="1:1" x14ac:dyDescent="0.25">
      <c r="A97" s="59">
        <f t="shared" si="1"/>
        <v>96</v>
      </c>
    </row>
    <row r="98" spans="1:1" x14ac:dyDescent="0.25">
      <c r="A98" s="59">
        <f t="shared" si="1"/>
        <v>97</v>
      </c>
    </row>
    <row r="99" spans="1:1" x14ac:dyDescent="0.25">
      <c r="A99" s="59">
        <f t="shared" si="1"/>
        <v>98</v>
      </c>
    </row>
    <row r="100" spans="1:1" x14ac:dyDescent="0.25">
      <c r="A100" s="59">
        <f t="shared" si="1"/>
        <v>99</v>
      </c>
    </row>
    <row r="101" spans="1:1" x14ac:dyDescent="0.25">
      <c r="A101" s="59">
        <f t="shared" si="1"/>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CC759-9CC9-40B7-B10F-456F7314DA71}">
  <dimension ref="A1:BD181"/>
  <sheetViews>
    <sheetView workbookViewId="0">
      <pane xSplit="1" ySplit="1" topLeftCell="I20" activePane="bottomRight" state="frozen"/>
      <selection pane="topRight"/>
      <selection pane="bottomLeft"/>
      <selection pane="bottomRight" activeCell="AA23" sqref="AA23"/>
    </sheetView>
  </sheetViews>
  <sheetFormatPr defaultRowHeight="12.5" x14ac:dyDescent="0.25"/>
  <cols>
    <col min="1" max="1" width="24.453125" bestFit="1" customWidth="1"/>
    <col min="2" max="2" width="12.7265625" customWidth="1"/>
    <col min="3" max="3" width="20.54296875" bestFit="1" customWidth="1"/>
    <col min="4" max="4" width="15.54296875" customWidth="1"/>
    <col min="5" max="8" width="20.1796875" customWidth="1"/>
    <col min="9" max="9" width="25.81640625" customWidth="1"/>
    <col min="10" max="10" width="10.453125" style="10" customWidth="1"/>
    <col min="11" max="21" width="10.7265625" customWidth="1"/>
    <col min="22" max="25" width="11.81640625" customWidth="1"/>
    <col min="26" max="26" width="12.26953125" bestFit="1" customWidth="1"/>
    <col min="27" max="51" width="11.81640625" customWidth="1"/>
    <col min="52" max="52" width="10.7265625" customWidth="1"/>
    <col min="53" max="53" width="114" customWidth="1"/>
    <col min="54" max="54" width="50.453125" customWidth="1"/>
    <col min="55" max="55" width="78.453125" customWidth="1"/>
  </cols>
  <sheetData>
    <row r="1" spans="1:56" ht="51" customHeight="1" x14ac:dyDescent="0.3">
      <c r="A1" s="2" t="s">
        <v>17</v>
      </c>
      <c r="B1" s="2" t="s">
        <v>437</v>
      </c>
      <c r="C1" s="2" t="s">
        <v>18</v>
      </c>
      <c r="D1" s="2" t="s">
        <v>19</v>
      </c>
      <c r="E1" s="2" t="s">
        <v>20</v>
      </c>
      <c r="F1" s="2" t="s">
        <v>504</v>
      </c>
      <c r="G1" s="2" t="s">
        <v>505</v>
      </c>
      <c r="H1" s="2" t="s">
        <v>510</v>
      </c>
      <c r="I1" s="2" t="s">
        <v>21</v>
      </c>
      <c r="J1" s="8" t="s">
        <v>22</v>
      </c>
      <c r="K1" s="2" t="s">
        <v>23</v>
      </c>
      <c r="L1" s="2" t="s">
        <v>24</v>
      </c>
      <c r="M1" s="2" t="s">
        <v>25</v>
      </c>
      <c r="N1" s="2" t="s">
        <v>26</v>
      </c>
      <c r="O1" s="2" t="s">
        <v>27</v>
      </c>
      <c r="P1" s="2" t="s">
        <v>28</v>
      </c>
      <c r="Q1" s="2" t="s">
        <v>29</v>
      </c>
      <c r="R1" s="2" t="s">
        <v>30</v>
      </c>
      <c r="S1" s="2" t="s">
        <v>31</v>
      </c>
      <c r="T1" s="2" t="s">
        <v>503</v>
      </c>
      <c r="U1" s="2" t="s">
        <v>502</v>
      </c>
      <c r="V1" s="23" t="s">
        <v>32</v>
      </c>
      <c r="W1" s="23" t="s">
        <v>33</v>
      </c>
      <c r="X1" s="23" t="s">
        <v>34</v>
      </c>
      <c r="Y1" s="23" t="s">
        <v>13</v>
      </c>
      <c r="Z1" s="23" t="s">
        <v>35</v>
      </c>
      <c r="AA1" s="23" t="s">
        <v>36</v>
      </c>
      <c r="AB1" s="24" t="s">
        <v>37</v>
      </c>
      <c r="AC1" s="24" t="s">
        <v>38</v>
      </c>
      <c r="AD1" s="24" t="s">
        <v>39</v>
      </c>
      <c r="AE1" s="24" t="s">
        <v>14</v>
      </c>
      <c r="AF1" s="24" t="s">
        <v>40</v>
      </c>
      <c r="AG1" s="24" t="s">
        <v>41</v>
      </c>
      <c r="AH1" s="25" t="s">
        <v>42</v>
      </c>
      <c r="AI1" s="25" t="s">
        <v>43</v>
      </c>
      <c r="AJ1" s="25" t="s">
        <v>44</v>
      </c>
      <c r="AK1" s="25" t="s">
        <v>15</v>
      </c>
      <c r="AL1" s="25" t="s">
        <v>45</v>
      </c>
      <c r="AM1" s="25" t="s">
        <v>46</v>
      </c>
      <c r="AN1" s="26" t="s">
        <v>47</v>
      </c>
      <c r="AO1" s="26" t="s">
        <v>48</v>
      </c>
      <c r="AP1" s="26" t="s">
        <v>49</v>
      </c>
      <c r="AQ1" s="26" t="s">
        <v>16</v>
      </c>
      <c r="AR1" s="26" t="s">
        <v>50</v>
      </c>
      <c r="AS1" s="26" t="s">
        <v>51</v>
      </c>
      <c r="AT1" s="27" t="s">
        <v>52</v>
      </c>
      <c r="AU1" s="27" t="s">
        <v>53</v>
      </c>
      <c r="AV1" s="27" t="s">
        <v>54</v>
      </c>
      <c r="AW1" s="27" t="s">
        <v>55</v>
      </c>
      <c r="AX1" s="27" t="s">
        <v>56</v>
      </c>
      <c r="AY1" s="27" t="s">
        <v>57</v>
      </c>
      <c r="AZ1" s="1" t="s">
        <v>58</v>
      </c>
      <c r="BA1" s="2" t="s">
        <v>59</v>
      </c>
      <c r="BB1" s="2" t="s">
        <v>60</v>
      </c>
      <c r="BC1" s="2" t="s">
        <v>61</v>
      </c>
      <c r="BD1" s="43" t="s">
        <v>484</v>
      </c>
    </row>
    <row r="2" spans="1:56" ht="13" x14ac:dyDescent="0.3">
      <c r="A2" t="s">
        <v>62</v>
      </c>
      <c r="B2" t="s">
        <v>62</v>
      </c>
      <c r="C2" s="4" t="s">
        <v>8</v>
      </c>
      <c r="D2" s="4" t="s">
        <v>63</v>
      </c>
      <c r="E2" s="5">
        <v>32136000000</v>
      </c>
      <c r="F2" s="5" t="str">
        <f>IF(ISNUMBER(Table1[[#This Row],[2019 Scope 3 ]]),IF(Table1[[#This Row],[Net Earnings/Income (2019)]]-k_cost*Table1[[#This Row],[2019 Total Scope 1, 2 + 3]]&lt;0,"Y","N"),"NA")</f>
        <v>N</v>
      </c>
      <c r="G2" s="54" t="str">
        <f>IF(ISNUMBER(Table1[[#This Row],[2019 Scope 3 ]]),IF(k_cost*Table1[[#This Row],[2019 Total Scope 1, 2 + 3]]/Table1[[#This Row],[Size (2019 Revenue)]]&gt;k_rev_max,"Y","N"),"NA")</f>
        <v>N</v>
      </c>
      <c r="H2" s="54" t="str">
        <f>IF(OR(Table1[[#This Row],[Net earnings post carbon price @85/t]]="Y",Table1[[#This Row],[Carbon costs in % revenue]] = "Y"),"Y",IF(OR(Table1[[#This Row],[Net earnings post carbon price @85/t]]="NA",Table1[[#This Row],[Carbon costs in % revenue]]="NA"),"NA","N"))</f>
        <v>N</v>
      </c>
      <c r="I2" s="5">
        <v>4570000000</v>
      </c>
      <c r="J2" s="9">
        <v>1978</v>
      </c>
      <c r="K2" s="5" t="s">
        <v>1</v>
      </c>
      <c r="L2" t="s">
        <v>0</v>
      </c>
      <c r="M2" s="4" t="s">
        <v>0</v>
      </c>
      <c r="P2" s="15">
        <v>9150000</v>
      </c>
      <c r="Q2" t="s">
        <v>0</v>
      </c>
      <c r="R2" t="s">
        <v>1</v>
      </c>
      <c r="S2">
        <v>2050</v>
      </c>
      <c r="T2" s="51">
        <f>IFERROR((Table1[[#This Row],[2019 Total Scope 1, 2 + 3]])/Table1[[#This Row],[2018 Total Scope 1, 2 + Scope 3]]-1,"NA")</f>
        <v>-9.5569620253164511E-2</v>
      </c>
      <c r="V2" s="12">
        <v>4050000</v>
      </c>
      <c r="W2" s="12">
        <v>1320000</v>
      </c>
      <c r="X2" s="12"/>
      <c r="Y2" s="12">
        <f t="shared" ref="Y2:Y33" si="0">IFERROR(V2+W2-X2,"")</f>
        <v>5370000</v>
      </c>
      <c r="Z2" s="12">
        <v>8920000</v>
      </c>
      <c r="AA2" s="12">
        <f t="shared" ref="AA2:AA33" si="1">IFERROR(Y2+Z2,"")</f>
        <v>14290000</v>
      </c>
      <c r="AB2" s="12">
        <v>4790000</v>
      </c>
      <c r="AC2" s="12">
        <v>1480000</v>
      </c>
      <c r="AD2" s="12"/>
      <c r="AE2" s="12">
        <f t="shared" ref="AE2:AE33" si="2">IFERROR(AB2+AC2-AD2,"")</f>
        <v>6270000</v>
      </c>
      <c r="AF2" s="12">
        <v>9530000</v>
      </c>
      <c r="AG2" s="12">
        <f t="shared" ref="AG2:AG33" si="3">IFERROR(AE2+AF2,"")</f>
        <v>15800000</v>
      </c>
      <c r="AH2" s="12">
        <v>3960000</v>
      </c>
      <c r="AI2" s="12">
        <v>1650000</v>
      </c>
      <c r="AJ2" s="12"/>
      <c r="AK2" s="12">
        <f t="shared" ref="AK2:AK33" si="4">IFERROR(AH2+AI2-AJ2,"")</f>
        <v>5610000</v>
      </c>
      <c r="AL2" s="12">
        <v>9280000</v>
      </c>
      <c r="AM2" s="12">
        <f t="shared" ref="AM2:AM33" si="5">IFERROR(AK2+AL2,"")</f>
        <v>14890000</v>
      </c>
      <c r="AN2" s="12">
        <v>4140000</v>
      </c>
      <c r="AO2" s="12">
        <v>1780000</v>
      </c>
      <c r="AP2" s="12"/>
      <c r="AQ2" s="12">
        <f t="shared" ref="AQ2:AQ42" si="6">IFERROR(AN2+AO2-AP2,"")</f>
        <v>5920000</v>
      </c>
      <c r="AR2" s="12">
        <v>9420000</v>
      </c>
      <c r="AS2" s="12">
        <f t="shared" ref="AS2:AS33" si="7">IFERROR(AQ2+AR2,"")</f>
        <v>15340000</v>
      </c>
      <c r="AT2" s="12">
        <v>3770000</v>
      </c>
      <c r="AU2" s="12">
        <v>1930000</v>
      </c>
      <c r="AV2" s="12"/>
      <c r="AW2" s="12">
        <f t="shared" ref="AW2:AW42" si="8">IFERROR(AT2+AU2-AV2,"")</f>
        <v>5700000</v>
      </c>
      <c r="AX2" s="12">
        <f>6860000+577000+621000+780000+254000+55800+356000</f>
        <v>9503800</v>
      </c>
      <c r="AY2" s="12">
        <f t="shared" ref="AY2:AY33" si="9">IFERROR(AW2+AX2,"")</f>
        <v>15203800</v>
      </c>
      <c r="AZ2" s="17" t="s">
        <v>1</v>
      </c>
      <c r="BA2" s="14" t="s">
        <v>64</v>
      </c>
      <c r="BD2" s="42"/>
    </row>
    <row r="3" spans="1:56" ht="13" x14ac:dyDescent="0.3">
      <c r="A3" t="s">
        <v>65</v>
      </c>
      <c r="B3" s="21" t="s">
        <v>65</v>
      </c>
      <c r="C3" s="4" t="s">
        <v>7</v>
      </c>
      <c r="D3" s="4" t="s">
        <v>66</v>
      </c>
      <c r="E3" s="11">
        <v>31904000000</v>
      </c>
      <c r="F3" s="5" t="str">
        <f>IF(ISNUMBER(Table1[[#This Row],[2019 Scope 3 ]]),IF(Table1[[#This Row],[Net Earnings/Income (2019)]]-k_cost*Table1[[#This Row],[2019 Total Scope 1, 2 + 3]]&lt;0,"Y","N"),"NA")</f>
        <v>N</v>
      </c>
      <c r="G3" s="54" t="str">
        <f>IF(ISNUMBER(Table1[[#This Row],[2019 Scope 3 ]]),IF(k_cost*Table1[[#This Row],[2019 Total Scope 1, 2 + 3]]/Table1[[#This Row],[Size (2019 Revenue)]]&gt;k_rev_max,"Y","N"),"NA")</f>
        <v>N</v>
      </c>
      <c r="H3" s="54" t="str">
        <f>IF(OR(Table1[[#This Row],[Net earnings post carbon price @85/t]]="Y",Table1[[#This Row],[Carbon costs in % revenue]] = "Y"),"Y",IF(OR(Table1[[#This Row],[Net earnings post carbon price @85/t]]="NA",Table1[[#This Row],[Carbon costs in % revenue]]="NA"),"NA","N"))</f>
        <v>N</v>
      </c>
      <c r="I3" s="11">
        <v>3687000000</v>
      </c>
      <c r="J3" s="10">
        <v>1929</v>
      </c>
      <c r="K3" s="4" t="s">
        <v>1</v>
      </c>
      <c r="L3" s="4" t="s">
        <v>0</v>
      </c>
      <c r="M3" s="4" t="s">
        <v>0</v>
      </c>
      <c r="N3" s="4"/>
      <c r="O3" s="4"/>
      <c r="P3" s="15">
        <v>742000</v>
      </c>
      <c r="Q3" t="s">
        <v>0</v>
      </c>
      <c r="R3" s="4" t="s">
        <v>0</v>
      </c>
      <c r="S3" s="4" t="s">
        <v>0</v>
      </c>
      <c r="T3" s="52">
        <f>IFERROR((Table1[[#This Row],[2019 Total Scope 1, 2 + 3]])/Table1[[#This Row],[2018 Total Scope 1, 2 + Scope 3]]-1,"NA")</f>
        <v>4.2558977496770733E-2</v>
      </c>
      <c r="U3" s="4"/>
      <c r="V3" s="12">
        <v>533000</v>
      </c>
      <c r="W3" s="12">
        <v>439000</v>
      </c>
      <c r="X3" s="12"/>
      <c r="Y3" s="12">
        <f t="shared" si="0"/>
        <v>972000</v>
      </c>
      <c r="Z3" s="12">
        <f>8382000+2860000+290000+1501000+15000+332000+306000+508000+169000</f>
        <v>14363000</v>
      </c>
      <c r="AA3" s="12">
        <f t="shared" si="1"/>
        <v>15335000</v>
      </c>
      <c r="AB3" s="12">
        <v>525000</v>
      </c>
      <c r="AC3" s="12">
        <v>506000</v>
      </c>
      <c r="AD3" s="12"/>
      <c r="AE3" s="12">
        <f t="shared" si="2"/>
        <v>1031000</v>
      </c>
      <c r="AF3" s="12">
        <v>13678000</v>
      </c>
      <c r="AG3" s="12">
        <f t="shared" si="3"/>
        <v>14709000</v>
      </c>
      <c r="AH3" s="12">
        <v>526000</v>
      </c>
      <c r="AI3" s="12">
        <v>506000</v>
      </c>
      <c r="AJ3" s="12"/>
      <c r="AK3" s="12">
        <f t="shared" si="4"/>
        <v>1032000</v>
      </c>
      <c r="AL3" s="12">
        <v>13710000</v>
      </c>
      <c r="AM3" s="12">
        <f t="shared" si="5"/>
        <v>14742000</v>
      </c>
      <c r="AN3" s="12">
        <v>516000</v>
      </c>
      <c r="AO3" s="12">
        <v>544000</v>
      </c>
      <c r="AP3" s="12"/>
      <c r="AQ3" s="12">
        <f t="shared" si="6"/>
        <v>1060000</v>
      </c>
      <c r="AR3" s="12">
        <v>14082000</v>
      </c>
      <c r="AS3" s="12">
        <f t="shared" si="7"/>
        <v>15142000</v>
      </c>
      <c r="AT3" s="12" t="s">
        <v>401</v>
      </c>
      <c r="AU3" s="12" t="s">
        <v>401</v>
      </c>
      <c r="AV3" s="12"/>
      <c r="AW3" s="12" t="str">
        <f t="shared" si="8"/>
        <v/>
      </c>
      <c r="AX3" s="12" t="s">
        <v>401</v>
      </c>
      <c r="AY3" s="12" t="str">
        <f t="shared" si="9"/>
        <v/>
      </c>
      <c r="AZ3" s="17" t="s">
        <v>0</v>
      </c>
      <c r="BA3" s="16" t="s">
        <v>67</v>
      </c>
      <c r="BD3" s="42"/>
    </row>
    <row r="4" spans="1:56" ht="25.5" x14ac:dyDescent="0.3">
      <c r="A4" t="s">
        <v>68</v>
      </c>
      <c r="B4" s="21" t="s">
        <v>454</v>
      </c>
      <c r="C4" t="s">
        <v>7</v>
      </c>
      <c r="D4" s="4" t="s">
        <v>69</v>
      </c>
      <c r="E4" s="11">
        <v>33266000000</v>
      </c>
      <c r="F4" s="5" t="str">
        <f>IF(ISNUMBER(Table1[[#This Row],[2019 Scope 3 ]]),IF(Table1[[#This Row],[Net Earnings/Income (2019)]]-k_cost*Table1[[#This Row],[2019 Total Scope 1, 2 + 3]]&lt;0,"Y","N"),"NA")</f>
        <v>N</v>
      </c>
      <c r="G4" s="54" t="str">
        <f>IF(ISNUMBER(Table1[[#This Row],[2019 Scope 3 ]]),IF(k_cost*Table1[[#This Row],[2019 Total Scope 1, 2 + 3]]/Table1[[#This Row],[Size (2019 Revenue)]]&gt;k_rev_max,"Y","N"),"NA")</f>
        <v>N</v>
      </c>
      <c r="H4" s="54" t="str">
        <f>IF(OR(Table1[[#This Row],[Net earnings post carbon price @85/t]]="Y",Table1[[#This Row],[Carbon costs in % revenue]] = "Y"),"Y",IF(OR(Table1[[#This Row],[Net earnings post carbon price @85/t]]="NA",Table1[[#This Row],[Carbon costs in % revenue]]="NA"),"NA","N"))</f>
        <v>N</v>
      </c>
      <c r="I4" s="11">
        <v>5697000000</v>
      </c>
      <c r="J4" s="10">
        <v>2013</v>
      </c>
      <c r="K4" s="4" t="s">
        <v>1</v>
      </c>
      <c r="L4" s="4" t="s">
        <v>0</v>
      </c>
      <c r="M4" s="4" t="s">
        <v>0</v>
      </c>
      <c r="N4" s="4"/>
      <c r="O4" s="4"/>
      <c r="P4" s="15">
        <v>334482</v>
      </c>
      <c r="Q4" t="s">
        <v>0</v>
      </c>
      <c r="R4" s="4" t="s">
        <v>1</v>
      </c>
      <c r="S4">
        <v>2035</v>
      </c>
      <c r="T4" s="51">
        <f>IFERROR((Table1[[#This Row],[2019 Total Scope 1, 2 + 3]])/Table1[[#This Row],[2018 Total Scope 1, 2 + Scope 3]]-1,"NA")</f>
        <v>0.16426330750384066</v>
      </c>
      <c r="V4" s="12">
        <v>314421</v>
      </c>
      <c r="W4" s="12">
        <v>249777</v>
      </c>
      <c r="X4" s="12"/>
      <c r="Y4" s="12">
        <f t="shared" si="0"/>
        <v>564198</v>
      </c>
      <c r="Z4" s="12">
        <f>990981+20324+77371+5483+56303+183747</f>
        <v>1334209</v>
      </c>
      <c r="AA4" s="12">
        <f t="shared" si="1"/>
        <v>1898407</v>
      </c>
      <c r="AB4" s="12">
        <v>311000</v>
      </c>
      <c r="AC4" s="12">
        <v>271000</v>
      </c>
      <c r="AD4" s="12"/>
      <c r="AE4" s="12">
        <f t="shared" si="2"/>
        <v>582000</v>
      </c>
      <c r="AF4" s="12">
        <f>711499+17595+70284+5484+65924+177779</f>
        <v>1048565</v>
      </c>
      <c r="AG4" s="12">
        <f t="shared" si="3"/>
        <v>1630565</v>
      </c>
      <c r="AH4" s="12">
        <v>299000</v>
      </c>
      <c r="AI4" s="12">
        <v>284000</v>
      </c>
      <c r="AJ4" s="12"/>
      <c r="AK4" s="12">
        <f t="shared" si="4"/>
        <v>583000</v>
      </c>
      <c r="AL4" s="12">
        <f>652163+11640+53093+3956+106698+185438</f>
        <v>1012988</v>
      </c>
      <c r="AM4" s="12">
        <f t="shared" si="5"/>
        <v>1595988</v>
      </c>
      <c r="AN4" s="12">
        <v>297395</v>
      </c>
      <c r="AO4" s="12">
        <v>319692</v>
      </c>
      <c r="AP4" s="12"/>
      <c r="AQ4" s="12">
        <f t="shared" si="6"/>
        <v>617087</v>
      </c>
      <c r="AR4" s="12">
        <f>681914+13229+19813+2052+67536+124527+172</f>
        <v>909243</v>
      </c>
      <c r="AS4" s="12">
        <f t="shared" si="7"/>
        <v>1526330</v>
      </c>
      <c r="AT4" s="12">
        <v>318216</v>
      </c>
      <c r="AU4" s="12">
        <v>347250</v>
      </c>
      <c r="AV4" s="12"/>
      <c r="AW4" s="12">
        <f t="shared" si="8"/>
        <v>665466</v>
      </c>
      <c r="AX4" s="12">
        <f>619274+8239+20560+42819+9277+41030+102658+172</f>
        <v>844029</v>
      </c>
      <c r="AY4" s="12">
        <f t="shared" si="9"/>
        <v>1509495</v>
      </c>
      <c r="AZ4" s="17" t="s">
        <v>0</v>
      </c>
      <c r="BA4" s="14" t="s">
        <v>70</v>
      </c>
      <c r="BD4" s="42"/>
    </row>
    <row r="5" spans="1:56" ht="38" x14ac:dyDescent="0.3">
      <c r="A5" t="s">
        <v>71</v>
      </c>
      <c r="B5" s="21" t="s">
        <v>71</v>
      </c>
      <c r="C5" t="s">
        <v>11</v>
      </c>
      <c r="D5" t="s">
        <v>72</v>
      </c>
      <c r="E5" s="11">
        <v>43200000000</v>
      </c>
      <c r="F5" s="5" t="str">
        <f>IF(ISNUMBER(Table1[[#This Row],[2019 Scope 3 ]]),IF(Table1[[#This Row],[Net Earnings/Income (2019)]]-k_cost*Table1[[#This Row],[2019 Total Scope 1, 2 + 3]]&lt;0,"Y","N"),"NA")</f>
        <v>N</v>
      </c>
      <c r="G5" s="54" t="str">
        <f>IF(ISNUMBER(Table1[[#This Row],[2019 Scope 3 ]]),IF(k_cost*Table1[[#This Row],[2019 Total Scope 1, 2 + 3]]/Table1[[#This Row],[Size (2019 Revenue)]]&gt;k_rev_max,"Y","N"),"NA")</f>
        <v>N</v>
      </c>
      <c r="H5" s="54" t="str">
        <f>IF(OR(Table1[[#This Row],[Net earnings post carbon price @85/t]]="Y",Table1[[#This Row],[Carbon costs in % revenue]] = "Y"),"Y",IF(OR(Table1[[#This Row],[Net earnings post carbon price @85/t]]="NA",Table1[[#This Row],[Carbon costs in % revenue]]="NA"),"NA","N"))</f>
        <v>N</v>
      </c>
      <c r="I5" s="11">
        <v>4780000000</v>
      </c>
      <c r="J5" s="10">
        <v>2001</v>
      </c>
      <c r="K5" s="4" t="s">
        <v>1</v>
      </c>
      <c r="L5" s="4" t="s">
        <v>0</v>
      </c>
      <c r="M5" t="s">
        <v>1</v>
      </c>
      <c r="P5" s="15">
        <v>88000</v>
      </c>
      <c r="Q5" t="s">
        <v>0</v>
      </c>
      <c r="R5" s="4" t="s">
        <v>1</v>
      </c>
      <c r="S5">
        <v>2023</v>
      </c>
      <c r="T5" s="51">
        <f>IFERROR((Table1[[#This Row],[2019 Total Scope 1, 2 + 3]])/Table1[[#This Row],[2018 Total Scope 1, 2 + Scope 3]]-1,"NA")</f>
        <v>-1.9783256597360577E-2</v>
      </c>
      <c r="V5" s="12">
        <v>18923</v>
      </c>
      <c r="W5" s="12">
        <v>214680</v>
      </c>
      <c r="X5" s="12"/>
      <c r="Y5" s="12">
        <f t="shared" si="0"/>
        <v>233603</v>
      </c>
      <c r="Z5" s="12">
        <v>932653</v>
      </c>
      <c r="AA5" s="12">
        <f t="shared" si="1"/>
        <v>1166256</v>
      </c>
      <c r="AB5" s="12">
        <v>22183</v>
      </c>
      <c r="AC5" s="12">
        <v>218855</v>
      </c>
      <c r="AD5" s="12"/>
      <c r="AE5" s="12">
        <f t="shared" si="2"/>
        <v>241038</v>
      </c>
      <c r="AF5" s="12">
        <v>948756</v>
      </c>
      <c r="AG5" s="12">
        <f t="shared" si="3"/>
        <v>1189794</v>
      </c>
      <c r="AH5" s="12">
        <v>24095</v>
      </c>
      <c r="AI5" s="12">
        <v>243773</v>
      </c>
      <c r="AJ5" s="12"/>
      <c r="AK5" s="12">
        <f t="shared" si="4"/>
        <v>267868</v>
      </c>
      <c r="AL5" s="12">
        <v>974176</v>
      </c>
      <c r="AM5" s="12">
        <f t="shared" si="5"/>
        <v>1242044</v>
      </c>
      <c r="AN5" s="12">
        <v>27203</v>
      </c>
      <c r="AO5" s="12">
        <v>263050</v>
      </c>
      <c r="AP5" s="12"/>
      <c r="AQ5" s="12">
        <f t="shared" si="6"/>
        <v>290253</v>
      </c>
      <c r="AR5" s="12">
        <f>506841</f>
        <v>506841</v>
      </c>
      <c r="AS5" s="12">
        <f t="shared" si="7"/>
        <v>797094</v>
      </c>
      <c r="AT5" s="12">
        <v>26290</v>
      </c>
      <c r="AU5" s="12">
        <v>237239</v>
      </c>
      <c r="AV5" s="12"/>
      <c r="AW5" s="12">
        <f t="shared" si="8"/>
        <v>263529</v>
      </c>
      <c r="AX5" s="12">
        <v>449240</v>
      </c>
      <c r="AY5" s="12">
        <f t="shared" si="9"/>
        <v>712769</v>
      </c>
      <c r="AZ5" t="s">
        <v>0</v>
      </c>
      <c r="BA5" s="14" t="s">
        <v>413</v>
      </c>
      <c r="BB5" s="16" t="s">
        <v>412</v>
      </c>
      <c r="BD5" s="42"/>
    </row>
    <row r="6" spans="1:56" ht="13" x14ac:dyDescent="0.3">
      <c r="A6" s="21" t="s">
        <v>73</v>
      </c>
      <c r="B6" s="21" t="s">
        <v>463</v>
      </c>
      <c r="C6" s="21" t="s">
        <v>11</v>
      </c>
      <c r="D6" t="s">
        <v>74</v>
      </c>
      <c r="E6" s="5">
        <v>11171000000</v>
      </c>
      <c r="F6" s="5" t="str">
        <f>IF(ISNUMBER(Table1[[#This Row],[2019 Scope 3 ]]),IF(Table1[[#This Row],[Net Earnings/Income (2019)]]-k_cost*Table1[[#This Row],[2019 Total Scope 1, 2 + 3]]&lt;0,"Y","N"),"NA")</f>
        <v>N</v>
      </c>
      <c r="G6" s="54" t="str">
        <f>IF(ISNUMBER(Table1[[#This Row],[2019 Scope 3 ]]),IF(k_cost*Table1[[#This Row],[2019 Total Scope 1, 2 + 3]]/Table1[[#This Row],[Size (2019 Revenue)]]&gt;k_rev_max,"Y","N"),"NA")</f>
        <v>N</v>
      </c>
      <c r="H6" s="54" t="str">
        <f>IF(OR(Table1[[#This Row],[Net earnings post carbon price @85/t]]="Y",Table1[[#This Row],[Carbon costs in % revenue]] = "Y"),"Y",IF(OR(Table1[[#This Row],[Net earnings post carbon price @85/t]]="NA",Table1[[#This Row],[Carbon costs in % revenue]]="NA"),"NA","N"))</f>
        <v>N</v>
      </c>
      <c r="I6" s="5">
        <v>2951000000</v>
      </c>
      <c r="J6" s="9">
        <v>1986</v>
      </c>
      <c r="K6" s="31" t="s">
        <v>1</v>
      </c>
      <c r="L6" t="s">
        <v>0</v>
      </c>
      <c r="M6" s="4" t="s">
        <v>1</v>
      </c>
      <c r="P6" s="15"/>
      <c r="Q6" t="s">
        <v>0</v>
      </c>
      <c r="R6" t="s">
        <v>1</v>
      </c>
      <c r="S6">
        <v>2035</v>
      </c>
      <c r="T6" s="51">
        <f>IFERROR((Table1[[#This Row],[2019 Total Scope 1, 2 + 3]])/Table1[[#This Row],[2018 Total Scope 1, 2 + Scope 3]]-1,"NA")</f>
        <v>-5.5629014043632408E-2</v>
      </c>
      <c r="V6" s="12">
        <v>11816</v>
      </c>
      <c r="W6" s="12">
        <v>43526</v>
      </c>
      <c r="X6" s="12"/>
      <c r="Y6" s="12">
        <f t="shared" si="0"/>
        <v>55342</v>
      </c>
      <c r="Z6" s="12">
        <f>358472+39706+14180+57.87+88959+42037</f>
        <v>543411.87</v>
      </c>
      <c r="AA6" s="12">
        <f t="shared" si="1"/>
        <v>598753.87</v>
      </c>
      <c r="AB6" s="12">
        <v>12119</v>
      </c>
      <c r="AC6" s="12">
        <v>47871</v>
      </c>
      <c r="AD6" s="12"/>
      <c r="AE6" s="12">
        <f t="shared" si="2"/>
        <v>59990</v>
      </c>
      <c r="AF6" s="50">
        <v>574034</v>
      </c>
      <c r="AG6" s="12">
        <f t="shared" si="3"/>
        <v>634024</v>
      </c>
      <c r="AH6" s="12">
        <v>12119</v>
      </c>
      <c r="AI6" s="12">
        <v>58874</v>
      </c>
      <c r="AJ6" s="12"/>
      <c r="AK6" s="12">
        <f t="shared" si="4"/>
        <v>70993</v>
      </c>
      <c r="AL6" s="12">
        <f>35952.82+16872.85+52.85+32512+9988+169+505</f>
        <v>96052.51999999999</v>
      </c>
      <c r="AM6" s="12">
        <f t="shared" si="5"/>
        <v>167045.51999999999</v>
      </c>
      <c r="AN6" s="12">
        <v>11082</v>
      </c>
      <c r="AO6" s="12">
        <v>58474</v>
      </c>
      <c r="AP6" s="12"/>
      <c r="AQ6" s="12">
        <f t="shared" si="6"/>
        <v>69556</v>
      </c>
      <c r="AR6" s="12"/>
      <c r="AS6" s="12">
        <f t="shared" si="7"/>
        <v>69556</v>
      </c>
      <c r="AT6" s="12" t="s">
        <v>401</v>
      </c>
      <c r="AU6" s="12" t="s">
        <v>401</v>
      </c>
      <c r="AV6" s="12"/>
      <c r="AW6" s="12" t="str">
        <f t="shared" si="8"/>
        <v/>
      </c>
      <c r="AX6" s="12" t="s">
        <v>401</v>
      </c>
      <c r="AY6" s="12" t="str">
        <f t="shared" si="9"/>
        <v/>
      </c>
      <c r="AZ6" t="s">
        <v>0</v>
      </c>
      <c r="BD6" s="42" t="s">
        <v>498</v>
      </c>
    </row>
    <row r="7" spans="1:56" ht="75.5" x14ac:dyDescent="0.3">
      <c r="A7" s="4" t="s">
        <v>75</v>
      </c>
      <c r="B7" s="21" t="s">
        <v>459</v>
      </c>
      <c r="C7" s="4" t="s">
        <v>6</v>
      </c>
      <c r="D7" t="s">
        <v>76</v>
      </c>
      <c r="E7" s="11">
        <v>44675000000</v>
      </c>
      <c r="F7" s="5" t="str">
        <f>IF(ISNUMBER(Table1[[#This Row],[2019 Scope 3 ]]),IF(Table1[[#This Row],[Net Earnings/Income (2019)]]-k_cost*Table1[[#This Row],[2019 Total Scope 1, 2 + 3]]&lt;0,"Y","N"),"NA")</f>
        <v>N</v>
      </c>
      <c r="G7" s="54" t="str">
        <f>IF(ISNUMBER(Table1[[#This Row],[2019 Scope 3 ]]),IF(k_cost*Table1[[#This Row],[2019 Total Scope 1, 2 + 3]]/Table1[[#This Row],[Size (2019 Revenue)]]&gt;k_rev_max,"Y","N"),"NA")</f>
        <v>N</v>
      </c>
      <c r="H7" s="54" t="str">
        <f>IF(OR(Table1[[#This Row],[Net earnings post carbon price @85/t]]="Y",Table1[[#This Row],[Carbon costs in % revenue]] = "Y"),"Y",IF(OR(Table1[[#This Row],[Net earnings post carbon price @85/t]]="NA",Table1[[#This Row],[Carbon costs in % revenue]]="NA"),"NA","N"))</f>
        <v>N</v>
      </c>
      <c r="I7" s="11">
        <v>4847000000</v>
      </c>
      <c r="J7" s="10">
        <v>1993</v>
      </c>
      <c r="K7" s="4" t="s">
        <v>1</v>
      </c>
      <c r="L7" s="4" t="s">
        <v>0</v>
      </c>
      <c r="M7" t="s">
        <v>0</v>
      </c>
      <c r="P7" s="15"/>
      <c r="Q7" t="s">
        <v>0</v>
      </c>
      <c r="R7" s="4" t="s">
        <v>0</v>
      </c>
      <c r="S7" s="4" t="s">
        <v>0</v>
      </c>
      <c r="T7" s="52">
        <f>IFERROR((Table1[[#This Row],[2019 Total Scope 1, 2 + 3]])/Table1[[#This Row],[2018 Total Scope 1, 2 + Scope 3]]-1,"NA")</f>
        <v>5.5423185226073812E-2</v>
      </c>
      <c r="U7" s="4"/>
      <c r="V7" s="36">
        <v>39230</v>
      </c>
      <c r="W7" s="36">
        <v>74230</v>
      </c>
      <c r="X7" s="12"/>
      <c r="Y7" s="12">
        <f t="shared" si="0"/>
        <v>113460</v>
      </c>
      <c r="Z7" s="12">
        <f>10528+4343+3+446+8857+13412</f>
        <v>37589</v>
      </c>
      <c r="AA7" s="12">
        <f t="shared" si="1"/>
        <v>151049</v>
      </c>
      <c r="AB7" s="12">
        <v>45966</v>
      </c>
      <c r="AC7" s="12">
        <v>83887</v>
      </c>
      <c r="AD7" s="12"/>
      <c r="AE7" s="12">
        <f t="shared" si="2"/>
        <v>129853</v>
      </c>
      <c r="AF7" s="12">
        <v>13264</v>
      </c>
      <c r="AG7" s="12">
        <f t="shared" si="3"/>
        <v>143117</v>
      </c>
      <c r="AH7" s="12">
        <v>53818</v>
      </c>
      <c r="AI7" s="12">
        <v>91209</v>
      </c>
      <c r="AJ7" s="12"/>
      <c r="AK7" s="12">
        <f t="shared" si="4"/>
        <v>145027</v>
      </c>
      <c r="AL7" s="12">
        <v>20119</v>
      </c>
      <c r="AM7" s="12">
        <f t="shared" si="5"/>
        <v>165146</v>
      </c>
      <c r="AN7" s="12">
        <v>56521</v>
      </c>
      <c r="AO7" s="12">
        <v>104350</v>
      </c>
      <c r="AP7" s="12"/>
      <c r="AQ7" s="12">
        <f t="shared" si="6"/>
        <v>160871</v>
      </c>
      <c r="AR7" s="12">
        <v>19089</v>
      </c>
      <c r="AS7" s="12">
        <f t="shared" si="7"/>
        <v>179960</v>
      </c>
      <c r="AT7" s="12">
        <v>55709</v>
      </c>
      <c r="AU7" s="12">
        <v>111825</v>
      </c>
      <c r="AV7" s="12"/>
      <c r="AW7" s="12">
        <f t="shared" si="8"/>
        <v>167534</v>
      </c>
      <c r="AX7" s="12">
        <v>17345</v>
      </c>
      <c r="AY7" s="12">
        <f t="shared" si="9"/>
        <v>184879</v>
      </c>
      <c r="AZ7" t="s">
        <v>0</v>
      </c>
      <c r="BA7" s="18" t="s">
        <v>77</v>
      </c>
      <c r="BD7" s="42"/>
    </row>
    <row r="8" spans="1:56" ht="50.5" x14ac:dyDescent="0.3">
      <c r="A8" t="s">
        <v>78</v>
      </c>
      <c r="B8" s="21" t="s">
        <v>482</v>
      </c>
      <c r="C8" t="s">
        <v>2</v>
      </c>
      <c r="D8" s="4" t="s">
        <v>79</v>
      </c>
      <c r="E8" s="5">
        <v>161857000000</v>
      </c>
      <c r="F8" s="5" t="str">
        <f>IF(ISNUMBER(Table1[[#This Row],[2019 Scope 3 ]]),IF(Table1[[#This Row],[Net Earnings/Income (2019)]]-k_cost*Table1[[#This Row],[2019 Total Scope 1, 2 + 3]]&lt;0,"Y","N"),"NA")</f>
        <v>N</v>
      </c>
      <c r="G8" s="54" t="str">
        <f>IF(ISNUMBER(Table1[[#This Row],[2019 Scope 3 ]]),IF(k_cost*Table1[[#This Row],[2019 Total Scope 1, 2 + 3]]/Table1[[#This Row],[Size (2019 Revenue)]]&gt;k_rev_max,"Y","N"),"NA")</f>
        <v>N</v>
      </c>
      <c r="H8" s="54" t="str">
        <f>IF(OR(Table1[[#This Row],[Net earnings post carbon price @85/t]]="Y",Table1[[#This Row],[Carbon costs in % revenue]] = "Y"),"Y",IF(OR(Table1[[#This Row],[Net earnings post carbon price @85/t]]="NA",Table1[[#This Row],[Carbon costs in % revenue]]="NA"),"NA","N"))</f>
        <v>N</v>
      </c>
      <c r="I8" s="5">
        <v>34340000000</v>
      </c>
      <c r="J8" s="9">
        <v>2004</v>
      </c>
      <c r="K8" s="5" t="s">
        <v>1</v>
      </c>
      <c r="L8" t="s">
        <v>1</v>
      </c>
      <c r="M8" t="s">
        <v>0</v>
      </c>
      <c r="N8">
        <v>2007</v>
      </c>
      <c r="O8">
        <v>2007</v>
      </c>
      <c r="P8" s="15"/>
      <c r="Q8" t="s">
        <v>1</v>
      </c>
      <c r="R8" t="s">
        <v>1</v>
      </c>
      <c r="S8">
        <v>2017</v>
      </c>
      <c r="T8" s="51">
        <f>IFERROR((Table1[[#This Row],[2019 Total Scope 1, 2 + 3]])/Table1[[#This Row],[2018 Total Scope 1, 2 + Scope 3]]-1,"NA")</f>
        <v>-0.70896402721482343</v>
      </c>
      <c r="V8" s="36">
        <v>66686</v>
      </c>
      <c r="W8" s="36">
        <v>794267</v>
      </c>
      <c r="X8" s="12"/>
      <c r="Y8" s="12">
        <f t="shared" si="0"/>
        <v>860953</v>
      </c>
      <c r="Z8" s="12">
        <f>2158000+460000+369000+173000</f>
        <v>3160000</v>
      </c>
      <c r="AA8" s="12">
        <f t="shared" si="1"/>
        <v>4020953</v>
      </c>
      <c r="AB8" s="12">
        <v>63521</v>
      </c>
      <c r="AC8" s="12">
        <v>684236</v>
      </c>
      <c r="AD8" s="12">
        <v>1211224</v>
      </c>
      <c r="AE8" s="12">
        <f t="shared" si="2"/>
        <v>-463467</v>
      </c>
      <c r="AF8" s="12">
        <v>14279467</v>
      </c>
      <c r="AG8" s="12">
        <f t="shared" si="3"/>
        <v>13816000</v>
      </c>
      <c r="AH8" s="12">
        <v>66546</v>
      </c>
      <c r="AI8" s="12">
        <v>509334</v>
      </c>
      <c r="AJ8" s="12">
        <v>931943</v>
      </c>
      <c r="AK8" s="12">
        <f t="shared" si="4"/>
        <v>-356063</v>
      </c>
      <c r="AL8" s="12">
        <v>2719024</v>
      </c>
      <c r="AM8" s="12">
        <f t="shared" si="5"/>
        <v>2362961</v>
      </c>
      <c r="AN8" s="12">
        <v>66218</v>
      </c>
      <c r="AO8" s="12">
        <v>1518643</v>
      </c>
      <c r="AP8" s="12">
        <v>1898889</v>
      </c>
      <c r="AQ8" s="12">
        <f t="shared" si="6"/>
        <v>-314028</v>
      </c>
      <c r="AR8" s="12">
        <v>1292267</v>
      </c>
      <c r="AS8" s="12">
        <f t="shared" si="7"/>
        <v>978239</v>
      </c>
      <c r="AT8" s="12">
        <v>66991</v>
      </c>
      <c r="AU8" s="12">
        <v>1384427</v>
      </c>
      <c r="AV8" s="12">
        <v>2686101</v>
      </c>
      <c r="AW8" s="12">
        <f t="shared" si="8"/>
        <v>-1234683</v>
      </c>
      <c r="AX8" s="12">
        <v>1234683</v>
      </c>
      <c r="AY8" s="12">
        <f t="shared" si="9"/>
        <v>0</v>
      </c>
      <c r="AZ8" t="s">
        <v>1</v>
      </c>
      <c r="BA8" s="18" t="s">
        <v>80</v>
      </c>
      <c r="BC8" s="3"/>
      <c r="BD8" s="42"/>
    </row>
    <row r="9" spans="1:56" ht="63" x14ac:dyDescent="0.3">
      <c r="A9" t="s">
        <v>81</v>
      </c>
      <c r="B9" s="21" t="s">
        <v>474</v>
      </c>
      <c r="C9" s="4" t="s">
        <v>4</v>
      </c>
      <c r="D9" t="s">
        <v>82</v>
      </c>
      <c r="E9" s="11">
        <v>25364000000</v>
      </c>
      <c r="F9" s="5" t="str">
        <f>IF(ISNUMBER(Table1[[#This Row],[2019 Scope 3 ]]),IF(Table1[[#This Row],[Net Earnings/Income (2019)]]-k_cost*Table1[[#This Row],[2019 Total Scope 1, 2 + 3]]&lt;0,"Y","N"),"NA")</f>
        <v>NA</v>
      </c>
      <c r="G9" s="54" t="str">
        <f>IF(ISNUMBER(Table1[[#This Row],[2019 Scope 3 ]]),IF(k_cost*Table1[[#This Row],[2019 Total Scope 1, 2 + 3]]/Table1[[#This Row],[Size (2019 Revenue)]]&gt;k_rev_max,"Y","N"),"NA")</f>
        <v>NA</v>
      </c>
      <c r="H9" s="54" t="str">
        <f>IF(OR(Table1[[#This Row],[Net earnings post carbon price @85/t]]="Y",Table1[[#This Row],[Carbon costs in % revenue]] = "Y"),"Y",IF(OR(Table1[[#This Row],[Net earnings post carbon price @85/t]]="NA",Table1[[#This Row],[Carbon costs in % revenue]]="NA"),"NA","N"))</f>
        <v>NA</v>
      </c>
      <c r="I9" s="11">
        <v>6963000000</v>
      </c>
      <c r="J9" s="10">
        <v>1985</v>
      </c>
      <c r="K9" s="4" t="s">
        <v>1</v>
      </c>
      <c r="L9" s="4" t="s">
        <v>0</v>
      </c>
      <c r="M9" t="s">
        <v>0</v>
      </c>
      <c r="P9" s="17">
        <v>4468432</v>
      </c>
      <c r="Q9" t="s">
        <v>0</v>
      </c>
      <c r="R9" s="4" t="s">
        <v>1</v>
      </c>
      <c r="S9">
        <v>2030</v>
      </c>
      <c r="T9" s="51" t="str">
        <f>IFERROR((Table1[[#This Row],[2019 Total Scope 1, 2 + 3]])/Table1[[#This Row],[2018 Total Scope 1, 2 + Scope 3]]-1,"NA")</f>
        <v>NA</v>
      </c>
      <c r="V9" s="12">
        <v>154507</v>
      </c>
      <c r="W9" s="12">
        <v>146909</v>
      </c>
      <c r="X9" s="12"/>
      <c r="Y9" s="12">
        <f t="shared" si="0"/>
        <v>301416</v>
      </c>
      <c r="Z9" s="12" t="s">
        <v>401</v>
      </c>
      <c r="AA9" s="12" t="str">
        <f t="shared" si="1"/>
        <v/>
      </c>
      <c r="AB9" s="12">
        <v>162139</v>
      </c>
      <c r="AC9" s="12">
        <v>166706</v>
      </c>
      <c r="AD9" s="12"/>
      <c r="AE9" s="12">
        <f t="shared" si="2"/>
        <v>328845</v>
      </c>
      <c r="AF9" s="12">
        <v>5078448</v>
      </c>
      <c r="AG9" s="12">
        <f t="shared" si="3"/>
        <v>5407293</v>
      </c>
      <c r="AH9" s="12">
        <v>167695</v>
      </c>
      <c r="AI9" s="12">
        <v>168889</v>
      </c>
      <c r="AJ9" s="12"/>
      <c r="AK9" s="12">
        <f t="shared" si="4"/>
        <v>336584</v>
      </c>
      <c r="AL9" s="12">
        <v>5264365</v>
      </c>
      <c r="AM9" s="12">
        <f t="shared" si="5"/>
        <v>5600949</v>
      </c>
      <c r="AN9" s="12">
        <v>170442</v>
      </c>
      <c r="AO9" s="12">
        <v>206622</v>
      </c>
      <c r="AP9" s="12"/>
      <c r="AQ9" s="12">
        <f t="shared" si="6"/>
        <v>377064</v>
      </c>
      <c r="AR9" s="12">
        <f>1941444+126828+98679+165673+18158+10951+18622+243900+76389+172681</f>
        <v>2873325</v>
      </c>
      <c r="AS9" s="12">
        <f t="shared" si="7"/>
        <v>3250389</v>
      </c>
      <c r="AT9" s="12">
        <v>192293</v>
      </c>
      <c r="AU9" s="12">
        <v>204900</v>
      </c>
      <c r="AV9" s="12"/>
      <c r="AW9" s="12">
        <f t="shared" si="8"/>
        <v>397193</v>
      </c>
      <c r="AX9" s="12">
        <f>1946817+127179+59481+97537+30299+10641+19468+244575+76601+173159</f>
        <v>2785757</v>
      </c>
      <c r="AY9" s="12">
        <f t="shared" si="9"/>
        <v>3182950</v>
      </c>
      <c r="AZ9" t="s">
        <v>0</v>
      </c>
      <c r="BA9" s="3" t="s">
        <v>83</v>
      </c>
      <c r="BD9" s="42"/>
    </row>
    <row r="10" spans="1:56" ht="138" x14ac:dyDescent="0.3">
      <c r="A10" t="s">
        <v>84</v>
      </c>
      <c r="B10" s="21" t="s">
        <v>408</v>
      </c>
      <c r="C10" s="4" t="s">
        <v>3</v>
      </c>
      <c r="D10" s="4" t="s">
        <v>85</v>
      </c>
      <c r="E10" s="5">
        <v>280000000000</v>
      </c>
      <c r="F10" s="5" t="str">
        <f>IF(ISNUMBER(Table1[[#This Row],[2019 Scope 3 ]]),IF(Table1[[#This Row],[Net Earnings/Income (2019)]]-k_cost*Table1[[#This Row],[2019 Total Scope 1, 2 + 3]]&lt;0,"Y","N"),"NA")</f>
        <v>N</v>
      </c>
      <c r="G10" s="54" t="str">
        <f>IF(ISNUMBER(Table1[[#This Row],[2019 Scope 3 ]]),IF(k_cost*Table1[[#This Row],[2019 Total Scope 1, 2 + 3]]/Table1[[#This Row],[Size (2019 Revenue)]]&gt;k_rev_max,"Y","N"),"NA")</f>
        <v>N</v>
      </c>
      <c r="H10" s="54" t="str">
        <f>IF(OR(Table1[[#This Row],[Net earnings post carbon price @85/t]]="Y",Table1[[#This Row],[Carbon costs in % revenue]] = "Y"),"Y",IF(OR(Table1[[#This Row],[Net earnings post carbon price @85/t]]="NA",Table1[[#This Row],[Carbon costs in % revenue]]="NA"),"NA","N"))</f>
        <v>N</v>
      </c>
      <c r="I10" s="5">
        <v>11588000000</v>
      </c>
      <c r="J10" s="9">
        <v>1997</v>
      </c>
      <c r="K10" s="5" t="s">
        <v>1</v>
      </c>
      <c r="L10" t="s">
        <v>1</v>
      </c>
      <c r="M10" s="4" t="s">
        <v>1</v>
      </c>
      <c r="N10">
        <v>2040</v>
      </c>
      <c r="O10">
        <v>2020</v>
      </c>
      <c r="R10" t="s">
        <v>1</v>
      </c>
      <c r="S10">
        <v>2025</v>
      </c>
      <c r="T10" s="51">
        <f>IFERROR((Table1[[#This Row],[2019 Total Scope 1, 2 + 3]])/Table1[[#This Row],[2018 Total Scope 1, 2 + Scope 3]]-1,"NA")</f>
        <v>0.15247747747747753</v>
      </c>
      <c r="V10" s="12">
        <v>5760000</v>
      </c>
      <c r="W10" s="12">
        <v>5500000</v>
      </c>
      <c r="X10" s="12"/>
      <c r="Y10" s="12">
        <f t="shared" si="0"/>
        <v>11260000</v>
      </c>
      <c r="Z10" s="12">
        <v>39910000</v>
      </c>
      <c r="AA10" s="12">
        <f t="shared" si="1"/>
        <v>51170000</v>
      </c>
      <c r="AB10" s="12">
        <v>4980000</v>
      </c>
      <c r="AC10" s="12">
        <v>4710000</v>
      </c>
      <c r="AD10" s="12"/>
      <c r="AE10" s="12">
        <f t="shared" si="2"/>
        <v>9690000</v>
      </c>
      <c r="AF10" s="12">
        <v>34710000</v>
      </c>
      <c r="AG10" s="12">
        <f t="shared" si="3"/>
        <v>44400000</v>
      </c>
      <c r="AH10" s="12" t="s">
        <v>401</v>
      </c>
      <c r="AI10" s="12" t="s">
        <v>401</v>
      </c>
      <c r="AJ10" s="12"/>
      <c r="AK10" s="12" t="str">
        <f t="shared" si="4"/>
        <v/>
      </c>
      <c r="AL10" s="12" t="s">
        <v>401</v>
      </c>
      <c r="AM10" s="12" t="str">
        <f t="shared" si="5"/>
        <v/>
      </c>
      <c r="AN10" s="12" t="s">
        <v>401</v>
      </c>
      <c r="AO10" s="12" t="s">
        <v>401</v>
      </c>
      <c r="AP10" s="12"/>
      <c r="AQ10" s="12" t="str">
        <f t="shared" si="6"/>
        <v/>
      </c>
      <c r="AR10" s="12" t="s">
        <v>401</v>
      </c>
      <c r="AS10" s="12" t="str">
        <f t="shared" si="7"/>
        <v/>
      </c>
      <c r="AT10" s="12" t="s">
        <v>401</v>
      </c>
      <c r="AU10" s="12" t="s">
        <v>401</v>
      </c>
      <c r="AV10" s="12"/>
      <c r="AW10" s="12" t="str">
        <f t="shared" si="8"/>
        <v/>
      </c>
      <c r="AX10" s="12" t="s">
        <v>401</v>
      </c>
      <c r="AY10" s="12" t="str">
        <f t="shared" si="9"/>
        <v/>
      </c>
      <c r="AZ10" t="s">
        <v>1</v>
      </c>
      <c r="BA10" s="3" t="s">
        <v>86</v>
      </c>
      <c r="BB10" s="3"/>
      <c r="BC10" s="3" t="s">
        <v>87</v>
      </c>
      <c r="BD10" s="42"/>
    </row>
    <row r="11" spans="1:56" ht="13" x14ac:dyDescent="0.3">
      <c r="A11" t="s">
        <v>88</v>
      </c>
      <c r="B11" t="s">
        <v>88</v>
      </c>
      <c r="C11" t="s">
        <v>6</v>
      </c>
      <c r="D11" t="s">
        <v>89</v>
      </c>
      <c r="E11" s="11">
        <v>43556000000</v>
      </c>
      <c r="F11" s="5" t="str">
        <f>IF(ISNUMBER(Table1[[#This Row],[2019 Scope 3 ]]),IF(Table1[[#This Row],[Net Earnings/Income (2019)]]-k_cost*Table1[[#This Row],[2019 Total Scope 1, 2 + 3]]&lt;0,"Y","N"),"NA")</f>
        <v>N</v>
      </c>
      <c r="G11" s="54" t="str">
        <f>IF(ISNUMBER(Table1[[#This Row],[2019 Scope 3 ]]),IF(k_cost*Table1[[#This Row],[2019 Total Scope 1, 2 + 3]]/Table1[[#This Row],[Size (2019 Revenue)]]&gt;k_rev_max,"Y","N"),"NA")</f>
        <v>N</v>
      </c>
      <c r="H11" s="54" t="str">
        <f>IF(OR(Table1[[#This Row],[Net earnings post carbon price @85/t]]="Y",Table1[[#This Row],[Carbon costs in % revenue]] = "Y"),"Y",IF(OR(Table1[[#This Row],[Net earnings post carbon price @85/t]]="NA",Table1[[#This Row],[Carbon costs in % revenue]]="NA"),"NA","N"))</f>
        <v>N</v>
      </c>
      <c r="I11" s="11">
        <v>6921000000</v>
      </c>
      <c r="J11" s="10">
        <v>1850</v>
      </c>
      <c r="K11" s="4" t="s">
        <v>1</v>
      </c>
      <c r="L11" s="4" t="s">
        <v>1</v>
      </c>
      <c r="M11" t="s">
        <v>0</v>
      </c>
      <c r="N11">
        <v>2018</v>
      </c>
      <c r="O11">
        <v>2018</v>
      </c>
      <c r="P11" s="17" t="s">
        <v>0</v>
      </c>
      <c r="Q11" t="s">
        <v>1</v>
      </c>
      <c r="R11" s="4" t="s">
        <v>1</v>
      </c>
      <c r="S11" s="4">
        <v>2018</v>
      </c>
      <c r="T11" s="52">
        <f>IFERROR((Table1[[#This Row],[2019 Total Scope 1, 2 + 3]])/Table1[[#This Row],[2018 Total Scope 1, 2 + Scope 3]]-1,"NA")</f>
        <v>-7.2535066712715257E-2</v>
      </c>
      <c r="U11" s="4"/>
      <c r="V11" s="12">
        <v>24363</v>
      </c>
      <c r="W11" s="12">
        <v>3153</v>
      </c>
      <c r="X11" s="12"/>
      <c r="Y11" s="12">
        <f t="shared" si="0"/>
        <v>27516</v>
      </c>
      <c r="Z11" s="12">
        <f>1956901+24863+30305+1719+51.679+138358+8000+9000</f>
        <v>2169197.679</v>
      </c>
      <c r="AA11" s="12">
        <f t="shared" si="1"/>
        <v>2196713.679</v>
      </c>
      <c r="AB11" s="12">
        <v>23981</v>
      </c>
      <c r="AC11" s="12">
        <v>2994</v>
      </c>
      <c r="AD11" s="12"/>
      <c r="AE11" s="12">
        <f t="shared" si="2"/>
        <v>26975</v>
      </c>
      <c r="AF11" s="12">
        <f>2090113+36041+28946+1710+47285+120309+8000+9000+135</f>
        <v>2341539</v>
      </c>
      <c r="AG11" s="12">
        <f t="shared" si="3"/>
        <v>2368514</v>
      </c>
      <c r="AH11" s="12">
        <v>24162</v>
      </c>
      <c r="AI11" s="12">
        <v>55273</v>
      </c>
      <c r="AJ11" s="12"/>
      <c r="AK11" s="12">
        <f t="shared" si="4"/>
        <v>79435</v>
      </c>
      <c r="AL11" s="12">
        <f>2028571+23807+30677+1314+34224+107396+8000+20000+156</f>
        <v>2254145</v>
      </c>
      <c r="AM11" s="12">
        <f t="shared" si="5"/>
        <v>2333580</v>
      </c>
      <c r="AN11" s="12">
        <v>25438</v>
      </c>
      <c r="AO11" s="12">
        <v>59115</v>
      </c>
      <c r="AP11" s="12"/>
      <c r="AQ11" s="12">
        <f t="shared" si="6"/>
        <v>84553</v>
      </c>
      <c r="AR11" s="12">
        <f>2110677+22382+30852+724+38364+122106+8000+22000+777</f>
        <v>2355882</v>
      </c>
      <c r="AS11" s="12">
        <f t="shared" si="7"/>
        <v>2440435</v>
      </c>
      <c r="AT11" s="12">
        <v>27352</v>
      </c>
      <c r="AU11" s="12">
        <v>98452</v>
      </c>
      <c r="AV11" s="12"/>
      <c r="AW11" s="12">
        <f t="shared" si="8"/>
        <v>125804</v>
      </c>
      <c r="AX11" s="12">
        <f>1128675+25937+34489+3230+1347+43092+118926+1800</f>
        <v>1357496</v>
      </c>
      <c r="AY11" s="12">
        <f t="shared" si="9"/>
        <v>1483300</v>
      </c>
      <c r="AZ11" t="s">
        <v>0</v>
      </c>
      <c r="BA11" s="3"/>
      <c r="BD11" s="42"/>
    </row>
    <row r="12" spans="1:56" ht="25.5" x14ac:dyDescent="0.3">
      <c r="A12" s="4" t="s">
        <v>414</v>
      </c>
      <c r="B12" s="21" t="s">
        <v>390</v>
      </c>
      <c r="C12" s="4" t="s">
        <v>6</v>
      </c>
      <c r="D12" s="4" t="s">
        <v>76</v>
      </c>
      <c r="E12" s="11">
        <v>49750000000</v>
      </c>
      <c r="F12" s="5" t="str">
        <f>IF(ISNUMBER(Table1[[#This Row],[2019 Scope 3 ]]),IF(Table1[[#This Row],[Net Earnings/Income (2019)]]-k_cost*Table1[[#This Row],[2019 Total Scope 1, 2 + 3]]&lt;0,"Y","N"),"NA")</f>
        <v>NA</v>
      </c>
      <c r="G12" s="54" t="str">
        <f>IF(ISNUMBER(Table1[[#This Row],[2019 Scope 3 ]]),IF(k_cost*Table1[[#This Row],[2019 Total Scope 1, 2 + 3]]/Table1[[#This Row],[Size (2019 Revenue)]]&gt;k_rev_max,"Y","N"),"NA")</f>
        <v>NA</v>
      </c>
      <c r="H12" s="54" t="str">
        <f>IF(OR(Table1[[#This Row],[Net earnings post carbon price @85/t]]="Y",Table1[[#This Row],[Carbon costs in % revenue]] = "Y"),"Y",IF(OR(Table1[[#This Row],[Net earnings post carbon price @85/t]]="NA",Table1[[#This Row],[Carbon costs in % revenue]]="NA"),"NA","N"))</f>
        <v>NA</v>
      </c>
      <c r="I12" s="11">
        <v>3300000000</v>
      </c>
      <c r="J12" s="10">
        <v>1969</v>
      </c>
      <c r="K12" s="4" t="s">
        <v>1</v>
      </c>
      <c r="L12" s="4" t="s">
        <v>0</v>
      </c>
      <c r="M12" t="s">
        <v>0</v>
      </c>
      <c r="P12" s="17" t="s">
        <v>0</v>
      </c>
      <c r="Q12" t="s">
        <v>0</v>
      </c>
      <c r="R12" s="4" t="s">
        <v>0</v>
      </c>
      <c r="S12" s="4" t="s">
        <v>0</v>
      </c>
      <c r="T12" s="52" t="str">
        <f>IFERROR((Table1[[#This Row],[2019 Total Scope 1, 2 + 3]])/Table1[[#This Row],[2018 Total Scope 1, 2 + Scope 3]]-1,"NA")</f>
        <v>NA</v>
      </c>
      <c r="U12" s="4"/>
      <c r="V12" s="12">
        <v>17121</v>
      </c>
      <c r="W12" s="12">
        <v>93781</v>
      </c>
      <c r="X12" s="12"/>
      <c r="Y12" s="12">
        <f t="shared" si="0"/>
        <v>110902</v>
      </c>
      <c r="Z12" s="12" t="s">
        <v>401</v>
      </c>
      <c r="AA12" s="12" t="str">
        <f t="shared" si="1"/>
        <v/>
      </c>
      <c r="AB12" s="12" t="s">
        <v>401</v>
      </c>
      <c r="AC12" s="12">
        <v>8824</v>
      </c>
      <c r="AD12" s="12"/>
      <c r="AE12" s="12" t="str">
        <f t="shared" si="2"/>
        <v/>
      </c>
      <c r="AF12" s="12" t="s">
        <v>401</v>
      </c>
      <c r="AG12" s="12" t="str">
        <f t="shared" si="3"/>
        <v/>
      </c>
      <c r="AH12" s="12" t="s">
        <v>401</v>
      </c>
      <c r="AI12" s="12">
        <v>9781</v>
      </c>
      <c r="AJ12" s="12"/>
      <c r="AK12" s="12" t="str">
        <f t="shared" si="4"/>
        <v/>
      </c>
      <c r="AL12" s="12" t="s">
        <v>401</v>
      </c>
      <c r="AM12" s="12" t="str">
        <f t="shared" si="5"/>
        <v/>
      </c>
      <c r="AN12" s="12" t="s">
        <v>401</v>
      </c>
      <c r="AO12" s="12">
        <v>12135</v>
      </c>
      <c r="AP12" s="12"/>
      <c r="AQ12" s="12" t="str">
        <f t="shared" si="6"/>
        <v/>
      </c>
      <c r="AR12" s="12" t="s">
        <v>401</v>
      </c>
      <c r="AS12" s="12" t="str">
        <f t="shared" si="7"/>
        <v/>
      </c>
      <c r="AT12" s="12" t="s">
        <v>401</v>
      </c>
      <c r="AU12" s="12" t="s">
        <v>401</v>
      </c>
      <c r="AV12" s="12"/>
      <c r="AW12" s="12" t="str">
        <f t="shared" si="8"/>
        <v/>
      </c>
      <c r="AX12" s="12" t="s">
        <v>401</v>
      </c>
      <c r="AY12" s="12" t="str">
        <f t="shared" si="9"/>
        <v/>
      </c>
      <c r="AZ12" s="13" t="s">
        <v>0</v>
      </c>
      <c r="BA12" s="18" t="s">
        <v>90</v>
      </c>
      <c r="BB12" s="14" t="s">
        <v>415</v>
      </c>
      <c r="BD12" s="42"/>
    </row>
    <row r="13" spans="1:56" ht="50.5" x14ac:dyDescent="0.3">
      <c r="A13" s="21" t="s">
        <v>91</v>
      </c>
      <c r="B13" s="21" t="s">
        <v>91</v>
      </c>
      <c r="C13" s="21" t="s">
        <v>10</v>
      </c>
      <c r="D13" t="s">
        <v>10</v>
      </c>
      <c r="E13" s="11">
        <v>7580000000</v>
      </c>
      <c r="F13" s="5" t="str">
        <f>IF(ISNUMBER(Table1[[#This Row],[2019 Scope 3 ]]),IF(Table1[[#This Row],[Net Earnings/Income (2019)]]-k_cost*Table1[[#This Row],[2019 Total Scope 1, 2 + 3]]&lt;0,"Y","N"),"NA")</f>
        <v>NA</v>
      </c>
      <c r="G13" s="54" t="str">
        <f>IF(ISNUMBER(Table1[[#This Row],[2019 Scope 3 ]]),IF(k_cost*Table1[[#This Row],[2019 Total Scope 1, 2 + 3]]/Table1[[#This Row],[Size (2019 Revenue)]]&gt;k_rev_max,"Y","N"),"NA")</f>
        <v>NA</v>
      </c>
      <c r="H13" s="54" t="str">
        <f>IF(OR(Table1[[#This Row],[Net earnings post carbon price @85/t]]="Y",Table1[[#This Row],[Carbon costs in % revenue]] = "Y"),"Y",IF(OR(Table1[[#This Row],[Net earnings post carbon price @85/t]]="NA",Table1[[#This Row],[Carbon costs in % revenue]]="NA"),"NA","N"))</f>
        <v>NA</v>
      </c>
      <c r="I13" s="11">
        <v>1888000000</v>
      </c>
      <c r="J13" s="10">
        <v>1995</v>
      </c>
      <c r="K13" s="4" t="s">
        <v>1</v>
      </c>
      <c r="L13" s="41" t="s">
        <v>0</v>
      </c>
      <c r="M13" s="4" t="s">
        <v>0</v>
      </c>
      <c r="P13" s="17" t="s">
        <v>0</v>
      </c>
      <c r="R13" s="4" t="s">
        <v>0</v>
      </c>
      <c r="S13" s="4" t="s">
        <v>0</v>
      </c>
      <c r="T13" s="52" t="str">
        <f>IFERROR((Table1[[#This Row],[2019 Total Scope 1, 2 + 3]])/Table1[[#This Row],[2018 Total Scope 1, 2 + Scope 3]]-1,"NA")</f>
        <v>NA</v>
      </c>
      <c r="U13" s="4"/>
      <c r="V13" s="12">
        <v>556281</v>
      </c>
      <c r="W13" s="12">
        <v>1780621</v>
      </c>
      <c r="X13" s="12">
        <v>92145</v>
      </c>
      <c r="Y13" s="12">
        <f t="shared" si="0"/>
        <v>2244757</v>
      </c>
      <c r="Z13" s="12" t="s">
        <v>401</v>
      </c>
      <c r="AA13" s="12" t="str">
        <f t="shared" si="1"/>
        <v/>
      </c>
      <c r="AB13" s="12">
        <v>615347</v>
      </c>
      <c r="AC13" s="12">
        <v>1796960</v>
      </c>
      <c r="AD13" s="12"/>
      <c r="AE13" s="12">
        <f t="shared" si="2"/>
        <v>2412307</v>
      </c>
      <c r="AF13" s="12" t="s">
        <v>401</v>
      </c>
      <c r="AG13" s="12" t="str">
        <f t="shared" si="3"/>
        <v/>
      </c>
      <c r="AH13" s="12">
        <v>650755</v>
      </c>
      <c r="AI13" s="12">
        <v>1617395</v>
      </c>
      <c r="AJ13" s="12"/>
      <c r="AK13" s="12">
        <f t="shared" si="4"/>
        <v>2268150</v>
      </c>
      <c r="AL13" s="12" t="s">
        <v>401</v>
      </c>
      <c r="AM13" s="12" t="str">
        <f t="shared" si="5"/>
        <v/>
      </c>
      <c r="AN13" s="12" t="s">
        <v>401</v>
      </c>
      <c r="AO13" s="12" t="s">
        <v>401</v>
      </c>
      <c r="AP13" s="12"/>
      <c r="AQ13" s="12" t="str">
        <f t="shared" si="6"/>
        <v/>
      </c>
      <c r="AR13" s="12" t="s">
        <v>401</v>
      </c>
      <c r="AS13" s="12" t="str">
        <f t="shared" si="7"/>
        <v/>
      </c>
      <c r="AT13" s="12" t="s">
        <v>401</v>
      </c>
      <c r="AU13" s="12" t="s">
        <v>401</v>
      </c>
      <c r="AV13" s="12"/>
      <c r="AW13" s="12" t="str">
        <f t="shared" si="8"/>
        <v/>
      </c>
      <c r="AX13" s="12" t="s">
        <v>401</v>
      </c>
      <c r="AY13" s="12" t="str">
        <f t="shared" si="9"/>
        <v/>
      </c>
      <c r="AZ13" t="s">
        <v>0</v>
      </c>
      <c r="BA13" s="14" t="s">
        <v>92</v>
      </c>
      <c r="BD13" s="42" t="s">
        <v>485</v>
      </c>
    </row>
    <row r="14" spans="1:56" ht="25.5" x14ac:dyDescent="0.3">
      <c r="A14" t="s">
        <v>93</v>
      </c>
      <c r="B14" s="21" t="s">
        <v>456</v>
      </c>
      <c r="C14" t="s">
        <v>7</v>
      </c>
      <c r="D14" t="s">
        <v>69</v>
      </c>
      <c r="E14" s="11">
        <v>23400000000</v>
      </c>
      <c r="F14" s="5" t="str">
        <f>IF(ISNUMBER(Table1[[#This Row],[2019 Scope 3 ]]),IF(Table1[[#This Row],[Net Earnings/Income (2019)]]-k_cost*Table1[[#This Row],[2019 Total Scope 1, 2 + 3]]&lt;0,"Y","N"),"NA")</f>
        <v>N</v>
      </c>
      <c r="G14" s="54" t="str">
        <f>IF(ISNUMBER(Table1[[#This Row],[2019 Scope 3 ]]),IF(k_cost*Table1[[#This Row],[2019 Total Scope 1, 2 + 3]]/Table1[[#This Row],[Size (2019 Revenue)]]&gt;k_rev_max,"Y","N"),"NA")</f>
        <v>N</v>
      </c>
      <c r="H14" s="54" t="str">
        <f>IF(OR(Table1[[#This Row],[Net earnings post carbon price @85/t]]="Y",Table1[[#This Row],[Carbon costs in % revenue]] = "Y"),"Y",IF(OR(Table1[[#This Row],[Net earnings post carbon price @85/t]]="NA",Table1[[#This Row],[Carbon costs in % revenue]]="NA"),"NA","N"))</f>
        <v>N</v>
      </c>
      <c r="I14" s="11">
        <v>7840000000</v>
      </c>
      <c r="J14" s="10">
        <v>1983</v>
      </c>
      <c r="K14" s="4" t="s">
        <v>1</v>
      </c>
      <c r="L14" s="4" t="s">
        <v>0</v>
      </c>
      <c r="M14" t="s">
        <v>0</v>
      </c>
      <c r="P14" s="17"/>
      <c r="Q14" t="s">
        <v>0</v>
      </c>
      <c r="R14" s="4" t="s">
        <v>0</v>
      </c>
      <c r="S14" s="4" t="s">
        <v>0</v>
      </c>
      <c r="T14" s="52">
        <f>IFERROR((Table1[[#This Row],[2019 Total Scope 1, 2 + 3]])/Table1[[#This Row],[2018 Total Scope 1, 2 + Scope 3]]-1,"NA")</f>
        <v>-1.6012735893901953E-2</v>
      </c>
      <c r="U14" s="4"/>
      <c r="V14" s="12">
        <v>135954</v>
      </c>
      <c r="W14" s="12">
        <v>160360</v>
      </c>
      <c r="X14" s="12"/>
      <c r="Y14" s="12">
        <f t="shared" si="0"/>
        <v>296314</v>
      </c>
      <c r="Z14" s="12">
        <f>2323917+258132+52554+22572+3454+56478+56210+52991+3047</f>
        <v>2829355</v>
      </c>
      <c r="AA14" s="12">
        <f t="shared" si="1"/>
        <v>3125669</v>
      </c>
      <c r="AB14" s="12">
        <v>160184</v>
      </c>
      <c r="AC14" s="12">
        <v>159848</v>
      </c>
      <c r="AD14" s="12"/>
      <c r="AE14" s="12">
        <f t="shared" si="2"/>
        <v>320032</v>
      </c>
      <c r="AF14" s="12">
        <f>2413684+263202+29187+33207+1405+59334+56483</f>
        <v>2856502</v>
      </c>
      <c r="AG14" s="12">
        <f t="shared" si="3"/>
        <v>3176534</v>
      </c>
      <c r="AH14" s="12">
        <v>163362</v>
      </c>
      <c r="AI14" s="12">
        <v>139035</v>
      </c>
      <c r="AJ14" s="12"/>
      <c r="AK14" s="12">
        <f t="shared" si="4"/>
        <v>302397</v>
      </c>
      <c r="AL14" s="12" t="s">
        <v>401</v>
      </c>
      <c r="AM14" s="12" t="str">
        <f t="shared" si="5"/>
        <v/>
      </c>
      <c r="AN14" s="12">
        <v>116643</v>
      </c>
      <c r="AO14" s="12">
        <v>196000</v>
      </c>
      <c r="AP14" s="12"/>
      <c r="AQ14" s="12">
        <f t="shared" si="6"/>
        <v>312643</v>
      </c>
      <c r="AR14" s="12" t="s">
        <v>401</v>
      </c>
      <c r="AS14" s="12" t="str">
        <f t="shared" si="7"/>
        <v/>
      </c>
      <c r="AT14" s="12">
        <v>125674</v>
      </c>
      <c r="AU14" s="12">
        <v>281940</v>
      </c>
      <c r="AV14" s="12"/>
      <c r="AW14" s="12">
        <f t="shared" si="8"/>
        <v>407614</v>
      </c>
      <c r="AX14" s="12" t="s">
        <v>401</v>
      </c>
      <c r="AY14" s="12" t="str">
        <f t="shared" si="9"/>
        <v/>
      </c>
      <c r="AZ14" t="s">
        <v>0</v>
      </c>
      <c r="BA14" s="18" t="s">
        <v>94</v>
      </c>
      <c r="BD14" s="42"/>
    </row>
    <row r="15" spans="1:56" ht="13" x14ac:dyDescent="0.3">
      <c r="A15" t="s">
        <v>95</v>
      </c>
      <c r="B15" s="21" t="s">
        <v>402</v>
      </c>
      <c r="C15" t="s">
        <v>11</v>
      </c>
      <c r="D15" s="4" t="s">
        <v>96</v>
      </c>
      <c r="E15" s="5">
        <v>260174000000</v>
      </c>
      <c r="F15" s="5" t="str">
        <f>IF(ISNUMBER(Table1[[#This Row],[2019 Scope 3 ]]),IF(Table1[[#This Row],[Net Earnings/Income (2019)]]-k_cost*Table1[[#This Row],[2019 Total Scope 1, 2 + 3]]&lt;0,"Y","N"),"NA")</f>
        <v>N</v>
      </c>
      <c r="G15" s="54" t="str">
        <f>IF(ISNUMBER(Table1[[#This Row],[2019 Scope 3 ]]),IF(k_cost*Table1[[#This Row],[2019 Total Scope 1, 2 + 3]]/Table1[[#This Row],[Size (2019 Revenue)]]&gt;k_rev_max,"Y","N"),"NA")</f>
        <v>N</v>
      </c>
      <c r="H15" s="54" t="str">
        <f>IF(OR(Table1[[#This Row],[Net earnings post carbon price @85/t]]="Y",Table1[[#This Row],[Carbon costs in % revenue]] = "Y"),"Y",IF(OR(Table1[[#This Row],[Net earnings post carbon price @85/t]]="NA",Table1[[#This Row],[Carbon costs in % revenue]]="NA"),"NA","N"))</f>
        <v>N</v>
      </c>
      <c r="I15" s="5">
        <v>55256000000</v>
      </c>
      <c r="J15" s="9">
        <v>1980</v>
      </c>
      <c r="K15" s="5" t="s">
        <v>1</v>
      </c>
      <c r="L15" t="s">
        <v>1</v>
      </c>
      <c r="M15" t="s">
        <v>0</v>
      </c>
      <c r="N15">
        <v>2030</v>
      </c>
      <c r="O15">
        <v>2020</v>
      </c>
      <c r="P15" s="17">
        <v>1083243</v>
      </c>
      <c r="Q15" t="s">
        <v>0</v>
      </c>
      <c r="R15" t="s">
        <v>1</v>
      </c>
      <c r="S15">
        <v>2018</v>
      </c>
      <c r="T15" s="51">
        <f>IFERROR((Table1[[#This Row],[2019 Total Scope 1, 2 + 3]])/Table1[[#This Row],[2018 Total Scope 1, 2 + Scope 3]]-1,"NA")</f>
        <v>1.8344205078635101E-2</v>
      </c>
      <c r="V15" s="12">
        <v>50549</v>
      </c>
      <c r="W15" s="12">
        <v>0</v>
      </c>
      <c r="X15" s="12"/>
      <c r="Y15" s="12">
        <f t="shared" si="0"/>
        <v>50549</v>
      </c>
      <c r="Z15" s="12">
        <f>18900000+486000+325500+194700+999000+4100000+60000</f>
        <v>25065200</v>
      </c>
      <c r="AA15" s="12">
        <f t="shared" si="1"/>
        <v>25115749</v>
      </c>
      <c r="AB15" s="12">
        <v>54590</v>
      </c>
      <c r="AC15" s="12">
        <v>8730</v>
      </c>
      <c r="AD15" s="12"/>
      <c r="AE15" s="12">
        <f t="shared" si="2"/>
        <v>63320</v>
      </c>
      <c r="AF15" s="12">
        <v>24600000</v>
      </c>
      <c r="AG15" s="12">
        <f t="shared" si="3"/>
        <v>24663320</v>
      </c>
      <c r="AH15" s="12">
        <v>45400</v>
      </c>
      <c r="AI15" s="12">
        <v>36250</v>
      </c>
      <c r="AJ15" s="12"/>
      <c r="AK15" s="12">
        <f t="shared" si="4"/>
        <v>81650</v>
      </c>
      <c r="AL15" s="12">
        <v>293440</v>
      </c>
      <c r="AM15" s="12">
        <f t="shared" si="5"/>
        <v>375090</v>
      </c>
      <c r="AN15" s="12">
        <v>34370</v>
      </c>
      <c r="AO15" s="12">
        <v>31000</v>
      </c>
      <c r="AP15" s="12"/>
      <c r="AQ15" s="12">
        <f t="shared" si="6"/>
        <v>65370</v>
      </c>
      <c r="AR15" s="12">
        <f>22800000+350000+117500+186400+830000+5000000+300000</f>
        <v>29583900</v>
      </c>
      <c r="AS15" s="12">
        <f t="shared" si="7"/>
        <v>29649270</v>
      </c>
      <c r="AT15" s="12">
        <v>28100</v>
      </c>
      <c r="AU15" s="12">
        <v>42460</v>
      </c>
      <c r="AV15" s="12"/>
      <c r="AW15" s="12">
        <f t="shared" si="8"/>
        <v>70560</v>
      </c>
      <c r="AX15" s="12" t="s">
        <v>401</v>
      </c>
      <c r="AY15" s="12" t="str">
        <f t="shared" si="9"/>
        <v/>
      </c>
      <c r="AZ15" t="s">
        <v>1</v>
      </c>
      <c r="BC15" s="34" t="s">
        <v>97</v>
      </c>
      <c r="BD15" s="42"/>
    </row>
    <row r="16" spans="1:56" ht="88" x14ac:dyDescent="0.3">
      <c r="A16" t="s">
        <v>98</v>
      </c>
      <c r="B16" s="21" t="s">
        <v>404</v>
      </c>
      <c r="C16" t="s">
        <v>2</v>
      </c>
      <c r="D16" t="s">
        <v>99</v>
      </c>
      <c r="E16" s="5">
        <v>181200000000</v>
      </c>
      <c r="F16" s="5" t="str">
        <f>IF(ISNUMBER(Table1[[#This Row],[2019 Scope 3 ]]),IF(Table1[[#This Row],[Net Earnings/Income (2019)]]-k_cost*Table1[[#This Row],[2019 Total Scope 1, 2 + 3]]&lt;0,"Y","N"),"NA")</f>
        <v>N</v>
      </c>
      <c r="G16" s="54" t="str">
        <f>IF(ISNUMBER(Table1[[#This Row],[2019 Scope 3 ]]),IF(k_cost*Table1[[#This Row],[2019 Total Scope 1, 2 + 3]]/Table1[[#This Row],[Size (2019 Revenue)]]&gt;k_rev_max,"Y","N"),"NA")</f>
        <v>N</v>
      </c>
      <c r="H16" s="54" t="str">
        <f>IF(OR(Table1[[#This Row],[Net earnings post carbon price @85/t]]="Y",Table1[[#This Row],[Carbon costs in % revenue]] = "Y"),"Y",IF(OR(Table1[[#This Row],[Net earnings post carbon price @85/t]]="NA",Table1[[#This Row],[Carbon costs in % revenue]]="NA"),"NA","N"))</f>
        <v>N</v>
      </c>
      <c r="I16" s="5">
        <v>13900000000</v>
      </c>
      <c r="J16" s="9">
        <v>1983</v>
      </c>
      <c r="K16" s="5" t="s">
        <v>1</v>
      </c>
      <c r="L16" t="s">
        <v>1</v>
      </c>
      <c r="M16" t="s">
        <v>1</v>
      </c>
      <c r="N16">
        <v>2035</v>
      </c>
      <c r="O16">
        <v>2020</v>
      </c>
      <c r="P16" t="s">
        <v>0</v>
      </c>
      <c r="Q16" t="s">
        <v>1</v>
      </c>
      <c r="R16" t="s">
        <v>0</v>
      </c>
      <c r="S16" t="s">
        <v>0</v>
      </c>
      <c r="T16" s="51">
        <f>IFERROR((Table1[[#This Row],[2019 Total Scope 1, 2 + 3]])/Table1[[#This Row],[2018 Total Scope 1, 2 + Scope 3]]-1,"NA")</f>
        <v>-0.13466334164588534</v>
      </c>
      <c r="V16" s="12">
        <v>990000</v>
      </c>
      <c r="W16" s="12">
        <v>5530000</v>
      </c>
      <c r="X16" s="12"/>
      <c r="Y16" s="12">
        <f t="shared" si="0"/>
        <v>6520000</v>
      </c>
      <c r="Z16" s="12">
        <v>3890000</v>
      </c>
      <c r="AA16" s="12">
        <f t="shared" si="1"/>
        <v>10410000</v>
      </c>
      <c r="AB16" s="12">
        <v>1020000</v>
      </c>
      <c r="AC16" s="12">
        <v>6660000</v>
      </c>
      <c r="AD16" s="12"/>
      <c r="AE16" s="12">
        <f t="shared" si="2"/>
        <v>7680000</v>
      </c>
      <c r="AF16" s="12">
        <v>4350000</v>
      </c>
      <c r="AG16" s="12">
        <f t="shared" si="3"/>
        <v>12030000</v>
      </c>
      <c r="AH16" s="12">
        <v>1070000</v>
      </c>
      <c r="AI16" s="12">
        <v>6950000</v>
      </c>
      <c r="AJ16" s="12"/>
      <c r="AK16" s="12">
        <f t="shared" si="4"/>
        <v>8020000</v>
      </c>
      <c r="AL16" s="12">
        <v>3620000</v>
      </c>
      <c r="AM16" s="12">
        <f t="shared" si="5"/>
        <v>11640000</v>
      </c>
      <c r="AN16" s="12">
        <v>1080000</v>
      </c>
      <c r="AO16" s="12">
        <v>7810000</v>
      </c>
      <c r="AP16" s="12"/>
      <c r="AQ16" s="12">
        <f t="shared" si="6"/>
        <v>8890000</v>
      </c>
      <c r="AR16" s="12">
        <v>3400000</v>
      </c>
      <c r="AS16" s="12">
        <f t="shared" si="7"/>
        <v>12290000</v>
      </c>
      <c r="AT16" s="12">
        <v>1070000</v>
      </c>
      <c r="AU16" s="12">
        <v>7690000</v>
      </c>
      <c r="AV16" s="12"/>
      <c r="AW16" s="12">
        <f t="shared" si="8"/>
        <v>8760000</v>
      </c>
      <c r="AX16" s="12">
        <v>3030000</v>
      </c>
      <c r="AY16" s="12">
        <f t="shared" si="9"/>
        <v>11790000</v>
      </c>
      <c r="AZ16" t="s">
        <v>0</v>
      </c>
      <c r="BA16" s="18" t="s">
        <v>100</v>
      </c>
      <c r="BC16" s="35" t="s">
        <v>101</v>
      </c>
      <c r="BD16" s="42"/>
    </row>
    <row r="17" spans="1:56" ht="100.5" x14ac:dyDescent="0.3">
      <c r="A17" t="s">
        <v>102</v>
      </c>
      <c r="B17" s="21" t="s">
        <v>102</v>
      </c>
      <c r="C17" t="s">
        <v>6</v>
      </c>
      <c r="D17" s="4" t="s">
        <v>103</v>
      </c>
      <c r="E17" s="5">
        <v>91240000000</v>
      </c>
      <c r="F17" s="5" t="str">
        <f>IF(ISNUMBER(Table1[[#This Row],[2019 Scope 3 ]]),IF(Table1[[#This Row],[Net Earnings/Income (2019)]]-k_cost*Table1[[#This Row],[2019 Total Scope 1, 2 + 3]]&lt;0,"Y","N"),"NA")</f>
        <v>N</v>
      </c>
      <c r="G17" s="54" t="str">
        <f>IF(ISNUMBER(Table1[[#This Row],[2019 Scope 3 ]]),IF(k_cost*Table1[[#This Row],[2019 Total Scope 1, 2 + 3]]/Table1[[#This Row],[Size (2019 Revenue)]]&gt;k_rev_max,"Y","N"),"NA")</f>
        <v>N</v>
      </c>
      <c r="H17" s="54" t="str">
        <f>IF(OR(Table1[[#This Row],[Net earnings post carbon price @85/t]]="Y",Table1[[#This Row],[Carbon costs in % revenue]] = "Y"),"Y",IF(OR(Table1[[#This Row],[Net earnings post carbon price @85/t]]="NA",Table1[[#This Row],[Carbon costs in % revenue]]="NA"),"NA","N"))</f>
        <v>N</v>
      </c>
      <c r="I17" s="5">
        <v>25998000000</v>
      </c>
      <c r="J17" s="9">
        <v>1998</v>
      </c>
      <c r="K17" s="5" t="s">
        <v>1</v>
      </c>
      <c r="L17" t="s">
        <v>1</v>
      </c>
      <c r="M17" t="s">
        <v>0</v>
      </c>
      <c r="N17">
        <v>2020</v>
      </c>
      <c r="O17">
        <v>2016</v>
      </c>
      <c r="Q17" t="s">
        <v>1</v>
      </c>
      <c r="R17" s="49" t="s">
        <v>1</v>
      </c>
      <c r="S17">
        <v>2020</v>
      </c>
      <c r="T17" s="51">
        <f>IFERROR((Table1[[#This Row],[2019 Total Scope 1, 2 + 3]])/Table1[[#This Row],[2018 Total Scope 1, 2 + Scope 3]]-1,"NA")</f>
        <v>-1.2940486012808616E-2</v>
      </c>
      <c r="V17" s="12">
        <v>62639</v>
      </c>
      <c r="W17" s="12">
        <v>17523</v>
      </c>
      <c r="X17" s="12"/>
      <c r="Y17" s="12">
        <f t="shared" si="0"/>
        <v>80162</v>
      </c>
      <c r="Z17" s="12">
        <f>2329208+251336+161151+140215+22386+162457+378088+1400000+4000+19000</f>
        <v>4867841</v>
      </c>
      <c r="AA17" s="12">
        <f t="shared" si="1"/>
        <v>4948003</v>
      </c>
      <c r="AB17" s="12">
        <v>85145</v>
      </c>
      <c r="AC17" s="12">
        <v>108614</v>
      </c>
      <c r="AD17" s="12"/>
      <c r="AE17" s="12">
        <f t="shared" si="2"/>
        <v>193759</v>
      </c>
      <c r="AF17" s="12">
        <v>4819113</v>
      </c>
      <c r="AG17" s="12">
        <f t="shared" si="3"/>
        <v>5012872</v>
      </c>
      <c r="AH17" s="12">
        <v>82298</v>
      </c>
      <c r="AI17" s="12">
        <v>173512</v>
      </c>
      <c r="AJ17" s="12"/>
      <c r="AK17" s="12">
        <f t="shared" si="4"/>
        <v>255810</v>
      </c>
      <c r="AL17" s="12"/>
      <c r="AM17" s="12">
        <f t="shared" si="5"/>
        <v>255810</v>
      </c>
      <c r="AN17" s="12">
        <v>83473</v>
      </c>
      <c r="AO17" s="12">
        <v>369084</v>
      </c>
      <c r="AP17" s="12"/>
      <c r="AQ17" s="12">
        <f t="shared" si="6"/>
        <v>452557</v>
      </c>
      <c r="AR17" s="12">
        <f>1944781+312588+208087+15968+10761+154531+373481+1500000+5000+18000</f>
        <v>4543197</v>
      </c>
      <c r="AS17" s="12">
        <f t="shared" si="7"/>
        <v>4995754</v>
      </c>
      <c r="AT17" s="12">
        <v>98911</v>
      </c>
      <c r="AU17" s="12">
        <v>1036822</v>
      </c>
      <c r="AV17" s="12"/>
      <c r="AW17" s="12">
        <f t="shared" si="8"/>
        <v>1135733</v>
      </c>
      <c r="AX17" s="12">
        <f>1674213+85933+215561+14818+16525+184613+388595+900000+9000+24000</f>
        <v>3513258</v>
      </c>
      <c r="AY17" s="12">
        <f t="shared" si="9"/>
        <v>4648991</v>
      </c>
      <c r="AZ17" t="s">
        <v>0</v>
      </c>
      <c r="BA17" s="3" t="s">
        <v>104</v>
      </c>
      <c r="BB17" s="30" t="s">
        <v>416</v>
      </c>
      <c r="BC17" s="3" t="s">
        <v>105</v>
      </c>
      <c r="BD17" s="42" t="s">
        <v>493</v>
      </c>
    </row>
    <row r="18" spans="1:56" ht="13" x14ac:dyDescent="0.3">
      <c r="A18" s="21" t="s">
        <v>106</v>
      </c>
      <c r="B18" s="21" t="s">
        <v>395</v>
      </c>
      <c r="C18" s="21" t="s">
        <v>6</v>
      </c>
      <c r="D18" s="4" t="s">
        <v>76</v>
      </c>
      <c r="E18" s="5">
        <v>254616000000</v>
      </c>
      <c r="F18" s="5" t="str">
        <f>IF(ISNUMBER(Table1[[#This Row],[2019 Scope 3 ]]),IF(Table1[[#This Row],[Net Earnings/Income (2019)]]-k_cost*Table1[[#This Row],[2019 Total Scope 1, 2 + 3]]&lt;0,"Y","N"),"NA")</f>
        <v>NA</v>
      </c>
      <c r="G18" s="54" t="str">
        <f>IF(ISNUMBER(Table1[[#This Row],[2019 Scope 3 ]]),IF(k_cost*Table1[[#This Row],[2019 Total Scope 1, 2 + 3]]/Table1[[#This Row],[Size (2019 Revenue)]]&gt;k_rev_max,"Y","N"),"NA")</f>
        <v>NA</v>
      </c>
      <c r="H18" s="54" t="str">
        <f>IF(OR(Table1[[#This Row],[Net earnings post carbon price @85/t]]="Y",Table1[[#This Row],[Carbon costs in % revenue]] = "Y"),"Y",IF(OR(Table1[[#This Row],[Net earnings post carbon price @85/t]]="NA",Table1[[#This Row],[Carbon costs in % revenue]]="NA"),"NA","N"))</f>
        <v>NA</v>
      </c>
      <c r="I18" s="5">
        <v>81417000000</v>
      </c>
      <c r="J18" s="9">
        <v>1839</v>
      </c>
      <c r="K18" s="5" t="s">
        <v>1</v>
      </c>
      <c r="L18" t="s">
        <v>0</v>
      </c>
      <c r="M18" t="s">
        <v>0</v>
      </c>
      <c r="P18" t="s">
        <v>0</v>
      </c>
      <c r="Q18" t="s">
        <v>0</v>
      </c>
      <c r="R18" t="s">
        <v>0</v>
      </c>
      <c r="S18" t="s">
        <v>0</v>
      </c>
      <c r="T18" s="51" t="str">
        <f>IFERROR((Table1[[#This Row],[2019 Total Scope 1, 2 + 3]])/Table1[[#This Row],[2018 Total Scope 1, 2 + Scope 3]]-1,"NA")</f>
        <v>NA</v>
      </c>
      <c r="V18" s="12" t="s">
        <v>401</v>
      </c>
      <c r="W18" s="12" t="s">
        <v>401</v>
      </c>
      <c r="X18" s="12"/>
      <c r="Y18" s="12" t="str">
        <f t="shared" si="0"/>
        <v/>
      </c>
      <c r="Z18" s="12" t="s">
        <v>401</v>
      </c>
      <c r="AA18" s="12" t="str">
        <f t="shared" si="1"/>
        <v/>
      </c>
      <c r="AB18" s="12" t="s">
        <v>401</v>
      </c>
      <c r="AC18" s="12" t="s">
        <v>401</v>
      </c>
      <c r="AD18" s="12"/>
      <c r="AE18" s="12" t="str">
        <f t="shared" si="2"/>
        <v/>
      </c>
      <c r="AF18" s="12" t="s">
        <v>401</v>
      </c>
      <c r="AG18" s="12" t="str">
        <f t="shared" si="3"/>
        <v/>
      </c>
      <c r="AH18" s="12" t="s">
        <v>401</v>
      </c>
      <c r="AI18" s="12" t="s">
        <v>401</v>
      </c>
      <c r="AJ18" s="12"/>
      <c r="AK18" s="12" t="str">
        <f t="shared" si="4"/>
        <v/>
      </c>
      <c r="AL18" s="12" t="s">
        <v>401</v>
      </c>
      <c r="AM18" s="12" t="str">
        <f t="shared" si="5"/>
        <v/>
      </c>
      <c r="AN18" s="12" t="s">
        <v>401</v>
      </c>
      <c r="AO18" s="12" t="s">
        <v>401</v>
      </c>
      <c r="AP18" s="12"/>
      <c r="AQ18" s="12" t="str">
        <f t="shared" si="6"/>
        <v/>
      </c>
      <c r="AR18" s="12" t="s">
        <v>401</v>
      </c>
      <c r="AS18" s="12" t="str">
        <f t="shared" si="7"/>
        <v/>
      </c>
      <c r="AT18" s="12" t="s">
        <v>401</v>
      </c>
      <c r="AU18" s="12" t="s">
        <v>401</v>
      </c>
      <c r="AV18" s="12"/>
      <c r="AW18" s="12" t="str">
        <f t="shared" si="8"/>
        <v/>
      </c>
      <c r="AX18" s="12" t="s">
        <v>401</v>
      </c>
      <c r="AY18" s="12" t="str">
        <f t="shared" si="9"/>
        <v/>
      </c>
      <c r="AZ18" t="s">
        <v>0</v>
      </c>
      <c r="BD18" s="42"/>
    </row>
    <row r="19" spans="1:56" ht="13" x14ac:dyDescent="0.3">
      <c r="A19" s="21" t="s">
        <v>107</v>
      </c>
      <c r="B19" s="21" t="s">
        <v>460</v>
      </c>
      <c r="C19" s="21" t="s">
        <v>7</v>
      </c>
      <c r="D19" t="s">
        <v>69</v>
      </c>
      <c r="E19" s="5">
        <v>13500000000</v>
      </c>
      <c r="F19" s="5" t="str">
        <f>IF(ISNUMBER(Table1[[#This Row],[2019 Scope 3 ]]),IF(Table1[[#This Row],[Net Earnings/Income (2019)]]-k_cost*Table1[[#This Row],[2019 Total Scope 1, 2 + 3]]&lt;0,"Y","N"),"NA")</f>
        <v>N</v>
      </c>
      <c r="G19" s="54" t="str">
        <f>IF(ISNUMBER(Table1[[#This Row],[2019 Scope 3 ]]),IF(k_cost*Table1[[#This Row],[2019 Total Scope 1, 2 + 3]]/Table1[[#This Row],[Size (2019 Revenue)]]&gt;k_rev_max,"Y","N"),"NA")</f>
        <v>N</v>
      </c>
      <c r="H19" s="54" t="str">
        <f>IF(OR(Table1[[#This Row],[Net earnings post carbon price @85/t]]="Y",Table1[[#This Row],[Carbon costs in % revenue]] = "Y"),"Y",IF(OR(Table1[[#This Row],[Net earnings post carbon price @85/t]]="NA",Table1[[#This Row],[Carbon costs in % revenue]]="NA"),"NA","N"))</f>
        <v>N</v>
      </c>
      <c r="I19" s="5">
        <v>4400000000</v>
      </c>
      <c r="J19" s="9">
        <v>1978</v>
      </c>
      <c r="K19" s="5" t="s">
        <v>1</v>
      </c>
      <c r="L19" t="s">
        <v>1</v>
      </c>
      <c r="M19" t="s">
        <v>1</v>
      </c>
      <c r="N19">
        <v>2015</v>
      </c>
      <c r="O19">
        <v>2015</v>
      </c>
      <c r="P19" t="s">
        <v>0</v>
      </c>
      <c r="Q19" t="s">
        <v>1</v>
      </c>
      <c r="R19" t="s">
        <v>1</v>
      </c>
      <c r="S19">
        <v>2014</v>
      </c>
      <c r="T19" s="51">
        <f>IFERROR((Table1[[#This Row],[2019 Total Scope 1, 2 + 3]])/Table1[[#This Row],[2018 Total Scope 1, 2 + Scope 3]]-1,"NA")</f>
        <v>5.0040256875169442E-2</v>
      </c>
      <c r="V19" s="12">
        <v>67031</v>
      </c>
      <c r="W19" s="12">
        <v>106</v>
      </c>
      <c r="X19" s="12"/>
      <c r="Y19" s="12">
        <f t="shared" si="0"/>
        <v>67137</v>
      </c>
      <c r="Z19" s="12">
        <f>334954+32759+10515+645+24083+9516+12065</f>
        <v>424537</v>
      </c>
      <c r="AA19" s="12">
        <f t="shared" si="1"/>
        <v>491674</v>
      </c>
      <c r="AB19" s="12">
        <v>68448</v>
      </c>
      <c r="AC19" s="12">
        <v>40172</v>
      </c>
      <c r="AD19" s="12">
        <v>76642</v>
      </c>
      <c r="AE19" s="12">
        <f t="shared" si="2"/>
        <v>31978</v>
      </c>
      <c r="AF19" s="12">
        <v>436265</v>
      </c>
      <c r="AG19" s="12">
        <f t="shared" si="3"/>
        <v>468243</v>
      </c>
      <c r="AH19" s="12">
        <v>61616</v>
      </c>
      <c r="AI19" s="12">
        <v>42408</v>
      </c>
      <c r="AJ19" s="12">
        <v>69783</v>
      </c>
      <c r="AK19" s="12">
        <f t="shared" si="4"/>
        <v>34241</v>
      </c>
      <c r="AL19" s="12">
        <v>436265</v>
      </c>
      <c r="AM19" s="12">
        <f t="shared" si="5"/>
        <v>470506</v>
      </c>
      <c r="AN19" s="12">
        <v>61970</v>
      </c>
      <c r="AO19" s="12">
        <v>45899</v>
      </c>
      <c r="AP19" s="12">
        <v>316917</v>
      </c>
      <c r="AQ19" s="12">
        <f t="shared" si="6"/>
        <v>-209048</v>
      </c>
      <c r="AR19" s="12">
        <v>254791</v>
      </c>
      <c r="AS19" s="12">
        <f t="shared" si="7"/>
        <v>45743</v>
      </c>
      <c r="AT19" s="12">
        <v>60179</v>
      </c>
      <c r="AU19" s="12">
        <v>38173</v>
      </c>
      <c r="AV19" s="12">
        <v>322563</v>
      </c>
      <c r="AW19" s="12">
        <f t="shared" si="8"/>
        <v>-224211</v>
      </c>
      <c r="AX19" s="12">
        <v>262358</v>
      </c>
      <c r="AY19" s="12">
        <f t="shared" si="9"/>
        <v>38147</v>
      </c>
      <c r="AZ19" t="s">
        <v>0</v>
      </c>
      <c r="BD19" s="42"/>
    </row>
    <row r="20" spans="1:56" ht="13" x14ac:dyDescent="0.3">
      <c r="A20" s="21" t="s">
        <v>108</v>
      </c>
      <c r="B20" s="21" t="s">
        <v>396</v>
      </c>
      <c r="C20" s="21" t="s">
        <v>6</v>
      </c>
      <c r="D20" s="4" t="s">
        <v>109</v>
      </c>
      <c r="E20" s="5">
        <v>14539000000</v>
      </c>
      <c r="F20" s="5" t="str">
        <f>IF(ISNUMBER(Table1[[#This Row],[2019 Scope 3 ]]),IF(Table1[[#This Row],[Net Earnings/Income (2019)]]-k_cost*Table1[[#This Row],[2019 Total Scope 1, 2 + 3]]&lt;0,"Y","N"),"NA")</f>
        <v>N</v>
      </c>
      <c r="G20" s="54" t="str">
        <f>IF(ISNUMBER(Table1[[#This Row],[2019 Scope 3 ]]),IF(k_cost*Table1[[#This Row],[2019 Total Scope 1, 2 + 3]]/Table1[[#This Row],[Size (2019 Revenue)]]&gt;k_rev_max,"Y","N"),"NA")</f>
        <v>N</v>
      </c>
      <c r="H20" s="54" t="str">
        <f>IF(OR(Table1[[#This Row],[Net earnings post carbon price @85/t]]="Y",Table1[[#This Row],[Carbon costs in % revenue]] = "Y"),"Y",IF(OR(Table1[[#This Row],[Net earnings post carbon price @85/t]]="NA",Table1[[#This Row],[Carbon costs in % revenue]]="NA"),"NA","N"))</f>
        <v>N</v>
      </c>
      <c r="I20" s="5">
        <v>4484000000</v>
      </c>
      <c r="J20" s="9">
        <v>1988</v>
      </c>
      <c r="K20" s="5" t="s">
        <v>1</v>
      </c>
      <c r="L20" t="s">
        <v>0</v>
      </c>
      <c r="M20" t="s">
        <v>0</v>
      </c>
      <c r="R20" t="s">
        <v>1</v>
      </c>
      <c r="S20">
        <v>2020</v>
      </c>
      <c r="T20" s="51">
        <f>IFERROR((Table1[[#This Row],[2019 Total Scope 1, 2 + 3]])/Table1[[#This Row],[2018 Total Scope 1, 2 + Scope 3]]-1,"NA")</f>
        <v>4.9639920910399216</v>
      </c>
      <c r="V20" s="12">
        <v>5589</v>
      </c>
      <c r="W20" s="12">
        <v>0</v>
      </c>
      <c r="X20" s="12"/>
      <c r="Y20" s="12">
        <f t="shared" si="0"/>
        <v>5589</v>
      </c>
      <c r="Z20" s="12">
        <f>351950+15521+7865+2462+1162+39116+1161+777</f>
        <v>420014</v>
      </c>
      <c r="AA20" s="12">
        <f t="shared" si="1"/>
        <v>425603</v>
      </c>
      <c r="AB20" s="12">
        <v>4807</v>
      </c>
      <c r="AC20" s="12">
        <v>22043</v>
      </c>
      <c r="AD20" s="12">
        <v>0</v>
      </c>
      <c r="AE20" s="12">
        <f t="shared" si="2"/>
        <v>26850</v>
      </c>
      <c r="AF20" s="12">
        <f>2.9*15349</f>
        <v>44512.1</v>
      </c>
      <c r="AG20" s="12">
        <f t="shared" si="3"/>
        <v>71362.100000000006</v>
      </c>
      <c r="AH20" s="12">
        <v>5016</v>
      </c>
      <c r="AI20" s="12">
        <v>22135</v>
      </c>
      <c r="AJ20" s="12">
        <v>0</v>
      </c>
      <c r="AK20" s="12">
        <f t="shared" si="4"/>
        <v>27151</v>
      </c>
      <c r="AL20" s="12">
        <f>2.8*13816</f>
        <v>38684.799999999996</v>
      </c>
      <c r="AM20" s="12">
        <f t="shared" si="5"/>
        <v>65835.799999999988</v>
      </c>
      <c r="AN20" s="12">
        <v>4281</v>
      </c>
      <c r="AO20" s="12">
        <v>26086</v>
      </c>
      <c r="AP20" s="12">
        <v>0</v>
      </c>
      <c r="AQ20" s="12">
        <f t="shared" si="6"/>
        <v>30367</v>
      </c>
      <c r="AR20" s="12">
        <f>3*13337</f>
        <v>40011</v>
      </c>
      <c r="AS20" s="12">
        <f t="shared" si="7"/>
        <v>70378</v>
      </c>
      <c r="AT20" s="12">
        <v>4846</v>
      </c>
      <c r="AU20" s="12">
        <v>28700</v>
      </c>
      <c r="AV20" s="12"/>
      <c r="AW20" s="12">
        <f t="shared" si="8"/>
        <v>33546</v>
      </c>
      <c r="AX20" s="12">
        <f>3.1*12994</f>
        <v>40281.4</v>
      </c>
      <c r="AY20" s="12">
        <f t="shared" si="9"/>
        <v>73827.399999999994</v>
      </c>
      <c r="AZ20" t="s">
        <v>0</v>
      </c>
      <c r="BB20" t="s">
        <v>110</v>
      </c>
      <c r="BD20" s="42"/>
    </row>
    <row r="21" spans="1:56" ht="50.5" x14ac:dyDescent="0.3">
      <c r="A21" s="21" t="s">
        <v>111</v>
      </c>
      <c r="B21" s="21" t="s">
        <v>111</v>
      </c>
      <c r="C21" s="21" t="s">
        <v>8</v>
      </c>
      <c r="D21" t="s">
        <v>112</v>
      </c>
      <c r="E21" s="5">
        <v>76559000000</v>
      </c>
      <c r="F21" s="5" t="str">
        <f>IF(ISNUMBER(Table1[[#This Row],[2019 Scope 3 ]]),IF(Table1[[#This Row],[Net Earnings/Income (2019)]]-k_cost*Table1[[#This Row],[2019 Total Scope 1, 2 + 3]]&lt;0,"Y","N"),"NA")</f>
        <v>Y</v>
      </c>
      <c r="G21" s="54" t="str">
        <f>IF(ISNUMBER(Table1[[#This Row],[2019 Scope 3 ]]),IF(k_cost*Table1[[#This Row],[2019 Total Scope 1, 2 + 3]]/Table1[[#This Row],[Size (2019 Revenue)]]&gt;k_rev_max,"Y","N"),"NA")</f>
        <v>N</v>
      </c>
      <c r="H21" s="54" t="str">
        <f>IF(OR(Table1[[#This Row],[Net earnings post carbon price @85/t]]="Y",Table1[[#This Row],[Carbon costs in % revenue]] = "Y"),"Y",IF(OR(Table1[[#This Row],[Net earnings post carbon price @85/t]]="NA",Table1[[#This Row],[Carbon costs in % revenue]]="NA"),"NA","N"))</f>
        <v>Y</v>
      </c>
      <c r="I21" s="11">
        <v>-636000000</v>
      </c>
      <c r="J21" s="9">
        <v>1962</v>
      </c>
      <c r="K21" s="5" t="s">
        <v>1</v>
      </c>
      <c r="L21" t="s">
        <v>0</v>
      </c>
      <c r="M21" t="s">
        <v>0</v>
      </c>
      <c r="P21" s="28">
        <v>0.5</v>
      </c>
      <c r="Q21" t="s">
        <v>1</v>
      </c>
      <c r="R21" t="s">
        <v>0</v>
      </c>
      <c r="S21" t="s">
        <v>0</v>
      </c>
      <c r="T21" s="51">
        <f>IFERROR((Table1[[#This Row],[2019 Total Scope 1, 2 + 3]])/Table1[[#This Row],[2018 Total Scope 1, 2 + Scope 3]]-1,"NA")</f>
        <v>-0.11948331539289558</v>
      </c>
      <c r="V21" s="12">
        <v>613000</v>
      </c>
      <c r="W21" s="12">
        <v>733000</v>
      </c>
      <c r="X21" s="12"/>
      <c r="Y21" s="12">
        <f t="shared" si="0"/>
        <v>1346000</v>
      </c>
      <c r="Z21" s="12">
        <v>290000</v>
      </c>
      <c r="AA21" s="12">
        <f t="shared" si="1"/>
        <v>1636000</v>
      </c>
      <c r="AB21" s="12">
        <v>646000</v>
      </c>
      <c r="AC21" s="12">
        <v>892000</v>
      </c>
      <c r="AD21" s="12">
        <v>0</v>
      </c>
      <c r="AE21" s="12">
        <f t="shared" si="2"/>
        <v>1538000</v>
      </c>
      <c r="AF21" s="12">
        <v>320000</v>
      </c>
      <c r="AG21" s="12">
        <f t="shared" si="3"/>
        <v>1858000</v>
      </c>
      <c r="AH21" s="12">
        <v>626000</v>
      </c>
      <c r="AI21" s="12">
        <v>896000</v>
      </c>
      <c r="AJ21" s="12"/>
      <c r="AK21" s="12">
        <f t="shared" si="4"/>
        <v>1522000</v>
      </c>
      <c r="AL21" s="12">
        <v>285000</v>
      </c>
      <c r="AM21" s="12">
        <f t="shared" si="5"/>
        <v>1807000</v>
      </c>
      <c r="AN21" s="12">
        <v>593000</v>
      </c>
      <c r="AO21" s="12">
        <v>937000</v>
      </c>
      <c r="AP21" s="12"/>
      <c r="AQ21" s="12">
        <f t="shared" si="6"/>
        <v>1530000</v>
      </c>
      <c r="AR21" s="12">
        <v>244000</v>
      </c>
      <c r="AS21" s="12">
        <f t="shared" si="7"/>
        <v>1774000</v>
      </c>
      <c r="AT21" s="12">
        <v>601000</v>
      </c>
      <c r="AU21" s="12">
        <v>902000</v>
      </c>
      <c r="AV21" s="12"/>
      <c r="AW21" s="12">
        <f t="shared" si="8"/>
        <v>1503000</v>
      </c>
      <c r="AX21" s="12">
        <v>297000</v>
      </c>
      <c r="AY21" s="12">
        <f t="shared" si="9"/>
        <v>1800000</v>
      </c>
      <c r="AZ21" t="s">
        <v>1</v>
      </c>
      <c r="BA21" s="14" t="s">
        <v>418</v>
      </c>
      <c r="BB21" s="30" t="s">
        <v>417</v>
      </c>
      <c r="BD21" s="42"/>
    </row>
    <row r="22" spans="1:56" ht="13" x14ac:dyDescent="0.3">
      <c r="A22" s="21" t="s">
        <v>113</v>
      </c>
      <c r="B22" s="21" t="s">
        <v>461</v>
      </c>
      <c r="C22" s="4" t="s">
        <v>3</v>
      </c>
      <c r="D22" s="4" t="s">
        <v>114</v>
      </c>
      <c r="E22" s="5">
        <v>15066000000</v>
      </c>
      <c r="F22" s="5" t="str">
        <f>IF(ISNUMBER(Table1[[#This Row],[2019 Scope 3 ]]),IF(Table1[[#This Row],[Net Earnings/Income (2019)]]-k_cost*Table1[[#This Row],[2019 Total Scope 1, 2 + 3]]&lt;0,"Y","N"),"NA")</f>
        <v>NA</v>
      </c>
      <c r="G22" s="54" t="str">
        <f>IF(ISNUMBER(Table1[[#This Row],[2019 Scope 3 ]]),IF(k_cost*Table1[[#This Row],[2019 Total Scope 1, 2 + 3]]/Table1[[#This Row],[Size (2019 Revenue)]]&gt;k_rev_max,"Y","N"),"NA")</f>
        <v>NA</v>
      </c>
      <c r="H22" s="54" t="str">
        <f>IF(OR(Table1[[#This Row],[Net earnings post carbon price @85/t]]="Y",Table1[[#This Row],[Carbon costs in % revenue]] = "Y"),"Y",IF(OR(Table1[[#This Row],[Net earnings post carbon price @85/t]]="NA",Table1[[#This Row],[Carbon costs in % revenue]]="NA"),"NA","N"))</f>
        <v>NA</v>
      </c>
      <c r="I22" s="5">
        <v>4865000000</v>
      </c>
      <c r="J22" s="9">
        <v>1999</v>
      </c>
      <c r="K22" s="5" t="s">
        <v>1</v>
      </c>
      <c r="L22" t="s">
        <v>0</v>
      </c>
      <c r="M22" t="s">
        <v>0</v>
      </c>
      <c r="P22" t="s">
        <v>0</v>
      </c>
      <c r="Q22" t="s">
        <v>0</v>
      </c>
      <c r="R22" t="s">
        <v>0</v>
      </c>
      <c r="S22" t="s">
        <v>0</v>
      </c>
      <c r="T22" s="51" t="str">
        <f>IFERROR((Table1[[#This Row],[2019 Total Scope 1, 2 + 3]])/Table1[[#This Row],[2018 Total Scope 1, 2 + Scope 3]]-1,"NA")</f>
        <v>NA</v>
      </c>
      <c r="V22" s="12" t="s">
        <v>401</v>
      </c>
      <c r="W22" s="12" t="s">
        <v>401</v>
      </c>
      <c r="X22" s="12"/>
      <c r="Y22" s="12" t="str">
        <f t="shared" si="0"/>
        <v/>
      </c>
      <c r="Z22" s="12" t="s">
        <v>401</v>
      </c>
      <c r="AA22" s="12" t="str">
        <f t="shared" si="1"/>
        <v/>
      </c>
      <c r="AB22" s="12">
        <v>4811.67</v>
      </c>
      <c r="AC22" s="12">
        <v>57517.74</v>
      </c>
      <c r="AD22" s="12">
        <v>0</v>
      </c>
      <c r="AE22" s="12">
        <f t="shared" si="2"/>
        <v>62329.409999999996</v>
      </c>
      <c r="AF22" s="12" t="s">
        <v>401</v>
      </c>
      <c r="AG22" s="12" t="str">
        <f t="shared" si="3"/>
        <v/>
      </c>
      <c r="AH22" s="12">
        <v>3372</v>
      </c>
      <c r="AI22" s="12">
        <v>47963</v>
      </c>
      <c r="AJ22" s="12">
        <v>0</v>
      </c>
      <c r="AK22" s="12">
        <f t="shared" si="4"/>
        <v>51335</v>
      </c>
      <c r="AL22" s="12" t="s">
        <v>401</v>
      </c>
      <c r="AM22" s="12" t="str">
        <f t="shared" si="5"/>
        <v/>
      </c>
      <c r="AN22" s="12" t="s">
        <v>401</v>
      </c>
      <c r="AO22" s="12" t="s">
        <v>401</v>
      </c>
      <c r="AP22" s="12"/>
      <c r="AQ22" s="12" t="str">
        <f t="shared" si="6"/>
        <v/>
      </c>
      <c r="AR22" s="12" t="s">
        <v>401</v>
      </c>
      <c r="AS22" s="12" t="str">
        <f t="shared" si="7"/>
        <v/>
      </c>
      <c r="AT22" s="12" t="s">
        <v>401</v>
      </c>
      <c r="AU22" s="12" t="s">
        <v>401</v>
      </c>
      <c r="AV22" s="12"/>
      <c r="AW22" s="12" t="str">
        <f t="shared" si="8"/>
        <v/>
      </c>
      <c r="AX22" s="12" t="s">
        <v>401</v>
      </c>
      <c r="AY22" s="12" t="str">
        <f t="shared" si="9"/>
        <v/>
      </c>
      <c r="AZ22" t="s">
        <v>0</v>
      </c>
      <c r="BD22" s="42"/>
    </row>
    <row r="23" spans="1:56" ht="38" x14ac:dyDescent="0.3">
      <c r="A23" s="21" t="s">
        <v>115</v>
      </c>
      <c r="B23" s="21" t="s">
        <v>115</v>
      </c>
      <c r="C23" s="21" t="s">
        <v>7</v>
      </c>
      <c r="D23" t="s">
        <v>69</v>
      </c>
      <c r="E23" s="5">
        <v>26145000000</v>
      </c>
      <c r="F23" s="5" t="str">
        <f>IF(ISNUMBER(Table1[[#This Row],[2019 Scope 3 ]]),IF(Table1[[#This Row],[Net Earnings/Income (2019)]]-k_cost*Table1[[#This Row],[2019 Total Scope 1, 2 + 3]]&lt;0,"Y","N"),"NA")</f>
        <v>NA</v>
      </c>
      <c r="G23" s="54" t="str">
        <f>IF(ISNUMBER(Table1[[#This Row],[2019 Scope 3 ]]),IF(k_cost*Table1[[#This Row],[2019 Total Scope 1, 2 + 3]]/Table1[[#This Row],[Size (2019 Revenue)]]&gt;k_rev_max,"Y","N"),"NA")</f>
        <v>NA</v>
      </c>
      <c r="H23" s="54" t="str">
        <f>IF(OR(Table1[[#This Row],[Net earnings post carbon price @85/t]]="Y",Table1[[#This Row],[Carbon costs in % revenue]] = "Y"),"Y",IF(OR(Table1[[#This Row],[Net earnings post carbon price @85/t]]="NA",Table1[[#This Row],[Carbon costs in % revenue]]="NA"),"NA","N"))</f>
        <v>NA</v>
      </c>
      <c r="I23" s="5">
        <v>3439000000</v>
      </c>
      <c r="J23" s="9">
        <v>1887</v>
      </c>
      <c r="K23" s="5" t="s">
        <v>1</v>
      </c>
      <c r="L23" t="s">
        <v>0</v>
      </c>
      <c r="M23" t="s">
        <v>0</v>
      </c>
      <c r="P23" s="15">
        <v>400000</v>
      </c>
      <c r="Q23" t="s">
        <v>0</v>
      </c>
      <c r="R23" t="s">
        <v>0</v>
      </c>
      <c r="S23" t="s">
        <v>0</v>
      </c>
      <c r="T23" s="51" t="str">
        <f>IFERROR((Table1[[#This Row],[2019 Total Scope 1, 2 + 3]])/Table1[[#This Row],[2018 Total Scope 1, 2 + Scope 3]]-1,"NA")</f>
        <v>NA</v>
      </c>
      <c r="V23" s="12" t="s">
        <v>401</v>
      </c>
      <c r="W23" s="12" t="s">
        <v>401</v>
      </c>
      <c r="X23" s="12"/>
      <c r="Y23" s="12" t="str">
        <f t="shared" si="0"/>
        <v/>
      </c>
      <c r="Z23" s="12" t="s">
        <v>401</v>
      </c>
      <c r="AA23" s="12" t="str">
        <f t="shared" si="1"/>
        <v/>
      </c>
      <c r="AB23" s="12">
        <v>130000</v>
      </c>
      <c r="AC23" s="12">
        <v>230000</v>
      </c>
      <c r="AD23" s="12"/>
      <c r="AE23" s="12">
        <f t="shared" si="2"/>
        <v>360000</v>
      </c>
      <c r="AF23" s="12" t="s">
        <v>401</v>
      </c>
      <c r="AG23" s="12" t="str">
        <f t="shared" si="3"/>
        <v/>
      </c>
      <c r="AH23" s="12">
        <v>125000</v>
      </c>
      <c r="AI23" s="12">
        <v>250000</v>
      </c>
      <c r="AJ23" s="12"/>
      <c r="AK23" s="12">
        <f t="shared" si="4"/>
        <v>375000</v>
      </c>
      <c r="AL23" s="12"/>
      <c r="AM23" s="12">
        <f t="shared" si="5"/>
        <v>375000</v>
      </c>
      <c r="AN23" s="12">
        <v>130000</v>
      </c>
      <c r="AO23" s="12">
        <v>250000</v>
      </c>
      <c r="AP23" s="12"/>
      <c r="AQ23" s="12">
        <f t="shared" si="6"/>
        <v>380000</v>
      </c>
      <c r="AR23" s="12"/>
      <c r="AS23" s="12">
        <f t="shared" si="7"/>
        <v>380000</v>
      </c>
      <c r="AT23" s="12" t="s">
        <v>401</v>
      </c>
      <c r="AU23" s="12" t="s">
        <v>401</v>
      </c>
      <c r="AV23" s="12"/>
      <c r="AW23" s="12" t="str">
        <f t="shared" si="8"/>
        <v/>
      </c>
      <c r="AX23" s="12" t="s">
        <v>401</v>
      </c>
      <c r="AY23" s="12" t="str">
        <f t="shared" si="9"/>
        <v/>
      </c>
      <c r="AZ23" t="s">
        <v>0</v>
      </c>
      <c r="BA23" s="18" t="s">
        <v>116</v>
      </c>
      <c r="BD23" s="42"/>
    </row>
    <row r="24" spans="1:56" ht="25.5" x14ac:dyDescent="0.3">
      <c r="A24" s="21" t="s">
        <v>117</v>
      </c>
      <c r="B24" s="21" t="s">
        <v>466</v>
      </c>
      <c r="C24" s="21" t="s">
        <v>6</v>
      </c>
      <c r="D24" s="4" t="s">
        <v>89</v>
      </c>
      <c r="E24" s="5">
        <v>28600000000</v>
      </c>
      <c r="F24" s="5" t="str">
        <f>IF(ISNUMBER(Table1[[#This Row],[2019 Scope 3 ]]),IF(Table1[[#This Row],[Net Earnings/Income (2019)]]-k_cost*Table1[[#This Row],[2019 Total Scope 1, 2 + 3]]&lt;0,"Y","N"),"NA")</f>
        <v>N</v>
      </c>
      <c r="G24" s="54" t="str">
        <f>IF(ISNUMBER(Table1[[#This Row],[2019 Scope 3 ]]),IF(k_cost*Table1[[#This Row],[2019 Total Scope 1, 2 + 3]]/Table1[[#This Row],[Size (2019 Revenue)]]&gt;k_rev_max,"Y","N"),"NA")</f>
        <v>N</v>
      </c>
      <c r="H24" s="54" t="str">
        <f>IF(OR(Table1[[#This Row],[Net earnings post carbon price @85/t]]="Y",Table1[[#This Row],[Carbon costs in % revenue]] = "Y"),"Y",IF(OR(Table1[[#This Row],[Net earnings post carbon price @85/t]]="NA",Table1[[#This Row],[Carbon costs in % revenue]]="NA"),"NA","N"))</f>
        <v>N</v>
      </c>
      <c r="I24" s="5">
        <v>5192000000</v>
      </c>
      <c r="J24" s="9">
        <v>1994</v>
      </c>
      <c r="K24" s="5" t="s">
        <v>1</v>
      </c>
      <c r="L24" t="s">
        <v>1</v>
      </c>
      <c r="M24" t="s">
        <v>0</v>
      </c>
      <c r="N24">
        <v>2018</v>
      </c>
      <c r="O24">
        <v>2018</v>
      </c>
      <c r="P24" s="15"/>
      <c r="Q24" t="s">
        <v>1</v>
      </c>
      <c r="R24" t="s">
        <v>1</v>
      </c>
      <c r="S24">
        <v>2017</v>
      </c>
      <c r="T24" s="51">
        <f>IFERROR((Table1[[#This Row],[2019 Total Scope 1, 2 + 3]])/Table1[[#This Row],[2018 Total Scope 1, 2 + Scope 3]]-1,"NA")</f>
        <v>4.1818720382228225E-2</v>
      </c>
      <c r="V24" s="12">
        <v>9495</v>
      </c>
      <c r="W24" s="12">
        <v>135</v>
      </c>
      <c r="X24" s="12"/>
      <c r="Y24" s="12">
        <f t="shared" si="0"/>
        <v>9630</v>
      </c>
      <c r="Z24" s="12">
        <f>165571+8156+67870+4762+37500+101249+5866.51</f>
        <v>390974.51</v>
      </c>
      <c r="AA24" s="12">
        <f t="shared" si="1"/>
        <v>400604.51</v>
      </c>
      <c r="AB24" s="12">
        <v>9815</v>
      </c>
      <c r="AC24" s="12">
        <v>0</v>
      </c>
      <c r="AD24" s="12"/>
      <c r="AE24" s="12">
        <f t="shared" si="2"/>
        <v>9815</v>
      </c>
      <c r="AF24" s="12">
        <f>157487+9106.99+56982+3601+34539+105860+7133.21</f>
        <v>374709.2</v>
      </c>
      <c r="AG24" s="12">
        <f t="shared" si="3"/>
        <v>384524.2</v>
      </c>
      <c r="AH24" s="12">
        <v>11624</v>
      </c>
      <c r="AI24" s="12">
        <v>150</v>
      </c>
      <c r="AJ24" s="12"/>
      <c r="AK24" s="12">
        <f t="shared" si="4"/>
        <v>11774</v>
      </c>
      <c r="AL24" s="12">
        <f>49982.23+62340.64+103444.88</f>
        <v>215767.75</v>
      </c>
      <c r="AM24" s="12">
        <f t="shared" si="5"/>
        <v>227541.75</v>
      </c>
      <c r="AN24" s="12">
        <v>13061</v>
      </c>
      <c r="AO24" s="12">
        <v>176444</v>
      </c>
      <c r="AP24" s="12"/>
      <c r="AQ24" s="12">
        <f t="shared" si="6"/>
        <v>189505</v>
      </c>
      <c r="AR24" s="12">
        <f>53010.86+55239.85+105093.4</f>
        <v>213344.11</v>
      </c>
      <c r="AS24" s="12">
        <f t="shared" si="7"/>
        <v>402849.11</v>
      </c>
      <c r="AT24" s="12">
        <v>14421</v>
      </c>
      <c r="AU24" s="12">
        <v>181088</v>
      </c>
      <c r="AV24" s="12"/>
      <c r="AW24" s="12">
        <f t="shared" si="8"/>
        <v>195509</v>
      </c>
      <c r="AX24" s="12">
        <f>51042.88+32022</f>
        <v>83064.88</v>
      </c>
      <c r="AY24" s="12">
        <f t="shared" si="9"/>
        <v>278573.88</v>
      </c>
      <c r="AZ24" t="s">
        <v>0</v>
      </c>
      <c r="BA24" s="7" t="s">
        <v>118</v>
      </c>
      <c r="BB24" s="4" t="s">
        <v>419</v>
      </c>
      <c r="BC24" s="20" t="s">
        <v>119</v>
      </c>
      <c r="BD24" s="42"/>
    </row>
    <row r="25" spans="1:56" ht="63" x14ac:dyDescent="0.3">
      <c r="A25" s="21" t="s">
        <v>120</v>
      </c>
      <c r="B25" s="21" t="s">
        <v>447</v>
      </c>
      <c r="C25" s="21" t="s">
        <v>8</v>
      </c>
      <c r="D25" s="4" t="s">
        <v>121</v>
      </c>
      <c r="E25" s="5">
        <v>53800000000</v>
      </c>
      <c r="F25" s="5" t="str">
        <f>IF(ISNUMBER(Table1[[#This Row],[2019 Scope 3 ]]),IF(Table1[[#This Row],[Net Earnings/Income (2019)]]-k_cost*Table1[[#This Row],[2019 Total Scope 1, 2 + 3]]&lt;0,"Y","N"),"NA")</f>
        <v>NA</v>
      </c>
      <c r="G25" s="54" t="str">
        <f>IF(ISNUMBER(Table1[[#This Row],[2019 Scope 3 ]]),IF(k_cost*Table1[[#This Row],[2019 Total Scope 1, 2 + 3]]/Table1[[#This Row],[Size (2019 Revenue)]]&gt;k_rev_max,"Y","N"),"NA")</f>
        <v>NA</v>
      </c>
      <c r="H25" s="54" t="str">
        <f>IF(OR(Table1[[#This Row],[Net earnings post carbon price @85/t]]="Y",Table1[[#This Row],[Carbon costs in % revenue]] = "Y"),"Y",IF(OR(Table1[[#This Row],[Net earnings post carbon price @85/t]]="NA",Table1[[#This Row],[Carbon costs in % revenue]]="NA"),"NA","N"))</f>
        <v>NA</v>
      </c>
      <c r="I25" s="5">
        <v>6093000000</v>
      </c>
      <c r="J25" s="9">
        <v>1925</v>
      </c>
      <c r="K25" s="5" t="s">
        <v>1</v>
      </c>
      <c r="L25" t="s">
        <v>0</v>
      </c>
      <c r="M25" t="s">
        <v>0</v>
      </c>
      <c r="P25" s="15" t="s">
        <v>0</v>
      </c>
      <c r="Q25" t="s">
        <v>0</v>
      </c>
      <c r="R25" t="s">
        <v>0</v>
      </c>
      <c r="S25" t="s">
        <v>0</v>
      </c>
      <c r="T25" s="51" t="str">
        <f>IFERROR((Table1[[#This Row],[2019 Total Scope 1, 2 + 3]])/Table1[[#This Row],[2018 Total Scope 1, 2 + Scope 3]]-1,"NA")</f>
        <v>NA</v>
      </c>
      <c r="V25" s="12">
        <v>905000</v>
      </c>
      <c r="W25" s="12">
        <v>869000</v>
      </c>
      <c r="X25" s="12">
        <v>0</v>
      </c>
      <c r="Y25" s="12">
        <f t="shared" si="0"/>
        <v>1774000</v>
      </c>
      <c r="Z25" s="12" t="s">
        <v>401</v>
      </c>
      <c r="AA25" s="12" t="str">
        <f t="shared" si="1"/>
        <v/>
      </c>
      <c r="AB25" s="12">
        <v>927000</v>
      </c>
      <c r="AC25" s="12">
        <v>1280000</v>
      </c>
      <c r="AD25" s="12">
        <v>0</v>
      </c>
      <c r="AE25" s="12">
        <f t="shared" si="2"/>
        <v>2207000</v>
      </c>
      <c r="AF25" s="12" t="s">
        <v>401</v>
      </c>
      <c r="AG25" s="12" t="str">
        <f t="shared" si="3"/>
        <v/>
      </c>
      <c r="AH25" s="12">
        <v>863000</v>
      </c>
      <c r="AI25" s="12">
        <v>1256000</v>
      </c>
      <c r="AJ25" s="12">
        <v>0</v>
      </c>
      <c r="AK25" s="12">
        <f t="shared" si="4"/>
        <v>2119000</v>
      </c>
      <c r="AL25" s="12" t="s">
        <v>401</v>
      </c>
      <c r="AM25" s="12" t="str">
        <f t="shared" si="5"/>
        <v/>
      </c>
      <c r="AN25" s="12">
        <v>863000</v>
      </c>
      <c r="AO25" s="12">
        <v>1265000</v>
      </c>
      <c r="AP25" s="12">
        <v>0</v>
      </c>
      <c r="AQ25" s="12">
        <f t="shared" si="6"/>
        <v>2128000</v>
      </c>
      <c r="AR25" s="12" t="s">
        <v>401</v>
      </c>
      <c r="AS25" s="12" t="str">
        <f t="shared" si="7"/>
        <v/>
      </c>
      <c r="AT25" s="12" t="s">
        <v>401</v>
      </c>
      <c r="AU25" s="12" t="s">
        <v>401</v>
      </c>
      <c r="AV25" s="12"/>
      <c r="AW25" s="12" t="str">
        <f t="shared" si="8"/>
        <v/>
      </c>
      <c r="AX25" s="12" t="s">
        <v>401</v>
      </c>
      <c r="AY25" s="12" t="str">
        <f t="shared" si="9"/>
        <v/>
      </c>
      <c r="AZ25" t="s">
        <v>0</v>
      </c>
      <c r="BA25" s="18" t="s">
        <v>122</v>
      </c>
      <c r="BC25" s="20"/>
      <c r="BD25" s="42"/>
    </row>
    <row r="26" spans="1:56" ht="13" x14ac:dyDescent="0.3">
      <c r="A26" s="21" t="s">
        <v>123</v>
      </c>
      <c r="B26" s="21" t="s">
        <v>397</v>
      </c>
      <c r="C26" t="s">
        <v>2</v>
      </c>
      <c r="D26" s="4" t="s">
        <v>124</v>
      </c>
      <c r="E26" s="5">
        <v>45764000000</v>
      </c>
      <c r="F26" s="5" t="str">
        <f>IF(ISNUMBER(Table1[[#This Row],[2019 Scope 3 ]]),IF(Table1[[#This Row],[Net Earnings/Income (2019)]]-k_cost*Table1[[#This Row],[2019 Total Scope 1, 2 + 3]]&lt;0,"Y","N"),"NA")</f>
        <v>NA</v>
      </c>
      <c r="G26" s="54" t="str">
        <f>IF(ISNUMBER(Table1[[#This Row],[2019 Scope 3 ]]),IF(k_cost*Table1[[#This Row],[2019 Total Scope 1, 2 + 3]]/Table1[[#This Row],[Size (2019 Revenue)]]&gt;k_rev_max,"Y","N"),"NA")</f>
        <v>NA</v>
      </c>
      <c r="H26" s="54" t="str">
        <f>IF(OR(Table1[[#This Row],[Net earnings post carbon price @85/t]]="Y",Table1[[#This Row],[Carbon costs in % revenue]] = "Y"),"Y",IF(OR(Table1[[#This Row],[Net earnings post carbon price @85/t]]="NA",Table1[[#This Row],[Carbon costs in % revenue]]="NA"),"NA","N"))</f>
        <v>NA</v>
      </c>
      <c r="I26" s="5">
        <v>1668000000</v>
      </c>
      <c r="J26" s="9">
        <v>1999</v>
      </c>
      <c r="K26" s="5" t="s">
        <v>1</v>
      </c>
      <c r="L26" t="s">
        <v>0</v>
      </c>
      <c r="M26" t="s">
        <v>0</v>
      </c>
      <c r="P26" s="15" t="s">
        <v>0</v>
      </c>
      <c r="Q26" t="s">
        <v>0</v>
      </c>
      <c r="R26" t="s">
        <v>0</v>
      </c>
      <c r="S26" t="s">
        <v>0</v>
      </c>
      <c r="T26" s="51" t="str">
        <f>IFERROR((Table1[[#This Row],[2019 Total Scope 1, 2 + 3]])/Table1[[#This Row],[2018 Total Scope 1, 2 + Scope 3]]-1,"NA")</f>
        <v>NA</v>
      </c>
      <c r="V26" s="12" t="s">
        <v>401</v>
      </c>
      <c r="W26" s="12" t="s">
        <v>401</v>
      </c>
      <c r="X26" s="12"/>
      <c r="Y26" s="12" t="str">
        <f t="shared" si="0"/>
        <v/>
      </c>
      <c r="Z26" s="12" t="s">
        <v>401</v>
      </c>
      <c r="AA26" s="12" t="str">
        <f t="shared" si="1"/>
        <v/>
      </c>
      <c r="AB26" s="12" t="s">
        <v>401</v>
      </c>
      <c r="AC26" s="12" t="s">
        <v>401</v>
      </c>
      <c r="AD26" s="12"/>
      <c r="AE26" s="12" t="str">
        <f t="shared" si="2"/>
        <v/>
      </c>
      <c r="AF26" s="12" t="s">
        <v>401</v>
      </c>
      <c r="AG26" s="12" t="str">
        <f t="shared" si="3"/>
        <v/>
      </c>
      <c r="AH26" s="12" t="s">
        <v>401</v>
      </c>
      <c r="AI26" s="12" t="s">
        <v>401</v>
      </c>
      <c r="AJ26" s="12"/>
      <c r="AK26" s="12" t="str">
        <f t="shared" si="4"/>
        <v/>
      </c>
      <c r="AL26" s="12" t="s">
        <v>401</v>
      </c>
      <c r="AM26" s="12" t="str">
        <f t="shared" si="5"/>
        <v/>
      </c>
      <c r="AN26" s="12" t="s">
        <v>401</v>
      </c>
      <c r="AO26" s="12" t="s">
        <v>401</v>
      </c>
      <c r="AP26" s="12"/>
      <c r="AQ26" s="12" t="str">
        <f t="shared" si="6"/>
        <v/>
      </c>
      <c r="AR26" s="12" t="s">
        <v>401</v>
      </c>
      <c r="AS26" s="12" t="str">
        <f t="shared" si="7"/>
        <v/>
      </c>
      <c r="AT26" s="12" t="s">
        <v>401</v>
      </c>
      <c r="AU26" s="12" t="s">
        <v>401</v>
      </c>
      <c r="AV26" s="12"/>
      <c r="AW26" s="12" t="str">
        <f t="shared" si="8"/>
        <v/>
      </c>
      <c r="AX26" s="12" t="s">
        <v>401</v>
      </c>
      <c r="AY26" s="12" t="str">
        <f t="shared" si="9"/>
        <v/>
      </c>
      <c r="AZ26" t="s">
        <v>0</v>
      </c>
      <c r="BA26" s="7" t="s">
        <v>118</v>
      </c>
      <c r="BC26" s="20"/>
      <c r="BD26" s="42"/>
    </row>
    <row r="27" spans="1:56" ht="13" x14ac:dyDescent="0.3">
      <c r="A27" s="21" t="s">
        <v>125</v>
      </c>
      <c r="B27" s="21" t="s">
        <v>125</v>
      </c>
      <c r="C27" t="s">
        <v>5</v>
      </c>
      <c r="D27" s="4" t="s">
        <v>126</v>
      </c>
      <c r="E27" s="5">
        <v>146516000000</v>
      </c>
      <c r="F27" s="5" t="str">
        <f>IF(ISNUMBER(Table1[[#This Row],[2019 Scope 3 ]]),IF(Table1[[#This Row],[Net Earnings/Income (2019)]]-k_cost*Table1[[#This Row],[2019 Total Scope 1, 2 + 3]]&lt;0,"Y","N"),"NA")</f>
        <v>Y</v>
      </c>
      <c r="G27" s="54" t="str">
        <f>IF(ISNUMBER(Table1[[#This Row],[2019 Scope 3 ]]),IF(k_cost*Table1[[#This Row],[2019 Total Scope 1, 2 + 3]]/Table1[[#This Row],[Size (2019 Revenue)]]&gt;k_rev_max,"Y","N"),"NA")</f>
        <v>Y</v>
      </c>
      <c r="H27" s="54" t="str">
        <f>IF(OR(Table1[[#This Row],[Net earnings post carbon price @85/t]]="Y",Table1[[#This Row],[Carbon costs in % revenue]] = "Y"),"Y",IF(OR(Table1[[#This Row],[Net earnings post carbon price @85/t]]="NA",Table1[[#This Row],[Carbon costs in % revenue]]="NA"),"NA","N"))</f>
        <v>Y</v>
      </c>
      <c r="I27" s="5">
        <v>2924000000</v>
      </c>
      <c r="J27" s="9">
        <v>1879</v>
      </c>
      <c r="K27" s="5" t="s">
        <v>1</v>
      </c>
      <c r="L27" t="s">
        <v>0</v>
      </c>
      <c r="M27" t="s">
        <v>0</v>
      </c>
      <c r="P27" s="15" t="s">
        <v>0</v>
      </c>
      <c r="Q27" t="s">
        <v>0</v>
      </c>
      <c r="R27" t="s">
        <v>0</v>
      </c>
      <c r="T27" s="51">
        <f>IFERROR((Table1[[#This Row],[2019 Total Scope 1, 2 + 3]])/Table1[[#This Row],[2018 Total Scope 1, 2 + Scope 3]]-1,"NA")</f>
        <v>2.3965141612200425E-2</v>
      </c>
      <c r="V27" s="12">
        <v>55000000</v>
      </c>
      <c r="W27" s="12">
        <v>2000000</v>
      </c>
      <c r="X27" s="12">
        <v>0</v>
      </c>
      <c r="Y27" s="12">
        <f t="shared" si="0"/>
        <v>57000000</v>
      </c>
      <c r="Z27" s="12">
        <v>413000000</v>
      </c>
      <c r="AA27" s="12">
        <f t="shared" si="1"/>
        <v>470000000</v>
      </c>
      <c r="AB27" s="12">
        <v>59000000</v>
      </c>
      <c r="AC27" s="12">
        <v>3000000</v>
      </c>
      <c r="AD27" s="12">
        <v>0</v>
      </c>
      <c r="AE27" s="12">
        <f t="shared" si="2"/>
        <v>62000000</v>
      </c>
      <c r="AF27" s="12">
        <v>397000000</v>
      </c>
      <c r="AG27" s="12">
        <f t="shared" si="3"/>
        <v>459000000</v>
      </c>
      <c r="AH27" s="12">
        <v>56000000</v>
      </c>
      <c r="AI27" s="12">
        <v>3000000</v>
      </c>
      <c r="AJ27" s="12">
        <v>0</v>
      </c>
      <c r="AK27" s="12">
        <f t="shared" si="4"/>
        <v>59000000</v>
      </c>
      <c r="AL27" s="12">
        <v>377000000</v>
      </c>
      <c r="AM27" s="12">
        <f t="shared" si="5"/>
        <v>436000000</v>
      </c>
      <c r="AN27" s="12">
        <v>58000000</v>
      </c>
      <c r="AO27" s="12">
        <v>3000000</v>
      </c>
      <c r="AP27" s="12">
        <v>0</v>
      </c>
      <c r="AQ27" s="12">
        <f t="shared" si="6"/>
        <v>61000000</v>
      </c>
      <c r="AR27" s="12">
        <v>365000000</v>
      </c>
      <c r="AS27" s="12">
        <f t="shared" si="7"/>
        <v>426000000</v>
      </c>
      <c r="AT27" s="12">
        <v>58000000</v>
      </c>
      <c r="AU27" s="12">
        <v>3000000</v>
      </c>
      <c r="AV27" s="12">
        <v>0</v>
      </c>
      <c r="AW27" s="12">
        <f t="shared" si="8"/>
        <v>61000000</v>
      </c>
      <c r="AX27" s="12">
        <v>367000000</v>
      </c>
      <c r="AY27" s="12">
        <f t="shared" si="9"/>
        <v>428000000</v>
      </c>
      <c r="AZ27" t="s">
        <v>1</v>
      </c>
      <c r="BA27" s="7" t="s">
        <v>127</v>
      </c>
      <c r="BC27" s="20"/>
      <c r="BD27" s="42"/>
    </row>
    <row r="28" spans="1:56" ht="63" x14ac:dyDescent="0.3">
      <c r="A28" s="21" t="s">
        <v>128</v>
      </c>
      <c r="B28" s="21" t="s">
        <v>407</v>
      </c>
      <c r="C28" s="32" t="s">
        <v>11</v>
      </c>
      <c r="D28" s="4" t="s">
        <v>96</v>
      </c>
      <c r="E28" s="5">
        <v>51900000000</v>
      </c>
      <c r="F28" s="5" t="str">
        <f>IF(ISNUMBER(Table1[[#This Row],[2019 Scope 3 ]]),IF(Table1[[#This Row],[Net Earnings/Income (2019)]]-k_cost*Table1[[#This Row],[2019 Total Scope 1, 2 + 3]]&lt;0,"Y","N"),"NA")</f>
        <v>N</v>
      </c>
      <c r="G28" s="54" t="str">
        <f>IF(ISNUMBER(Table1[[#This Row],[2019 Scope 3 ]]),IF(k_cost*Table1[[#This Row],[2019 Total Scope 1, 2 + 3]]/Table1[[#This Row],[Size (2019 Revenue)]]&gt;k_rev_max,"Y","N"),"NA")</f>
        <v>N</v>
      </c>
      <c r="H28" s="54" t="str">
        <f>IF(OR(Table1[[#This Row],[Net earnings post carbon price @85/t]]="Y",Table1[[#This Row],[Carbon costs in % revenue]] = "Y"),"Y",IF(OR(Table1[[#This Row],[Net earnings post carbon price @85/t]]="NA",Table1[[#This Row],[Carbon costs in % revenue]]="NA"),"NA","N"))</f>
        <v>N</v>
      </c>
      <c r="I28" s="5">
        <v>11620000000</v>
      </c>
      <c r="J28" s="9">
        <v>1990</v>
      </c>
      <c r="K28" s="5" t="s">
        <v>1</v>
      </c>
      <c r="L28" t="s">
        <v>0</v>
      </c>
      <c r="M28" t="s">
        <v>1</v>
      </c>
      <c r="P28" s="15">
        <v>180000</v>
      </c>
      <c r="Q28" t="s">
        <v>1</v>
      </c>
      <c r="R28" t="s">
        <v>0</v>
      </c>
      <c r="S28" t="s">
        <v>0</v>
      </c>
      <c r="T28" s="51">
        <f>IFERROR((Table1[[#This Row],[2019 Total Scope 1, 2 + 3]])/Table1[[#This Row],[2018 Total Scope 1, 2 + Scope 3]]-1,"NA")</f>
        <v>-0.32608208792897209</v>
      </c>
      <c r="V28" s="12">
        <v>41181</v>
      </c>
      <c r="W28" s="12">
        <v>187428</v>
      </c>
      <c r="X28" s="12">
        <v>0</v>
      </c>
      <c r="Y28" s="12">
        <f t="shared" si="0"/>
        <v>228609</v>
      </c>
      <c r="Z28" s="12">
        <f>1154682+40020+39054+36598+779+207323+79699+83396+24929174+272</f>
        <v>26570997</v>
      </c>
      <c r="AA28" s="12">
        <f t="shared" si="1"/>
        <v>26799606</v>
      </c>
      <c r="AB28" s="12">
        <v>41171</v>
      </c>
      <c r="AC28" s="12">
        <v>205141</v>
      </c>
      <c r="AD28" s="12">
        <v>0</v>
      </c>
      <c r="AE28" s="12">
        <f t="shared" si="2"/>
        <v>246312</v>
      </c>
      <c r="AF28" s="12">
        <f>1154682+40020+40002+36598+1096+217500+81394+83396+37865598+272</f>
        <v>39520558</v>
      </c>
      <c r="AG28" s="12">
        <f t="shared" si="3"/>
        <v>39766870</v>
      </c>
      <c r="AH28" s="12">
        <v>41926</v>
      </c>
      <c r="AI28" s="12">
        <v>223558</v>
      </c>
      <c r="AJ28" s="12">
        <v>0</v>
      </c>
      <c r="AK28" s="12">
        <f t="shared" si="4"/>
        <v>265484</v>
      </c>
      <c r="AL28" s="12">
        <f>1283704+57607+44164+16509+177210+80506+38521+32847245+349</f>
        <v>34545815</v>
      </c>
      <c r="AM28" s="12">
        <f t="shared" si="5"/>
        <v>34811299</v>
      </c>
      <c r="AN28" s="12">
        <v>53123</v>
      </c>
      <c r="AO28" s="12">
        <v>247933</v>
      </c>
      <c r="AP28" s="12">
        <v>0</v>
      </c>
      <c r="AQ28" s="12">
        <f t="shared" si="6"/>
        <v>301056</v>
      </c>
      <c r="AR28" s="12">
        <f>1373745+67405+43897+20062+184901+91586+46810+33466582+1138</f>
        <v>35296126</v>
      </c>
      <c r="AS28" s="12">
        <f t="shared" si="7"/>
        <v>35597182</v>
      </c>
      <c r="AT28" s="12">
        <v>53123</v>
      </c>
      <c r="AU28" s="12">
        <v>247933</v>
      </c>
      <c r="AV28" s="12">
        <v>0</v>
      </c>
      <c r="AW28" s="12">
        <f t="shared" si="8"/>
        <v>301056</v>
      </c>
      <c r="AX28" s="12">
        <f>3105862+81700+46354+196595+191573+96937+458722+33753281+6800</f>
        <v>37937824</v>
      </c>
      <c r="AY28" s="12">
        <f t="shared" si="9"/>
        <v>38238880</v>
      </c>
      <c r="AZ28" t="s">
        <v>1</v>
      </c>
      <c r="BA28" s="18" t="s">
        <v>129</v>
      </c>
      <c r="BB28" s="4" t="s">
        <v>420</v>
      </c>
      <c r="BD28" s="42"/>
    </row>
    <row r="29" spans="1:56" ht="13" x14ac:dyDescent="0.3">
      <c r="A29" s="21" t="s">
        <v>130</v>
      </c>
      <c r="B29" s="21" t="s">
        <v>453</v>
      </c>
      <c r="C29" s="21" t="s">
        <v>6</v>
      </c>
      <c r="D29" s="4" t="s">
        <v>103</v>
      </c>
      <c r="E29" s="5">
        <v>103449000000</v>
      </c>
      <c r="F29" s="5" t="str">
        <f>IF(ISNUMBER(Table1[[#This Row],[2019 Scope 3 ]]),IF(Table1[[#This Row],[Net Earnings/Income (2019)]]-k_cost*Table1[[#This Row],[2019 Total Scope 1, 2 + 3]]&lt;0,"Y","N"),"NA")</f>
        <v>N</v>
      </c>
      <c r="G29" s="54" t="str">
        <f>IF(ISNUMBER(Table1[[#This Row],[2019 Scope 3 ]]),IF(k_cost*Table1[[#This Row],[2019 Total Scope 1, 2 + 3]]/Table1[[#This Row],[Size (2019 Revenue)]]&gt;k_rev_max,"Y","N"),"NA")</f>
        <v>N</v>
      </c>
      <c r="H29" s="54" t="str">
        <f>IF(OR(Table1[[#This Row],[Net earnings post carbon price @85/t]]="Y",Table1[[#This Row],[Carbon costs in % revenue]] = "Y"),"Y",IF(OR(Table1[[#This Row],[Net earnings post carbon price @85/t]]="NA",Table1[[#This Row],[Carbon costs in % revenue]]="NA"),"NA","N"))</f>
        <v>N</v>
      </c>
      <c r="I29" s="5">
        <v>18171000000</v>
      </c>
      <c r="J29" s="9">
        <v>1998</v>
      </c>
      <c r="K29" s="5" t="s">
        <v>1</v>
      </c>
      <c r="L29" t="s">
        <v>0</v>
      </c>
      <c r="M29" t="s">
        <v>0</v>
      </c>
      <c r="P29" t="s">
        <v>0</v>
      </c>
      <c r="Q29" t="s">
        <v>0</v>
      </c>
      <c r="R29" t="s">
        <v>1</v>
      </c>
      <c r="S29">
        <v>2020</v>
      </c>
      <c r="T29" s="51">
        <f>IFERROR((Table1[[#This Row],[2019 Total Scope 1, 2 + 3]])/Table1[[#This Row],[2018 Total Scope 1, 2 + Scope 3]]-1,"NA")</f>
        <v>-0.87976057981829026</v>
      </c>
      <c r="V29" s="12">
        <v>23289</v>
      </c>
      <c r="W29" s="12">
        <v>593611</v>
      </c>
      <c r="X29" s="12">
        <v>0</v>
      </c>
      <c r="Y29" s="12">
        <f t="shared" si="0"/>
        <v>616900</v>
      </c>
      <c r="Z29" s="12">
        <f>3057.83+365372.29+170626.34+126229+82627.85</f>
        <v>747913.30999999994</v>
      </c>
      <c r="AA29" s="12">
        <f t="shared" si="1"/>
        <v>1364813.31</v>
      </c>
      <c r="AB29" s="12">
        <v>24132</v>
      </c>
      <c r="AC29" s="12">
        <v>623233</v>
      </c>
      <c r="AD29" s="12">
        <v>0</v>
      </c>
      <c r="AE29" s="12">
        <f t="shared" si="2"/>
        <v>647365</v>
      </c>
      <c r="AF29" s="12">
        <f>4090.86+284991.97+187586+149815+86948.67+9990000</f>
        <v>10703432.5</v>
      </c>
      <c r="AG29" s="12">
        <f t="shared" si="3"/>
        <v>11350797.5</v>
      </c>
      <c r="AH29" s="12">
        <v>20951</v>
      </c>
      <c r="AI29" s="12">
        <v>677636</v>
      </c>
      <c r="AJ29" s="12">
        <v>0</v>
      </c>
      <c r="AK29" s="12">
        <f t="shared" si="4"/>
        <v>698587</v>
      </c>
      <c r="AL29" s="12">
        <f>4245.09+227593.23+196748.31+151321+90709.34+18100000</f>
        <v>18770616.969999999</v>
      </c>
      <c r="AM29" s="12">
        <f t="shared" si="5"/>
        <v>19469203.969999999</v>
      </c>
      <c r="AN29" s="12">
        <v>23141</v>
      </c>
      <c r="AO29" s="12">
        <v>747748</v>
      </c>
      <c r="AP29" s="12">
        <v>0</v>
      </c>
      <c r="AQ29" s="12">
        <f t="shared" si="6"/>
        <v>770889</v>
      </c>
      <c r="AR29" s="12">
        <f>22105+210958+137860+95034+7760665</f>
        <v>8226622</v>
      </c>
      <c r="AS29" s="12">
        <f t="shared" si="7"/>
        <v>8997511</v>
      </c>
      <c r="AT29" s="12">
        <v>25742</v>
      </c>
      <c r="AU29" s="12">
        <v>789002</v>
      </c>
      <c r="AV29" s="12">
        <v>0</v>
      </c>
      <c r="AW29" s="12">
        <f t="shared" si="8"/>
        <v>814744</v>
      </c>
      <c r="AX29" s="12">
        <f>28214+111292+9600000</f>
        <v>9739506</v>
      </c>
      <c r="AY29" s="12">
        <f t="shared" si="9"/>
        <v>10554250</v>
      </c>
      <c r="AZ29" t="s">
        <v>1</v>
      </c>
      <c r="BA29" s="7" t="s">
        <v>131</v>
      </c>
      <c r="BB29" s="4" t="s">
        <v>421</v>
      </c>
      <c r="BD29" s="42"/>
    </row>
    <row r="30" spans="1:56" ht="63" x14ac:dyDescent="0.3">
      <c r="A30" s="21" t="s">
        <v>132</v>
      </c>
      <c r="B30" s="21" t="s">
        <v>477</v>
      </c>
      <c r="C30" s="4" t="s">
        <v>4</v>
      </c>
      <c r="D30" s="4" t="s">
        <v>133</v>
      </c>
      <c r="E30" s="5">
        <v>37266000000</v>
      </c>
      <c r="F30" s="5" t="str">
        <f>IF(ISNUMBER(Table1[[#This Row],[2019 Scope 3 ]]),IF(Table1[[#This Row],[Net Earnings/Income (2019)]]-k_cost*Table1[[#This Row],[2019 Total Scope 1, 2 + 3]]&lt;0,"Y","N"),"NA")</f>
        <v>NA</v>
      </c>
      <c r="G30" s="54" t="str">
        <f>IF(ISNUMBER(Table1[[#This Row],[2019 Scope 3 ]]),IF(k_cost*Table1[[#This Row],[2019 Total Scope 1, 2 + 3]]/Table1[[#This Row],[Size (2019 Revenue)]]&gt;k_rev_max,"Y","N"),"NA")</f>
        <v>NA</v>
      </c>
      <c r="H30" s="54" t="str">
        <f>IF(OR(Table1[[#This Row],[Net earnings post carbon price @85/t]]="Y",Table1[[#This Row],[Carbon costs in % revenue]] = "Y"),"Y",IF(OR(Table1[[#This Row],[Net earnings post carbon price @85/t]]="NA",Table1[[#This Row],[Carbon costs in % revenue]]="NA"),"NA","N"))</f>
        <v>NA</v>
      </c>
      <c r="I30" s="5">
        <v>38640000000</v>
      </c>
      <c r="J30" s="9">
        <v>1892</v>
      </c>
      <c r="K30" s="5" t="s">
        <v>1</v>
      </c>
      <c r="L30" t="s">
        <v>0</v>
      </c>
      <c r="M30" t="s">
        <v>1</v>
      </c>
      <c r="P30" s="15">
        <v>4125000</v>
      </c>
      <c r="Q30" t="s">
        <v>0</v>
      </c>
      <c r="R30" t="s">
        <v>0</v>
      </c>
      <c r="S30" t="s">
        <v>0</v>
      </c>
      <c r="T30" s="51" t="str">
        <f>IFERROR((Table1[[#This Row],[2019 Total Scope 1, 2 + 3]])/Table1[[#This Row],[2018 Total Scope 1, 2 + Scope 3]]-1,"NA")</f>
        <v>NA</v>
      </c>
      <c r="V30" s="12">
        <v>1830000</v>
      </c>
      <c r="W30" s="12">
        <v>3730000</v>
      </c>
      <c r="X30" s="12">
        <v>0</v>
      </c>
      <c r="Y30" s="12">
        <f t="shared" si="0"/>
        <v>5560000</v>
      </c>
      <c r="Z30" s="12" t="s">
        <v>401</v>
      </c>
      <c r="AA30" s="12" t="str">
        <f t="shared" si="1"/>
        <v/>
      </c>
      <c r="AB30" s="12">
        <v>1790000</v>
      </c>
      <c r="AC30" s="12">
        <v>3760000</v>
      </c>
      <c r="AD30" s="12">
        <v>0</v>
      </c>
      <c r="AE30" s="12">
        <f t="shared" si="2"/>
        <v>5550000</v>
      </c>
      <c r="AF30" s="12" t="s">
        <v>401</v>
      </c>
      <c r="AG30" s="12" t="str">
        <f t="shared" si="3"/>
        <v/>
      </c>
      <c r="AH30" s="12">
        <v>1780000</v>
      </c>
      <c r="AI30" s="12">
        <v>3760000</v>
      </c>
      <c r="AJ30" s="12">
        <v>0</v>
      </c>
      <c r="AK30" s="12">
        <f t="shared" si="4"/>
        <v>5540000</v>
      </c>
      <c r="AL30" s="12" t="s">
        <v>401</v>
      </c>
      <c r="AM30" s="12" t="str">
        <f t="shared" si="5"/>
        <v/>
      </c>
      <c r="AN30" s="12">
        <v>1600000</v>
      </c>
      <c r="AO30" s="12">
        <v>3800000</v>
      </c>
      <c r="AP30" s="12">
        <v>0</v>
      </c>
      <c r="AQ30" s="12">
        <f t="shared" si="6"/>
        <v>5400000</v>
      </c>
      <c r="AR30" s="12" t="s">
        <v>401</v>
      </c>
      <c r="AS30" s="12" t="str">
        <f t="shared" si="7"/>
        <v/>
      </c>
      <c r="AT30" s="12">
        <v>1700000</v>
      </c>
      <c r="AU30" s="12">
        <v>3800000</v>
      </c>
      <c r="AV30" s="12">
        <v>0</v>
      </c>
      <c r="AW30" s="12">
        <f t="shared" si="8"/>
        <v>5500000</v>
      </c>
      <c r="AX30" s="12" t="s">
        <v>401</v>
      </c>
      <c r="AY30" s="12" t="str">
        <f t="shared" si="9"/>
        <v/>
      </c>
      <c r="AZ30" t="s">
        <v>1</v>
      </c>
      <c r="BA30" s="18" t="s">
        <v>134</v>
      </c>
      <c r="BD30" s="42"/>
    </row>
    <row r="31" spans="1:56" ht="25.5" x14ac:dyDescent="0.3">
      <c r="A31" s="29" t="s">
        <v>135</v>
      </c>
      <c r="B31" s="21" t="s">
        <v>135</v>
      </c>
      <c r="C31" s="4" t="s">
        <v>4</v>
      </c>
      <c r="D31" s="4" t="s">
        <v>136</v>
      </c>
      <c r="E31" s="5">
        <v>15693000000</v>
      </c>
      <c r="F31" s="5" t="str">
        <f>IF(ISNUMBER(Table1[[#This Row],[2019 Scope 3 ]]),IF(Table1[[#This Row],[Net Earnings/Income (2019)]]-k_cost*Table1[[#This Row],[2019 Total Scope 1, 2 + 3]]&lt;0,"Y","N"),"NA")</f>
        <v>Y</v>
      </c>
      <c r="G31" s="54" t="str">
        <f>IF(ISNUMBER(Table1[[#This Row],[2019 Scope 3 ]]),IF(k_cost*Table1[[#This Row],[2019 Total Scope 1, 2 + 3]]/Table1[[#This Row],[Size (2019 Revenue)]]&gt;k_rev_max,"Y","N"),"NA")</f>
        <v>Y</v>
      </c>
      <c r="H31" s="54" t="str">
        <f>IF(OR(Table1[[#This Row],[Net earnings post carbon price @85/t]]="Y",Table1[[#This Row],[Carbon costs in % revenue]] = "Y"),"Y",IF(OR(Table1[[#This Row],[Net earnings post carbon price @85/t]]="NA",Table1[[#This Row],[Carbon costs in % revenue]]="NA"),"NA","N"))</f>
        <v>Y</v>
      </c>
      <c r="I31" s="5">
        <v>2367000000</v>
      </c>
      <c r="J31" s="9">
        <v>1806</v>
      </c>
      <c r="K31" s="5" t="s">
        <v>1</v>
      </c>
      <c r="L31" t="s">
        <v>0</v>
      </c>
      <c r="M31" t="s">
        <v>1</v>
      </c>
      <c r="P31" s="15">
        <v>525000</v>
      </c>
      <c r="Q31" t="s">
        <v>0</v>
      </c>
      <c r="R31" t="s">
        <v>0</v>
      </c>
      <c r="S31" t="s">
        <v>0</v>
      </c>
      <c r="T31" s="51">
        <f>IFERROR((Table1[[#This Row],[2019 Total Scope 1, 2 + 3]])/Table1[[#This Row],[2018 Total Scope 1, 2 + Scope 3]]-1,"NA")</f>
        <v>7.4398967022606399E-3</v>
      </c>
      <c r="V31" s="12">
        <v>191000</v>
      </c>
      <c r="W31" s="12">
        <v>283000</v>
      </c>
      <c r="X31" s="12">
        <v>0</v>
      </c>
      <c r="Y31" s="12">
        <f t="shared" si="0"/>
        <v>474000</v>
      </c>
      <c r="Z31" s="12">
        <v>48680000</v>
      </c>
      <c r="AA31" s="12">
        <f t="shared" si="1"/>
        <v>49154000</v>
      </c>
      <c r="AB31" s="12">
        <v>190000</v>
      </c>
      <c r="AC31" s="12">
        <v>302000</v>
      </c>
      <c r="AD31" s="12">
        <v>0</v>
      </c>
      <c r="AE31" s="12">
        <f t="shared" si="2"/>
        <v>492000</v>
      </c>
      <c r="AF31" s="12">
        <v>48299000</v>
      </c>
      <c r="AG31" s="12">
        <f t="shared" si="3"/>
        <v>48791000</v>
      </c>
      <c r="AH31" s="12">
        <v>195000</v>
      </c>
      <c r="AI31" s="12">
        <v>316000</v>
      </c>
      <c r="AJ31" s="12">
        <v>0</v>
      </c>
      <c r="AK31" s="12">
        <f t="shared" si="4"/>
        <v>511000</v>
      </c>
      <c r="AL31" s="12">
        <v>51570000</v>
      </c>
      <c r="AM31" s="12">
        <f t="shared" si="5"/>
        <v>52081000</v>
      </c>
      <c r="AN31" s="12">
        <v>203000</v>
      </c>
      <c r="AO31" s="12">
        <v>324000</v>
      </c>
      <c r="AP31" s="12">
        <v>0</v>
      </c>
      <c r="AQ31" s="12">
        <f t="shared" si="6"/>
        <v>527000</v>
      </c>
      <c r="AR31" s="12">
        <v>54710000</v>
      </c>
      <c r="AS31" s="12">
        <f t="shared" si="7"/>
        <v>55237000</v>
      </c>
      <c r="AT31" s="12">
        <v>203000</v>
      </c>
      <c r="AU31" s="12">
        <v>389000</v>
      </c>
      <c r="AV31" s="12">
        <v>0</v>
      </c>
      <c r="AW31" s="12">
        <f t="shared" si="8"/>
        <v>592000</v>
      </c>
      <c r="AX31" s="12">
        <v>54155000</v>
      </c>
      <c r="AY31" s="12">
        <f t="shared" si="9"/>
        <v>54747000</v>
      </c>
      <c r="AZ31" t="s">
        <v>0</v>
      </c>
      <c r="BA31" s="18" t="s">
        <v>137</v>
      </c>
      <c r="BD31" s="42"/>
    </row>
    <row r="32" spans="1:56" ht="25.5" x14ac:dyDescent="0.3">
      <c r="A32" s="29" t="s">
        <v>138</v>
      </c>
      <c r="B32" s="21" t="s">
        <v>138</v>
      </c>
      <c r="C32" t="s">
        <v>2</v>
      </c>
      <c r="D32" s="4" t="s">
        <v>124</v>
      </c>
      <c r="E32" s="5">
        <v>108942000000</v>
      </c>
      <c r="F32" s="5" t="str">
        <f>IF(ISNUMBER(Table1[[#This Row],[2019 Scope 3 ]]),IF(Table1[[#This Row],[Net Earnings/Income (2019)]]-k_cost*Table1[[#This Row],[2019 Total Scope 1, 2 + 3]]&lt;0,"Y","N"),"NA")</f>
        <v>NA</v>
      </c>
      <c r="G32" s="54" t="str">
        <f>IF(ISNUMBER(Table1[[#This Row],[2019 Scope 3 ]]),IF(k_cost*Table1[[#This Row],[2019 Total Scope 1, 2 + 3]]/Table1[[#This Row],[Size (2019 Revenue)]]&gt;k_rev_max,"Y","N"),"NA")</f>
        <v>NA</v>
      </c>
      <c r="H32" s="54" t="str">
        <f>IF(OR(Table1[[#This Row],[Net earnings post carbon price @85/t]]="Y",Table1[[#This Row],[Carbon costs in % revenue]] = "Y"),"Y",IF(OR(Table1[[#This Row],[Net earnings post carbon price @85/t]]="NA",Table1[[#This Row],[Carbon costs in % revenue]]="NA"),"NA","N"))</f>
        <v>NA</v>
      </c>
      <c r="I32" s="5">
        <v>13057000000</v>
      </c>
      <c r="J32" s="9">
        <v>1963</v>
      </c>
      <c r="K32" s="5" t="s">
        <v>1</v>
      </c>
      <c r="L32" t="s">
        <v>0</v>
      </c>
      <c r="M32" t="s">
        <v>0</v>
      </c>
      <c r="P32" t="s">
        <v>0</v>
      </c>
      <c r="Q32" t="s">
        <v>0</v>
      </c>
      <c r="R32" t="s">
        <v>0</v>
      </c>
      <c r="S32" t="s">
        <v>0</v>
      </c>
      <c r="T32" s="51" t="str">
        <f>IFERROR((Table1[[#This Row],[2019 Total Scope 1, 2 + 3]])/Table1[[#This Row],[2018 Total Scope 1, 2 + Scope 3]]-1,"NA")</f>
        <v>NA</v>
      </c>
      <c r="V32" s="12">
        <v>498455</v>
      </c>
      <c r="W32" s="12">
        <v>1496771</v>
      </c>
      <c r="X32" s="12"/>
      <c r="Y32" s="12">
        <f t="shared" si="0"/>
        <v>1995226</v>
      </c>
      <c r="Z32" s="12" t="s">
        <v>401</v>
      </c>
      <c r="AA32" s="12" t="str">
        <f t="shared" si="1"/>
        <v/>
      </c>
      <c r="AB32" s="12">
        <v>505483</v>
      </c>
      <c r="AC32" s="12">
        <v>1458463</v>
      </c>
      <c r="AD32" s="12"/>
      <c r="AE32" s="12">
        <f t="shared" si="2"/>
        <v>1963946</v>
      </c>
      <c r="AF32" s="12" t="s">
        <v>401</v>
      </c>
      <c r="AG32" s="12" t="str">
        <f t="shared" si="3"/>
        <v/>
      </c>
      <c r="AH32" s="12">
        <v>513316</v>
      </c>
      <c r="AI32" s="12">
        <v>1491298</v>
      </c>
      <c r="AJ32" s="12"/>
      <c r="AK32" s="12">
        <f t="shared" si="4"/>
        <v>2004614</v>
      </c>
      <c r="AL32" s="12" t="s">
        <v>401</v>
      </c>
      <c r="AM32" s="12" t="str">
        <f t="shared" si="5"/>
        <v/>
      </c>
      <c r="AN32" s="12">
        <v>364556</v>
      </c>
      <c r="AO32" s="12">
        <v>1380854</v>
      </c>
      <c r="AP32" s="12"/>
      <c r="AQ32" s="12">
        <f t="shared" si="6"/>
        <v>1745410</v>
      </c>
      <c r="AR32" s="12" t="s">
        <v>401</v>
      </c>
      <c r="AS32" s="12" t="str">
        <f t="shared" si="7"/>
        <v/>
      </c>
      <c r="AT32" s="12" t="s">
        <v>401</v>
      </c>
      <c r="AU32" s="12" t="s">
        <v>401</v>
      </c>
      <c r="AV32" s="12"/>
      <c r="AW32" s="12" t="str">
        <f t="shared" si="8"/>
        <v/>
      </c>
      <c r="AX32" s="12" t="s">
        <v>401</v>
      </c>
      <c r="AY32" s="12" t="str">
        <f t="shared" si="9"/>
        <v/>
      </c>
      <c r="AZ32" t="s">
        <v>0</v>
      </c>
      <c r="BA32" s="18" t="s">
        <v>422</v>
      </c>
      <c r="BB32" s="14" t="s">
        <v>410</v>
      </c>
      <c r="BD32" s="42"/>
    </row>
    <row r="33" spans="1:56" ht="25.5" x14ac:dyDescent="0.3">
      <c r="A33" s="29" t="s">
        <v>139</v>
      </c>
      <c r="B33" s="29" t="s">
        <v>139</v>
      </c>
      <c r="C33" s="33" t="s">
        <v>5</v>
      </c>
      <c r="D33" s="4" t="s">
        <v>126</v>
      </c>
      <c r="E33" s="5">
        <v>36670000000</v>
      </c>
      <c r="F33" s="5" t="str">
        <f>IF(ISNUMBER(Table1[[#This Row],[2019 Scope 3 ]]),IF(Table1[[#This Row],[Net Earnings/Income (2019)]]-k_cost*Table1[[#This Row],[2019 Total Scope 1, 2 + 3]]&lt;0,"Y","N"),"NA")</f>
        <v>Y</v>
      </c>
      <c r="G33" s="54" t="str">
        <f>IF(ISNUMBER(Table1[[#This Row],[2019 Scope 3 ]]),IF(k_cost*Table1[[#This Row],[2019 Total Scope 1, 2 + 3]]/Table1[[#This Row],[Size (2019 Revenue)]]&gt;k_rev_max,"Y","N"),"NA")</f>
        <v>Y</v>
      </c>
      <c r="H33" s="54" t="str">
        <f>IF(OR(Table1[[#This Row],[Net earnings post carbon price @85/t]]="Y",Table1[[#This Row],[Carbon costs in % revenue]] = "Y"),"Y",IF(OR(Table1[[#This Row],[Net earnings post carbon price @85/t]]="NA",Table1[[#This Row],[Carbon costs in % revenue]]="NA"),"NA","N"))</f>
        <v>Y</v>
      </c>
      <c r="I33" s="5">
        <v>7189000000</v>
      </c>
      <c r="J33" s="9">
        <v>1875</v>
      </c>
      <c r="K33" s="5" t="s">
        <v>1</v>
      </c>
      <c r="L33" s="4" t="s">
        <v>1</v>
      </c>
      <c r="M33" t="s">
        <v>0</v>
      </c>
      <c r="N33">
        <v>2050</v>
      </c>
      <c r="O33">
        <v>2020</v>
      </c>
      <c r="P33" t="s">
        <v>0</v>
      </c>
      <c r="Q33" t="s">
        <v>0</v>
      </c>
      <c r="R33" t="s">
        <v>0</v>
      </c>
      <c r="S33" t="s">
        <v>0</v>
      </c>
      <c r="T33" s="51">
        <f>IFERROR((Table1[[#This Row],[2019 Total Scope 1, 2 + 3]])/Table1[[#This Row],[2018 Total Scope 1, 2 + Scope 3]]-1,"NA")</f>
        <v>7.7925455954955369E-2</v>
      </c>
      <c r="V33" s="12">
        <v>19500000</v>
      </c>
      <c r="W33" s="12">
        <v>1000000</v>
      </c>
      <c r="X33" s="12">
        <v>0</v>
      </c>
      <c r="Y33" s="12">
        <f t="shared" si="0"/>
        <v>20500000</v>
      </c>
      <c r="Z33" s="12">
        <v>173400000</v>
      </c>
      <c r="AA33" s="12">
        <f t="shared" si="1"/>
        <v>193900000</v>
      </c>
      <c r="AB33" s="12">
        <v>19700000</v>
      </c>
      <c r="AC33" s="12">
        <v>1100000</v>
      </c>
      <c r="AD33" s="12">
        <v>0</v>
      </c>
      <c r="AE33" s="12">
        <f t="shared" si="2"/>
        <v>20800000</v>
      </c>
      <c r="AF33" s="12">
        <f>Z33/1.09</f>
        <v>159082568.80733943</v>
      </c>
      <c r="AG33" s="12">
        <f t="shared" si="3"/>
        <v>179882568.80733943</v>
      </c>
      <c r="AH33" s="12">
        <v>19700000</v>
      </c>
      <c r="AI33" s="12">
        <v>1200000</v>
      </c>
      <c r="AJ33" s="12">
        <v>0</v>
      </c>
      <c r="AK33" s="12">
        <f t="shared" si="4"/>
        <v>20900000</v>
      </c>
      <c r="AL33" s="12" t="s">
        <v>401</v>
      </c>
      <c r="AM33" s="12" t="str">
        <f t="shared" si="5"/>
        <v/>
      </c>
      <c r="AN33" s="12">
        <v>25300000</v>
      </c>
      <c r="AO33" s="12">
        <v>1500000</v>
      </c>
      <c r="AP33" s="12">
        <v>0</v>
      </c>
      <c r="AQ33" s="12">
        <f t="shared" si="6"/>
        <v>26800000</v>
      </c>
      <c r="AR33" s="12" t="s">
        <v>401</v>
      </c>
      <c r="AS33" s="12" t="str">
        <f t="shared" si="7"/>
        <v/>
      </c>
      <c r="AT33" s="12">
        <v>24800000</v>
      </c>
      <c r="AU33" s="12">
        <v>1300000</v>
      </c>
      <c r="AV33" s="12">
        <v>0</v>
      </c>
      <c r="AW33" s="12">
        <f t="shared" si="8"/>
        <v>26100000</v>
      </c>
      <c r="AX33" s="12" t="s">
        <v>401</v>
      </c>
      <c r="AY33" s="12" t="str">
        <f t="shared" si="9"/>
        <v/>
      </c>
      <c r="AZ33" t="s">
        <v>1</v>
      </c>
      <c r="BA33" s="18" t="s">
        <v>140</v>
      </c>
      <c r="BB33" s="7" t="s">
        <v>423</v>
      </c>
      <c r="BD33" s="42"/>
    </row>
    <row r="34" spans="1:56" ht="25.5" x14ac:dyDescent="0.3">
      <c r="A34" s="29" t="s">
        <v>141</v>
      </c>
      <c r="B34" s="21" t="s">
        <v>141</v>
      </c>
      <c r="C34" s="4" t="s">
        <v>4</v>
      </c>
      <c r="D34" s="4" t="s">
        <v>85</v>
      </c>
      <c r="E34" s="5">
        <v>152703000000</v>
      </c>
      <c r="F34" s="5" t="str">
        <f>IF(ISNUMBER(Table1[[#This Row],[2019 Scope 3 ]]),IF(Table1[[#This Row],[Net Earnings/Income (2019)]]-k_cost*Table1[[#This Row],[2019 Total Scope 1, 2 + 3]]&lt;0,"Y","N"),"NA")</f>
        <v>NA</v>
      </c>
      <c r="G34" s="54" t="str">
        <f>IF(ISNUMBER(Table1[[#This Row],[2019 Scope 3 ]]),IF(k_cost*Table1[[#This Row],[2019 Total Scope 1, 2 + 3]]/Table1[[#This Row],[Size (2019 Revenue)]]&gt;k_rev_max,"Y","N"),"NA")</f>
        <v>NA</v>
      </c>
      <c r="H34" s="54" t="str">
        <f>IF(OR(Table1[[#This Row],[Net earnings post carbon price @85/t]]="Y",Table1[[#This Row],[Carbon costs in % revenue]] = "Y"),"Y",IF(OR(Table1[[#This Row],[Net earnings post carbon price @85/t]]="NA",Table1[[#This Row],[Carbon costs in % revenue]]="NA"),"NA","N"))</f>
        <v>NA</v>
      </c>
      <c r="I34" s="5">
        <v>3659000000</v>
      </c>
      <c r="J34" s="9">
        <v>1976</v>
      </c>
      <c r="K34" s="5" t="s">
        <v>1</v>
      </c>
      <c r="L34" t="s">
        <v>0</v>
      </c>
      <c r="M34" t="s">
        <v>0</v>
      </c>
      <c r="P34" t="s">
        <v>0</v>
      </c>
      <c r="Q34" t="s">
        <v>0</v>
      </c>
      <c r="R34" t="s">
        <v>0</v>
      </c>
      <c r="S34" t="s">
        <v>0</v>
      </c>
      <c r="T34" s="51" t="str">
        <f>IFERROR((Table1[[#This Row],[2019 Total Scope 1, 2 + 3]])/Table1[[#This Row],[2018 Total Scope 1, 2 + Scope 3]]-1,"NA")</f>
        <v>NA</v>
      </c>
      <c r="V34" s="12">
        <v>1108562.25</v>
      </c>
      <c r="W34" s="12">
        <v>1473874.16</v>
      </c>
      <c r="X34" s="12"/>
      <c r="Y34" s="12">
        <f t="shared" ref="Y34:Y65" si="10">IFERROR(V34+W34-X34,"")</f>
        <v>2582436.41</v>
      </c>
      <c r="Z34" s="12" t="s">
        <v>401</v>
      </c>
      <c r="AA34" s="12" t="str">
        <f t="shared" ref="AA34:AA65" si="11">IFERROR(Y34+Z34,"")</f>
        <v/>
      </c>
      <c r="AB34" s="12">
        <v>1114966.57</v>
      </c>
      <c r="AC34" s="12">
        <v>1393452.84</v>
      </c>
      <c r="AD34" s="12"/>
      <c r="AE34" s="12">
        <f t="shared" ref="AE34:AE65" si="12">IFERROR(AB34+AC34-AD34,"")</f>
        <v>2508419.41</v>
      </c>
      <c r="AF34" s="12" t="s">
        <v>401</v>
      </c>
      <c r="AG34" s="12" t="str">
        <f t="shared" ref="AG34:AG65" si="13">IFERROR(AE34+AF34,"")</f>
        <v/>
      </c>
      <c r="AH34" s="12">
        <v>970138</v>
      </c>
      <c r="AI34" s="12">
        <v>1388491</v>
      </c>
      <c r="AJ34" s="12"/>
      <c r="AK34" s="12">
        <f t="shared" ref="AK34:AK65" si="14">IFERROR(AH34+AI34-AJ34,"")</f>
        <v>2358629</v>
      </c>
      <c r="AL34" s="12" t="s">
        <v>401</v>
      </c>
      <c r="AM34" s="12" t="str">
        <f t="shared" ref="AM34:AM65" si="15">IFERROR(AK34+AL34,"")</f>
        <v/>
      </c>
      <c r="AN34" s="12">
        <v>785682</v>
      </c>
      <c r="AO34" s="12">
        <v>1315361</v>
      </c>
      <c r="AP34" s="12"/>
      <c r="AQ34" s="12">
        <f t="shared" si="6"/>
        <v>2101043</v>
      </c>
      <c r="AR34" s="12" t="s">
        <v>401</v>
      </c>
      <c r="AS34" s="12" t="str">
        <f t="shared" ref="AS34:AS65" si="16">IFERROR(AQ34+AR34,"")</f>
        <v/>
      </c>
      <c r="AT34" s="12">
        <v>636727</v>
      </c>
      <c r="AU34" s="12">
        <v>1236737</v>
      </c>
      <c r="AV34" s="12"/>
      <c r="AW34" s="12">
        <f t="shared" si="8"/>
        <v>1873464</v>
      </c>
      <c r="AX34" s="12" t="s">
        <v>401</v>
      </c>
      <c r="AY34" s="12" t="str">
        <f t="shared" ref="AY34:AY65" si="17">IFERROR(AW34+AX34,"")</f>
        <v/>
      </c>
      <c r="AZ34" t="s">
        <v>0</v>
      </c>
      <c r="BA34" s="18" t="s">
        <v>142</v>
      </c>
      <c r="BB34" s="14" t="s">
        <v>411</v>
      </c>
      <c r="BD34" s="42"/>
    </row>
    <row r="35" spans="1:56" ht="13" x14ac:dyDescent="0.3">
      <c r="A35" s="21" t="s">
        <v>143</v>
      </c>
      <c r="B35" s="21" t="s">
        <v>391</v>
      </c>
      <c r="C35" s="21" t="s">
        <v>7</v>
      </c>
      <c r="D35" s="4" t="s">
        <v>85</v>
      </c>
      <c r="E35" s="5">
        <v>256776000000</v>
      </c>
      <c r="F35" s="5" t="str">
        <f>IF(ISNUMBER(Table1[[#This Row],[2019 Scope 3 ]]),IF(Table1[[#This Row],[Net Earnings/Income (2019)]]-k_cost*Table1[[#This Row],[2019 Total Scope 1, 2 + 3]]&lt;0,"Y","N"),"NA")</f>
        <v>N</v>
      </c>
      <c r="G35" s="54" t="str">
        <f>IF(ISNUMBER(Table1[[#This Row],[2019 Scope 3 ]]),IF(k_cost*Table1[[#This Row],[2019 Total Scope 1, 2 + 3]]/Table1[[#This Row],[Size (2019 Revenue)]]&gt;k_rev_max,"Y","N"),"NA")</f>
        <v>N</v>
      </c>
      <c r="H35" s="54" t="str">
        <f>IF(OR(Table1[[#This Row],[Net earnings post carbon price @85/t]]="Y",Table1[[#This Row],[Carbon costs in % revenue]] = "Y"),"Y",IF(OR(Table1[[#This Row],[Net earnings post carbon price @85/t]]="NA",Table1[[#This Row],[Carbon costs in % revenue]]="NA"),"NA","N"))</f>
        <v>N</v>
      </c>
      <c r="I35" s="5">
        <v>6634000000</v>
      </c>
      <c r="J35" s="9">
        <v>1963</v>
      </c>
      <c r="K35" s="5" t="s">
        <v>1</v>
      </c>
      <c r="L35" t="s">
        <v>0</v>
      </c>
      <c r="M35" t="s">
        <v>1</v>
      </c>
      <c r="P35" t="s">
        <v>0</v>
      </c>
      <c r="Q35" t="s">
        <v>0</v>
      </c>
      <c r="R35" t="s">
        <v>0</v>
      </c>
      <c r="S35" t="s">
        <v>0</v>
      </c>
      <c r="T35" s="51">
        <f>IFERROR((Table1[[#This Row],[2019 Total Scope 1, 2 + 3]])/Table1[[#This Row],[2018 Total Scope 1, 2 + Scope 3]]-1,"NA")</f>
        <v>0.25790198040724865</v>
      </c>
      <c r="V35" s="12">
        <v>157114</v>
      </c>
      <c r="W35" s="12">
        <v>1024682</v>
      </c>
      <c r="X35" s="12">
        <v>0</v>
      </c>
      <c r="Y35" s="12">
        <f t="shared" si="10"/>
        <v>1181796</v>
      </c>
      <c r="Z35" s="12">
        <f>14584739.12+1011729.83+51656.89+35236.88+106796.09+20400+46624.82</f>
        <v>15857183.630000001</v>
      </c>
      <c r="AA35" s="12">
        <f t="shared" si="11"/>
        <v>17038979.630000003</v>
      </c>
      <c r="AB35" s="12">
        <v>177347</v>
      </c>
      <c r="AC35" s="12">
        <v>1096724</v>
      </c>
      <c r="AD35" s="12">
        <v>0</v>
      </c>
      <c r="AE35" s="12">
        <f t="shared" si="12"/>
        <v>1274071</v>
      </c>
      <c r="AF35" s="12">
        <f>10986342.63+1091380.21+51836.83+31736+35855.55+20400+53932.12</f>
        <v>12271483.34</v>
      </c>
      <c r="AG35" s="12">
        <f t="shared" si="13"/>
        <v>13545554.34</v>
      </c>
      <c r="AH35" s="12">
        <v>206086</v>
      </c>
      <c r="AI35" s="12">
        <v>1131013</v>
      </c>
      <c r="AJ35" s="12">
        <v>0</v>
      </c>
      <c r="AK35" s="12">
        <f t="shared" si="14"/>
        <v>1337099</v>
      </c>
      <c r="AL35" s="12">
        <f>2400000+97000+31736+36636+53469</f>
        <v>2618841</v>
      </c>
      <c r="AM35" s="12">
        <f t="shared" si="15"/>
        <v>3955940</v>
      </c>
      <c r="AN35" s="12">
        <v>198055</v>
      </c>
      <c r="AO35" s="12">
        <v>1265480</v>
      </c>
      <c r="AP35" s="12"/>
      <c r="AQ35" s="12">
        <f t="shared" si="6"/>
        <v>1463535</v>
      </c>
      <c r="AR35" s="12">
        <f>2400000+119000+40280+50310</f>
        <v>2609590</v>
      </c>
      <c r="AS35" s="12">
        <f t="shared" si="16"/>
        <v>4073125</v>
      </c>
      <c r="AT35" s="12">
        <v>214156</v>
      </c>
      <c r="AU35" s="12">
        <v>1378660</v>
      </c>
      <c r="AV35" s="12"/>
      <c r="AW35" s="12">
        <f t="shared" si="8"/>
        <v>1592816</v>
      </c>
      <c r="AX35" s="12" t="s">
        <v>401</v>
      </c>
      <c r="AY35" s="12" t="str">
        <f t="shared" si="17"/>
        <v/>
      </c>
      <c r="AZ35" t="s">
        <v>0</v>
      </c>
      <c r="BA35" s="18" t="s">
        <v>144</v>
      </c>
      <c r="BD35" s="42"/>
    </row>
    <row r="36" spans="1:56" ht="25.5" x14ac:dyDescent="0.3">
      <c r="A36" s="21" t="s">
        <v>145</v>
      </c>
      <c r="B36" s="21" t="s">
        <v>145</v>
      </c>
      <c r="C36" s="21" t="s">
        <v>7</v>
      </c>
      <c r="D36" s="4" t="s">
        <v>146</v>
      </c>
      <c r="E36" s="5">
        <v>17910000000</v>
      </c>
      <c r="F36" s="5" t="str">
        <f>IF(ISNUMBER(Table1[[#This Row],[2019 Scope 3 ]]),IF(Table1[[#This Row],[Net Earnings/Income (2019)]]-k_cost*Table1[[#This Row],[2019 Total Scope 1, 2 + 3]]&lt;0,"Y","N"),"NA")</f>
        <v>NA</v>
      </c>
      <c r="G36" s="54" t="str">
        <f>IF(ISNUMBER(Table1[[#This Row],[2019 Scope 3 ]]),IF(k_cost*Table1[[#This Row],[2019 Total Scope 1, 2 + 3]]/Table1[[#This Row],[Size (2019 Revenue)]]&gt;k_rev_max,"Y","N"),"NA")</f>
        <v>NA</v>
      </c>
      <c r="H36" s="54" t="str">
        <f>IF(OR(Table1[[#This Row],[Net earnings post carbon price @85/t]]="Y",Table1[[#This Row],[Carbon costs in % revenue]] = "Y"),"Y",IF(OR(Table1[[#This Row],[Net earnings post carbon price @85/t]]="NA",Table1[[#This Row],[Carbon costs in % revenue]]="NA"),"NA","N"))</f>
        <v>NA</v>
      </c>
      <c r="I36" s="5">
        <v>2940000000</v>
      </c>
      <c r="J36" s="9">
        <v>1969</v>
      </c>
      <c r="K36" s="5" t="s">
        <v>1</v>
      </c>
      <c r="L36" t="s">
        <v>0</v>
      </c>
      <c r="M36" t="s">
        <v>0</v>
      </c>
      <c r="P36" t="s">
        <v>0</v>
      </c>
      <c r="Q36" t="s">
        <v>0</v>
      </c>
      <c r="R36" t="s">
        <v>0</v>
      </c>
      <c r="S36" t="s">
        <v>0</v>
      </c>
      <c r="T36" s="51" t="str">
        <f>IFERROR((Table1[[#This Row],[2019 Total Scope 1, 2 + 3]])/Table1[[#This Row],[2018 Total Scope 1, 2 + Scope 3]]-1,"NA")</f>
        <v>NA</v>
      </c>
      <c r="V36" s="12" t="s">
        <v>401</v>
      </c>
      <c r="W36" s="12" t="s">
        <v>401</v>
      </c>
      <c r="X36" s="12"/>
      <c r="Y36" s="12" t="str">
        <f t="shared" si="10"/>
        <v/>
      </c>
      <c r="Z36" s="12" t="s">
        <v>401</v>
      </c>
      <c r="AA36" s="12" t="str">
        <f t="shared" si="11"/>
        <v/>
      </c>
      <c r="AB36" s="12">
        <f>7.13*E36/1000000</f>
        <v>127698.3</v>
      </c>
      <c r="AC36" s="12">
        <f>10.16*E36/1000000</f>
        <v>181965.6</v>
      </c>
      <c r="AD36" s="12">
        <v>0</v>
      </c>
      <c r="AE36" s="12">
        <f t="shared" si="12"/>
        <v>309663.90000000002</v>
      </c>
      <c r="AF36" s="12" t="s">
        <v>401</v>
      </c>
      <c r="AG36" s="12" t="str">
        <f t="shared" si="13"/>
        <v/>
      </c>
      <c r="AH36" s="12" t="s">
        <v>401</v>
      </c>
      <c r="AI36" s="12" t="s">
        <v>401</v>
      </c>
      <c r="AJ36" s="12"/>
      <c r="AK36" s="12" t="str">
        <f t="shared" si="14"/>
        <v/>
      </c>
      <c r="AL36" s="12" t="s">
        <v>401</v>
      </c>
      <c r="AM36" s="12" t="str">
        <f t="shared" si="15"/>
        <v/>
      </c>
      <c r="AN36" s="12" t="s">
        <v>401</v>
      </c>
      <c r="AO36" s="12" t="s">
        <v>401</v>
      </c>
      <c r="AP36" s="12"/>
      <c r="AQ36" s="12" t="str">
        <f t="shared" si="6"/>
        <v/>
      </c>
      <c r="AR36" s="12" t="s">
        <v>401</v>
      </c>
      <c r="AS36" s="12" t="str">
        <f t="shared" si="16"/>
        <v/>
      </c>
      <c r="AT36" s="12" t="s">
        <v>401</v>
      </c>
      <c r="AU36" s="12" t="s">
        <v>401</v>
      </c>
      <c r="AV36" s="12"/>
      <c r="AW36" s="12" t="str">
        <f t="shared" si="8"/>
        <v/>
      </c>
      <c r="AX36" s="12" t="s">
        <v>401</v>
      </c>
      <c r="AY36" s="12" t="str">
        <f t="shared" si="17"/>
        <v/>
      </c>
      <c r="AZ36" t="s">
        <v>0</v>
      </c>
      <c r="BA36" s="14" t="s">
        <v>424</v>
      </c>
      <c r="BD36" s="42"/>
    </row>
    <row r="37" spans="1:56" ht="50.5" x14ac:dyDescent="0.3">
      <c r="A37" s="21" t="s">
        <v>147</v>
      </c>
      <c r="B37" s="21" t="s">
        <v>440</v>
      </c>
      <c r="C37" t="s">
        <v>9</v>
      </c>
      <c r="D37" s="4" t="s">
        <v>148</v>
      </c>
      <c r="E37" s="5">
        <v>42951000000</v>
      </c>
      <c r="F37" s="5" t="str">
        <f>IF(ISNUMBER(Table1[[#This Row],[2019 Scope 3 ]]),IF(Table1[[#This Row],[Net Earnings/Income (2019)]]-k_cost*Table1[[#This Row],[2019 Total Scope 1, 2 + 3]]&lt;0,"Y","N"),"NA")</f>
        <v>Y</v>
      </c>
      <c r="G37" s="54" t="str">
        <f>IF(ISNUMBER(Table1[[#This Row],[2019 Scope 3 ]]),IF(k_cost*Table1[[#This Row],[2019 Total Scope 1, 2 + 3]]/Table1[[#This Row],[Size (2019 Revenue)]]&gt;k_rev_max,"Y","N"),"NA")</f>
        <v>Y</v>
      </c>
      <c r="H37" s="54" t="str">
        <f>IF(OR(Table1[[#This Row],[Net earnings post carbon price @85/t]]="Y",Table1[[#This Row],[Carbon costs in % revenue]] = "Y"),"Y",IF(OR(Table1[[#This Row],[Net earnings post carbon price @85/t]]="NA",Table1[[#This Row],[Carbon costs in % revenue]]="NA"),"NA","N"))</f>
        <v>Y</v>
      </c>
      <c r="I37" s="11">
        <v>-1359000000</v>
      </c>
      <c r="J37" s="9">
        <v>1897</v>
      </c>
      <c r="K37" s="5" t="s">
        <v>1</v>
      </c>
      <c r="L37" t="s">
        <v>1</v>
      </c>
      <c r="M37" t="s">
        <v>0</v>
      </c>
      <c r="N37">
        <v>2050</v>
      </c>
      <c r="O37">
        <v>2020</v>
      </c>
      <c r="P37" t="s">
        <v>0</v>
      </c>
      <c r="Q37" t="s">
        <v>0</v>
      </c>
      <c r="R37" t="s">
        <v>0</v>
      </c>
      <c r="S37" t="s">
        <v>0</v>
      </c>
      <c r="T37" s="51">
        <f>IFERROR((Table1[[#This Row],[2019 Total Scope 1, 2 + 3]])/Table1[[#This Row],[2018 Total Scope 1, 2 + Scope 3]]-1,"NA")</f>
        <v>0.11831514934716503</v>
      </c>
      <c r="V37" s="12">
        <v>27600000</v>
      </c>
      <c r="W37" s="12">
        <v>6050000</v>
      </c>
      <c r="X37" s="12">
        <v>0</v>
      </c>
      <c r="Y37" s="12">
        <f t="shared" si="10"/>
        <v>33650000</v>
      </c>
      <c r="Z37" s="12">
        <v>91400000</v>
      </c>
      <c r="AA37" s="12">
        <f t="shared" si="11"/>
        <v>125050000</v>
      </c>
      <c r="AB37" s="12">
        <v>28700000</v>
      </c>
      <c r="AC37" s="12">
        <v>6820000</v>
      </c>
      <c r="AD37" s="12">
        <v>0</v>
      </c>
      <c r="AE37" s="12">
        <f t="shared" si="12"/>
        <v>35520000</v>
      </c>
      <c r="AF37" s="12">
        <v>76300000</v>
      </c>
      <c r="AG37" s="12">
        <f t="shared" si="13"/>
        <v>111820000</v>
      </c>
      <c r="AH37" s="12">
        <v>25760540</v>
      </c>
      <c r="AI37" s="12">
        <v>8814966</v>
      </c>
      <c r="AJ37" s="12"/>
      <c r="AK37" s="12">
        <f t="shared" si="14"/>
        <v>34575506</v>
      </c>
      <c r="AL37" s="12">
        <f>39700000+2400000+800000+2000000+260000+74000+200000+60000+2000000+3000000+24500000+200000+3700000</f>
        <v>78894000</v>
      </c>
      <c r="AM37" s="12">
        <f t="shared" si="15"/>
        <v>113469506</v>
      </c>
      <c r="AN37" s="12">
        <v>25570000</v>
      </c>
      <c r="AO37" s="12">
        <v>9840000</v>
      </c>
      <c r="AP37" s="12"/>
      <c r="AQ37" s="12">
        <f t="shared" si="6"/>
        <v>35410000</v>
      </c>
      <c r="AR37" s="12">
        <f>36500000+2400000+2500000+2000000+260000+820000+110000+60000+2000000+2900000+25000000+1800000</f>
        <v>76350000</v>
      </c>
      <c r="AS37" s="12">
        <f t="shared" si="16"/>
        <v>111760000</v>
      </c>
      <c r="AT37" s="12">
        <v>25240000</v>
      </c>
      <c r="AU37" s="12">
        <v>9710000</v>
      </c>
      <c r="AV37" s="12"/>
      <c r="AW37" s="12">
        <f t="shared" si="8"/>
        <v>34950000</v>
      </c>
      <c r="AX37" s="12">
        <f>48800000+2200000+10300000+3000000+150000+670000+100000+60000+3400000+7400000+20900000+3400000</f>
        <v>100380000</v>
      </c>
      <c r="AY37" s="12">
        <f t="shared" si="17"/>
        <v>135330000</v>
      </c>
      <c r="AZ37" t="s">
        <v>1</v>
      </c>
      <c r="BA37" s="18" t="s">
        <v>149</v>
      </c>
      <c r="BB37" s="16" t="s">
        <v>425</v>
      </c>
      <c r="BD37" s="42"/>
    </row>
    <row r="38" spans="1:56" ht="38" x14ac:dyDescent="0.3">
      <c r="A38" s="21" t="s">
        <v>150</v>
      </c>
      <c r="B38" s="21" t="s">
        <v>150</v>
      </c>
      <c r="C38" t="s">
        <v>12</v>
      </c>
      <c r="D38" t="s">
        <v>12</v>
      </c>
      <c r="E38" s="5">
        <v>25079000000</v>
      </c>
      <c r="F38" s="5" t="str">
        <f>IF(ISNUMBER(Table1[[#This Row],[2019 Scope 3 ]]),IF(Table1[[#This Row],[Net Earnings/Income (2019)]]-k_cost*Table1[[#This Row],[2019 Total Scope 1, 2 + 3]]&lt;0,"Y","N"),"NA")</f>
        <v>Y</v>
      </c>
      <c r="G38" s="54" t="str">
        <f>IF(ISNUMBER(Table1[[#This Row],[2019 Scope 3 ]]),IF(k_cost*Table1[[#This Row],[2019 Total Scope 1, 2 + 3]]/Table1[[#This Row],[Size (2019 Revenue)]]&gt;k_rev_max,"Y","N"),"NA")</f>
        <v>Y</v>
      </c>
      <c r="H38" s="54" t="str">
        <f>IF(OR(Table1[[#This Row],[Net earnings post carbon price @85/t]]="Y",Table1[[#This Row],[Carbon costs in % revenue]] = "Y"),"Y",IF(OR(Table1[[#This Row],[Net earnings post carbon price @85/t]]="NA",Table1[[#This Row],[Carbon costs in % revenue]]="NA"),"NA","N"))</f>
        <v>Y</v>
      </c>
      <c r="I38" s="5">
        <v>3707000000</v>
      </c>
      <c r="J38" s="9">
        <v>1900</v>
      </c>
      <c r="K38" s="5" t="s">
        <v>1</v>
      </c>
      <c r="L38" t="s">
        <v>1</v>
      </c>
      <c r="M38" t="s">
        <v>0</v>
      </c>
      <c r="N38">
        <v>2050</v>
      </c>
      <c r="O38">
        <v>2019</v>
      </c>
      <c r="P38" t="s">
        <v>0</v>
      </c>
      <c r="Q38" t="s">
        <v>0</v>
      </c>
      <c r="R38" t="s">
        <v>0</v>
      </c>
      <c r="S38" t="s">
        <v>0</v>
      </c>
      <c r="T38" s="51">
        <f>IFERROR((Table1[[#This Row],[2019 Total Scope 1, 2 + 3]])/Table1[[#This Row],[2018 Total Scope 1, 2 + Scope 3]]-1,"NA")</f>
        <v>-5.749250366880343E-3</v>
      </c>
      <c r="V38" s="12">
        <v>93000000</v>
      </c>
      <c r="W38" s="12">
        <v>11122000</v>
      </c>
      <c r="X38" s="12">
        <v>0</v>
      </c>
      <c r="Y38" s="12">
        <f t="shared" si="10"/>
        <v>104122000</v>
      </c>
      <c r="Z38" s="12">
        <v>19811000</v>
      </c>
      <c r="AA38" s="12">
        <f t="shared" si="11"/>
        <v>123933000</v>
      </c>
      <c r="AB38" s="12">
        <v>96548800</v>
      </c>
      <c r="AC38" s="12">
        <v>23200</v>
      </c>
      <c r="AD38" s="12"/>
      <c r="AE38" s="12">
        <f t="shared" si="12"/>
        <v>96572000</v>
      </c>
      <c r="AF38" s="12">
        <f>10100000+17977642</f>
        <v>28077642</v>
      </c>
      <c r="AG38" s="12">
        <f t="shared" si="13"/>
        <v>124649642</v>
      </c>
      <c r="AH38" s="12">
        <v>95213400</v>
      </c>
      <c r="AI38" s="12">
        <v>0</v>
      </c>
      <c r="AJ38" s="12"/>
      <c r="AK38" s="12">
        <f t="shared" si="14"/>
        <v>95213400</v>
      </c>
      <c r="AL38" s="12">
        <f>15948080</f>
        <v>15948080</v>
      </c>
      <c r="AM38" s="12">
        <f t="shared" si="15"/>
        <v>111161480</v>
      </c>
      <c r="AN38" s="12">
        <v>96837200</v>
      </c>
      <c r="AO38" s="12">
        <v>0</v>
      </c>
      <c r="AP38" s="12"/>
      <c r="AQ38" s="12">
        <f t="shared" si="6"/>
        <v>96837200</v>
      </c>
      <c r="AR38" s="12">
        <f>16640509</f>
        <v>16640509</v>
      </c>
      <c r="AS38" s="12">
        <f t="shared" si="16"/>
        <v>113477709</v>
      </c>
      <c r="AT38" s="12">
        <v>100238000</v>
      </c>
      <c r="AU38" s="12">
        <v>0</v>
      </c>
      <c r="AV38" s="12"/>
      <c r="AW38" s="12">
        <f t="shared" si="8"/>
        <v>100238000</v>
      </c>
      <c r="AX38" s="12" t="s">
        <v>401</v>
      </c>
      <c r="AY38" s="12" t="str">
        <f t="shared" si="17"/>
        <v/>
      </c>
      <c r="AZ38" s="13" t="s">
        <v>0</v>
      </c>
      <c r="BA38" s="18" t="s">
        <v>151</v>
      </c>
      <c r="BB38" s="16" t="s">
        <v>426</v>
      </c>
      <c r="BD38" s="42"/>
    </row>
    <row r="39" spans="1:56" ht="75.5" x14ac:dyDescent="0.3">
      <c r="A39" s="21" t="s">
        <v>152</v>
      </c>
      <c r="B39" s="21" t="s">
        <v>152</v>
      </c>
      <c r="C39" s="21" t="s">
        <v>9</v>
      </c>
      <c r="D39" s="4" t="s">
        <v>148</v>
      </c>
      <c r="E39" s="5">
        <v>21570000000</v>
      </c>
      <c r="F39" s="5" t="str">
        <f>IF(ISNUMBER(Table1[[#This Row],[2019 Scope 3 ]]),IF(Table1[[#This Row],[Net Earnings/Income (2019)]]-k_cost*Table1[[#This Row],[2019 Total Scope 1, 2 + 3]]&lt;0,"Y","N"),"NA")</f>
        <v>Y</v>
      </c>
      <c r="G39" s="54" t="str">
        <f>IF(ISNUMBER(Table1[[#This Row],[2019 Scope 3 ]]),IF(k_cost*Table1[[#This Row],[2019 Total Scope 1, 2 + 3]]/Table1[[#This Row],[Size (2019 Revenue)]]&gt;k_rev_max,"Y","N"),"NA")</f>
        <v>N</v>
      </c>
      <c r="H39" s="54" t="str">
        <f>IF(OR(Table1[[#This Row],[Net earnings post carbon price @85/t]]="Y",Table1[[#This Row],[Carbon costs in % revenue]] = "Y"),"Y",IF(OR(Table1[[#This Row],[Net earnings post carbon price @85/t]]="NA",Table1[[#This Row],[Carbon costs in % revenue]]="NA"),"NA","N"))</f>
        <v>Y</v>
      </c>
      <c r="I39" s="5">
        <v>498000000</v>
      </c>
      <c r="J39" s="9">
        <v>1802</v>
      </c>
      <c r="K39" s="5" t="s">
        <v>1</v>
      </c>
      <c r="L39" t="s">
        <v>1</v>
      </c>
      <c r="M39" t="s">
        <v>0</v>
      </c>
      <c r="N39">
        <v>2050</v>
      </c>
      <c r="O39">
        <v>2018</v>
      </c>
      <c r="P39" t="s">
        <v>0</v>
      </c>
      <c r="Q39" t="s">
        <v>0</v>
      </c>
      <c r="R39" t="s">
        <v>0</v>
      </c>
      <c r="S39" t="s">
        <v>0</v>
      </c>
      <c r="T39" s="51" t="str">
        <f>IFERROR((Table1[[#This Row],[2019 Total Scope 1, 2 + 3]])/Table1[[#This Row],[2018 Total Scope 1, 2 + Scope 3]]-1,"NA")</f>
        <v>NA</v>
      </c>
      <c r="V39" s="12">
        <v>3057000</v>
      </c>
      <c r="W39" s="12">
        <v>2323000</v>
      </c>
      <c r="X39" s="12">
        <v>0</v>
      </c>
      <c r="Y39" s="12">
        <f t="shared" si="10"/>
        <v>5380000</v>
      </c>
      <c r="Z39" s="12">
        <f>1207243+23037+72464</f>
        <v>1302744</v>
      </c>
      <c r="AA39" s="12">
        <f t="shared" si="11"/>
        <v>6682744</v>
      </c>
      <c r="AB39" s="12" t="s">
        <v>401</v>
      </c>
      <c r="AC39" s="12" t="s">
        <v>401</v>
      </c>
      <c r="AD39" s="12"/>
      <c r="AE39" s="12" t="str">
        <f t="shared" si="12"/>
        <v/>
      </c>
      <c r="AF39" s="12" t="s">
        <v>401</v>
      </c>
      <c r="AG39" s="12" t="str">
        <f t="shared" si="13"/>
        <v/>
      </c>
      <c r="AH39" s="12" t="s">
        <v>401</v>
      </c>
      <c r="AI39" s="12" t="s">
        <v>401</v>
      </c>
      <c r="AJ39" s="12"/>
      <c r="AK39" s="12" t="str">
        <f t="shared" si="14"/>
        <v/>
      </c>
      <c r="AL39" s="12" t="s">
        <v>401</v>
      </c>
      <c r="AM39" s="12" t="str">
        <f t="shared" si="15"/>
        <v/>
      </c>
      <c r="AN39" s="12" t="s">
        <v>401</v>
      </c>
      <c r="AO39" s="12" t="s">
        <v>401</v>
      </c>
      <c r="AP39" s="12"/>
      <c r="AQ39" s="12" t="str">
        <f t="shared" si="6"/>
        <v/>
      </c>
      <c r="AR39" s="12" t="s">
        <v>401</v>
      </c>
      <c r="AS39" s="12" t="str">
        <f t="shared" si="16"/>
        <v/>
      </c>
      <c r="AT39" s="12" t="s">
        <v>401</v>
      </c>
      <c r="AU39" s="12" t="s">
        <v>401</v>
      </c>
      <c r="AV39" s="12"/>
      <c r="AW39" s="12" t="str">
        <f t="shared" si="8"/>
        <v/>
      </c>
      <c r="AX39" s="12" t="s">
        <v>401</v>
      </c>
      <c r="AY39" s="12" t="str">
        <f t="shared" si="17"/>
        <v/>
      </c>
      <c r="AZ39" t="s">
        <v>1</v>
      </c>
      <c r="BA39" s="18" t="s">
        <v>153</v>
      </c>
      <c r="BD39" s="42"/>
    </row>
    <row r="40" spans="1:56" ht="13" x14ac:dyDescent="0.3">
      <c r="A40" s="21" t="s">
        <v>154</v>
      </c>
      <c r="B40" s="21" t="s">
        <v>154</v>
      </c>
      <c r="C40" s="21" t="s">
        <v>7</v>
      </c>
      <c r="D40" s="4" t="s">
        <v>69</v>
      </c>
      <c r="E40" s="5">
        <v>22320000000</v>
      </c>
      <c r="F40" s="5" t="str">
        <f>IF(ISNUMBER(Table1[[#This Row],[2019 Scope 3 ]]),IF(Table1[[#This Row],[Net Earnings/Income (2019)]]-k_cost*Table1[[#This Row],[2019 Total Scope 1, 2 + 3]]&lt;0,"Y","N"),"NA")</f>
        <v>N</v>
      </c>
      <c r="G40" s="54" t="str">
        <f>IF(ISNUMBER(Table1[[#This Row],[2019 Scope 3 ]]),IF(k_cost*Table1[[#This Row],[2019 Total Scope 1, 2 + 3]]/Table1[[#This Row],[Size (2019 Revenue)]]&gt;k_rev_max,"Y","N"),"NA")</f>
        <v>N</v>
      </c>
      <c r="H40" s="54" t="str">
        <f>IF(OR(Table1[[#This Row],[Net earnings post carbon price @85/t]]="Y",Table1[[#This Row],[Carbon costs in % revenue]] = "Y"),"Y",IF(OR(Table1[[#This Row],[Net earnings post carbon price @85/t]]="NA",Table1[[#This Row],[Carbon costs in % revenue]]="NA"),"NA","N"))</f>
        <v>N</v>
      </c>
      <c r="I40" s="5">
        <v>8318000000</v>
      </c>
      <c r="J40" s="9">
        <v>1876</v>
      </c>
      <c r="K40" s="5" t="s">
        <v>1</v>
      </c>
      <c r="L40" t="s">
        <v>0</v>
      </c>
      <c r="M40" t="s">
        <v>0</v>
      </c>
      <c r="P40">
        <v>700000</v>
      </c>
      <c r="Q40" t="s">
        <v>0</v>
      </c>
      <c r="R40" t="s">
        <v>0</v>
      </c>
      <c r="S40" t="s">
        <v>0</v>
      </c>
      <c r="T40" s="51">
        <f>IFERROR((Table1[[#This Row],[2019 Total Scope 1, 2 + 3]])/Table1[[#This Row],[2018 Total Scope 1, 2 + Scope 3]]-1,"NA")</f>
        <v>-1.4285714285714235E-2</v>
      </c>
      <c r="V40" s="12">
        <v>193000</v>
      </c>
      <c r="W40" s="12">
        <v>671000</v>
      </c>
      <c r="X40" s="12">
        <v>0</v>
      </c>
      <c r="Y40" s="12">
        <f t="shared" si="10"/>
        <v>864000</v>
      </c>
      <c r="Z40" s="12">
        <v>240000</v>
      </c>
      <c r="AA40" s="12">
        <f t="shared" si="11"/>
        <v>1104000</v>
      </c>
      <c r="AB40" s="12">
        <v>201000</v>
      </c>
      <c r="AC40" s="12">
        <v>654000</v>
      </c>
      <c r="AD40" s="12">
        <v>0</v>
      </c>
      <c r="AE40" s="12">
        <f t="shared" si="12"/>
        <v>855000</v>
      </c>
      <c r="AF40" s="12">
        <v>265000</v>
      </c>
      <c r="AG40" s="12">
        <f t="shared" si="13"/>
        <v>1120000</v>
      </c>
      <c r="AH40" s="12">
        <v>228000</v>
      </c>
      <c r="AI40" s="12">
        <v>636000</v>
      </c>
      <c r="AJ40" s="12">
        <v>0</v>
      </c>
      <c r="AK40" s="12">
        <f t="shared" si="14"/>
        <v>864000</v>
      </c>
      <c r="AL40" s="12">
        <v>232000</v>
      </c>
      <c r="AM40" s="12">
        <f t="shared" si="15"/>
        <v>1096000</v>
      </c>
      <c r="AN40" s="12">
        <v>216000</v>
      </c>
      <c r="AO40" s="12">
        <v>660000</v>
      </c>
      <c r="AP40" s="12">
        <v>0</v>
      </c>
      <c r="AQ40" s="12">
        <f t="shared" si="6"/>
        <v>876000</v>
      </c>
      <c r="AR40" s="12">
        <v>248000</v>
      </c>
      <c r="AS40" s="12">
        <f t="shared" si="16"/>
        <v>1124000</v>
      </c>
      <c r="AT40" s="12">
        <v>214000</v>
      </c>
      <c r="AU40" s="12">
        <v>713000</v>
      </c>
      <c r="AV40" s="12">
        <v>0</v>
      </c>
      <c r="AW40" s="12">
        <f t="shared" si="8"/>
        <v>927000</v>
      </c>
      <c r="AX40" s="12">
        <v>237000</v>
      </c>
      <c r="AY40" s="12">
        <f t="shared" si="17"/>
        <v>1164000</v>
      </c>
      <c r="AZ40" t="s">
        <v>0</v>
      </c>
      <c r="BA40" s="18" t="s">
        <v>155</v>
      </c>
      <c r="BD40" s="42"/>
    </row>
    <row r="41" spans="1:56" ht="25.5" x14ac:dyDescent="0.3">
      <c r="A41" s="21" t="s">
        <v>156</v>
      </c>
      <c r="B41" s="21" t="s">
        <v>156</v>
      </c>
      <c r="C41" s="21" t="s">
        <v>8</v>
      </c>
      <c r="D41" s="4" t="s">
        <v>121</v>
      </c>
      <c r="E41" s="5">
        <v>18372000000</v>
      </c>
      <c r="F41" s="5" t="str">
        <f>IF(ISNUMBER(Table1[[#This Row],[2019 Scope 3 ]]),IF(Table1[[#This Row],[Net Earnings/Income (2019)]]-k_cost*Table1[[#This Row],[2019 Total Scope 1, 2 + 3]]&lt;0,"Y","N"),"NA")</f>
        <v>NA</v>
      </c>
      <c r="G41" s="54" t="str">
        <f>IF(ISNUMBER(Table1[[#This Row],[2019 Scope 3 ]]),IF(k_cost*Table1[[#This Row],[2019 Total Scope 1, 2 + 3]]/Table1[[#This Row],[Size (2019 Revenue)]]&gt;k_rev_max,"Y","N"),"NA")</f>
        <v>NA</v>
      </c>
      <c r="H41" s="54" t="str">
        <f>IF(OR(Table1[[#This Row],[Net earnings post carbon price @85/t]]="Y",Table1[[#This Row],[Carbon costs in % revenue]] = "Y"),"Y",IF(OR(Table1[[#This Row],[Net earnings post carbon price @85/t]]="NA",Table1[[#This Row],[Carbon costs in % revenue]]="NA"),"NA","N"))</f>
        <v>NA</v>
      </c>
      <c r="I41" s="5">
        <v>2306000000</v>
      </c>
      <c r="J41" s="9">
        <v>1890</v>
      </c>
      <c r="K41" t="s">
        <v>1</v>
      </c>
      <c r="L41" t="s">
        <v>0</v>
      </c>
      <c r="M41" t="s">
        <v>0</v>
      </c>
      <c r="P41" t="s">
        <v>0</v>
      </c>
      <c r="Q41" t="s">
        <v>0</v>
      </c>
      <c r="R41" t="s">
        <v>0</v>
      </c>
      <c r="S41" t="s">
        <v>0</v>
      </c>
      <c r="T41" s="51" t="str">
        <f>IFERROR((Table1[[#This Row],[2019 Total Scope 1, 2 + 3]])/Table1[[#This Row],[2018 Total Scope 1, 2 + Scope 3]]-1,"NA")</f>
        <v>NA</v>
      </c>
      <c r="V41" s="12">
        <v>163945</v>
      </c>
      <c r="W41" s="12">
        <v>699739</v>
      </c>
      <c r="X41" s="12">
        <v>0</v>
      </c>
      <c r="Y41" s="12">
        <f t="shared" si="10"/>
        <v>863684</v>
      </c>
      <c r="Z41" s="12" t="s">
        <v>401</v>
      </c>
      <c r="AA41" s="12" t="str">
        <f t="shared" si="11"/>
        <v/>
      </c>
      <c r="AB41" s="12">
        <v>166132</v>
      </c>
      <c r="AC41" s="12">
        <v>699423</v>
      </c>
      <c r="AD41" s="12">
        <v>0</v>
      </c>
      <c r="AE41" s="12">
        <f t="shared" si="12"/>
        <v>865555</v>
      </c>
      <c r="AF41" s="12" t="s">
        <v>401</v>
      </c>
      <c r="AG41" s="12" t="str">
        <f t="shared" si="13"/>
        <v/>
      </c>
      <c r="AH41" s="12" t="s">
        <v>401</v>
      </c>
      <c r="AI41" s="12" t="s">
        <v>401</v>
      </c>
      <c r="AJ41" s="12"/>
      <c r="AK41" s="12" t="str">
        <f t="shared" si="14"/>
        <v/>
      </c>
      <c r="AL41" s="12" t="s">
        <v>401</v>
      </c>
      <c r="AM41" s="12" t="str">
        <f t="shared" si="15"/>
        <v/>
      </c>
      <c r="AN41" s="12" t="s">
        <v>401</v>
      </c>
      <c r="AO41" s="12" t="s">
        <v>401</v>
      </c>
      <c r="AP41" s="12"/>
      <c r="AQ41" s="12" t="str">
        <f t="shared" si="6"/>
        <v/>
      </c>
      <c r="AR41" s="12" t="s">
        <v>401</v>
      </c>
      <c r="AS41" s="12" t="str">
        <f t="shared" si="16"/>
        <v/>
      </c>
      <c r="AT41" s="12" t="s">
        <v>401</v>
      </c>
      <c r="AU41" s="12" t="s">
        <v>401</v>
      </c>
      <c r="AV41" s="12"/>
      <c r="AW41" s="12" t="str">
        <f t="shared" si="8"/>
        <v/>
      </c>
      <c r="AX41" s="12" t="s">
        <v>401</v>
      </c>
      <c r="AY41" s="12" t="str">
        <f t="shared" si="17"/>
        <v/>
      </c>
      <c r="AZ41" t="s">
        <v>1</v>
      </c>
      <c r="BA41" s="18" t="s">
        <v>157</v>
      </c>
      <c r="BD41" s="42"/>
    </row>
    <row r="42" spans="1:56" ht="13" x14ac:dyDescent="0.3">
      <c r="A42" s="21" t="s">
        <v>158</v>
      </c>
      <c r="B42" s="21" t="s">
        <v>158</v>
      </c>
      <c r="C42" s="21" t="s">
        <v>12</v>
      </c>
      <c r="D42" t="s">
        <v>12</v>
      </c>
      <c r="E42" s="5">
        <v>34438000000</v>
      </c>
      <c r="F42" s="5" t="str">
        <f>IF(ISNUMBER(Table1[[#This Row],[2019 Scope 3 ]]),IF(Table1[[#This Row],[Net Earnings/Income (2019)]]-k_cost*Table1[[#This Row],[2019 Total Scope 1, 2 + 3]]&lt;0,"Y","N"),"NA")</f>
        <v>Y</v>
      </c>
      <c r="G42" s="54" t="str">
        <f>IF(ISNUMBER(Table1[[#This Row],[2019 Scope 3 ]]),IF(k_cost*Table1[[#This Row],[2019 Total Scope 1, 2 + 3]]/Table1[[#This Row],[Size (2019 Revenue)]]&gt;k_rev_max,"Y","N"),"NA")</f>
        <v>Y</v>
      </c>
      <c r="H42" s="54" t="str">
        <f>IF(OR(Table1[[#This Row],[Net earnings post carbon price @85/t]]="Y",Table1[[#This Row],[Carbon costs in % revenue]] = "Y"),"Y",IF(OR(Table1[[#This Row],[Net earnings post carbon price @85/t]]="NA",Table1[[#This Row],[Carbon costs in % revenue]]="NA"),"NA","N"))</f>
        <v>Y</v>
      </c>
      <c r="I42" s="5">
        <v>2936000000</v>
      </c>
      <c r="J42" s="9">
        <v>2000</v>
      </c>
      <c r="K42" t="s">
        <v>1</v>
      </c>
      <c r="L42" s="41" t="s">
        <v>0</v>
      </c>
      <c r="M42" s="4" t="s">
        <v>0</v>
      </c>
      <c r="O42" s="4"/>
      <c r="P42" s="4" t="s">
        <v>0</v>
      </c>
      <c r="Q42" s="4" t="s">
        <v>1</v>
      </c>
      <c r="R42" s="4" t="s">
        <v>0</v>
      </c>
      <c r="S42" s="4" t="s">
        <v>0</v>
      </c>
      <c r="T42" s="52">
        <f>IFERROR((Table1[[#This Row],[2019 Total Scope 1, 2 + 3]])/Table1[[#This Row],[2018 Total Scope 1, 2 + Scope 3]]-1,"NA")</f>
        <v>-7.8774224325639186E-2</v>
      </c>
      <c r="U42" s="4"/>
      <c r="V42" s="12">
        <v>9395000</v>
      </c>
      <c r="W42" s="12">
        <v>6103000</v>
      </c>
      <c r="X42" s="12">
        <f>W42-4914000</f>
        <v>1189000</v>
      </c>
      <c r="Y42" s="12">
        <f t="shared" si="10"/>
        <v>14309000</v>
      </c>
      <c r="Z42" s="12">
        <v>180732000</v>
      </c>
      <c r="AA42" s="12">
        <f t="shared" si="11"/>
        <v>195041000</v>
      </c>
      <c r="AB42" s="12">
        <v>9526000</v>
      </c>
      <c r="AC42" s="12">
        <v>6120000</v>
      </c>
      <c r="AD42" s="12">
        <f>AC42-4817000</f>
        <v>1303000</v>
      </c>
      <c r="AE42" s="12">
        <f t="shared" si="12"/>
        <v>14343000</v>
      </c>
      <c r="AF42" s="12">
        <v>197376000</v>
      </c>
      <c r="AG42" s="12">
        <f t="shared" si="13"/>
        <v>211719000</v>
      </c>
      <c r="AH42" s="12">
        <v>10200000</v>
      </c>
      <c r="AI42" s="12">
        <v>6521000</v>
      </c>
      <c r="AJ42" s="12">
        <f>AI42-5037000</f>
        <v>1484000</v>
      </c>
      <c r="AK42" s="12">
        <f t="shared" si="14"/>
        <v>15237000</v>
      </c>
      <c r="AL42" s="12">
        <v>195220000</v>
      </c>
      <c r="AM42" s="12">
        <f t="shared" si="15"/>
        <v>210457000</v>
      </c>
      <c r="AN42" s="12" t="s">
        <v>401</v>
      </c>
      <c r="AO42" s="12" t="s">
        <v>401</v>
      </c>
      <c r="AP42" s="12"/>
      <c r="AQ42" s="12" t="str">
        <f t="shared" si="6"/>
        <v/>
      </c>
      <c r="AR42" s="12" t="s">
        <v>401</v>
      </c>
      <c r="AS42" s="12" t="str">
        <f t="shared" si="16"/>
        <v/>
      </c>
      <c r="AT42" s="12" t="s">
        <v>401</v>
      </c>
      <c r="AU42" s="12" t="s">
        <v>401</v>
      </c>
      <c r="AV42" s="12"/>
      <c r="AW42" s="12" t="str">
        <f t="shared" si="8"/>
        <v/>
      </c>
      <c r="AX42" s="12" t="s">
        <v>401</v>
      </c>
      <c r="AY42" s="12" t="str">
        <f t="shared" si="17"/>
        <v/>
      </c>
      <c r="AZ42" s="4" t="s">
        <v>1</v>
      </c>
      <c r="BA42" s="14" t="s">
        <v>159</v>
      </c>
      <c r="BD42" s="42" t="s">
        <v>485</v>
      </c>
    </row>
    <row r="43" spans="1:56" ht="50.5" x14ac:dyDescent="0.3">
      <c r="A43" s="21" t="s">
        <v>160</v>
      </c>
      <c r="B43" s="21" t="s">
        <v>160</v>
      </c>
      <c r="C43" s="21" t="s">
        <v>5</v>
      </c>
      <c r="D43" s="4" t="s">
        <v>126</v>
      </c>
      <c r="E43" s="5">
        <v>264938000000</v>
      </c>
      <c r="F43" s="5" t="str">
        <f>IF(ISNUMBER(Table1[[#This Row],[2019 Scope 3 ]]),IF(Table1[[#This Row],[Net Earnings/Income (2019)]]-k_cost*Table1[[#This Row],[2019 Total Scope 1, 2 + 3]]&lt;0,"Y","N"),"NA")</f>
        <v>NA</v>
      </c>
      <c r="G43" s="54" t="str">
        <f>IF(ISNUMBER(Table1[[#This Row],[2019 Scope 3 ]]),IF(k_cost*Table1[[#This Row],[2019 Total Scope 1, 2 + 3]]/Table1[[#This Row],[Size (2019 Revenue)]]&gt;k_rev_max,"Y","N"),"NA")</f>
        <v>NA</v>
      </c>
      <c r="H43" s="54" t="str">
        <f>IF(OR(Table1[[#This Row],[Net earnings post carbon price @85/t]]="Y",Table1[[#This Row],[Carbon costs in % revenue]] = "Y"),"Y",IF(OR(Table1[[#This Row],[Net earnings post carbon price @85/t]]="NA",Table1[[#This Row],[Carbon costs in % revenue]]="NA"),"NA","N"))</f>
        <v>NA</v>
      </c>
      <c r="I43" s="5">
        <v>14340000000</v>
      </c>
      <c r="J43" s="9">
        <v>1870</v>
      </c>
      <c r="K43" t="s">
        <v>1</v>
      </c>
      <c r="L43" s="4" t="s">
        <v>0</v>
      </c>
      <c r="M43" s="4" t="s">
        <v>0</v>
      </c>
      <c r="N43" s="4"/>
      <c r="O43" s="4"/>
      <c r="P43" s="4" t="s">
        <v>0</v>
      </c>
      <c r="Q43" s="4" t="s">
        <v>0</v>
      </c>
      <c r="R43" s="4" t="s">
        <v>0</v>
      </c>
      <c r="S43" s="4" t="s">
        <v>0</v>
      </c>
      <c r="T43" s="52" t="str">
        <f>IFERROR((Table1[[#This Row],[2019 Total Scope 1, 2 + 3]])/Table1[[#This Row],[2018 Total Scope 1, 2 + Scope 3]]-1,"NA")</f>
        <v>NA</v>
      </c>
      <c r="U43" s="4"/>
      <c r="V43" s="12" t="s">
        <v>401</v>
      </c>
      <c r="W43" s="12" t="s">
        <v>401</v>
      </c>
      <c r="X43" s="12"/>
      <c r="Y43" s="12" t="str">
        <f t="shared" si="10"/>
        <v/>
      </c>
      <c r="Z43" s="12" t="s">
        <v>401</v>
      </c>
      <c r="AA43" s="12" t="str">
        <f t="shared" si="11"/>
        <v/>
      </c>
      <c r="AB43" s="12">
        <v>116000000</v>
      </c>
      <c r="AC43" s="12">
        <v>8000000</v>
      </c>
      <c r="AD43" s="12">
        <v>0</v>
      </c>
      <c r="AE43" s="12">
        <f t="shared" si="12"/>
        <v>124000000</v>
      </c>
      <c r="AF43" s="12" t="s">
        <v>401</v>
      </c>
      <c r="AG43" s="12" t="str">
        <f t="shared" si="13"/>
        <v/>
      </c>
      <c r="AH43" s="12">
        <v>115000000</v>
      </c>
      <c r="AI43" s="12">
        <v>8000000</v>
      </c>
      <c r="AJ43" s="12">
        <v>0</v>
      </c>
      <c r="AK43" s="12">
        <f t="shared" si="14"/>
        <v>123000000</v>
      </c>
      <c r="AL43" s="12" t="s">
        <v>401</v>
      </c>
      <c r="AM43" s="12" t="str">
        <f t="shared" si="15"/>
        <v/>
      </c>
      <c r="AN43" s="12" t="s">
        <v>401</v>
      </c>
      <c r="AO43" s="12" t="s">
        <v>401</v>
      </c>
      <c r="AP43" s="12"/>
      <c r="AQ43" s="12">
        <v>125000000</v>
      </c>
      <c r="AR43" s="12" t="s">
        <v>401</v>
      </c>
      <c r="AS43" s="12" t="str">
        <f t="shared" si="16"/>
        <v/>
      </c>
      <c r="AT43" s="12" t="s">
        <v>401</v>
      </c>
      <c r="AU43" s="12" t="s">
        <v>401</v>
      </c>
      <c r="AV43" s="12"/>
      <c r="AW43" s="12">
        <v>122000000</v>
      </c>
      <c r="AX43" s="12" t="s">
        <v>401</v>
      </c>
      <c r="AY43" s="12" t="str">
        <f t="shared" si="17"/>
        <v/>
      </c>
      <c r="AZ43" s="4" t="s">
        <v>1</v>
      </c>
      <c r="BA43" s="14" t="s">
        <v>161</v>
      </c>
      <c r="BD43" s="42"/>
    </row>
    <row r="44" spans="1:56" ht="25.5" x14ac:dyDescent="0.3">
      <c r="A44" s="21" t="s">
        <v>162</v>
      </c>
      <c r="B44" s="21" t="s">
        <v>403</v>
      </c>
      <c r="C44" s="21" t="s">
        <v>2</v>
      </c>
      <c r="D44" s="4" t="s">
        <v>79</v>
      </c>
      <c r="E44" s="5">
        <v>70697000000</v>
      </c>
      <c r="F44" s="5" t="str">
        <f>IF(ISNUMBER(Table1[[#This Row],[2019 Scope 3 ]]),IF(Table1[[#This Row],[Net Earnings/Income (2019)]]-k_cost*Table1[[#This Row],[2019 Total Scope 1, 2 + 3]]&lt;0,"Y","N"),"NA")</f>
        <v>NA</v>
      </c>
      <c r="G44" s="54" t="str">
        <f>IF(ISNUMBER(Table1[[#This Row],[2019 Scope 3 ]]),IF(k_cost*Table1[[#This Row],[2019 Total Scope 1, 2 + 3]]/Table1[[#This Row],[Size (2019 Revenue)]]&gt;k_rev_max,"Y","N"),"NA")</f>
        <v>NA</v>
      </c>
      <c r="H44" s="54" t="str">
        <f>IF(OR(Table1[[#This Row],[Net earnings post carbon price @85/t]]="Y",Table1[[#This Row],[Carbon costs in % revenue]] = "Y"),"Y",IF(OR(Table1[[#This Row],[Net earnings post carbon price @85/t]]="NA",Table1[[#This Row],[Carbon costs in % revenue]]="NA"),"NA","N"))</f>
        <v>NA</v>
      </c>
      <c r="I44" s="5">
        <v>18485000000</v>
      </c>
      <c r="J44" s="9">
        <v>2012</v>
      </c>
      <c r="K44" s="5" t="s">
        <v>1</v>
      </c>
      <c r="L44" s="4" t="s">
        <v>1</v>
      </c>
      <c r="M44" s="4" t="s">
        <v>1</v>
      </c>
      <c r="N44">
        <v>2030</v>
      </c>
      <c r="O44">
        <v>2020</v>
      </c>
      <c r="P44" s="4" t="s">
        <v>0</v>
      </c>
      <c r="Q44" s="4" t="s">
        <v>1</v>
      </c>
      <c r="R44" t="s">
        <v>1</v>
      </c>
      <c r="S44">
        <v>2020</v>
      </c>
      <c r="T44" s="51" t="str">
        <f>IFERROR((Table1[[#This Row],[2019 Total Scope 1, 2 + 3]])/Table1[[#This Row],[2018 Total Scope 1, 2 + Scope 3]]-1,"NA")</f>
        <v>NA</v>
      </c>
      <c r="V44" s="12">
        <v>207000</v>
      </c>
      <c r="W44" s="12">
        <v>44000</v>
      </c>
      <c r="X44" s="12">
        <v>0</v>
      </c>
      <c r="Y44" s="12">
        <f t="shared" si="10"/>
        <v>251000</v>
      </c>
      <c r="Z44" s="12" t="s">
        <v>401</v>
      </c>
      <c r="AA44" s="12" t="str">
        <f t="shared" si="11"/>
        <v/>
      </c>
      <c r="AB44" s="12">
        <v>314000</v>
      </c>
      <c r="AC44" s="12">
        <v>42000</v>
      </c>
      <c r="AD44" s="12">
        <v>0</v>
      </c>
      <c r="AE44" s="12">
        <f t="shared" si="12"/>
        <v>356000</v>
      </c>
      <c r="AF44" s="12" t="s">
        <v>401</v>
      </c>
      <c r="AG44" s="12" t="str">
        <f t="shared" si="13"/>
        <v/>
      </c>
      <c r="AH44" s="12">
        <v>568000</v>
      </c>
      <c r="AI44" s="12">
        <v>48800</v>
      </c>
      <c r="AJ44" s="12">
        <v>0</v>
      </c>
      <c r="AK44" s="12">
        <f t="shared" si="14"/>
        <v>616800</v>
      </c>
      <c r="AL44" s="12" t="s">
        <v>401</v>
      </c>
      <c r="AM44" s="12" t="str">
        <f t="shared" si="15"/>
        <v/>
      </c>
      <c r="AN44" s="12">
        <v>516000</v>
      </c>
      <c r="AO44" s="12">
        <v>39000</v>
      </c>
      <c r="AP44" s="12">
        <v>0</v>
      </c>
      <c r="AQ44" s="12">
        <f t="shared" ref="AQ44:AQ70" si="18">IFERROR(AN44+AO44-AP44,"")</f>
        <v>555000</v>
      </c>
      <c r="AR44" s="12" t="s">
        <v>401</v>
      </c>
      <c r="AS44" s="12" t="str">
        <f t="shared" si="16"/>
        <v/>
      </c>
      <c r="AT44" s="12">
        <v>423000</v>
      </c>
      <c r="AU44" s="12">
        <v>28000</v>
      </c>
      <c r="AV44" s="12">
        <v>0</v>
      </c>
      <c r="AW44" s="12">
        <f t="shared" ref="AW44:AW75" si="19">IFERROR(AT44+AU44-AV44,"")</f>
        <v>451000</v>
      </c>
      <c r="AX44" s="12" t="s">
        <v>401</v>
      </c>
      <c r="AY44" s="12" t="str">
        <f t="shared" si="17"/>
        <v/>
      </c>
      <c r="AZ44" s="4" t="s">
        <v>1</v>
      </c>
      <c r="BA44" s="18" t="s">
        <v>163</v>
      </c>
      <c r="BD44" s="42"/>
    </row>
    <row r="45" spans="1:56" ht="25.5" x14ac:dyDescent="0.3">
      <c r="A45" s="21" t="s">
        <v>164</v>
      </c>
      <c r="B45" s="21" t="s">
        <v>164</v>
      </c>
      <c r="C45" s="21" t="s">
        <v>8</v>
      </c>
      <c r="D45" s="4" t="s">
        <v>165</v>
      </c>
      <c r="E45" s="5">
        <v>69693000000</v>
      </c>
      <c r="F45" s="5" t="str">
        <f>IF(ISNUMBER(Table1[[#This Row],[2019 Scope 3 ]]),IF(Table1[[#This Row],[Net Earnings/Income (2019)]]-k_cost*Table1[[#This Row],[2019 Total Scope 1, 2 + 3]]&lt;0,"Y","N"),"NA")</f>
        <v>Y</v>
      </c>
      <c r="G45" s="54" t="str">
        <f>IF(ISNUMBER(Table1[[#This Row],[2019 Scope 3 ]]),IF(k_cost*Table1[[#This Row],[2019 Total Scope 1, 2 + 3]]/Table1[[#This Row],[Size (2019 Revenue)]]&gt;k_rev_max,"Y","N"),"NA")</f>
        <v>N</v>
      </c>
      <c r="H45" s="54" t="str">
        <f>IF(OR(Table1[[#This Row],[Net earnings post carbon price @85/t]]="Y",Table1[[#This Row],[Carbon costs in % revenue]] = "Y"),"Y",IF(OR(Table1[[#This Row],[Net earnings post carbon price @85/t]]="NA",Table1[[#This Row],[Carbon costs in % revenue]]="NA"),"NA","N"))</f>
        <v>Y</v>
      </c>
      <c r="I45" s="5">
        <v>540000000</v>
      </c>
      <c r="J45" s="9">
        <v>1971</v>
      </c>
      <c r="K45" s="5" t="s">
        <v>1</v>
      </c>
      <c r="L45" s="4" t="s">
        <v>0</v>
      </c>
      <c r="M45" s="4" t="s">
        <v>0</v>
      </c>
      <c r="P45" t="s">
        <v>0</v>
      </c>
      <c r="Q45" t="s">
        <v>0</v>
      </c>
      <c r="R45" t="s">
        <v>0</v>
      </c>
      <c r="S45" t="s">
        <v>0</v>
      </c>
      <c r="T45" s="51">
        <f>IFERROR((Table1[[#This Row],[2019 Total Scope 1, 2 + 3]])/Table1[[#This Row],[2018 Total Scope 1, 2 + Scope 3]]-1,"NA")</f>
        <v>2.5133290245900719E-2</v>
      </c>
      <c r="V45" s="12">
        <v>15406173</v>
      </c>
      <c r="W45" s="12">
        <v>995988</v>
      </c>
      <c r="X45" s="12">
        <v>0</v>
      </c>
      <c r="Y45" s="12">
        <f t="shared" si="10"/>
        <v>16402161</v>
      </c>
      <c r="Z45" s="12">
        <v>3099293</v>
      </c>
      <c r="AA45" s="12">
        <f t="shared" si="11"/>
        <v>19501454</v>
      </c>
      <c r="AB45" s="12">
        <v>15152383</v>
      </c>
      <c r="AC45" s="12">
        <v>1049987</v>
      </c>
      <c r="AD45" s="12">
        <v>0</v>
      </c>
      <c r="AE45" s="12">
        <f t="shared" si="12"/>
        <v>16202370</v>
      </c>
      <c r="AF45" s="12">
        <v>2820965</v>
      </c>
      <c r="AG45" s="12">
        <f t="shared" si="13"/>
        <v>19023335</v>
      </c>
      <c r="AH45" s="12">
        <v>14053599</v>
      </c>
      <c r="AI45" s="12">
        <v>1094109</v>
      </c>
      <c r="AJ45" s="12">
        <v>0</v>
      </c>
      <c r="AK45" s="12">
        <f t="shared" si="14"/>
        <v>15147708</v>
      </c>
      <c r="AL45" s="12">
        <v>2642415</v>
      </c>
      <c r="AM45" s="12">
        <f t="shared" si="15"/>
        <v>17790123</v>
      </c>
      <c r="AN45" s="12">
        <v>13759865</v>
      </c>
      <c r="AO45" s="12">
        <v>958526</v>
      </c>
      <c r="AP45" s="12"/>
      <c r="AQ45" s="12">
        <f t="shared" si="18"/>
        <v>14718391</v>
      </c>
      <c r="AR45" s="12">
        <f>2150216+63944+186515</f>
        <v>2400675</v>
      </c>
      <c r="AS45" s="12">
        <f t="shared" si="16"/>
        <v>17119066</v>
      </c>
      <c r="AT45" s="12">
        <v>13751187</v>
      </c>
      <c r="AU45" s="12">
        <v>970981</v>
      </c>
      <c r="AV45" s="12"/>
      <c r="AW45" s="12">
        <f t="shared" si="19"/>
        <v>14722168</v>
      </c>
      <c r="AX45" s="12">
        <f>2023432+50897</f>
        <v>2074329</v>
      </c>
      <c r="AY45" s="12">
        <f t="shared" si="17"/>
        <v>16796497</v>
      </c>
      <c r="AZ45" s="4" t="s">
        <v>1</v>
      </c>
      <c r="BA45" s="18" t="s">
        <v>166</v>
      </c>
      <c r="BB45" s="30" t="s">
        <v>428</v>
      </c>
      <c r="BD45" s="42"/>
    </row>
    <row r="46" spans="1:56" ht="13" x14ac:dyDescent="0.3">
      <c r="A46" s="21" t="s">
        <v>167</v>
      </c>
      <c r="B46" s="21" t="s">
        <v>475</v>
      </c>
      <c r="C46" s="32" t="s">
        <v>3</v>
      </c>
      <c r="D46" s="4" t="s">
        <v>168</v>
      </c>
      <c r="E46" s="5">
        <v>155900000000</v>
      </c>
      <c r="F46" s="5" t="str">
        <f>IF(ISNUMBER(Table1[[#This Row],[2019 Scope 3 ]]),IF(Table1[[#This Row],[Net Earnings/Income (2019)]]-k_cost*Table1[[#This Row],[2019 Total Scope 1, 2 + 3]]&lt;0,"Y","N"),"NA")</f>
        <v>Y</v>
      </c>
      <c r="G46" s="54" t="str">
        <f>IF(ISNUMBER(Table1[[#This Row],[2019 Scope 3 ]]),IF(k_cost*Table1[[#This Row],[2019 Total Scope 1, 2 + 3]]/Table1[[#This Row],[Size (2019 Revenue)]]&gt;k_rev_max,"Y","N"),"NA")</f>
        <v>Y</v>
      </c>
      <c r="H46" s="54" t="str">
        <f>IF(OR(Table1[[#This Row],[Net earnings post carbon price @85/t]]="Y",Table1[[#This Row],[Carbon costs in % revenue]] = "Y"),"Y",IF(OR(Table1[[#This Row],[Net earnings post carbon price @85/t]]="NA",Table1[[#This Row],[Carbon costs in % revenue]]="NA"),"NA","N"))</f>
        <v>Y</v>
      </c>
      <c r="I46" s="5">
        <v>47000000</v>
      </c>
      <c r="J46" s="9">
        <v>1956</v>
      </c>
      <c r="K46" s="5" t="s">
        <v>1</v>
      </c>
      <c r="L46" t="s">
        <v>1</v>
      </c>
      <c r="M46" s="4" t="s">
        <v>0</v>
      </c>
      <c r="N46">
        <v>2050</v>
      </c>
      <c r="O46">
        <v>2020</v>
      </c>
      <c r="P46" t="s">
        <v>0</v>
      </c>
      <c r="Q46" t="s">
        <v>0</v>
      </c>
      <c r="R46" t="s">
        <v>1</v>
      </c>
      <c r="S46">
        <v>2035</v>
      </c>
      <c r="T46" s="51">
        <f>IFERROR((Table1[[#This Row],[2019 Total Scope 1, 2 + 3]])/Table1[[#This Row],[2018 Total Scope 1, 2 + Scope 3]]-1,"NA")</f>
        <v>0.34766110090144764</v>
      </c>
      <c r="V46" s="12">
        <v>1451947</v>
      </c>
      <c r="W46" s="12">
        <v>3068182</v>
      </c>
      <c r="X46" s="12"/>
      <c r="Y46" s="12">
        <f t="shared" si="10"/>
        <v>4520129</v>
      </c>
      <c r="Z46" s="12">
        <f>39676648+1280384+1066000+2102900+9297+61306+803387+134760000+1360000+1957800</f>
        <v>183077722</v>
      </c>
      <c r="AA46" s="12">
        <f t="shared" si="11"/>
        <v>187597851</v>
      </c>
      <c r="AB46" s="12">
        <v>1442963</v>
      </c>
      <c r="AC46" s="12">
        <v>3349808</v>
      </c>
      <c r="AD46" s="12">
        <v>0</v>
      </c>
      <c r="AE46" s="12">
        <f t="shared" si="12"/>
        <v>4792771</v>
      </c>
      <c r="AF46" s="12">
        <v>134409771</v>
      </c>
      <c r="AG46" s="12">
        <f t="shared" si="13"/>
        <v>139202542</v>
      </c>
      <c r="AH46" s="12">
        <v>1389740</v>
      </c>
      <c r="AI46" s="12">
        <v>3482444</v>
      </c>
      <c r="AJ46" s="12">
        <v>0</v>
      </c>
      <c r="AK46" s="12">
        <f t="shared" si="14"/>
        <v>4872184</v>
      </c>
      <c r="AL46" s="12" t="s">
        <v>401</v>
      </c>
      <c r="AM46" s="12" t="str">
        <f t="shared" si="15"/>
        <v/>
      </c>
      <c r="AN46" s="12">
        <v>1304409</v>
      </c>
      <c r="AO46" s="12">
        <v>3312936</v>
      </c>
      <c r="AP46" s="12"/>
      <c r="AQ46" s="12">
        <f t="shared" si="18"/>
        <v>4617345</v>
      </c>
      <c r="AR46" s="12">
        <f>13133594+2413+1502980+22295+57192+651750+665461+131000000</f>
        <v>147035685</v>
      </c>
      <c r="AS46" s="12">
        <f t="shared" si="16"/>
        <v>151653030</v>
      </c>
      <c r="AT46" s="12" t="s">
        <v>401</v>
      </c>
      <c r="AU46" s="12" t="s">
        <v>401</v>
      </c>
      <c r="AV46" s="12"/>
      <c r="AW46" s="12" t="str">
        <f t="shared" si="19"/>
        <v/>
      </c>
      <c r="AX46" s="12" t="s">
        <v>401</v>
      </c>
      <c r="AY46" s="12" t="str">
        <f t="shared" si="17"/>
        <v/>
      </c>
      <c r="AZ46" s="3" t="s">
        <v>169</v>
      </c>
      <c r="BA46" s="18" t="s">
        <v>170</v>
      </c>
      <c r="BD46" s="42"/>
    </row>
    <row r="47" spans="1:56" ht="13" x14ac:dyDescent="0.3">
      <c r="A47" s="21" t="s">
        <v>171</v>
      </c>
      <c r="B47" s="21" t="s">
        <v>171</v>
      </c>
      <c r="C47" s="21" t="s">
        <v>8</v>
      </c>
      <c r="D47" t="s">
        <v>8</v>
      </c>
      <c r="E47" s="5">
        <v>39350000000</v>
      </c>
      <c r="F47" s="5" t="str">
        <f>IF(ISNUMBER(Table1[[#This Row],[2019 Scope 3 ]]),IF(Table1[[#This Row],[Net Earnings/Income (2019)]]-k_cost*Table1[[#This Row],[2019 Total Scope 1, 2 + 3]]&lt;0,"Y","N"),"NA")</f>
        <v>NA</v>
      </c>
      <c r="G47" s="54" t="str">
        <f>IF(ISNUMBER(Table1[[#This Row],[2019 Scope 3 ]]),IF(k_cost*Table1[[#This Row],[2019 Total Scope 1, 2 + 3]]/Table1[[#This Row],[Size (2019 Revenue)]]&gt;k_rev_max,"Y","N"),"NA")</f>
        <v>NA</v>
      </c>
      <c r="H47" s="54" t="str">
        <f>IF(OR(Table1[[#This Row],[Net earnings post carbon price @85/t]]="Y",Table1[[#This Row],[Carbon costs in % revenue]] = "Y"),"Y",IF(OR(Table1[[#This Row],[Net earnings post carbon price @85/t]]="NA",Table1[[#This Row],[Carbon costs in % revenue]]="NA"),"NA","N"))</f>
        <v>NA</v>
      </c>
      <c r="I47" s="5">
        <v>3484000000</v>
      </c>
      <c r="J47" s="9">
        <v>1899</v>
      </c>
      <c r="K47" s="5" t="s">
        <v>1</v>
      </c>
      <c r="L47" t="s">
        <v>0</v>
      </c>
      <c r="M47" s="4" t="s">
        <v>0</v>
      </c>
      <c r="N47" s="4"/>
      <c r="O47" s="4"/>
      <c r="P47" s="4" t="s">
        <v>0</v>
      </c>
      <c r="Q47" s="4" t="s">
        <v>0</v>
      </c>
      <c r="R47" s="4" t="s">
        <v>0</v>
      </c>
      <c r="S47" s="4" t="s">
        <v>0</v>
      </c>
      <c r="T47" s="52" t="str">
        <f>IFERROR((Table1[[#This Row],[2019 Total Scope 1, 2 + 3]])/Table1[[#This Row],[2018 Total Scope 1, 2 + Scope 3]]-1,"NA")</f>
        <v>NA</v>
      </c>
      <c r="U47" s="4"/>
      <c r="V47" s="12">
        <v>317081</v>
      </c>
      <c r="W47" s="12">
        <v>445119</v>
      </c>
      <c r="X47" s="12"/>
      <c r="Y47" s="12">
        <f t="shared" si="10"/>
        <v>762200</v>
      </c>
      <c r="Z47" s="12" t="s">
        <v>401</v>
      </c>
      <c r="AA47" s="12" t="str">
        <f t="shared" si="11"/>
        <v/>
      </c>
      <c r="AB47" s="12">
        <v>306430</v>
      </c>
      <c r="AC47" s="12">
        <v>487731</v>
      </c>
      <c r="AD47" s="12"/>
      <c r="AE47" s="12">
        <f t="shared" si="12"/>
        <v>794161</v>
      </c>
      <c r="AF47" s="12" t="s">
        <v>401</v>
      </c>
      <c r="AG47" s="12" t="str">
        <f t="shared" si="13"/>
        <v/>
      </c>
      <c r="AH47" s="12">
        <v>305836</v>
      </c>
      <c r="AI47" s="12">
        <v>478428</v>
      </c>
      <c r="AJ47" s="12"/>
      <c r="AK47" s="12">
        <f t="shared" si="14"/>
        <v>784264</v>
      </c>
      <c r="AL47" s="12" t="s">
        <v>401</v>
      </c>
      <c r="AM47" s="12" t="str">
        <f t="shared" si="15"/>
        <v/>
      </c>
      <c r="AN47" s="12">
        <v>298276</v>
      </c>
      <c r="AO47" s="12">
        <v>523497</v>
      </c>
      <c r="AP47" s="12"/>
      <c r="AQ47" s="12">
        <f t="shared" si="18"/>
        <v>821773</v>
      </c>
      <c r="AR47" s="12" t="s">
        <v>401</v>
      </c>
      <c r="AS47" s="12" t="str">
        <f t="shared" si="16"/>
        <v/>
      </c>
      <c r="AT47" s="12" t="s">
        <v>401</v>
      </c>
      <c r="AU47" s="12" t="s">
        <v>401</v>
      </c>
      <c r="AV47" s="12"/>
      <c r="AW47" s="12" t="str">
        <f t="shared" si="19"/>
        <v/>
      </c>
      <c r="AX47" s="12" t="s">
        <v>401</v>
      </c>
      <c r="AY47" s="12" t="str">
        <f t="shared" si="17"/>
        <v/>
      </c>
      <c r="AZ47" s="4" t="s">
        <v>0</v>
      </c>
      <c r="BA47" s="18" t="s">
        <v>172</v>
      </c>
      <c r="BD47" s="42"/>
    </row>
    <row r="48" spans="1:56" ht="25.5" x14ac:dyDescent="0.3">
      <c r="A48" s="21" t="s">
        <v>173</v>
      </c>
      <c r="B48" s="21" t="s">
        <v>392</v>
      </c>
      <c r="C48" s="21" t="s">
        <v>8</v>
      </c>
      <c r="D48" s="4" t="s">
        <v>121</v>
      </c>
      <c r="E48" s="5">
        <v>95214000000</v>
      </c>
      <c r="F48" s="5" t="str">
        <f>IF(ISNUMBER(Table1[[#This Row],[2019 Scope 3 ]]),IF(Table1[[#This Row],[Net Earnings/Income (2019)]]-k_cost*Table1[[#This Row],[2019 Total Scope 1, 2 + 3]]&lt;0,"Y","N"),"NA")</f>
        <v>Y</v>
      </c>
      <c r="G48" s="54" t="str">
        <f>IF(ISNUMBER(Table1[[#This Row],[2019 Scope 3 ]]),IF(k_cost*Table1[[#This Row],[2019 Total Scope 1, 2 + 3]]/Table1[[#This Row],[Size (2019 Revenue)]]&gt;k_rev_max,"Y","N"),"NA")</f>
        <v>N</v>
      </c>
      <c r="H48" s="54" t="str">
        <f>IF(OR(Table1[[#This Row],[Net earnings post carbon price @85/t]]="Y",Table1[[#This Row],[Carbon costs in % revenue]] = "Y"),"Y",IF(OR(Table1[[#This Row],[Net earnings post carbon price @85/t]]="NA",Table1[[#This Row],[Carbon costs in % revenue]]="NA"),"NA","N"))</f>
        <v>Y</v>
      </c>
      <c r="I48" s="11">
        <v>-5439000000</v>
      </c>
      <c r="J48" s="9">
        <v>1896</v>
      </c>
      <c r="K48" s="5" t="s">
        <v>1</v>
      </c>
      <c r="L48" t="s">
        <v>0</v>
      </c>
      <c r="M48" s="4" t="s">
        <v>0</v>
      </c>
      <c r="N48" s="4">
        <v>2030</v>
      </c>
      <c r="O48" s="4">
        <v>2020</v>
      </c>
      <c r="P48" s="4" t="s">
        <v>0</v>
      </c>
      <c r="Q48" s="4" t="s">
        <v>0</v>
      </c>
      <c r="R48" s="4" t="s">
        <v>0</v>
      </c>
      <c r="S48" s="4" t="s">
        <v>0</v>
      </c>
      <c r="T48" s="52">
        <f>IFERROR((Table1[[#This Row],[2019 Total Scope 1, 2 + 3]])/Table1[[#This Row],[2018 Total Scope 1, 2 + Scope 3]]-1,"NA")</f>
        <v>-0.40272373540856032</v>
      </c>
      <c r="U48" s="4"/>
      <c r="V48" s="12">
        <v>1000000</v>
      </c>
      <c r="W48" s="12">
        <v>1390000</v>
      </c>
      <c r="X48" s="12"/>
      <c r="Y48" s="12">
        <f t="shared" si="10"/>
        <v>2390000</v>
      </c>
      <c r="Z48" s="12">
        <v>680000</v>
      </c>
      <c r="AA48" s="12">
        <f t="shared" si="11"/>
        <v>3070000</v>
      </c>
      <c r="AB48" s="12">
        <v>1290000</v>
      </c>
      <c r="AC48" s="12">
        <v>1510000</v>
      </c>
      <c r="AD48" s="12">
        <v>0</v>
      </c>
      <c r="AE48" s="12">
        <f t="shared" si="12"/>
        <v>2800000</v>
      </c>
      <c r="AF48" s="12">
        <v>2340000</v>
      </c>
      <c r="AG48" s="12">
        <f t="shared" si="13"/>
        <v>5140000</v>
      </c>
      <c r="AH48" s="12">
        <v>1670000</v>
      </c>
      <c r="AI48" s="12">
        <v>2110000</v>
      </c>
      <c r="AJ48" s="12">
        <v>0</v>
      </c>
      <c r="AK48" s="12">
        <f t="shared" si="14"/>
        <v>3780000</v>
      </c>
      <c r="AL48" s="12">
        <v>2790000</v>
      </c>
      <c r="AM48" s="12">
        <f t="shared" si="15"/>
        <v>6570000</v>
      </c>
      <c r="AN48" s="12">
        <v>1621000</v>
      </c>
      <c r="AO48" s="12">
        <v>2207000</v>
      </c>
      <c r="AP48" s="12"/>
      <c r="AQ48" s="12">
        <f t="shared" si="18"/>
        <v>3828000</v>
      </c>
      <c r="AR48" s="12">
        <f>8000000</f>
        <v>8000000</v>
      </c>
      <c r="AS48" s="12">
        <f t="shared" si="16"/>
        <v>11828000</v>
      </c>
      <c r="AT48" s="12">
        <v>1961000</v>
      </c>
      <c r="AU48" s="12">
        <v>2572000</v>
      </c>
      <c r="AV48" s="12"/>
      <c r="AW48" s="12">
        <f t="shared" si="19"/>
        <v>4533000</v>
      </c>
      <c r="AX48" s="12">
        <f>11500000</f>
        <v>11500000</v>
      </c>
      <c r="AY48" s="12">
        <f t="shared" si="17"/>
        <v>16033000</v>
      </c>
      <c r="AZ48" s="4" t="s">
        <v>1</v>
      </c>
      <c r="BA48" s="14" t="s">
        <v>409</v>
      </c>
      <c r="BB48" s="4" t="s">
        <v>427</v>
      </c>
      <c r="BD48" s="42"/>
    </row>
    <row r="49" spans="1:56" ht="13" x14ac:dyDescent="0.3">
      <c r="A49" s="21" t="s">
        <v>174</v>
      </c>
      <c r="B49" s="21" t="s">
        <v>393</v>
      </c>
      <c r="C49" s="32" t="s">
        <v>3</v>
      </c>
      <c r="D49" s="4" t="s">
        <v>168</v>
      </c>
      <c r="E49" s="5">
        <v>137237000000</v>
      </c>
      <c r="F49" s="5" t="str">
        <f>IF(ISNUMBER(Table1[[#This Row],[2019 Scope 3 ]]),IF(Table1[[#This Row],[Net Earnings/Income (2019)]]-k_cost*Table1[[#This Row],[2019 Total Scope 1, 2 + 3]]&lt;0,"Y","N"),"NA")</f>
        <v>Y</v>
      </c>
      <c r="G49" s="54" t="str">
        <f>IF(ISNUMBER(Table1[[#This Row],[2019 Scope 3 ]]),IF(k_cost*Table1[[#This Row],[2019 Total Scope 1, 2 + 3]]/Table1[[#This Row],[Size (2019 Revenue)]]&gt;k_rev_max,"Y","N"),"NA")</f>
        <v>Y</v>
      </c>
      <c r="H49" s="54" t="str">
        <f>IF(OR(Table1[[#This Row],[Net earnings post carbon price @85/t]]="Y",Table1[[#This Row],[Carbon costs in % revenue]] = "Y"),"Y",IF(OR(Table1[[#This Row],[Net earnings post carbon price @85/t]]="NA",Table1[[#This Row],[Carbon costs in % revenue]]="NA"),"NA","N"))</f>
        <v>Y</v>
      </c>
      <c r="I49" s="5">
        <v>6581000000</v>
      </c>
      <c r="J49" s="9">
        <v>1908</v>
      </c>
      <c r="K49" s="5" t="s">
        <v>1</v>
      </c>
      <c r="L49" t="s">
        <v>1</v>
      </c>
      <c r="M49" s="4" t="s">
        <v>0</v>
      </c>
      <c r="N49">
        <v>2050</v>
      </c>
      <c r="O49">
        <v>2020</v>
      </c>
      <c r="P49" s="4" t="s">
        <v>0</v>
      </c>
      <c r="Q49" s="4" t="s">
        <v>0</v>
      </c>
      <c r="R49" t="s">
        <v>1</v>
      </c>
      <c r="S49">
        <v>2040</v>
      </c>
      <c r="T49" s="51">
        <f>IFERROR((Table1[[#This Row],[2019 Total Scope 1, 2 + 3]])/Table1[[#This Row],[2018 Total Scope 1, 2 + Scope 3]]-1,"NA")</f>
        <v>-5.8947427211291425E-2</v>
      </c>
      <c r="V49" s="12">
        <v>1589700</v>
      </c>
      <c r="W49" s="12">
        <v>3721875</v>
      </c>
      <c r="X49" s="12">
        <v>0</v>
      </c>
      <c r="Y49" s="12">
        <f t="shared" si="10"/>
        <v>5311575</v>
      </c>
      <c r="Z49" s="12">
        <v>249384317</v>
      </c>
      <c r="AA49" s="12">
        <f t="shared" si="11"/>
        <v>254695892</v>
      </c>
      <c r="AB49" s="12">
        <v>1763555</v>
      </c>
      <c r="AC49" s="12">
        <v>4322761</v>
      </c>
      <c r="AD49" s="12">
        <v>0</v>
      </c>
      <c r="AE49" s="12">
        <f t="shared" si="12"/>
        <v>6086316</v>
      </c>
      <c r="AF49" s="12">
        <v>264563698</v>
      </c>
      <c r="AG49" s="12">
        <f t="shared" si="13"/>
        <v>270650014</v>
      </c>
      <c r="AH49" s="12">
        <v>1848804</v>
      </c>
      <c r="AI49" s="12">
        <v>4302887</v>
      </c>
      <c r="AJ49" s="12"/>
      <c r="AK49" s="12">
        <f t="shared" si="14"/>
        <v>6151691</v>
      </c>
      <c r="AL49" s="12">
        <v>286310319</v>
      </c>
      <c r="AM49" s="12">
        <f t="shared" si="15"/>
        <v>292462010</v>
      </c>
      <c r="AN49" s="12">
        <v>1815001</v>
      </c>
      <c r="AO49" s="12">
        <v>5095809</v>
      </c>
      <c r="AP49" s="12"/>
      <c r="AQ49" s="12">
        <f t="shared" si="18"/>
        <v>6910810</v>
      </c>
      <c r="AR49" s="12">
        <v>320911918</v>
      </c>
      <c r="AS49" s="12">
        <f t="shared" si="16"/>
        <v>327822728</v>
      </c>
      <c r="AT49" s="12">
        <v>1863495</v>
      </c>
      <c r="AU49" s="12">
        <v>4763994</v>
      </c>
      <c r="AV49" s="12"/>
      <c r="AW49" s="12">
        <f t="shared" si="19"/>
        <v>6627489</v>
      </c>
      <c r="AX49" s="12" t="s">
        <v>401</v>
      </c>
      <c r="AY49" s="12" t="str">
        <f t="shared" si="17"/>
        <v/>
      </c>
      <c r="AZ49" s="4" t="s">
        <v>1</v>
      </c>
      <c r="BD49" s="42"/>
    </row>
    <row r="50" spans="1:56" ht="25.5" x14ac:dyDescent="0.3">
      <c r="A50" s="21" t="s">
        <v>175</v>
      </c>
      <c r="B50" s="21" t="s">
        <v>398</v>
      </c>
      <c r="C50" s="32" t="s">
        <v>7</v>
      </c>
      <c r="D50" s="4" t="s">
        <v>69</v>
      </c>
      <c r="E50" s="5">
        <v>22449000000</v>
      </c>
      <c r="F50" s="5" t="str">
        <f>IF(ISNUMBER(Table1[[#This Row],[2019 Scope 3 ]]),IF(Table1[[#This Row],[Net Earnings/Income (2019)]]-k_cost*Table1[[#This Row],[2019 Total Scope 1, 2 + 3]]&lt;0,"Y","N"),"NA")</f>
        <v>N</v>
      </c>
      <c r="G50" s="54" t="str">
        <f>IF(ISNUMBER(Table1[[#This Row],[2019 Scope 3 ]]),IF(k_cost*Table1[[#This Row],[2019 Total Scope 1, 2 + 3]]/Table1[[#This Row],[Size (2019 Revenue)]]&gt;k_rev_max,"Y","N"),"NA")</f>
        <v>N</v>
      </c>
      <c r="H50" s="54" t="str">
        <f>IF(OR(Table1[[#This Row],[Net earnings post carbon price @85/t]]="Y",Table1[[#This Row],[Carbon costs in % revenue]] = "Y"),"Y",IF(OR(Table1[[#This Row],[Net earnings post carbon price @85/t]]="NA",Table1[[#This Row],[Carbon costs in % revenue]]="NA"),"NA","N"))</f>
        <v>N</v>
      </c>
      <c r="I50" s="5">
        <v>5386000000</v>
      </c>
      <c r="J50" s="9">
        <v>1992</v>
      </c>
      <c r="K50" s="5" t="s">
        <v>1</v>
      </c>
      <c r="L50" t="s">
        <v>0</v>
      </c>
      <c r="M50" s="4" t="s">
        <v>0</v>
      </c>
      <c r="P50">
        <v>69620</v>
      </c>
      <c r="Q50" s="4" t="s">
        <v>0</v>
      </c>
      <c r="R50" s="4" t="s">
        <v>0</v>
      </c>
      <c r="S50" s="4" t="s">
        <v>0</v>
      </c>
      <c r="T50" s="52">
        <f>IFERROR((Table1[[#This Row],[2019 Total Scope 1, 2 + 3]])/Table1[[#This Row],[2018 Total Scope 1, 2 + Scope 3]]-1,"NA")</f>
        <v>9.3790114716576518</v>
      </c>
      <c r="U50" s="4"/>
      <c r="V50" s="12">
        <v>52019</v>
      </c>
      <c r="W50" s="12">
        <v>21716</v>
      </c>
      <c r="X50" s="12"/>
      <c r="Y50" s="12">
        <f t="shared" si="10"/>
        <v>73735</v>
      </c>
      <c r="Z50" s="12">
        <f>1229479+95700+25250+17003+4810+40399+23656</f>
        <v>1436297</v>
      </c>
      <c r="AA50" s="12">
        <f t="shared" si="11"/>
        <v>1510032</v>
      </c>
      <c r="AB50" s="12">
        <v>47256</v>
      </c>
      <c r="AC50" s="12">
        <v>26647</v>
      </c>
      <c r="AD50" s="12"/>
      <c r="AE50" s="12">
        <f t="shared" si="12"/>
        <v>73903</v>
      </c>
      <c r="AF50" s="12">
        <f>22519+10881+38186</f>
        <v>71586</v>
      </c>
      <c r="AG50" s="12">
        <f t="shared" si="13"/>
        <v>145489</v>
      </c>
      <c r="AH50" s="12">
        <v>46330</v>
      </c>
      <c r="AI50" s="12">
        <v>46217</v>
      </c>
      <c r="AJ50" s="12">
        <v>0</v>
      </c>
      <c r="AK50" s="12">
        <f t="shared" si="14"/>
        <v>92547</v>
      </c>
      <c r="AL50" s="12">
        <v>33056</v>
      </c>
      <c r="AM50" s="12">
        <f t="shared" si="15"/>
        <v>125603</v>
      </c>
      <c r="AN50" s="12">
        <v>44531</v>
      </c>
      <c r="AO50" s="12">
        <v>48296</v>
      </c>
      <c r="AP50" s="12">
        <v>0</v>
      </c>
      <c r="AQ50" s="12">
        <f t="shared" si="18"/>
        <v>92827</v>
      </c>
      <c r="AR50" s="12">
        <v>32003</v>
      </c>
      <c r="AS50" s="12">
        <f t="shared" si="16"/>
        <v>124830</v>
      </c>
      <c r="AT50" s="12" t="s">
        <v>401</v>
      </c>
      <c r="AU50" s="12" t="s">
        <v>401</v>
      </c>
      <c r="AV50" s="12"/>
      <c r="AW50" s="12" t="str">
        <f t="shared" si="19"/>
        <v/>
      </c>
      <c r="AX50" s="12" t="s">
        <v>401</v>
      </c>
      <c r="AY50" s="12" t="str">
        <f t="shared" si="17"/>
        <v/>
      </c>
      <c r="AZ50" s="4" t="s">
        <v>0</v>
      </c>
      <c r="BA50" s="18" t="s">
        <v>176</v>
      </c>
      <c r="BD50" s="42"/>
    </row>
    <row r="51" spans="1:56" ht="113" x14ac:dyDescent="0.3">
      <c r="A51" s="21" t="s">
        <v>177</v>
      </c>
      <c r="B51" s="21" t="s">
        <v>464</v>
      </c>
      <c r="C51" s="32" t="s">
        <v>6</v>
      </c>
      <c r="D51" s="4" t="s">
        <v>109</v>
      </c>
      <c r="E51" s="5">
        <v>36546000000</v>
      </c>
      <c r="F51" s="5" t="str">
        <f>IF(ISNUMBER(Table1[[#This Row],[2019 Scope 3 ]]),IF(Table1[[#This Row],[Net Earnings/Income (2019)]]-k_cost*Table1[[#This Row],[2019 Total Scope 1, 2 + 3]]&lt;0,"Y","N"),"NA")</f>
        <v>N</v>
      </c>
      <c r="G51" s="54" t="str">
        <f>IF(ISNUMBER(Table1[[#This Row],[2019 Scope 3 ]]),IF(k_cost*Table1[[#This Row],[2019 Total Scope 1, 2 + 3]]/Table1[[#This Row],[Size (2019 Revenue)]]&gt;k_rev_max,"Y","N"),"NA")</f>
        <v>N</v>
      </c>
      <c r="H51" s="54" t="str">
        <f>IF(OR(Table1[[#This Row],[Net earnings post carbon price @85/t]]="Y",Table1[[#This Row],[Carbon costs in % revenue]] = "Y"),"Y",IF(OR(Table1[[#This Row],[Net earnings post carbon price @85/t]]="NA",Table1[[#This Row],[Carbon costs in % revenue]]="NA"),"NA","N"))</f>
        <v>N</v>
      </c>
      <c r="I51" s="5">
        <v>8470000000</v>
      </c>
      <c r="J51" s="9">
        <v>1999</v>
      </c>
      <c r="K51" s="5" t="s">
        <v>1</v>
      </c>
      <c r="L51" t="s">
        <v>1</v>
      </c>
      <c r="M51" t="s">
        <v>0</v>
      </c>
      <c r="N51">
        <v>2015</v>
      </c>
      <c r="O51">
        <v>2009</v>
      </c>
      <c r="Q51" t="s">
        <v>1</v>
      </c>
      <c r="R51" t="s">
        <v>1</v>
      </c>
      <c r="S51">
        <v>2020</v>
      </c>
      <c r="T51" s="51">
        <f>IFERROR((Table1[[#This Row],[2019 Total Scope 1, 2 + 3]])/Table1[[#This Row],[2018 Total Scope 1, 2 + Scope 3]]-1,"NA")</f>
        <v>-6.2518629800527026E-2</v>
      </c>
      <c r="V51" s="12">
        <v>12673</v>
      </c>
      <c r="W51" s="12">
        <v>9109</v>
      </c>
      <c r="X51" s="12">
        <v>0</v>
      </c>
      <c r="Y51" s="12">
        <f t="shared" si="10"/>
        <v>21782</v>
      </c>
      <c r="Z51" s="12">
        <v>135473</v>
      </c>
      <c r="AA51" s="12">
        <f t="shared" si="11"/>
        <v>157255</v>
      </c>
      <c r="AB51" s="12">
        <v>11565</v>
      </c>
      <c r="AC51" s="12">
        <v>16284</v>
      </c>
      <c r="AD51" s="12"/>
      <c r="AE51" s="12">
        <f t="shared" si="12"/>
        <v>27849</v>
      </c>
      <c r="AF51" s="12">
        <v>139893</v>
      </c>
      <c r="AG51" s="12">
        <f t="shared" si="13"/>
        <v>167742</v>
      </c>
      <c r="AH51" s="12">
        <v>11231</v>
      </c>
      <c r="AI51" s="12">
        <v>18410</v>
      </c>
      <c r="AJ51" s="12"/>
      <c r="AK51" s="12">
        <f t="shared" si="14"/>
        <v>29641</v>
      </c>
      <c r="AL51" s="12">
        <v>120001</v>
      </c>
      <c r="AM51" s="12">
        <f t="shared" si="15"/>
        <v>149642</v>
      </c>
      <c r="AN51" s="12">
        <v>11520</v>
      </c>
      <c r="AO51" s="12">
        <v>34179</v>
      </c>
      <c r="AP51" s="12"/>
      <c r="AQ51" s="12">
        <f t="shared" si="18"/>
        <v>45699</v>
      </c>
      <c r="AR51" s="12">
        <v>102266</v>
      </c>
      <c r="AS51" s="12">
        <f t="shared" si="16"/>
        <v>147965</v>
      </c>
      <c r="AT51" s="12">
        <v>11900</v>
      </c>
      <c r="AU51" s="12">
        <v>51690</v>
      </c>
      <c r="AV51" s="12"/>
      <c r="AW51" s="12">
        <f t="shared" si="19"/>
        <v>63590</v>
      </c>
      <c r="AX51" s="12">
        <v>148918</v>
      </c>
      <c r="AY51" s="12">
        <f t="shared" si="17"/>
        <v>212508</v>
      </c>
      <c r="AZ51" s="30" t="s">
        <v>1</v>
      </c>
      <c r="BA51" s="14" t="s">
        <v>178</v>
      </c>
      <c r="BB51" s="4" t="s">
        <v>427</v>
      </c>
      <c r="BC51" s="3" t="s">
        <v>179</v>
      </c>
      <c r="BD51" s="42"/>
    </row>
    <row r="52" spans="1:56" ht="163" x14ac:dyDescent="0.3">
      <c r="A52" s="21" t="s">
        <v>180</v>
      </c>
      <c r="B52" s="21" t="s">
        <v>180</v>
      </c>
      <c r="C52" s="32" t="s">
        <v>3</v>
      </c>
      <c r="D52" s="4" t="s">
        <v>85</v>
      </c>
      <c r="E52" s="11">
        <v>110200000000</v>
      </c>
      <c r="F52" s="5" t="str">
        <f>IF(ISNUMBER(Table1[[#This Row],[2019 Scope 3 ]]),IF(Table1[[#This Row],[Net Earnings/Income (2019)]]-k_cost*Table1[[#This Row],[2019 Total Scope 1, 2 + 3]]&lt;0,"Y","N"),"NA")</f>
        <v>Y</v>
      </c>
      <c r="G52" s="54" t="str">
        <f>IF(ISNUMBER(Table1[[#This Row],[2019 Scope 3 ]]),IF(k_cost*Table1[[#This Row],[2019 Total Scope 1, 2 + 3]]/Table1[[#This Row],[Size (2019 Revenue)]]&gt;k_rev_max,"Y","N"),"NA")</f>
        <v>Y</v>
      </c>
      <c r="H52" s="54" t="str">
        <f>IF(OR(Table1[[#This Row],[Net earnings post carbon price @85/t]]="Y",Table1[[#This Row],[Carbon costs in % revenue]] = "Y"),"Y",IF(OR(Table1[[#This Row],[Net earnings post carbon price @85/t]]="NA",Table1[[#This Row],[Carbon costs in % revenue]]="NA"),"NA","N"))</f>
        <v>Y</v>
      </c>
      <c r="I52" s="11">
        <v>11240000000</v>
      </c>
      <c r="J52" s="10">
        <v>1981</v>
      </c>
      <c r="K52" t="s">
        <v>1</v>
      </c>
      <c r="L52" t="s">
        <v>0</v>
      </c>
      <c r="M52" s="3" t="s">
        <v>0</v>
      </c>
      <c r="P52" s="3" t="s">
        <v>181</v>
      </c>
      <c r="Q52" t="s">
        <v>0</v>
      </c>
      <c r="R52" t="s">
        <v>0</v>
      </c>
      <c r="S52" s="4" t="s">
        <v>0</v>
      </c>
      <c r="T52" s="52">
        <f>IFERROR((Table1[[#This Row],[2019 Total Scope 1, 2 + 3]])/Table1[[#This Row],[2018 Total Scope 1, 2 + Scope 3]]-1,"NA")</f>
        <v>-0.35458591999082634</v>
      </c>
      <c r="U52" s="4"/>
      <c r="V52" s="12">
        <v>554317</v>
      </c>
      <c r="W52" s="12">
        <v>1302648</v>
      </c>
      <c r="X52" s="12"/>
      <c r="Y52" s="12">
        <f t="shared" si="10"/>
        <v>1856965</v>
      </c>
      <c r="Z52" s="12">
        <f>44487507+420000+2665080+564400+156500611</f>
        <v>204637598</v>
      </c>
      <c r="AA52" s="12">
        <f t="shared" si="11"/>
        <v>206494563</v>
      </c>
      <c r="AB52" s="12">
        <v>516246</v>
      </c>
      <c r="AC52" s="12">
        <v>1549876</v>
      </c>
      <c r="AD52" s="12"/>
      <c r="AE52" s="12">
        <f t="shared" si="12"/>
        <v>2066122</v>
      </c>
      <c r="AF52" s="12">
        <f>54000000+440000+2865590+569500+260000000</f>
        <v>317875090</v>
      </c>
      <c r="AG52" s="12">
        <f t="shared" si="13"/>
        <v>319941212</v>
      </c>
      <c r="AH52" s="12">
        <v>433633</v>
      </c>
      <c r="AI52" s="12">
        <v>1681640</v>
      </c>
      <c r="AJ52" s="12"/>
      <c r="AK52" s="12">
        <f t="shared" si="14"/>
        <v>2115273</v>
      </c>
      <c r="AL52" s="12">
        <v>3791806</v>
      </c>
      <c r="AM52" s="12">
        <f t="shared" si="15"/>
        <v>5907079</v>
      </c>
      <c r="AN52" s="12">
        <v>438335</v>
      </c>
      <c r="AO52" s="12">
        <v>1906283</v>
      </c>
      <c r="AP52" s="12"/>
      <c r="AQ52" s="12">
        <f t="shared" si="18"/>
        <v>2344618</v>
      </c>
      <c r="AR52" s="12">
        <v>2293060</v>
      </c>
      <c r="AS52" s="12">
        <f t="shared" si="16"/>
        <v>4637678</v>
      </c>
      <c r="AT52" s="12">
        <v>388664</v>
      </c>
      <c r="AU52" s="12">
        <v>2249712</v>
      </c>
      <c r="AV52" s="12"/>
      <c r="AW52" s="12">
        <f t="shared" si="19"/>
        <v>2638376</v>
      </c>
      <c r="AX52" s="12">
        <v>2133972</v>
      </c>
      <c r="AY52" s="12">
        <f t="shared" si="17"/>
        <v>4772348</v>
      </c>
      <c r="AZ52" t="s">
        <v>0</v>
      </c>
      <c r="BA52" s="18" t="s">
        <v>182</v>
      </c>
      <c r="BC52" s="3" t="s">
        <v>183</v>
      </c>
      <c r="BD52" s="42"/>
    </row>
    <row r="53" spans="1:56" ht="163" x14ac:dyDescent="0.3">
      <c r="A53" s="21" t="s">
        <v>184</v>
      </c>
      <c r="B53" s="21" t="s">
        <v>446</v>
      </c>
      <c r="C53" s="21" t="s">
        <v>8</v>
      </c>
      <c r="D53" s="4" t="s">
        <v>121</v>
      </c>
      <c r="E53" s="11">
        <v>36709000000</v>
      </c>
      <c r="F53" s="5" t="str">
        <f>IF(ISNUMBER(Table1[[#This Row],[2019 Scope 3 ]]),IF(Table1[[#This Row],[Net Earnings/Income (2019)]]-k_cost*Table1[[#This Row],[2019 Total Scope 1, 2 + 3]]&lt;0,"Y","N"),"NA")</f>
        <v>N</v>
      </c>
      <c r="G53" s="54" t="str">
        <f>IF(ISNUMBER(Table1[[#This Row],[2019 Scope 3 ]]),IF(k_cost*Table1[[#This Row],[2019 Total Scope 1, 2 + 3]]/Table1[[#This Row],[Size (2019 Revenue)]]&gt;k_rev_max,"Y","N"),"NA")</f>
        <v>N</v>
      </c>
      <c r="H53" s="54" t="str">
        <f>IF(OR(Table1[[#This Row],[Net earnings post carbon price @85/t]]="Y",Table1[[#This Row],[Carbon costs in % revenue]] = "Y"),"Y",IF(OR(Table1[[#This Row],[Net earnings post carbon price @85/t]]="NA",Table1[[#This Row],[Carbon costs in % revenue]]="NA"),"NA","N"))</f>
        <v>N</v>
      </c>
      <c r="I53" s="11">
        <v>6143000000</v>
      </c>
      <c r="K53" t="s">
        <v>1</v>
      </c>
      <c r="L53" t="s">
        <v>0</v>
      </c>
      <c r="M53" t="s">
        <v>0</v>
      </c>
      <c r="P53" s="3" t="s">
        <v>185</v>
      </c>
      <c r="Q53" t="s">
        <v>0</v>
      </c>
      <c r="R53" t="s">
        <v>0</v>
      </c>
      <c r="S53" s="4" t="s">
        <v>0</v>
      </c>
      <c r="T53" s="52">
        <f>IFERROR((Table1[[#This Row],[2019 Total Scope 1, 2 + 3]])/Table1[[#This Row],[2018 Total Scope 1, 2 + Scope 3]]-1,"NA")</f>
        <v>-5.9343161738182992E-2</v>
      </c>
      <c r="U53" s="4"/>
      <c r="V53" s="12">
        <v>1090649</v>
      </c>
      <c r="W53" s="12">
        <v>933484</v>
      </c>
      <c r="X53" s="12"/>
      <c r="Y53" s="12">
        <f t="shared" si="10"/>
        <v>2024133</v>
      </c>
      <c r="Z53" s="12">
        <f>16976983+518408+306478+163207+104444+17530</f>
        <v>18087050</v>
      </c>
      <c r="AA53" s="12">
        <f t="shared" si="11"/>
        <v>20111183</v>
      </c>
      <c r="AB53" s="12">
        <v>1479149</v>
      </c>
      <c r="AC53" s="12">
        <v>1036941</v>
      </c>
      <c r="AD53" s="12"/>
      <c r="AE53" s="12">
        <f t="shared" si="12"/>
        <v>2516090</v>
      </c>
      <c r="AF53" s="12">
        <f>17689014+504252+336382+173925+147869+12404</f>
        <v>18863846</v>
      </c>
      <c r="AG53" s="12">
        <f t="shared" si="13"/>
        <v>21379936</v>
      </c>
      <c r="AH53" s="12">
        <v>1355420</v>
      </c>
      <c r="AI53" s="12">
        <v>1228457</v>
      </c>
      <c r="AJ53" s="12"/>
      <c r="AK53" s="12">
        <f t="shared" si="14"/>
        <v>2583877</v>
      </c>
      <c r="AL53" s="12" t="s">
        <v>401</v>
      </c>
      <c r="AM53" s="12" t="str">
        <f t="shared" si="15"/>
        <v/>
      </c>
      <c r="AN53" s="12">
        <v>2699554</v>
      </c>
      <c r="AO53" s="12">
        <v>1518875</v>
      </c>
      <c r="AP53" s="12"/>
      <c r="AQ53" s="12">
        <f t="shared" si="18"/>
        <v>4218429</v>
      </c>
      <c r="AR53" s="12" t="s">
        <v>401</v>
      </c>
      <c r="AS53" s="12" t="str">
        <f t="shared" si="16"/>
        <v/>
      </c>
      <c r="AT53" s="12">
        <v>3526031</v>
      </c>
      <c r="AU53" s="12">
        <v>1736106</v>
      </c>
      <c r="AV53" s="12"/>
      <c r="AW53" s="12">
        <f t="shared" si="19"/>
        <v>5262137</v>
      </c>
      <c r="AX53" s="12" t="s">
        <v>401</v>
      </c>
      <c r="AY53" s="12" t="str">
        <f t="shared" si="17"/>
        <v/>
      </c>
      <c r="AZ53" t="s">
        <v>0</v>
      </c>
      <c r="BA53" s="3" t="s">
        <v>186</v>
      </c>
      <c r="BC53" s="3" t="s">
        <v>187</v>
      </c>
      <c r="BD53" s="42"/>
    </row>
    <row r="54" spans="1:56" ht="88" x14ac:dyDescent="0.3">
      <c r="A54" s="21" t="s">
        <v>188</v>
      </c>
      <c r="B54" s="21" t="s">
        <v>470</v>
      </c>
      <c r="C54" s="21" t="s">
        <v>11</v>
      </c>
      <c r="D54" s="4" t="s">
        <v>72</v>
      </c>
      <c r="E54" s="11">
        <v>77140000000</v>
      </c>
      <c r="F54" s="5" t="str">
        <f>IF(ISNUMBER(Table1[[#This Row],[2019 Scope 3 ]]),IF(Table1[[#This Row],[Net Earnings/Income (2019)]]-k_cost*Table1[[#This Row],[2019 Total Scope 1, 2 + 3]]&lt;0,"Y","N"),"NA")</f>
        <v>N</v>
      </c>
      <c r="G54" s="54" t="str">
        <f>IF(ISNUMBER(Table1[[#This Row],[2019 Scope 3 ]]),IF(k_cost*Table1[[#This Row],[2019 Total Scope 1, 2 + 3]]/Table1[[#This Row],[Size (2019 Revenue)]]&gt;k_rev_max,"Y","N"),"NA")</f>
        <v>N</v>
      </c>
      <c r="H54" s="54" t="str">
        <f>IF(OR(Table1[[#This Row],[Net earnings post carbon price @85/t]]="Y",Table1[[#This Row],[Carbon costs in % revenue]] = "Y"),"Y",IF(OR(Table1[[#This Row],[Net earnings post carbon price @85/t]]="NA",Table1[[#This Row],[Carbon costs in % revenue]]="NA"),"NA","N"))</f>
        <v>N</v>
      </c>
      <c r="I54" s="11">
        <v>9430000000</v>
      </c>
      <c r="J54" s="10">
        <v>1911</v>
      </c>
      <c r="K54" t="s">
        <v>1</v>
      </c>
      <c r="L54" t="s">
        <v>0</v>
      </c>
      <c r="M54" t="s">
        <v>0</v>
      </c>
      <c r="P54" s="3" t="s">
        <v>189</v>
      </c>
      <c r="R54" t="s">
        <v>0</v>
      </c>
      <c r="S54" t="s">
        <v>190</v>
      </c>
      <c r="T54" s="51">
        <f>IFERROR((Table1[[#This Row],[2019 Total Scope 1, 2 + 3]])/Table1[[#This Row],[2018 Total Scope 1, 2 + Scope 3]]-1,"NA")</f>
        <v>-0.13922680118079112</v>
      </c>
      <c r="V54" s="12">
        <v>114640</v>
      </c>
      <c r="W54" s="12">
        <v>822616</v>
      </c>
      <c r="X54" s="12"/>
      <c r="Y54" s="12">
        <f t="shared" si="10"/>
        <v>937256</v>
      </c>
      <c r="Z54" s="12">
        <v>1158416</v>
      </c>
      <c r="AA54" s="12">
        <f t="shared" si="11"/>
        <v>2095672</v>
      </c>
      <c r="AB54" s="12">
        <v>124633</v>
      </c>
      <c r="AC54" s="12">
        <v>963304</v>
      </c>
      <c r="AD54" s="12"/>
      <c r="AE54" s="12">
        <f t="shared" si="12"/>
        <v>1087937</v>
      </c>
      <c r="AF54" s="12">
        <f>329409+39017+458090+122800+397386</f>
        <v>1346702</v>
      </c>
      <c r="AG54" s="12">
        <f t="shared" si="13"/>
        <v>2434639</v>
      </c>
      <c r="AH54" s="12">
        <f>84000+40700</f>
        <v>124700</v>
      </c>
      <c r="AI54" s="12">
        <v>1077000</v>
      </c>
      <c r="AJ54" s="12"/>
      <c r="AK54" s="12">
        <f t="shared" si="14"/>
        <v>1201700</v>
      </c>
      <c r="AL54" s="12" t="s">
        <v>401</v>
      </c>
      <c r="AM54" s="12" t="str">
        <f t="shared" si="15"/>
        <v/>
      </c>
      <c r="AN54" s="12">
        <f>91000+42300</f>
        <v>133300</v>
      </c>
      <c r="AO54" s="12">
        <v>1156000</v>
      </c>
      <c r="AP54" s="12"/>
      <c r="AQ54" s="12">
        <f t="shared" si="18"/>
        <v>1289300</v>
      </c>
      <c r="AR54" s="12" t="s">
        <v>401</v>
      </c>
      <c r="AS54" s="12" t="str">
        <f t="shared" si="16"/>
        <v/>
      </c>
      <c r="AT54" s="12">
        <v>354046</v>
      </c>
      <c r="AU54" s="12">
        <v>1433456</v>
      </c>
      <c r="AV54" s="12"/>
      <c r="AW54" s="12">
        <f t="shared" si="19"/>
        <v>1787502</v>
      </c>
      <c r="AX54" s="12" t="s">
        <v>401</v>
      </c>
      <c r="AY54" s="12" t="str">
        <f t="shared" si="17"/>
        <v/>
      </c>
      <c r="AZ54" t="s">
        <v>0</v>
      </c>
      <c r="BA54" s="3" t="s">
        <v>191</v>
      </c>
      <c r="BC54" s="3" t="s">
        <v>192</v>
      </c>
      <c r="BD54" s="42"/>
    </row>
    <row r="55" spans="1:56" ht="188" x14ac:dyDescent="0.3">
      <c r="A55" s="21" t="s">
        <v>193</v>
      </c>
      <c r="B55" s="21" t="s">
        <v>443</v>
      </c>
      <c r="C55" s="21" t="s">
        <v>11</v>
      </c>
      <c r="D55" s="32" t="s">
        <v>96</v>
      </c>
      <c r="E55" s="11">
        <v>71900000000</v>
      </c>
      <c r="F55" s="5" t="str">
        <f>IF(ISNUMBER(Table1[[#This Row],[2019 Scope 3 ]]),IF(Table1[[#This Row],[Net Earnings/Income (2019)]]-k_cost*Table1[[#This Row],[2019 Total Scope 1, 2 + 3]]&lt;0,"Y","N"),"NA")</f>
        <v>N</v>
      </c>
      <c r="G55" s="54" t="str">
        <f>IF(ISNUMBER(Table1[[#This Row],[2019 Scope 3 ]]),IF(k_cost*Table1[[#This Row],[2019 Total Scope 1, 2 + 3]]/Table1[[#This Row],[Size (2019 Revenue)]]&gt;k_rev_max,"Y","N"),"NA")</f>
        <v>N</v>
      </c>
      <c r="H55" s="54" t="str">
        <f>IF(OR(Table1[[#This Row],[Net earnings post carbon price @85/t]]="Y",Table1[[#This Row],[Carbon costs in % revenue]] = "Y"),"Y",IF(OR(Table1[[#This Row],[Net earnings post carbon price @85/t]]="NA",Table1[[#This Row],[Carbon costs in % revenue]]="NA"),"NA","N"))</f>
        <v>N</v>
      </c>
      <c r="I55" s="11">
        <v>21000000000</v>
      </c>
      <c r="J55" s="10">
        <v>1971</v>
      </c>
      <c r="K55" t="s">
        <v>1</v>
      </c>
      <c r="L55" t="s">
        <v>0</v>
      </c>
      <c r="M55" t="s">
        <v>0</v>
      </c>
      <c r="P55" s="3" t="s">
        <v>194</v>
      </c>
      <c r="Q55" t="s">
        <v>0</v>
      </c>
      <c r="R55" t="s">
        <v>0</v>
      </c>
      <c r="S55">
        <v>2030</v>
      </c>
      <c r="T55" s="51">
        <f>IFERROR((Table1[[#This Row],[2019 Total Scope 1, 2 + 3]])/Table1[[#This Row],[2018 Total Scope 1, 2 + Scope 3]]-1,"NA")</f>
        <v>-1.8126246975421312E-2</v>
      </c>
      <c r="V55" s="12">
        <v>1489000</v>
      </c>
      <c r="W55" s="12">
        <v>1299000</v>
      </c>
      <c r="X55" s="12"/>
      <c r="Y55" s="12">
        <f t="shared" si="10"/>
        <v>2788000</v>
      </c>
      <c r="Z55" s="12">
        <v>20342000</v>
      </c>
      <c r="AA55" s="12">
        <f t="shared" si="11"/>
        <v>23130000</v>
      </c>
      <c r="AB55" s="12">
        <v>1458000</v>
      </c>
      <c r="AC55" s="12">
        <v>1120000</v>
      </c>
      <c r="AD55" s="12"/>
      <c r="AE55" s="12">
        <f t="shared" si="12"/>
        <v>2578000</v>
      </c>
      <c r="AF55" s="12">
        <v>20979000</v>
      </c>
      <c r="AG55" s="12">
        <f t="shared" si="13"/>
        <v>23557000</v>
      </c>
      <c r="AH55" s="12">
        <v>1490000</v>
      </c>
      <c r="AI55" s="12">
        <v>971000</v>
      </c>
      <c r="AJ55" s="12"/>
      <c r="AK55" s="12">
        <f t="shared" si="14"/>
        <v>2461000</v>
      </c>
      <c r="AL55" s="12">
        <v>12320000</v>
      </c>
      <c r="AM55" s="12">
        <f t="shared" si="15"/>
        <v>14781000</v>
      </c>
      <c r="AN55" s="12">
        <v>976000</v>
      </c>
      <c r="AO55" s="12">
        <v>647000</v>
      </c>
      <c r="AP55" s="12"/>
      <c r="AQ55" s="12">
        <f t="shared" si="18"/>
        <v>1623000</v>
      </c>
      <c r="AR55" s="12">
        <v>2740000</v>
      </c>
      <c r="AS55" s="12">
        <f t="shared" si="16"/>
        <v>4363000</v>
      </c>
      <c r="AT55" s="12">
        <v>1050000</v>
      </c>
      <c r="AU55" s="12">
        <v>950000</v>
      </c>
      <c r="AV55" s="12"/>
      <c r="AW55" s="12">
        <f t="shared" si="19"/>
        <v>2000000</v>
      </c>
      <c r="AX55" s="12">
        <v>1562000</v>
      </c>
      <c r="AY55" s="12">
        <f t="shared" si="17"/>
        <v>3562000</v>
      </c>
      <c r="AZ55" s="30" t="s">
        <v>1</v>
      </c>
      <c r="BA55" s="30" t="s">
        <v>195</v>
      </c>
      <c r="BC55" s="3" t="s">
        <v>196</v>
      </c>
      <c r="BD55" s="42"/>
    </row>
    <row r="56" spans="1:56" ht="150.5" x14ac:dyDescent="0.3">
      <c r="A56" s="21" t="s">
        <v>197</v>
      </c>
      <c r="B56" s="21" t="s">
        <v>481</v>
      </c>
      <c r="C56" s="21" t="s">
        <v>7</v>
      </c>
      <c r="D56" s="4" t="s">
        <v>69</v>
      </c>
      <c r="E56" s="5">
        <v>82060000000</v>
      </c>
      <c r="F56" s="5" t="str">
        <f>IF(ISNUMBER(Table1[[#This Row],[2019 Scope 3 ]]),IF(Table1[[#This Row],[Net Earnings/Income (2019)]]-k_cost*Table1[[#This Row],[2019 Total Scope 1, 2 + 3]]&lt;0,"Y","N"),"NA")</f>
        <v>N</v>
      </c>
      <c r="G56" s="54" t="str">
        <f>IF(ISNUMBER(Table1[[#This Row],[2019 Scope 3 ]]),IF(k_cost*Table1[[#This Row],[2019 Total Scope 1, 2 + 3]]/Table1[[#This Row],[Size (2019 Revenue)]]&gt;k_rev_max,"Y","N"),"NA")</f>
        <v>N</v>
      </c>
      <c r="H56" s="54" t="str">
        <f>IF(OR(Table1[[#This Row],[Net earnings post carbon price @85/t]]="Y",Table1[[#This Row],[Carbon costs in % revenue]] = "Y"),"Y",IF(OR(Table1[[#This Row],[Net earnings post carbon price @85/t]]="NA",Table1[[#This Row],[Carbon costs in % revenue]]="NA"),"NA","N"))</f>
        <v>N</v>
      </c>
      <c r="I56" s="5">
        <v>15120000000</v>
      </c>
      <c r="J56" s="9">
        <v>1944</v>
      </c>
      <c r="K56" s="5" t="s">
        <v>1</v>
      </c>
      <c r="L56" t="s">
        <v>0</v>
      </c>
      <c r="M56" t="s">
        <v>0</v>
      </c>
      <c r="P56" s="3" t="s">
        <v>198</v>
      </c>
      <c r="Q56" t="s">
        <v>0</v>
      </c>
      <c r="R56" t="s">
        <v>1</v>
      </c>
      <c r="S56">
        <v>2050</v>
      </c>
      <c r="T56" s="51">
        <f>IFERROR((Table1[[#This Row],[2019 Total Scope 1, 2 + 3]])/Table1[[#This Row],[2018 Total Scope 1, 2 + Scope 3]]-1,"NA")</f>
        <v>2.8367999165437752E-2</v>
      </c>
      <c r="V56" s="12">
        <v>415094</v>
      </c>
      <c r="W56" s="12">
        <v>518542</v>
      </c>
      <c r="X56" s="12"/>
      <c r="Y56" s="12">
        <f t="shared" si="10"/>
        <v>933636</v>
      </c>
      <c r="Z56" s="12">
        <v>20300054</v>
      </c>
      <c r="AA56" s="12">
        <f t="shared" si="11"/>
        <v>21233690</v>
      </c>
      <c r="AB56" s="12">
        <v>452407</v>
      </c>
      <c r="AC56" s="12">
        <v>583361</v>
      </c>
      <c r="AD56" s="12"/>
      <c r="AE56" s="12">
        <f t="shared" si="12"/>
        <v>1035768</v>
      </c>
      <c r="AF56" s="12">
        <v>19612181</v>
      </c>
      <c r="AG56" s="12">
        <f t="shared" si="13"/>
        <v>20647949</v>
      </c>
      <c r="AH56" s="12">
        <v>474497</v>
      </c>
      <c r="AI56" s="12">
        <v>639323</v>
      </c>
      <c r="AJ56" s="12"/>
      <c r="AK56" s="12">
        <f t="shared" si="14"/>
        <v>1113820</v>
      </c>
      <c r="AL56" s="12">
        <v>17988490</v>
      </c>
      <c r="AM56" s="12">
        <f t="shared" si="15"/>
        <v>19102310</v>
      </c>
      <c r="AN56" s="12">
        <v>463622</v>
      </c>
      <c r="AO56" s="12">
        <v>694257</v>
      </c>
      <c r="AP56" s="12"/>
      <c r="AQ56" s="12">
        <f t="shared" si="18"/>
        <v>1157879</v>
      </c>
      <c r="AR56" s="12">
        <v>284901</v>
      </c>
      <c r="AS56" s="12">
        <f t="shared" si="16"/>
        <v>1442780</v>
      </c>
      <c r="AT56" s="12">
        <v>449078</v>
      </c>
      <c r="AU56" s="12">
        <v>724819</v>
      </c>
      <c r="AV56" s="12"/>
      <c r="AW56" s="12">
        <f t="shared" si="19"/>
        <v>1173897</v>
      </c>
      <c r="AX56" s="12">
        <v>353974</v>
      </c>
      <c r="AY56" s="12">
        <f t="shared" si="17"/>
        <v>1527871</v>
      </c>
      <c r="AZ56" t="s">
        <v>1</v>
      </c>
      <c r="BA56" s="3" t="s">
        <v>199</v>
      </c>
      <c r="BB56" s="30" t="s">
        <v>429</v>
      </c>
      <c r="BC56" s="3" t="s">
        <v>200</v>
      </c>
      <c r="BD56" s="42"/>
    </row>
    <row r="57" spans="1:56" ht="100.5" x14ac:dyDescent="0.3">
      <c r="A57" s="21" t="s">
        <v>201</v>
      </c>
      <c r="B57" s="21" t="s">
        <v>472</v>
      </c>
      <c r="C57" s="21" t="s">
        <v>6</v>
      </c>
      <c r="D57" s="4" t="s">
        <v>103</v>
      </c>
      <c r="E57" s="5">
        <v>115600000000</v>
      </c>
      <c r="F57" s="5" t="str">
        <f>IF(ISNUMBER(Table1[[#This Row],[2019 Scope 3 ]]),IF(Table1[[#This Row],[Net Earnings/Income (2019)]]-k_cost*Table1[[#This Row],[2019 Total Scope 1, 2 + 3]]&lt;0,"Y","N"),"NA")</f>
        <v>N</v>
      </c>
      <c r="G57" s="54" t="str">
        <f>IF(ISNUMBER(Table1[[#This Row],[2019 Scope 3 ]]),IF(k_cost*Table1[[#This Row],[2019 Total Scope 1, 2 + 3]]/Table1[[#This Row],[Size (2019 Revenue)]]&gt;k_rev_max,"Y","N"),"NA")</f>
        <v>N</v>
      </c>
      <c r="H57" s="54" t="str">
        <f>IF(OR(Table1[[#This Row],[Net earnings post carbon price @85/t]]="Y",Table1[[#This Row],[Carbon costs in % revenue]] = "Y"),"Y",IF(OR(Table1[[#This Row],[Net earnings post carbon price @85/t]]="NA",Table1[[#This Row],[Carbon costs in % revenue]]="NA"),"NA","N"))</f>
        <v>N</v>
      </c>
      <c r="I57" s="5">
        <v>36430000000</v>
      </c>
      <c r="J57" s="9">
        <v>1940</v>
      </c>
      <c r="K57" s="5" t="s">
        <v>1</v>
      </c>
      <c r="L57" t="s">
        <v>0</v>
      </c>
      <c r="M57" t="s">
        <v>0</v>
      </c>
      <c r="Q57" t="s">
        <v>1</v>
      </c>
      <c r="R57" t="s">
        <v>1</v>
      </c>
      <c r="S57">
        <v>2020</v>
      </c>
      <c r="T57" s="51">
        <f>IFERROR((Table1[[#This Row],[2019 Total Scope 1, 2 + 3]])/Table1[[#This Row],[2018 Total Scope 1, 2 + Scope 3]]-1,"NA")</f>
        <v>-1.5300821142865351E-2</v>
      </c>
      <c r="V57" s="12">
        <v>81655</v>
      </c>
      <c r="W57" s="12">
        <v>556142</v>
      </c>
      <c r="X57" s="12"/>
      <c r="Y57" s="12">
        <f t="shared" si="10"/>
        <v>637797</v>
      </c>
      <c r="Z57" s="12">
        <v>181004</v>
      </c>
      <c r="AA57" s="12">
        <f t="shared" si="11"/>
        <v>818801</v>
      </c>
      <c r="AB57" s="12">
        <v>83101</v>
      </c>
      <c r="AC57" s="12">
        <v>572067</v>
      </c>
      <c r="AD57" s="12"/>
      <c r="AE57" s="12">
        <f t="shared" si="12"/>
        <v>655168</v>
      </c>
      <c r="AF57" s="12">
        <v>176356</v>
      </c>
      <c r="AG57" s="12">
        <f t="shared" si="13"/>
        <v>831524</v>
      </c>
      <c r="AH57" s="12">
        <v>78229</v>
      </c>
      <c r="AI57" s="12">
        <v>596843</v>
      </c>
      <c r="AJ57" s="12"/>
      <c r="AK57" s="12">
        <f t="shared" si="14"/>
        <v>675072</v>
      </c>
      <c r="AL57" s="12">
        <v>187020</v>
      </c>
      <c r="AM57" s="12">
        <f t="shared" si="15"/>
        <v>862092</v>
      </c>
      <c r="AN57" s="12">
        <v>79556</v>
      </c>
      <c r="AO57" s="12">
        <v>780710</v>
      </c>
      <c r="AP57" s="12"/>
      <c r="AQ57" s="12">
        <f t="shared" si="18"/>
        <v>860266</v>
      </c>
      <c r="AR57" s="12">
        <v>130430</v>
      </c>
      <c r="AS57" s="12">
        <f t="shared" si="16"/>
        <v>990696</v>
      </c>
      <c r="AT57" s="12">
        <v>82525</v>
      </c>
      <c r="AU57" s="12">
        <v>844403</v>
      </c>
      <c r="AV57" s="12"/>
      <c r="AW57" s="12">
        <f t="shared" si="19"/>
        <v>926928</v>
      </c>
      <c r="AX57" s="12">
        <v>138878</v>
      </c>
      <c r="AY57" s="12">
        <f t="shared" si="17"/>
        <v>1065806</v>
      </c>
      <c r="AZ57" s="30" t="s">
        <v>1</v>
      </c>
      <c r="BA57" s="14" t="s">
        <v>202</v>
      </c>
      <c r="BB57" s="4" t="s">
        <v>430</v>
      </c>
      <c r="BC57" s="3" t="s">
        <v>203</v>
      </c>
      <c r="BD57" s="42"/>
    </row>
    <row r="58" spans="1:56" ht="38" x14ac:dyDescent="0.3">
      <c r="A58" s="21" t="s">
        <v>204</v>
      </c>
      <c r="B58" s="21" t="s">
        <v>399</v>
      </c>
      <c r="C58" s="32" t="s">
        <v>5</v>
      </c>
      <c r="D58" s="4" t="s">
        <v>126</v>
      </c>
      <c r="E58" s="5">
        <v>13209000000</v>
      </c>
      <c r="F58" s="5" t="str">
        <f>IF(ISNUMBER(Table1[[#This Row],[2019 Scope 3 ]]),IF(Table1[[#This Row],[Net Earnings/Income (2019)]]-k_cost*Table1[[#This Row],[2019 Total Scope 1, 2 + 3]]&lt;0,"Y","N"),"NA")</f>
        <v>NA</v>
      </c>
      <c r="G58" s="54" t="str">
        <f>IF(ISNUMBER(Table1[[#This Row],[2019 Scope 3 ]]),IF(k_cost*Table1[[#This Row],[2019 Total Scope 1, 2 + 3]]/Table1[[#This Row],[Size (2019 Revenue)]]&gt;k_rev_max,"Y","N"),"NA")</f>
        <v>NA</v>
      </c>
      <c r="H58" s="54" t="str">
        <f>IF(OR(Table1[[#This Row],[Net earnings post carbon price @85/t]]="Y",Table1[[#This Row],[Carbon costs in % revenue]] = "Y"),"Y",IF(OR(Table1[[#This Row],[Net earnings post carbon price @85/t]]="NA",Table1[[#This Row],[Carbon costs in % revenue]]="NA"),"NA","N"))</f>
        <v>NA</v>
      </c>
      <c r="I58" s="5">
        <v>2190000000</v>
      </c>
      <c r="J58" s="9">
        <v>2011</v>
      </c>
      <c r="K58" s="5" t="s">
        <v>1</v>
      </c>
      <c r="L58" t="s">
        <v>0</v>
      </c>
      <c r="M58" t="s">
        <v>0</v>
      </c>
      <c r="Q58" t="s">
        <v>1</v>
      </c>
      <c r="R58" t="s">
        <v>0</v>
      </c>
      <c r="T58" s="51" t="str">
        <f>IFERROR((Table1[[#This Row],[2019 Total Scope 1, 2 + 3]])/Table1[[#This Row],[2018 Total Scope 1, 2 + Scope 3]]-1,"NA")</f>
        <v>NA</v>
      </c>
      <c r="V58" s="12" t="s">
        <v>401</v>
      </c>
      <c r="W58" s="12" t="s">
        <v>401</v>
      </c>
      <c r="X58" s="12"/>
      <c r="Y58" s="12" t="str">
        <f t="shared" si="10"/>
        <v/>
      </c>
      <c r="Z58" s="12" t="s">
        <v>401</v>
      </c>
      <c r="AA58" s="12" t="str">
        <f t="shared" si="11"/>
        <v/>
      </c>
      <c r="AB58" s="12" t="s">
        <v>401</v>
      </c>
      <c r="AC58" s="12" t="s">
        <v>401</v>
      </c>
      <c r="AD58" s="12"/>
      <c r="AE58" s="12" t="str">
        <f t="shared" si="12"/>
        <v/>
      </c>
      <c r="AF58" s="12" t="s">
        <v>401</v>
      </c>
      <c r="AG58" s="12" t="str">
        <f t="shared" si="13"/>
        <v/>
      </c>
      <c r="AH58" s="12" t="s">
        <v>401</v>
      </c>
      <c r="AI58" s="12" t="s">
        <v>401</v>
      </c>
      <c r="AJ58" s="12"/>
      <c r="AK58" s="12" t="str">
        <f t="shared" si="14"/>
        <v/>
      </c>
      <c r="AL58" s="12" t="s">
        <v>401</v>
      </c>
      <c r="AM58" s="12" t="str">
        <f t="shared" si="15"/>
        <v/>
      </c>
      <c r="AN58" s="12" t="s">
        <v>401</v>
      </c>
      <c r="AO58" s="12" t="s">
        <v>401</v>
      </c>
      <c r="AP58" s="12"/>
      <c r="AQ58" s="12" t="str">
        <f t="shared" si="18"/>
        <v/>
      </c>
      <c r="AR58" s="12" t="s">
        <v>401</v>
      </c>
      <c r="AS58" s="12" t="str">
        <f t="shared" si="16"/>
        <v/>
      </c>
      <c r="AT58" s="12" t="s">
        <v>401</v>
      </c>
      <c r="AU58" s="12" t="s">
        <v>401</v>
      </c>
      <c r="AV58" s="12"/>
      <c r="AW58" s="12" t="str">
        <f t="shared" si="19"/>
        <v/>
      </c>
      <c r="AX58" s="12" t="s">
        <v>401</v>
      </c>
      <c r="AY58" s="12" t="str">
        <f t="shared" si="17"/>
        <v/>
      </c>
      <c r="AZ58" s="19" t="s">
        <v>0</v>
      </c>
      <c r="BA58" s="3" t="s">
        <v>205</v>
      </c>
      <c r="BB58" s="3" t="s">
        <v>206</v>
      </c>
      <c r="BC58" s="3" t="s">
        <v>207</v>
      </c>
      <c r="BD58" s="42"/>
    </row>
    <row r="59" spans="1:56" ht="125.5" x14ac:dyDescent="0.3">
      <c r="A59" s="21" t="s">
        <v>208</v>
      </c>
      <c r="B59" s="21" t="s">
        <v>450</v>
      </c>
      <c r="C59" s="21" t="s">
        <v>4</v>
      </c>
      <c r="D59" s="4" t="s">
        <v>133</v>
      </c>
      <c r="E59" s="5">
        <v>24970000000</v>
      </c>
      <c r="F59" s="5" t="str">
        <f>IF(ISNUMBER(Table1[[#This Row],[2019 Scope 3 ]]),IF(Table1[[#This Row],[Net Earnings/Income (2019)]]-k_cost*Table1[[#This Row],[2019 Total Scope 1, 2 + 3]]&lt;0,"Y","N"),"NA")</f>
        <v>Y</v>
      </c>
      <c r="G59" s="54" t="str">
        <f>IF(ISNUMBER(Table1[[#This Row],[2019 Scope 3 ]]),IF(k_cost*Table1[[#This Row],[2019 Total Scope 1, 2 + 3]]/Table1[[#This Row],[Size (2019 Revenue)]]&gt;k_rev_max,"Y","N"),"NA")</f>
        <v>Y</v>
      </c>
      <c r="H59" s="54" t="str">
        <f>IF(OR(Table1[[#This Row],[Net earnings post carbon price @85/t]]="Y",Table1[[#This Row],[Carbon costs in % revenue]] = "Y"),"Y",IF(OR(Table1[[#This Row],[Net earnings post carbon price @85/t]]="NA",Table1[[#This Row],[Carbon costs in % revenue]]="NA"),"NA","N"))</f>
        <v>Y</v>
      </c>
      <c r="I59" s="5">
        <v>1935000000</v>
      </c>
      <c r="J59" s="9">
        <v>2001</v>
      </c>
      <c r="K59" s="5" t="s">
        <v>1</v>
      </c>
      <c r="L59" t="s">
        <v>0</v>
      </c>
      <c r="M59" t="s">
        <v>1</v>
      </c>
      <c r="R59" s="49" t="s">
        <v>0</v>
      </c>
      <c r="T59" s="51">
        <f>IFERROR((Table1[[#This Row],[2019 Total Scope 1, 2 + 3]])/Table1[[#This Row],[2018 Total Scope 1, 2 + Scope 3]]-1,"NA")</f>
        <v>1.4574204005638469E-2</v>
      </c>
      <c r="V59" s="12">
        <v>649256</v>
      </c>
      <c r="W59" s="12">
        <v>773066</v>
      </c>
      <c r="X59" s="12"/>
      <c r="Y59" s="12">
        <f t="shared" si="10"/>
        <v>1422322</v>
      </c>
      <c r="Z59" s="12">
        <f>18282750.168+397603.648+717228.775+1366415.404+52106.122+18988.075+105896.625+1307392.304+1029151.785</f>
        <v>23277532.905999999</v>
      </c>
      <c r="AA59" s="12">
        <f t="shared" si="11"/>
        <v>24699854.905999999</v>
      </c>
      <c r="AB59" s="12">
        <v>649256</v>
      </c>
      <c r="AC59" s="12">
        <v>773066</v>
      </c>
      <c r="AD59" s="12"/>
      <c r="AE59" s="12">
        <f t="shared" si="12"/>
        <v>1422322</v>
      </c>
      <c r="AF59" s="12">
        <f>18010670.91+436667.62+685766.14+1444101+50550.66+19031.77+108758.7+1150017.93+1017158.52</f>
        <v>22922723.25</v>
      </c>
      <c r="AG59" s="12">
        <f t="shared" si="13"/>
        <v>24345045.25</v>
      </c>
      <c r="AH59" s="12">
        <v>709692</v>
      </c>
      <c r="AI59" s="12">
        <v>765557</v>
      </c>
      <c r="AJ59" s="12"/>
      <c r="AK59" s="12">
        <f t="shared" si="14"/>
        <v>1475249</v>
      </c>
      <c r="AL59" s="12">
        <f>16751871.94+739999.79+1352970.13+191539.38+49063.7+18587.51+189896.51+1203705.71+970000+51440.68</f>
        <v>21519075.350000001</v>
      </c>
      <c r="AM59" s="12">
        <f t="shared" si="15"/>
        <v>22994324.350000001</v>
      </c>
      <c r="AN59" s="12">
        <v>742200</v>
      </c>
      <c r="AO59" s="12">
        <v>800400</v>
      </c>
      <c r="AP59" s="12"/>
      <c r="AQ59" s="12">
        <f t="shared" si="18"/>
        <v>1542600</v>
      </c>
      <c r="AR59" s="12">
        <f>21674146+732601+1402638+855051+392623+19182+188691+1236974+63352</f>
        <v>26565258</v>
      </c>
      <c r="AS59" s="12">
        <f t="shared" si="16"/>
        <v>28107858</v>
      </c>
      <c r="AT59" s="12">
        <v>769761</v>
      </c>
      <c r="AU59" s="12">
        <v>804156</v>
      </c>
      <c r="AV59" s="12"/>
      <c r="AW59" s="12">
        <f t="shared" si="19"/>
        <v>1573917</v>
      </c>
      <c r="AX59" s="12"/>
      <c r="AY59" s="12">
        <f t="shared" si="17"/>
        <v>1573917</v>
      </c>
      <c r="BA59" s="3" t="s">
        <v>209</v>
      </c>
      <c r="BB59" s="30" t="s">
        <v>431</v>
      </c>
      <c r="BC59" s="3" t="s">
        <v>210</v>
      </c>
      <c r="BD59" s="42" t="s">
        <v>493</v>
      </c>
    </row>
    <row r="60" spans="1:56" ht="275.5" x14ac:dyDescent="0.3">
      <c r="A60" s="21" t="s">
        <v>211</v>
      </c>
      <c r="B60" s="21" t="s">
        <v>471</v>
      </c>
      <c r="C60" s="21" t="s">
        <v>8</v>
      </c>
      <c r="D60" s="4" t="s">
        <v>112</v>
      </c>
      <c r="E60" s="11">
        <v>59810000000</v>
      </c>
      <c r="F60" s="5" t="str">
        <f>IF(ISNUMBER(Table1[[#This Row],[2019 Scope 3 ]]),IF(Table1[[#This Row],[Net Earnings/Income (2019)]]-k_cost*Table1[[#This Row],[2019 Total Scope 1, 2 + 3]]&lt;0,"Y","N"),"NA")</f>
        <v>N</v>
      </c>
      <c r="G60" s="54" t="str">
        <f>IF(ISNUMBER(Table1[[#This Row],[2019 Scope 3 ]]),IF(k_cost*Table1[[#This Row],[2019 Total Scope 1, 2 + 3]]/Table1[[#This Row],[Size (2019 Revenue)]]&gt;k_rev_max,"Y","N"),"NA")</f>
        <v>N</v>
      </c>
      <c r="H60" s="54" t="str">
        <f>IF(OR(Table1[[#This Row],[Net earnings post carbon price @85/t]]="Y",Table1[[#This Row],[Carbon costs in % revenue]] = "Y"),"Y",IF(OR(Table1[[#This Row],[Net earnings post carbon price @85/t]]="NA",Table1[[#This Row],[Carbon costs in % revenue]]="NA"),"NA","N"))</f>
        <v>N</v>
      </c>
      <c r="I60" s="11">
        <v>6230000000</v>
      </c>
      <c r="J60" s="10" t="s">
        <v>212</v>
      </c>
      <c r="K60" t="s">
        <v>1</v>
      </c>
      <c r="L60" t="s">
        <v>0</v>
      </c>
      <c r="M60" t="s">
        <v>0</v>
      </c>
      <c r="P60" s="3" t="s">
        <v>213</v>
      </c>
      <c r="R60" t="s">
        <v>0</v>
      </c>
      <c r="T60" s="51">
        <f>IFERROR((Table1[[#This Row],[2019 Total Scope 1, 2 + 3]])/Table1[[#This Row],[2018 Total Scope 1, 2 + Scope 3]]-1,"NA")</f>
        <v>-4.6581908610587863E-4</v>
      </c>
      <c r="V60" s="12">
        <v>305362</v>
      </c>
      <c r="W60" s="12">
        <v>466073</v>
      </c>
      <c r="X60" s="12"/>
      <c r="Y60" s="12">
        <f t="shared" si="10"/>
        <v>771435</v>
      </c>
      <c r="Z60" s="12">
        <v>30584500</v>
      </c>
      <c r="AA60" s="12">
        <f t="shared" si="11"/>
        <v>31355935</v>
      </c>
      <c r="AB60" s="12">
        <v>291782</v>
      </c>
      <c r="AC60" s="12">
        <v>527766</v>
      </c>
      <c r="AD60" s="12"/>
      <c r="AE60" s="12">
        <f t="shared" si="12"/>
        <v>819548</v>
      </c>
      <c r="AF60" s="12">
        <v>30551000</v>
      </c>
      <c r="AG60" s="12">
        <f t="shared" si="13"/>
        <v>31370548</v>
      </c>
      <c r="AH60" s="12">
        <v>291523</v>
      </c>
      <c r="AI60" s="12">
        <v>552851</v>
      </c>
      <c r="AJ60" s="12"/>
      <c r="AK60" s="12">
        <f t="shared" si="14"/>
        <v>844374</v>
      </c>
      <c r="AL60" s="12">
        <v>30605000</v>
      </c>
      <c r="AM60" s="12">
        <f t="shared" si="15"/>
        <v>31449374</v>
      </c>
      <c r="AN60" s="12">
        <v>302679</v>
      </c>
      <c r="AO60" s="12">
        <f>804245-302679</f>
        <v>501566</v>
      </c>
      <c r="AP60" s="12"/>
      <c r="AQ60" s="12">
        <f t="shared" si="18"/>
        <v>804245</v>
      </c>
      <c r="AR60" s="12"/>
      <c r="AS60" s="12">
        <f t="shared" si="16"/>
        <v>804245</v>
      </c>
      <c r="AT60" s="12" t="s">
        <v>0</v>
      </c>
      <c r="AU60" s="12" t="s">
        <v>0</v>
      </c>
      <c r="AV60" s="12" t="s">
        <v>0</v>
      </c>
      <c r="AW60" s="12" t="str">
        <f t="shared" si="19"/>
        <v/>
      </c>
      <c r="AX60" s="12" t="s">
        <v>0</v>
      </c>
      <c r="AY60" s="12" t="str">
        <f t="shared" si="17"/>
        <v/>
      </c>
      <c r="AZ60" t="s">
        <v>0</v>
      </c>
      <c r="BA60" s="18" t="s">
        <v>214</v>
      </c>
      <c r="BB60" s="3" t="s">
        <v>215</v>
      </c>
      <c r="BC60" s="3" t="s">
        <v>216</v>
      </c>
      <c r="BD60" s="42"/>
    </row>
    <row r="61" spans="1:56" ht="125.5" x14ac:dyDescent="0.3">
      <c r="A61" s="21" t="s">
        <v>217</v>
      </c>
      <c r="B61" s="21" t="s">
        <v>476</v>
      </c>
      <c r="C61" s="21" t="s">
        <v>3</v>
      </c>
      <c r="D61" s="4" t="s">
        <v>85</v>
      </c>
      <c r="E61" s="11">
        <v>71300000000</v>
      </c>
      <c r="F61" s="5" t="str">
        <f>IF(ISNUMBER(Table1[[#This Row],[2019 Scope 3 ]]),IF(Table1[[#This Row],[Net Earnings/Income (2019)]]-k_cost*Table1[[#This Row],[2019 Total Scope 1, 2 + 3]]&lt;0,"Y","N"),"NA")</f>
        <v>Y</v>
      </c>
      <c r="G61" s="54" t="str">
        <f>IF(ISNUMBER(Table1[[#This Row],[2019 Scope 3 ]]),IF(k_cost*Table1[[#This Row],[2019 Total Scope 1, 2 + 3]]/Table1[[#This Row],[Size (2019 Revenue)]]&gt;k_rev_max,"Y","N"),"NA")</f>
        <v>Y</v>
      </c>
      <c r="H61" s="54" t="str">
        <f>IF(OR(Table1[[#This Row],[Net earnings post carbon price @85/t]]="Y",Table1[[#This Row],[Carbon costs in % revenue]] = "Y"),"Y",IF(OR(Table1[[#This Row],[Net earnings post carbon price @85/t]]="NA",Table1[[#This Row],[Carbon costs in % revenue]]="NA"),"NA","N"))</f>
        <v>Y</v>
      </c>
      <c r="I61" s="11">
        <v>2307000000</v>
      </c>
      <c r="J61" s="10">
        <v>1961</v>
      </c>
      <c r="K61" t="s">
        <v>1</v>
      </c>
      <c r="L61" t="s">
        <v>0</v>
      </c>
      <c r="M61" t="s">
        <v>0</v>
      </c>
      <c r="P61" s="3" t="s">
        <v>218</v>
      </c>
      <c r="R61" t="s">
        <v>0</v>
      </c>
      <c r="T61" s="51">
        <f>IFERROR((Table1[[#This Row],[2019 Total Scope 1, 2 + 3]])/Table1[[#This Row],[2018 Total Scope 1, 2 + Scope 3]]-1,"NA")</f>
        <v>-0.63554886222942319</v>
      </c>
      <c r="V61" s="12">
        <v>484737</v>
      </c>
      <c r="W61" s="12">
        <v>1623768</v>
      </c>
      <c r="X61" s="12"/>
      <c r="Y61" s="12">
        <f t="shared" si="10"/>
        <v>2108505</v>
      </c>
      <c r="Z61" s="12">
        <f>426134+10700+123208225.78</f>
        <v>123645059.78</v>
      </c>
      <c r="AA61" s="12">
        <f t="shared" si="11"/>
        <v>125753564.78</v>
      </c>
      <c r="AB61" s="12">
        <v>473689</v>
      </c>
      <c r="AC61" s="12">
        <v>1932514</v>
      </c>
      <c r="AD61" s="12"/>
      <c r="AE61" s="12">
        <f t="shared" si="12"/>
        <v>2406203</v>
      </c>
      <c r="AF61" s="12">
        <f>463300+342179673</f>
        <v>342642973</v>
      </c>
      <c r="AG61" s="12">
        <f t="shared" si="13"/>
        <v>345049176</v>
      </c>
      <c r="AH61" s="12">
        <v>400000</v>
      </c>
      <c r="AI61" s="12">
        <v>2022000</v>
      </c>
      <c r="AJ61" s="12"/>
      <c r="AK61" s="12">
        <f t="shared" si="14"/>
        <v>2422000</v>
      </c>
      <c r="AL61" s="12" t="s">
        <v>401</v>
      </c>
      <c r="AM61" s="12" t="str">
        <f t="shared" si="15"/>
        <v/>
      </c>
      <c r="AN61" s="12">
        <v>354000</v>
      </c>
      <c r="AO61" s="12">
        <v>2054000</v>
      </c>
      <c r="AP61" s="12"/>
      <c r="AQ61" s="12">
        <f t="shared" si="18"/>
        <v>2408000</v>
      </c>
      <c r="AR61" s="12" t="s">
        <v>401</v>
      </c>
      <c r="AS61" s="12" t="str">
        <f t="shared" si="16"/>
        <v/>
      </c>
      <c r="AT61" s="12">
        <v>368000</v>
      </c>
      <c r="AU61" s="12">
        <v>2322000</v>
      </c>
      <c r="AV61" s="12"/>
      <c r="AW61" s="12">
        <f t="shared" si="19"/>
        <v>2690000</v>
      </c>
      <c r="AX61" s="12" t="s">
        <v>401</v>
      </c>
      <c r="AY61" s="12" t="str">
        <f t="shared" si="17"/>
        <v/>
      </c>
      <c r="BA61" s="3" t="s">
        <v>219</v>
      </c>
      <c r="BC61" s="3" t="s">
        <v>220</v>
      </c>
      <c r="BD61" s="42"/>
    </row>
    <row r="62" spans="1:56" ht="75.5" x14ac:dyDescent="0.3">
      <c r="A62" s="21" t="s">
        <v>221</v>
      </c>
      <c r="B62" s="21" t="s">
        <v>467</v>
      </c>
      <c r="C62" s="32" t="s">
        <v>6</v>
      </c>
      <c r="D62" s="4" t="s">
        <v>89</v>
      </c>
      <c r="E62" s="5">
        <v>16883000000</v>
      </c>
      <c r="F62" s="5" t="str">
        <f>IF(ISNUMBER(Table1[[#This Row],[2019 Scope 3 ]]),IF(Table1[[#This Row],[Net Earnings/Income (2019)]]-k_cost*Table1[[#This Row],[2019 Total Scope 1, 2 + 3]]&lt;0,"Y","N"),"NA")</f>
        <v>N</v>
      </c>
      <c r="G62" s="54" t="str">
        <f>IF(ISNUMBER(Table1[[#This Row],[2019 Scope 3 ]]),IF(k_cost*Table1[[#This Row],[2019 Total Scope 1, 2 + 3]]/Table1[[#This Row],[Size (2019 Revenue)]]&gt;k_rev_max,"Y","N"),"NA")</f>
        <v>N</v>
      </c>
      <c r="H62" s="54" t="str">
        <f>IF(OR(Table1[[#This Row],[Net earnings post carbon price @85/t]]="Y",Table1[[#This Row],[Carbon costs in % revenue]] = "Y"),"Y",IF(OR(Table1[[#This Row],[Net earnings post carbon price @85/t]]="NA",Table1[[#This Row],[Carbon costs in % revenue]]="NA"),"NA","N"))</f>
        <v>N</v>
      </c>
      <c r="I62" s="5">
        <v>8120000000</v>
      </c>
      <c r="J62" s="9">
        <v>2006</v>
      </c>
      <c r="K62" s="5" t="s">
        <v>1</v>
      </c>
      <c r="L62" t="s">
        <v>0</v>
      </c>
      <c r="M62" t="s">
        <v>1</v>
      </c>
      <c r="P62" s="3" t="s">
        <v>222</v>
      </c>
      <c r="R62" t="s">
        <v>1</v>
      </c>
      <c r="S62">
        <v>2020</v>
      </c>
      <c r="T62" s="51">
        <f>IFERROR((Table1[[#This Row],[2019 Total Scope 1, 2 + 3]])/Table1[[#This Row],[2018 Total Scope 1, 2 + Scope 3]]-1,"NA")</f>
        <v>-8.2572911718435282E-2</v>
      </c>
      <c r="V62" s="12">
        <v>4758.3999999999996</v>
      </c>
      <c r="W62" s="12">
        <v>162</v>
      </c>
      <c r="X62" s="12"/>
      <c r="Y62" s="12">
        <f t="shared" si="10"/>
        <v>4920.3999999999996</v>
      </c>
      <c r="Z62" s="12">
        <f>396269.96+8451.87+1288.49+53738+43263.87</f>
        <v>503012.19</v>
      </c>
      <c r="AA62" s="12">
        <f t="shared" si="11"/>
        <v>507932.59</v>
      </c>
      <c r="AB62" s="12">
        <f>57687-AC62</f>
        <v>4828</v>
      </c>
      <c r="AC62" s="12">
        <v>52859</v>
      </c>
      <c r="AD62" s="12"/>
      <c r="AE62" s="12">
        <f t="shared" si="12"/>
        <v>57687</v>
      </c>
      <c r="AF62" s="12">
        <v>495962</v>
      </c>
      <c r="AG62" s="12">
        <f t="shared" si="13"/>
        <v>553649</v>
      </c>
      <c r="AH62" s="12">
        <f>71504-AI62</f>
        <v>6587</v>
      </c>
      <c r="AI62" s="12">
        <v>64917</v>
      </c>
      <c r="AJ62" s="12"/>
      <c r="AK62" s="12">
        <f t="shared" si="14"/>
        <v>71504</v>
      </c>
      <c r="AL62" s="12">
        <v>471614</v>
      </c>
      <c r="AM62" s="12">
        <f t="shared" si="15"/>
        <v>543118</v>
      </c>
      <c r="AN62" s="12">
        <f>99214-AO62</f>
        <v>4486</v>
      </c>
      <c r="AO62" s="12">
        <v>94728</v>
      </c>
      <c r="AP62" s="12"/>
      <c r="AQ62" s="12">
        <f t="shared" si="18"/>
        <v>99214</v>
      </c>
      <c r="AR62" s="12">
        <v>849277</v>
      </c>
      <c r="AS62" s="12">
        <f t="shared" si="16"/>
        <v>948491</v>
      </c>
      <c r="AT62" s="12" t="s">
        <v>401</v>
      </c>
      <c r="AU62" s="12" t="s">
        <v>401</v>
      </c>
      <c r="AV62" s="12"/>
      <c r="AW62" s="12" t="str">
        <f t="shared" si="19"/>
        <v/>
      </c>
      <c r="AX62" s="12" t="s">
        <v>401</v>
      </c>
      <c r="AY62" s="12" t="str">
        <f t="shared" si="17"/>
        <v/>
      </c>
      <c r="BA62" s="3" t="s">
        <v>223</v>
      </c>
      <c r="BB62" s="3" t="s">
        <v>224</v>
      </c>
      <c r="BC62" s="3" t="s">
        <v>225</v>
      </c>
      <c r="BD62" s="42"/>
    </row>
    <row r="63" spans="1:56" ht="125.5" x14ac:dyDescent="0.3">
      <c r="A63" s="21" t="s">
        <v>226</v>
      </c>
      <c r="B63" s="21" t="s">
        <v>473</v>
      </c>
      <c r="C63" s="32" t="s">
        <v>3</v>
      </c>
      <c r="D63" s="4" t="s">
        <v>133</v>
      </c>
      <c r="E63" s="11">
        <v>21076000000</v>
      </c>
      <c r="F63" s="5" t="str">
        <f>IF(ISNUMBER(Table1[[#This Row],[2019 Scope 3 ]]),IF(Table1[[#This Row],[Net Earnings/Income (2019)]]-k_cost*Table1[[#This Row],[2019 Total Scope 1, 2 + 3]]&lt;0,"Y","N"),"NA")</f>
        <v>N</v>
      </c>
      <c r="G63" s="54" t="str">
        <f>IF(ISNUMBER(Table1[[#This Row],[2019 Scope 3 ]]),IF(k_cost*Table1[[#This Row],[2019 Total Scope 1, 2 + 3]]/Table1[[#This Row],[Size (2019 Revenue)]]&gt;k_rev_max,"Y","N"),"NA")</f>
        <v>Y</v>
      </c>
      <c r="H63" s="54" t="str">
        <f>IF(OR(Table1[[#This Row],[Net earnings post carbon price @85/t]]="Y",Table1[[#This Row],[Carbon costs in % revenue]] = "Y"),"Y",IF(OR(Table1[[#This Row],[Net earnings post carbon price @85/t]]="NA",Table1[[#This Row],[Carbon costs in % revenue]]="NA"),"NA","N"))</f>
        <v>Y</v>
      </c>
      <c r="I63" s="11">
        <v>6025000000</v>
      </c>
      <c r="J63" s="10">
        <v>1965</v>
      </c>
      <c r="K63" t="s">
        <v>1</v>
      </c>
      <c r="L63" t="s">
        <v>0</v>
      </c>
      <c r="M63" t="s">
        <v>1</v>
      </c>
      <c r="P63" s="3" t="s">
        <v>227</v>
      </c>
      <c r="R63" t="s">
        <v>0</v>
      </c>
      <c r="T63" s="51">
        <f>IFERROR((Table1[[#This Row],[2019 Total Scope 1, 2 + 3]])/Table1[[#This Row],[2018 Total Scope 1, 2 + Scope 3]]-1,"NA")</f>
        <v>0.45160716925870581</v>
      </c>
      <c r="V63" s="12">
        <v>107034.65</v>
      </c>
      <c r="W63" s="12">
        <v>492114.18</v>
      </c>
      <c r="X63" s="12"/>
      <c r="Y63" s="12">
        <f t="shared" si="10"/>
        <v>599148.82999999996</v>
      </c>
      <c r="Z63" s="12">
        <f>41115851.55+2358793.15+1947637.85+1535857.79+5997501.76</f>
        <v>52955642.099999994</v>
      </c>
      <c r="AA63" s="12">
        <f t="shared" si="11"/>
        <v>53554790.929999992</v>
      </c>
      <c r="AB63" s="12">
        <v>111499.18</v>
      </c>
      <c r="AC63" s="12">
        <v>491052.97</v>
      </c>
      <c r="AD63" s="12"/>
      <c r="AE63" s="12">
        <f t="shared" si="12"/>
        <v>602552.14999999991</v>
      </c>
      <c r="AF63" s="12">
        <f>31745364+1422677+745592+1487635+17507+115459+756660</f>
        <v>36290894</v>
      </c>
      <c r="AG63" s="12">
        <f t="shared" si="13"/>
        <v>36893446.149999999</v>
      </c>
      <c r="AH63" s="12">
        <f>0.151*1000000</f>
        <v>151000</v>
      </c>
      <c r="AI63" s="12">
        <f>0.764*1000000</f>
        <v>764000</v>
      </c>
      <c r="AJ63" s="12"/>
      <c r="AK63" s="12">
        <f t="shared" si="14"/>
        <v>915000</v>
      </c>
      <c r="AL63" s="12"/>
      <c r="AM63" s="12">
        <f t="shared" si="15"/>
        <v>915000</v>
      </c>
      <c r="AN63" s="12">
        <f>0.182*1000000</f>
        <v>182000</v>
      </c>
      <c r="AO63" s="12">
        <f>1.78*1000000</f>
        <v>1780000</v>
      </c>
      <c r="AP63" s="12"/>
      <c r="AQ63" s="12">
        <f t="shared" si="18"/>
        <v>1962000</v>
      </c>
      <c r="AR63" s="12">
        <f>28983578+850284+6843336</f>
        <v>36677198</v>
      </c>
      <c r="AS63" s="12">
        <f t="shared" si="16"/>
        <v>38639198</v>
      </c>
      <c r="AT63" s="12">
        <f>0.178*1000000</f>
        <v>178000</v>
      </c>
      <c r="AU63" s="12">
        <f>2.03*1000000</f>
        <v>2029999.9999999998</v>
      </c>
      <c r="AV63" s="12"/>
      <c r="AW63" s="12">
        <f t="shared" si="19"/>
        <v>2208000</v>
      </c>
      <c r="AX63" s="12" t="s">
        <v>401</v>
      </c>
      <c r="AY63" s="12" t="str">
        <f t="shared" si="17"/>
        <v/>
      </c>
      <c r="BA63" s="3" t="s">
        <v>228</v>
      </c>
      <c r="BB63" s="3" t="s">
        <v>229</v>
      </c>
      <c r="BC63" s="3" t="s">
        <v>230</v>
      </c>
      <c r="BD63" s="42"/>
    </row>
    <row r="64" spans="1:56" ht="100.5" x14ac:dyDescent="0.3">
      <c r="A64" s="21" t="s">
        <v>231</v>
      </c>
      <c r="B64" s="21" t="s">
        <v>231</v>
      </c>
      <c r="C64" s="32" t="s">
        <v>7</v>
      </c>
      <c r="D64" s="4" t="s">
        <v>66</v>
      </c>
      <c r="E64" s="11">
        <v>30557000000</v>
      </c>
      <c r="F64" s="5" t="str">
        <f>IF(ISNUMBER(Table1[[#This Row],[2019 Scope 3 ]]),IF(Table1[[#This Row],[Net Earnings/Income (2019)]]-k_cost*Table1[[#This Row],[2019 Total Scope 1, 2 + 3]]&lt;0,"Y","N"),"NA")</f>
        <v>N</v>
      </c>
      <c r="G64" s="54" t="str">
        <f>IF(ISNUMBER(Table1[[#This Row],[2019 Scope 3 ]]),IF(k_cost*Table1[[#This Row],[2019 Total Scope 1, 2 + 3]]/Table1[[#This Row],[Size (2019 Revenue)]]&gt;k_rev_max,"Y","N"),"NA")</f>
        <v>N</v>
      </c>
      <c r="H64" s="54" t="str">
        <f>IF(OR(Table1[[#This Row],[Net earnings post carbon price @85/t]]="Y",Table1[[#This Row],[Carbon costs in % revenue]] = "Y"),"Y",IF(OR(Table1[[#This Row],[Net earnings post carbon price @85/t]]="NA",Table1[[#This Row],[Carbon costs in % revenue]]="NA"),"NA","N"))</f>
        <v>N</v>
      </c>
      <c r="I64" s="11">
        <v>4631000000</v>
      </c>
      <c r="J64" s="10">
        <v>1982</v>
      </c>
      <c r="K64" t="s">
        <v>1</v>
      </c>
      <c r="L64" t="s">
        <v>0</v>
      </c>
      <c r="M64" t="s">
        <v>0</v>
      </c>
      <c r="P64" s="3" t="s">
        <v>232</v>
      </c>
      <c r="R64" t="s">
        <v>0</v>
      </c>
      <c r="T64" s="51">
        <f>IFERROR((Table1[[#This Row],[2019 Total Scope 1, 2 + 3]])/Table1[[#This Row],[2018 Total Scope 1, 2 + Scope 3]]-1,"NA")</f>
        <v>5.5419113323956104E-2</v>
      </c>
      <c r="V64" s="12">
        <v>62931</v>
      </c>
      <c r="W64" s="12">
        <v>225841</v>
      </c>
      <c r="X64" s="12"/>
      <c r="Y64" s="12">
        <f t="shared" si="10"/>
        <v>288772</v>
      </c>
      <c r="Z64" s="12">
        <f>235863+42619</f>
        <v>278482</v>
      </c>
      <c r="AA64" s="12">
        <f t="shared" si="11"/>
        <v>567254</v>
      </c>
      <c r="AB64" s="12">
        <v>65312</v>
      </c>
      <c r="AC64" s="12">
        <v>233364</v>
      </c>
      <c r="AD64" s="12"/>
      <c r="AE64" s="12">
        <f t="shared" si="12"/>
        <v>298676</v>
      </c>
      <c r="AF64" s="12">
        <f>203421+35371</f>
        <v>238792</v>
      </c>
      <c r="AG64" s="12">
        <f t="shared" si="13"/>
        <v>537468</v>
      </c>
      <c r="AH64" s="12">
        <v>74992</v>
      </c>
      <c r="AI64" s="12">
        <v>269008</v>
      </c>
      <c r="AJ64" s="12"/>
      <c r="AK64" s="12">
        <f t="shared" si="14"/>
        <v>344000</v>
      </c>
      <c r="AL64" s="12"/>
      <c r="AM64" s="12">
        <f t="shared" si="15"/>
        <v>344000</v>
      </c>
      <c r="AN64" s="12" t="s">
        <v>0</v>
      </c>
      <c r="AO64" s="12" t="s">
        <v>0</v>
      </c>
      <c r="AP64" s="12" t="s">
        <v>0</v>
      </c>
      <c r="AQ64" s="12" t="str">
        <f t="shared" si="18"/>
        <v/>
      </c>
      <c r="AR64" s="12" t="s">
        <v>0</v>
      </c>
      <c r="AS64" s="12" t="str">
        <f t="shared" si="16"/>
        <v/>
      </c>
      <c r="AT64" s="12" t="s">
        <v>0</v>
      </c>
      <c r="AU64" s="12" t="s">
        <v>0</v>
      </c>
      <c r="AV64" s="12" t="s">
        <v>0</v>
      </c>
      <c r="AW64" s="12" t="str">
        <f t="shared" si="19"/>
        <v/>
      </c>
      <c r="AX64" s="12" t="s">
        <v>0</v>
      </c>
      <c r="AY64" s="12" t="str">
        <f t="shared" si="17"/>
        <v/>
      </c>
      <c r="BA64" s="3" t="s">
        <v>233</v>
      </c>
      <c r="BB64" s="4" t="s">
        <v>430</v>
      </c>
      <c r="BC64" s="3" t="s">
        <v>234</v>
      </c>
      <c r="BD64" s="42"/>
    </row>
    <row r="65" spans="1:56" ht="88" x14ac:dyDescent="0.3">
      <c r="A65" s="21" t="s">
        <v>235</v>
      </c>
      <c r="B65" s="21" t="s">
        <v>469</v>
      </c>
      <c r="C65" s="32" t="s">
        <v>7</v>
      </c>
      <c r="D65" s="4" t="s">
        <v>69</v>
      </c>
      <c r="E65" s="5">
        <v>42290000000</v>
      </c>
      <c r="F65" s="5" t="str">
        <f>IF(ISNUMBER(Table1[[#This Row],[2019 Scope 3 ]]),IF(Table1[[#This Row],[Net Earnings/Income (2019)]]-k_cost*Table1[[#This Row],[2019 Total Scope 1, 2 + 3]]&lt;0,"Y","N"),"NA")</f>
        <v>N</v>
      </c>
      <c r="G65" s="54" t="str">
        <f>IF(ISNUMBER(Table1[[#This Row],[2019 Scope 3 ]]),IF(k_cost*Table1[[#This Row],[2019 Total Scope 1, 2 + 3]]/Table1[[#This Row],[Size (2019 Revenue)]]&gt;k_rev_max,"Y","N"),"NA")</f>
        <v>N</v>
      </c>
      <c r="H65" s="54" t="str">
        <f>IF(OR(Table1[[#This Row],[Net earnings post carbon price @85/t]]="Y",Table1[[#This Row],[Carbon costs in % revenue]] = "Y"),"Y",IF(OR(Table1[[#This Row],[Net earnings post carbon price @85/t]]="NA",Table1[[#This Row],[Carbon costs in % revenue]]="NA"),"NA","N"))</f>
        <v>N</v>
      </c>
      <c r="I65" s="5">
        <v>6220000000</v>
      </c>
      <c r="J65" s="9"/>
      <c r="K65" s="5" t="s">
        <v>1</v>
      </c>
      <c r="L65" t="s">
        <v>0</v>
      </c>
      <c r="M65" t="s">
        <v>0</v>
      </c>
      <c r="P65" s="3" t="s">
        <v>236</v>
      </c>
      <c r="R65" t="s">
        <v>0</v>
      </c>
      <c r="S65" s="3" t="s">
        <v>237</v>
      </c>
      <c r="T65" s="53">
        <f>IFERROR((Table1[[#This Row],[2019 Total Scope 1, 2 + 3]])/Table1[[#This Row],[2018 Total Scope 1, 2 + Scope 3]]-1,"NA")</f>
        <v>8.5439371227160388E-2</v>
      </c>
      <c r="U65" s="3"/>
      <c r="V65" s="12">
        <v>755340</v>
      </c>
      <c r="W65" s="12">
        <v>316630</v>
      </c>
      <c r="X65" s="12"/>
      <c r="Y65" s="12">
        <f t="shared" si="10"/>
        <v>1071970</v>
      </c>
      <c r="Z65" s="12">
        <f>5155100+339900+240700+271200+19500+340400+272000+133200+142100+51500</f>
        <v>6965600</v>
      </c>
      <c r="AA65" s="12">
        <f t="shared" si="11"/>
        <v>8037570</v>
      </c>
      <c r="AB65" s="12">
        <v>783500</v>
      </c>
      <c r="AC65" s="12">
        <v>389700</v>
      </c>
      <c r="AD65" s="12"/>
      <c r="AE65" s="12">
        <f t="shared" si="12"/>
        <v>1173200</v>
      </c>
      <c r="AF65" s="12">
        <v>6231700</v>
      </c>
      <c r="AG65" s="12">
        <f t="shared" si="13"/>
        <v>7404900</v>
      </c>
      <c r="AH65" s="12">
        <v>801600</v>
      </c>
      <c r="AI65" s="12">
        <v>462500</v>
      </c>
      <c r="AJ65" s="12"/>
      <c r="AK65" s="12">
        <f t="shared" si="14"/>
        <v>1264100</v>
      </c>
      <c r="AL65" s="12">
        <f>4997600+192900+262100+267100+16000+218200+262200+121900+205800+42200</f>
        <v>6586000</v>
      </c>
      <c r="AM65" s="12">
        <f t="shared" si="15"/>
        <v>7850100</v>
      </c>
      <c r="AN65" s="12">
        <v>847400</v>
      </c>
      <c r="AO65" s="12">
        <v>562200</v>
      </c>
      <c r="AP65" s="12"/>
      <c r="AQ65" s="12">
        <f t="shared" si="18"/>
        <v>1409600</v>
      </c>
      <c r="AR65" s="12">
        <f>6204000+224000+304500+255500+16800+265400+301500+118000+248400+37000</f>
        <v>7975100</v>
      </c>
      <c r="AS65" s="12">
        <f t="shared" si="16"/>
        <v>9384700</v>
      </c>
      <c r="AT65" s="12">
        <v>865100</v>
      </c>
      <c r="AU65" s="12">
        <v>635900</v>
      </c>
      <c r="AV65" s="12"/>
      <c r="AW65" s="12">
        <f t="shared" si="19"/>
        <v>1501000</v>
      </c>
      <c r="AX65" s="12" t="s">
        <v>401</v>
      </c>
      <c r="AY65" s="12" t="str">
        <f t="shared" si="17"/>
        <v/>
      </c>
      <c r="BA65" s="3" t="s">
        <v>238</v>
      </c>
      <c r="BC65" s="3" t="s">
        <v>239</v>
      </c>
      <c r="BD65" s="42"/>
    </row>
    <row r="66" spans="1:56" ht="113" x14ac:dyDescent="0.3">
      <c r="A66" s="21" t="s">
        <v>240</v>
      </c>
      <c r="B66" s="21" t="s">
        <v>465</v>
      </c>
      <c r="C66" s="32" t="s">
        <v>6</v>
      </c>
      <c r="D66" s="4" t="s">
        <v>76</v>
      </c>
      <c r="E66" s="5">
        <v>67941000000</v>
      </c>
      <c r="F66" s="5" t="str">
        <f>IF(ISNUMBER(Table1[[#This Row],[2019 Scope 3 ]]),IF(Table1[[#This Row],[Net Earnings/Income (2019)]]-k_cost*Table1[[#This Row],[2019 Total Scope 1, 2 + 3]]&lt;0,"Y","N"),"NA")</f>
        <v>N</v>
      </c>
      <c r="G66" s="54" t="str">
        <f>IF(ISNUMBER(Table1[[#This Row],[2019 Scope 3 ]]),IF(k_cost*Table1[[#This Row],[2019 Total Scope 1, 2 + 3]]/Table1[[#This Row],[Size (2019 Revenue)]]&gt;k_rev_max,"Y","N"),"NA")</f>
        <v>N</v>
      </c>
      <c r="H66" s="54" t="str">
        <f>IF(OR(Table1[[#This Row],[Net earnings post carbon price @85/t]]="Y",Table1[[#This Row],[Carbon costs in % revenue]] = "Y"),"Y",IF(OR(Table1[[#This Row],[Net earnings post carbon price @85/t]]="NA",Table1[[#This Row],[Carbon costs in % revenue]]="NA"),"NA","N"))</f>
        <v>N</v>
      </c>
      <c r="I66" s="5">
        <v>5070000000</v>
      </c>
      <c r="J66" s="9">
        <v>2000</v>
      </c>
      <c r="K66" s="5" t="s">
        <v>1</v>
      </c>
      <c r="L66" t="s">
        <v>1</v>
      </c>
      <c r="M66" t="s">
        <v>0</v>
      </c>
      <c r="N66">
        <v>2016</v>
      </c>
      <c r="O66">
        <v>2015</v>
      </c>
      <c r="Q66" t="s">
        <v>1</v>
      </c>
      <c r="R66" t="s">
        <v>0</v>
      </c>
      <c r="T66" s="51">
        <f>IFERROR((Table1[[#This Row],[2019 Total Scope 1, 2 + 3]])/Table1[[#This Row],[2018 Total Scope 1, 2 + Scope 3]]-1,"NA")</f>
        <v>-6.6632073024034733E-2</v>
      </c>
      <c r="V66" s="12">
        <v>13613</v>
      </c>
      <c r="W66" s="12">
        <v>0</v>
      </c>
      <c r="X66" s="12"/>
      <c r="Y66" s="12">
        <f t="shared" ref="Y66:Y70" si="20">IFERROR(V66+W66-X66,"")</f>
        <v>13613</v>
      </c>
      <c r="Z66" s="12">
        <v>25959</v>
      </c>
      <c r="AA66" s="12">
        <f t="shared" ref="AA66:AA97" si="21">IFERROR(Y66+Z66,"")</f>
        <v>39572</v>
      </c>
      <c r="AB66" s="12">
        <v>16016</v>
      </c>
      <c r="AC66" s="12">
        <v>0</v>
      </c>
      <c r="AD66" s="12"/>
      <c r="AE66" s="12">
        <f t="shared" ref="AE66:AE70" si="22">IFERROR(AB66+AC66-AD66,"")</f>
        <v>16016</v>
      </c>
      <c r="AF66" s="12">
        <v>26381</v>
      </c>
      <c r="AG66" s="12">
        <f t="shared" ref="AG66:AG97" si="23">IFERROR(AE66+AF66,"")</f>
        <v>42397</v>
      </c>
      <c r="AH66" s="12">
        <v>15722</v>
      </c>
      <c r="AI66" s="12">
        <v>0</v>
      </c>
      <c r="AJ66" s="12"/>
      <c r="AK66" s="12">
        <f t="shared" ref="AK66:AK70" si="24">IFERROR(AH66+AI66-AJ66,"")</f>
        <v>15722</v>
      </c>
      <c r="AL66" s="12">
        <v>34019</v>
      </c>
      <c r="AM66" s="12">
        <f t="shared" ref="AM66:AM97" si="25">IFERROR(AK66+AL66,"")</f>
        <v>49741</v>
      </c>
      <c r="AN66" s="12">
        <v>17555</v>
      </c>
      <c r="AO66" s="12">
        <v>0</v>
      </c>
      <c r="AP66" s="12"/>
      <c r="AQ66" s="12">
        <f t="shared" si="18"/>
        <v>17555</v>
      </c>
      <c r="AR66" s="12">
        <v>34019</v>
      </c>
      <c r="AS66" s="12">
        <f t="shared" ref="AS66:AS97" si="26">IFERROR(AQ66+AR66,"")</f>
        <v>51574</v>
      </c>
      <c r="AT66" s="12">
        <v>19780</v>
      </c>
      <c r="AU66" s="12">
        <v>67962</v>
      </c>
      <c r="AV66" s="12"/>
      <c r="AW66" s="12">
        <f t="shared" si="19"/>
        <v>87742</v>
      </c>
      <c r="AX66" s="12">
        <v>36166</v>
      </c>
      <c r="AY66" s="12">
        <f t="shared" ref="AY66:AY97" si="27">IFERROR(AW66+AX66,"")</f>
        <v>123908</v>
      </c>
      <c r="AZ66" s="30" t="s">
        <v>0</v>
      </c>
      <c r="BA66" s="14" t="s">
        <v>241</v>
      </c>
      <c r="BB66" t="s">
        <v>242</v>
      </c>
      <c r="BC66" s="3" t="s">
        <v>243</v>
      </c>
      <c r="BD66" s="42"/>
    </row>
    <row r="67" spans="1:56" ht="150.5" x14ac:dyDescent="0.3">
      <c r="A67" s="21" t="s">
        <v>244</v>
      </c>
      <c r="B67" s="21" t="s">
        <v>468</v>
      </c>
      <c r="C67" s="32" t="s">
        <v>11</v>
      </c>
      <c r="D67" s="4" t="s">
        <v>74</v>
      </c>
      <c r="E67" s="5">
        <v>125800000000</v>
      </c>
      <c r="F67" s="5" t="str">
        <f>IF(ISNUMBER(Table1[[#This Row],[2019 Scope 3 ]]),IF(Table1[[#This Row],[Net Earnings/Income (2019)]]-k_cost*Table1[[#This Row],[2019 Total Scope 1, 2 + 3]]&lt;0,"Y","N"),"NA")</f>
        <v>N</v>
      </c>
      <c r="G67" s="54" t="str">
        <f>IF(ISNUMBER(Table1[[#This Row],[2019 Scope 3 ]]),IF(k_cost*Table1[[#This Row],[2019 Total Scope 1, 2 + 3]]/Table1[[#This Row],[Size (2019 Revenue)]]&gt;k_rev_max,"Y","N"),"NA")</f>
        <v>N</v>
      </c>
      <c r="H67" s="54" t="str">
        <f>IF(OR(Table1[[#This Row],[Net earnings post carbon price @85/t]]="Y",Table1[[#This Row],[Carbon costs in % revenue]] = "Y"),"Y",IF(OR(Table1[[#This Row],[Net earnings post carbon price @85/t]]="NA",Table1[[#This Row],[Carbon costs in % revenue]]="NA"),"NA","N"))</f>
        <v>N</v>
      </c>
      <c r="I67" s="5">
        <v>39240000000</v>
      </c>
      <c r="J67" s="9">
        <v>1986</v>
      </c>
      <c r="K67" s="5" t="s">
        <v>1</v>
      </c>
      <c r="L67" t="s">
        <v>1</v>
      </c>
      <c r="M67" s="3" t="s">
        <v>1</v>
      </c>
      <c r="N67">
        <v>2030</v>
      </c>
      <c r="O67">
        <v>2020</v>
      </c>
      <c r="Q67" t="s">
        <v>1</v>
      </c>
      <c r="R67" t="s">
        <v>1</v>
      </c>
      <c r="S67">
        <v>2014</v>
      </c>
      <c r="T67" s="51">
        <f>IFERROR((Table1[[#This Row],[2019 Total Scope 1, 2 + 3]])/Table1[[#This Row],[2018 Total Scope 1, 2 + Scope 3]]-1,"NA")</f>
        <v>-3.1748656469615555E-2</v>
      </c>
      <c r="V67" s="12">
        <v>113412</v>
      </c>
      <c r="W67" s="12">
        <v>275375</v>
      </c>
      <c r="X67" s="12"/>
      <c r="Y67" s="12">
        <f t="shared" si="20"/>
        <v>388787</v>
      </c>
      <c r="Z67" s="12">
        <v>11322213</v>
      </c>
      <c r="AA67" s="12">
        <f t="shared" si="21"/>
        <v>11711000</v>
      </c>
      <c r="AB67" s="12">
        <v>90723</v>
      </c>
      <c r="AC67" s="12">
        <v>183329</v>
      </c>
      <c r="AD67" s="12"/>
      <c r="AE67" s="12">
        <f t="shared" si="22"/>
        <v>274052</v>
      </c>
      <c r="AF67" s="12">
        <v>11820948</v>
      </c>
      <c r="AG67" s="12">
        <f t="shared" si="23"/>
        <v>12095000</v>
      </c>
      <c r="AH67" s="12">
        <v>97639</v>
      </c>
      <c r="AI67" s="12">
        <v>139110</v>
      </c>
      <c r="AJ67" s="12"/>
      <c r="AK67" s="12">
        <f t="shared" si="24"/>
        <v>236749</v>
      </c>
      <c r="AL67" s="12">
        <v>10963251</v>
      </c>
      <c r="AM67" s="12">
        <f t="shared" si="25"/>
        <v>11200000</v>
      </c>
      <c r="AN67" s="12">
        <v>94651</v>
      </c>
      <c r="AO67" s="12">
        <v>37087</v>
      </c>
      <c r="AP67" s="12"/>
      <c r="AQ67" s="12">
        <f t="shared" si="18"/>
        <v>131738</v>
      </c>
      <c r="AR67" s="12">
        <v>11155883</v>
      </c>
      <c r="AS67" s="12">
        <f t="shared" si="26"/>
        <v>11287621</v>
      </c>
      <c r="AT67" s="12">
        <v>94548</v>
      </c>
      <c r="AU67" s="12">
        <v>1697297</v>
      </c>
      <c r="AV67" s="12"/>
      <c r="AW67" s="12">
        <f t="shared" si="19"/>
        <v>1791845</v>
      </c>
      <c r="AX67" s="12">
        <v>9050676</v>
      </c>
      <c r="AY67" s="12">
        <f t="shared" si="27"/>
        <v>10842521</v>
      </c>
      <c r="AZ67" s="30" t="s">
        <v>1</v>
      </c>
      <c r="BA67" s="14" t="s">
        <v>245</v>
      </c>
      <c r="BC67" s="3" t="s">
        <v>246</v>
      </c>
      <c r="BD67" s="42"/>
    </row>
    <row r="68" spans="1:56" ht="113" x14ac:dyDescent="0.3">
      <c r="A68" s="21" t="s">
        <v>247</v>
      </c>
      <c r="B68" s="21" t="s">
        <v>448</v>
      </c>
      <c r="C68" s="21" t="s">
        <v>4</v>
      </c>
      <c r="D68" s="4" t="s">
        <v>133</v>
      </c>
      <c r="E68" s="11">
        <v>25870000000</v>
      </c>
      <c r="F68" s="5" t="str">
        <f>IF(ISNUMBER(Table1[[#This Row],[2019 Scope 3 ]]),IF(Table1[[#This Row],[Net Earnings/Income (2019)]]-k_cost*Table1[[#This Row],[2019 Total Scope 1, 2 + 3]]&lt;0,"Y","N"),"NA")</f>
        <v>N</v>
      </c>
      <c r="G68" s="54" t="str">
        <f>IF(ISNUMBER(Table1[[#This Row],[2019 Scope 3 ]]),IF(k_cost*Table1[[#This Row],[2019 Total Scope 1, 2 + 3]]/Table1[[#This Row],[Size (2019 Revenue)]]&gt;k_rev_max,"Y","N"),"NA")</f>
        <v>Y</v>
      </c>
      <c r="H68" s="54" t="str">
        <f>IF(OR(Table1[[#This Row],[Net earnings post carbon price @85/t]]="Y",Table1[[#This Row],[Carbon costs in % revenue]] = "Y"),"Y",IF(OR(Table1[[#This Row],[Net earnings post carbon price @85/t]]="NA",Table1[[#This Row],[Carbon costs in % revenue]]="NA"),"NA","N"))</f>
        <v>Y</v>
      </c>
      <c r="I68" s="11">
        <v>3870000000</v>
      </c>
      <c r="J68" s="10">
        <v>2012</v>
      </c>
      <c r="K68" t="s">
        <v>1</v>
      </c>
      <c r="L68" t="s">
        <v>0</v>
      </c>
      <c r="M68" t="s">
        <v>1</v>
      </c>
      <c r="P68" s="3" t="s">
        <v>248</v>
      </c>
      <c r="R68" t="s">
        <v>0</v>
      </c>
      <c r="T68" s="51">
        <f>IFERROR((Table1[[#This Row],[2019 Total Scope 1, 2 + 3]])/Table1[[#This Row],[2018 Total Scope 1, 2 + Scope 3]]-1,"NA")</f>
        <v>-8.0539152980555473E-2</v>
      </c>
      <c r="V68" s="12">
        <v>856590</v>
      </c>
      <c r="W68" s="12">
        <v>906349</v>
      </c>
      <c r="X68" s="12"/>
      <c r="Y68" s="12">
        <f t="shared" si="20"/>
        <v>1762939</v>
      </c>
      <c r="Z68" s="12">
        <f>15034298+1164761+2311217+84072+41446+190306+89945+52986+883179</f>
        <v>19852210</v>
      </c>
      <c r="AA68" s="12">
        <f t="shared" si="21"/>
        <v>21615149</v>
      </c>
      <c r="AB68" s="12">
        <v>819933</v>
      </c>
      <c r="AC68" s="12">
        <v>958647</v>
      </c>
      <c r="AD68" s="12"/>
      <c r="AE68" s="12">
        <f t="shared" si="22"/>
        <v>1778580</v>
      </c>
      <c r="AF68" s="12">
        <f>16999803+1043010+1261233+124957+47729+208314+1047969+207837+789072</f>
        <v>21729924</v>
      </c>
      <c r="AG68" s="12">
        <f t="shared" si="23"/>
        <v>23508504</v>
      </c>
      <c r="AH68" s="12">
        <v>778304</v>
      </c>
      <c r="AI68" s="12">
        <v>907536</v>
      </c>
      <c r="AJ68" s="12"/>
      <c r="AK68" s="12">
        <f t="shared" si="24"/>
        <v>1685840</v>
      </c>
      <c r="AL68" s="12">
        <f>8964770+457311+1005369+74429+80431+210026+641840+90737+692102</f>
        <v>12217015</v>
      </c>
      <c r="AM68" s="12">
        <f t="shared" si="25"/>
        <v>13902855</v>
      </c>
      <c r="AN68" s="12">
        <v>812564</v>
      </c>
      <c r="AO68" s="12">
        <v>987618</v>
      </c>
      <c r="AP68" s="12"/>
      <c r="AQ68" s="12">
        <f t="shared" si="18"/>
        <v>1800182</v>
      </c>
      <c r="AR68" s="12">
        <f>9288253+462304+1049737+74019+74623+215465+629249+93432+691352</f>
        <v>12578434</v>
      </c>
      <c r="AS68" s="12">
        <f t="shared" si="26"/>
        <v>14378616</v>
      </c>
      <c r="AT68" s="12">
        <v>757010</v>
      </c>
      <c r="AU68" s="12">
        <v>772308</v>
      </c>
      <c r="AV68" s="12"/>
      <c r="AW68" s="12">
        <f t="shared" si="19"/>
        <v>1529318</v>
      </c>
      <c r="AX68" s="12">
        <f>11056117+352033+1062374+109729+122282+204317+1174506+773746+499727+101190</f>
        <v>15456021</v>
      </c>
      <c r="AY68" s="12">
        <f t="shared" si="27"/>
        <v>16985339</v>
      </c>
      <c r="BA68" s="18" t="s">
        <v>249</v>
      </c>
      <c r="BB68" s="3" t="s">
        <v>250</v>
      </c>
      <c r="BC68" s="3" t="s">
        <v>251</v>
      </c>
      <c r="BD68" s="42"/>
    </row>
    <row r="69" spans="1:56" ht="75.5" x14ac:dyDescent="0.3">
      <c r="A69" s="21" t="s">
        <v>252</v>
      </c>
      <c r="B69" s="21" t="s">
        <v>252</v>
      </c>
      <c r="C69" s="32" t="s">
        <v>6</v>
      </c>
      <c r="D69" s="4" t="s">
        <v>109</v>
      </c>
      <c r="E69" s="5">
        <v>41419000000</v>
      </c>
      <c r="F69" s="5" t="str">
        <f>IF(ISNUMBER(Table1[[#This Row],[2019 Scope 3 ]]),IF(Table1[[#This Row],[Net Earnings/Income (2019)]]-k_cost*Table1[[#This Row],[2019 Total Scope 1, 2 + 3]]&lt;0,"Y","N"),"NA")</f>
        <v>N</v>
      </c>
      <c r="G69" s="54" t="str">
        <f>IF(ISNUMBER(Table1[[#This Row],[2019 Scope 3 ]]),IF(k_cost*Table1[[#This Row],[2019 Total Scope 1, 2 + 3]]/Table1[[#This Row],[Size (2019 Revenue)]]&gt;k_rev_max,"Y","N"),"NA")</f>
        <v>N</v>
      </c>
      <c r="H69" s="54" t="str">
        <f>IF(OR(Table1[[#This Row],[Net earnings post carbon price @85/t]]="Y",Table1[[#This Row],[Carbon costs in % revenue]] = "Y"),"Y",IF(OR(Table1[[#This Row],[Net earnings post carbon price @85/t]]="NA",Table1[[#This Row],[Carbon costs in % revenue]]="NA"),"NA","N"))</f>
        <v>N</v>
      </c>
      <c r="I69" s="5">
        <v>8512000000</v>
      </c>
      <c r="J69" s="9">
        <v>1935</v>
      </c>
      <c r="K69" s="5" t="s">
        <v>1</v>
      </c>
      <c r="L69" t="s">
        <v>1</v>
      </c>
      <c r="M69" t="s">
        <v>0</v>
      </c>
      <c r="N69">
        <v>2022</v>
      </c>
      <c r="O69">
        <v>2017</v>
      </c>
      <c r="R69" t="s">
        <v>1</v>
      </c>
      <c r="S69">
        <v>2022</v>
      </c>
      <c r="T69" s="51">
        <f>IFERROR((Table1[[#This Row],[2019 Total Scope 1, 2 + 3]])/Table1[[#This Row],[2018 Total Scope 1, 2 + Scope 3]]-1,"NA")</f>
        <v>9.6022766710626817E-2</v>
      </c>
      <c r="V69" s="12">
        <v>28300</v>
      </c>
      <c r="W69" s="12">
        <v>176200</v>
      </c>
      <c r="X69" s="12"/>
      <c r="Y69" s="12">
        <f t="shared" si="20"/>
        <v>204500</v>
      </c>
      <c r="Z69" s="12">
        <f>911000+192000+46600+6490+99700+112550+6000+200</f>
        <v>1374540</v>
      </c>
      <c r="AA69" s="12">
        <f t="shared" si="21"/>
        <v>1579040</v>
      </c>
      <c r="AB69" s="12">
        <v>29800</v>
      </c>
      <c r="AC69" s="12">
        <v>183900</v>
      </c>
      <c r="AD69" s="12"/>
      <c r="AE69" s="12">
        <f t="shared" si="22"/>
        <v>213700</v>
      </c>
      <c r="AF69" s="12">
        <v>1227000</v>
      </c>
      <c r="AG69" s="12">
        <f t="shared" si="23"/>
        <v>1440700</v>
      </c>
      <c r="AH69" s="12">
        <v>29450</v>
      </c>
      <c r="AI69" s="12">
        <v>178350</v>
      </c>
      <c r="AJ69" s="12"/>
      <c r="AK69" s="12">
        <f t="shared" si="24"/>
        <v>207800</v>
      </c>
      <c r="AL69" s="12">
        <v>1357000</v>
      </c>
      <c r="AM69" s="12">
        <f t="shared" si="25"/>
        <v>1564800</v>
      </c>
      <c r="AN69" s="12">
        <v>27610</v>
      </c>
      <c r="AO69" s="12">
        <v>237080</v>
      </c>
      <c r="AP69" s="12"/>
      <c r="AQ69" s="12">
        <f t="shared" si="18"/>
        <v>264690</v>
      </c>
      <c r="AR69" s="12">
        <f>1600000+190000+54941+3110+93950+110000+6000+260</f>
        <v>2058261</v>
      </c>
      <c r="AS69" s="12">
        <f t="shared" si="26"/>
        <v>2322951</v>
      </c>
      <c r="AT69" s="12">
        <v>33870</v>
      </c>
      <c r="AU69" s="12">
        <v>272720</v>
      </c>
      <c r="AV69" s="12"/>
      <c r="AW69" s="12">
        <f t="shared" si="19"/>
        <v>306590</v>
      </c>
      <c r="AX69" s="12">
        <f>1100000+190000+59920+4480+118650+112000+6000+250</f>
        <v>1591300</v>
      </c>
      <c r="AY69" s="12">
        <f t="shared" si="27"/>
        <v>1897890</v>
      </c>
      <c r="BB69" t="s">
        <v>253</v>
      </c>
      <c r="BC69" s="3" t="s">
        <v>254</v>
      </c>
      <c r="BD69" s="42"/>
    </row>
    <row r="70" spans="1:56" ht="75.5" x14ac:dyDescent="0.3">
      <c r="A70" s="21" t="s">
        <v>255</v>
      </c>
      <c r="B70" s="21" t="s">
        <v>438</v>
      </c>
      <c r="C70" s="21" t="s">
        <v>2</v>
      </c>
      <c r="D70" s="4" t="s">
        <v>124</v>
      </c>
      <c r="E70" s="11">
        <v>20160000000</v>
      </c>
      <c r="F70" s="5" t="str">
        <f>IF(ISNUMBER(Table1[[#This Row],[2019 Scope 3 ]]),IF(Table1[[#This Row],[Net Earnings/Income (2019)]]-k_cost*Table1[[#This Row],[2019 Total Scope 1, 2 + 3]]&lt;0,"Y","N"),"NA")</f>
        <v>NA</v>
      </c>
      <c r="G70" s="54" t="str">
        <f>IF(ISNUMBER(Table1[[#This Row],[2019 Scope 3 ]]),IF(k_cost*Table1[[#This Row],[2019 Total Scope 1, 2 + 3]]/Table1[[#This Row],[Size (2019 Revenue)]]&gt;k_rev_max,"Y","N"),"NA")</f>
        <v>NA</v>
      </c>
      <c r="H70" s="54" t="str">
        <f>IF(OR(Table1[[#This Row],[Net earnings post carbon price @85/t]]="Y",Table1[[#This Row],[Carbon costs in % revenue]] = "Y"),"Y",IF(OR(Table1[[#This Row],[Net earnings post carbon price @85/t]]="NA",Table1[[#This Row],[Carbon costs in % revenue]]="NA"),"NA","N"))</f>
        <v>NA</v>
      </c>
      <c r="I70" s="11">
        <v>1866000000</v>
      </c>
      <c r="J70" s="10">
        <v>2002</v>
      </c>
      <c r="K70" t="s">
        <v>1</v>
      </c>
      <c r="L70" t="s">
        <v>0</v>
      </c>
      <c r="M70" t="s">
        <v>0</v>
      </c>
      <c r="P70" t="s">
        <v>0</v>
      </c>
      <c r="Q70" t="s">
        <v>1</v>
      </c>
      <c r="R70" t="s">
        <v>0</v>
      </c>
      <c r="S70" t="s">
        <v>0</v>
      </c>
      <c r="T70" s="51" t="str">
        <f>IFERROR((Table1[[#This Row],[2019 Total Scope 1, 2 + 3]])/Table1[[#This Row],[2018 Total Scope 1, 2 + Scope 3]]-1,"NA")</f>
        <v>NA</v>
      </c>
      <c r="V70" s="12" t="s">
        <v>401</v>
      </c>
      <c r="W70" s="12" t="s">
        <v>401</v>
      </c>
      <c r="X70" s="12"/>
      <c r="Y70" s="12" t="str">
        <f t="shared" si="20"/>
        <v/>
      </c>
      <c r="Z70" s="12" t="s">
        <v>401</v>
      </c>
      <c r="AA70" s="12" t="str">
        <f t="shared" si="21"/>
        <v/>
      </c>
      <c r="AB70" s="12" t="s">
        <v>401</v>
      </c>
      <c r="AC70" s="12" t="s">
        <v>401</v>
      </c>
      <c r="AD70" s="12"/>
      <c r="AE70" s="12" t="str">
        <f t="shared" si="22"/>
        <v/>
      </c>
      <c r="AF70" s="12" t="s">
        <v>401</v>
      </c>
      <c r="AG70" s="12" t="str">
        <f t="shared" si="23"/>
        <v/>
      </c>
      <c r="AH70" s="12" t="s">
        <v>401</v>
      </c>
      <c r="AI70" s="12" t="s">
        <v>401</v>
      </c>
      <c r="AJ70" s="12"/>
      <c r="AK70" s="12" t="str">
        <f t="shared" si="24"/>
        <v/>
      </c>
      <c r="AL70" s="12" t="s">
        <v>401</v>
      </c>
      <c r="AM70" s="12" t="str">
        <f t="shared" si="25"/>
        <v/>
      </c>
      <c r="AN70" s="12" t="s">
        <v>401</v>
      </c>
      <c r="AO70" s="12" t="s">
        <v>401</v>
      </c>
      <c r="AP70" s="12"/>
      <c r="AQ70" s="12" t="str">
        <f t="shared" si="18"/>
        <v/>
      </c>
      <c r="AR70" s="12" t="s">
        <v>401</v>
      </c>
      <c r="AS70" s="12" t="str">
        <f t="shared" si="26"/>
        <v/>
      </c>
      <c r="AT70" s="12" t="s">
        <v>401</v>
      </c>
      <c r="AU70" s="12" t="s">
        <v>401</v>
      </c>
      <c r="AV70" s="12"/>
      <c r="AW70" s="12" t="str">
        <f t="shared" si="19"/>
        <v/>
      </c>
      <c r="AX70" s="12" t="s">
        <v>401</v>
      </c>
      <c r="AY70" s="12" t="str">
        <f t="shared" si="27"/>
        <v/>
      </c>
      <c r="AZ70" t="s">
        <v>0</v>
      </c>
      <c r="BB70" s="3" t="s">
        <v>256</v>
      </c>
      <c r="BC70" s="3" t="s">
        <v>257</v>
      </c>
      <c r="BD70" s="42"/>
    </row>
    <row r="71" spans="1:56" ht="38" x14ac:dyDescent="0.3">
      <c r="A71" s="21" t="s">
        <v>258</v>
      </c>
      <c r="B71" s="21" t="s">
        <v>439</v>
      </c>
      <c r="C71" s="21" t="s">
        <v>12</v>
      </c>
      <c r="D71" t="s">
        <v>12</v>
      </c>
      <c r="E71" s="11">
        <v>19204000000</v>
      </c>
      <c r="F71" s="5" t="str">
        <f>IF(ISNUMBER(Table1[[#This Row],[2019 Scope 3 ]]),IF(Table1[[#This Row],[Net Earnings/Income (2019)]]-k_cost*Table1[[#This Row],[2019 Total Scope 1, 2 + 3]]&lt;0,"Y","N"),"NA")</f>
        <v>NA</v>
      </c>
      <c r="G71" s="54" t="str">
        <f>IF(ISNUMBER(Table1[[#This Row],[2019 Scope 3 ]]),IF(k_cost*Table1[[#This Row],[2019 Total Scope 1, 2 + 3]]/Table1[[#This Row],[Size (2019 Revenue)]]&gt;k_rev_max,"Y","N"),"NA")</f>
        <v>NA</v>
      </c>
      <c r="H71" s="54" t="str">
        <f>IF(OR(Table1[[#This Row],[Net earnings post carbon price @85/t]]="Y",Table1[[#This Row],[Carbon costs in % revenue]] = "Y"),"Y",IF(OR(Table1[[#This Row],[Net earnings post carbon price @85/t]]="NA",Table1[[#This Row],[Carbon costs in % revenue]]="NA"),"NA","N"))</f>
        <v>NA</v>
      </c>
      <c r="I71" s="11">
        <v>3769000000</v>
      </c>
      <c r="J71" s="10">
        <v>2014</v>
      </c>
      <c r="K71" t="s">
        <v>1</v>
      </c>
      <c r="L71" t="s">
        <v>0</v>
      </c>
      <c r="M71" t="s">
        <v>0</v>
      </c>
      <c r="P71" t="s">
        <v>0</v>
      </c>
      <c r="Q71" t="s">
        <v>0</v>
      </c>
      <c r="R71" t="s">
        <v>0</v>
      </c>
      <c r="S71" t="s">
        <v>0</v>
      </c>
      <c r="T71" s="51" t="str">
        <f>IFERROR((Table1[[#This Row],[2019 Total Scope 1, 2 + 3]])/Table1[[#This Row],[2018 Total Scope 1, 2 + Scope 3]]-1,"NA")</f>
        <v>NA</v>
      </c>
      <c r="V71" s="12" t="s">
        <v>401</v>
      </c>
      <c r="W71" s="12" t="s">
        <v>401</v>
      </c>
      <c r="X71" s="12"/>
      <c r="Y71" s="12">
        <v>107082396</v>
      </c>
      <c r="Z71" s="12" t="s">
        <v>401</v>
      </c>
      <c r="AA71" s="12" t="str">
        <f t="shared" si="21"/>
        <v/>
      </c>
      <c r="AB71" s="12" t="s">
        <v>401</v>
      </c>
      <c r="AC71" s="12" t="s">
        <v>401</v>
      </c>
      <c r="AD71" s="12"/>
      <c r="AE71" s="12">
        <v>90006931</v>
      </c>
      <c r="AF71" s="12" t="s">
        <v>401</v>
      </c>
      <c r="AG71" s="12" t="str">
        <f t="shared" si="23"/>
        <v/>
      </c>
      <c r="AH71" s="12" t="s">
        <v>401</v>
      </c>
      <c r="AI71" s="12" t="s">
        <v>401</v>
      </c>
      <c r="AJ71" s="12"/>
      <c r="AK71" s="12">
        <v>93387385</v>
      </c>
      <c r="AL71" s="12" t="s">
        <v>401</v>
      </c>
      <c r="AM71" s="12" t="str">
        <f t="shared" si="25"/>
        <v/>
      </c>
      <c r="AN71" s="12" t="s">
        <v>401</v>
      </c>
      <c r="AO71" s="12" t="s">
        <v>401</v>
      </c>
      <c r="AP71" s="12"/>
      <c r="AQ71" s="12">
        <v>100072736</v>
      </c>
      <c r="AR71" s="12" t="s">
        <v>401</v>
      </c>
      <c r="AS71" s="12" t="str">
        <f t="shared" si="26"/>
        <v/>
      </c>
      <c r="AT71" s="12" t="s">
        <v>401</v>
      </c>
      <c r="AU71" s="12" t="s">
        <v>401</v>
      </c>
      <c r="AV71" s="12"/>
      <c r="AW71" s="12" t="str">
        <f t="shared" si="19"/>
        <v/>
      </c>
      <c r="AX71" s="12" t="s">
        <v>401</v>
      </c>
      <c r="AY71" s="12" t="str">
        <f t="shared" si="27"/>
        <v/>
      </c>
      <c r="AZ71" t="s">
        <v>1</v>
      </c>
      <c r="BA71" s="18" t="s">
        <v>259</v>
      </c>
      <c r="BB71" s="30" t="s">
        <v>433</v>
      </c>
      <c r="BC71" s="14" t="s">
        <v>432</v>
      </c>
      <c r="BD71" s="42"/>
    </row>
    <row r="72" spans="1:56" ht="200.5" x14ac:dyDescent="0.3">
      <c r="A72" s="21" t="s">
        <v>260</v>
      </c>
      <c r="B72" s="21" t="s">
        <v>400</v>
      </c>
      <c r="C72" s="21" t="s">
        <v>3</v>
      </c>
      <c r="D72" s="4" t="s">
        <v>261</v>
      </c>
      <c r="E72" s="5">
        <v>39100000000</v>
      </c>
      <c r="F72" s="5" t="str">
        <f>IF(ISNUMBER(Table1[[#This Row],[2019 Scope 3 ]]),IF(Table1[[#This Row],[Net Earnings/Income (2019)]]-k_cost*Table1[[#This Row],[2019 Total Scope 1, 2 + 3]]&lt;0,"Y","N"),"NA")</f>
        <v>N</v>
      </c>
      <c r="G72" s="54" t="str">
        <f>IF(ISNUMBER(Table1[[#This Row],[2019 Scope 3 ]]),IF(k_cost*Table1[[#This Row],[2019 Total Scope 1, 2 + 3]]/Table1[[#This Row],[Size (2019 Revenue)]]&gt;k_rev_max,"Y","N"),"NA")</f>
        <v>N</v>
      </c>
      <c r="H72" s="54" t="str">
        <f>IF(OR(Table1[[#This Row],[Net earnings post carbon price @85/t]]="Y",Table1[[#This Row],[Carbon costs in % revenue]] = "Y"),"Y",IF(OR(Table1[[#This Row],[Net earnings post carbon price @85/t]]="NA",Table1[[#This Row],[Carbon costs in % revenue]]="NA"),"NA","N"))</f>
        <v>N</v>
      </c>
      <c r="I72" s="5">
        <v>4000000000</v>
      </c>
      <c r="J72" s="9">
        <v>1980</v>
      </c>
      <c r="K72" s="5" t="s">
        <v>1</v>
      </c>
      <c r="L72" t="s">
        <v>1</v>
      </c>
      <c r="M72" t="s">
        <v>1</v>
      </c>
      <c r="N72">
        <v>2050</v>
      </c>
      <c r="O72">
        <v>2020</v>
      </c>
      <c r="P72" s="3" t="s">
        <v>262</v>
      </c>
      <c r="Q72" t="s">
        <v>0</v>
      </c>
      <c r="R72" t="s">
        <v>1</v>
      </c>
      <c r="S72">
        <v>2025</v>
      </c>
      <c r="T72" s="51">
        <f>IFERROR((Table1[[#This Row],[2019 Total Scope 1, 2 + 3]])/Table1[[#This Row],[2018 Total Scope 1, 2 + Scope 3]]-1,"NA")</f>
        <v>0.15047595237228117</v>
      </c>
      <c r="V72" s="12">
        <v>46714</v>
      </c>
      <c r="W72" s="12">
        <v>209065</v>
      </c>
      <c r="X72" s="12"/>
      <c r="Y72" s="12">
        <f t="shared" ref="Y72:Y101" si="28">IFERROR(V72+W72-X72,"")</f>
        <v>255779</v>
      </c>
      <c r="Z72" s="12">
        <v>3250744</v>
      </c>
      <c r="AA72" s="12">
        <f t="shared" si="21"/>
        <v>3506523</v>
      </c>
      <c r="AB72" s="12">
        <v>41942</v>
      </c>
      <c r="AC72" s="12">
        <v>218240</v>
      </c>
      <c r="AD72" s="12"/>
      <c r="AE72" s="12">
        <f t="shared" ref="AE72:AE101" si="29">IFERROR(AB72+AC72-AD72,"")</f>
        <v>260182</v>
      </c>
      <c r="AF72" s="12">
        <v>2787707</v>
      </c>
      <c r="AG72" s="12">
        <f t="shared" si="23"/>
        <v>3047889</v>
      </c>
      <c r="AH72" s="12">
        <v>40139</v>
      </c>
      <c r="AI72" s="12">
        <v>224489</v>
      </c>
      <c r="AJ72" s="12"/>
      <c r="AK72" s="12">
        <f t="shared" ref="AK72:AK101" si="30">IFERROR(AH72+AI72-AJ72,"")</f>
        <v>264628</v>
      </c>
      <c r="AL72" s="12">
        <v>2751744</v>
      </c>
      <c r="AM72" s="12">
        <f t="shared" si="25"/>
        <v>3016372</v>
      </c>
      <c r="AN72" s="12">
        <v>37325</v>
      </c>
      <c r="AO72" s="12">
        <v>225772</v>
      </c>
      <c r="AP72" s="12"/>
      <c r="AQ72" s="12">
        <f t="shared" ref="AQ72:AQ101" si="31">IFERROR(AN72+AO72-AP72,"")</f>
        <v>263097</v>
      </c>
      <c r="AR72" s="12">
        <v>2468365</v>
      </c>
      <c r="AS72" s="12">
        <f t="shared" si="26"/>
        <v>2731462</v>
      </c>
      <c r="AT72" s="12">
        <v>35623</v>
      </c>
      <c r="AU72" s="12">
        <v>228680</v>
      </c>
      <c r="AV72" s="12"/>
      <c r="AW72" s="12">
        <f t="shared" si="19"/>
        <v>264303</v>
      </c>
      <c r="AX72" s="12">
        <v>2460556</v>
      </c>
      <c r="AY72" s="12">
        <f t="shared" si="27"/>
        <v>2724859</v>
      </c>
      <c r="AZ72" s="3" t="s">
        <v>263</v>
      </c>
      <c r="BA72" s="18" t="s">
        <v>264</v>
      </c>
      <c r="BC72" s="3" t="s">
        <v>265</v>
      </c>
      <c r="BD72" s="42"/>
    </row>
    <row r="73" spans="1:56" ht="150.5" x14ac:dyDescent="0.3">
      <c r="A73" s="21" t="s">
        <v>266</v>
      </c>
      <c r="B73" s="21" t="s">
        <v>266</v>
      </c>
      <c r="C73" s="32" t="s">
        <v>11</v>
      </c>
      <c r="D73" s="4" t="s">
        <v>96</v>
      </c>
      <c r="E73" s="5">
        <v>11720000000</v>
      </c>
      <c r="F73" s="5" t="str">
        <f>IF(ISNUMBER(Table1[[#This Row],[2019 Scope 3 ]]),IF(Table1[[#This Row],[Net Earnings/Income (2019)]]-k_cost*Table1[[#This Row],[2019 Total Scope 1, 2 + 3]]&lt;0,"Y","N"),"NA")</f>
        <v>N</v>
      </c>
      <c r="G73" s="54" t="str">
        <f>IF(ISNUMBER(Table1[[#This Row],[2019 Scope 3 ]]),IF(k_cost*Table1[[#This Row],[2019 Total Scope 1, 2 + 3]]/Table1[[#This Row],[Size (2019 Revenue)]]&gt;k_rev_max,"Y","N"),"NA")</f>
        <v>N</v>
      </c>
      <c r="H73" s="54" t="str">
        <f>IF(OR(Table1[[#This Row],[Net earnings post carbon price @85/t]]="Y",Table1[[#This Row],[Carbon costs in % revenue]] = "Y"),"Y",IF(OR(Table1[[#This Row],[Net earnings post carbon price @85/t]]="NA",Table1[[#This Row],[Carbon costs in % revenue]]="NA"),"NA","N"))</f>
        <v>N</v>
      </c>
      <c r="I73" s="5">
        <v>4141000000</v>
      </c>
      <c r="J73" s="9">
        <v>1999</v>
      </c>
      <c r="K73" s="5" t="s">
        <v>1</v>
      </c>
      <c r="L73" s="4" t="s">
        <v>0</v>
      </c>
      <c r="M73" t="s">
        <v>0</v>
      </c>
      <c r="P73" s="3" t="s">
        <v>267</v>
      </c>
      <c r="R73" s="49" t="s">
        <v>0</v>
      </c>
      <c r="S73" s="3" t="s">
        <v>268</v>
      </c>
      <c r="T73" s="53">
        <f>IFERROR((Table1[[#This Row],[2019 Total Scope 1, 2 + 3]])/Table1[[#This Row],[2018 Total Scope 1, 2 + Scope 3]]-1,"NA")</f>
        <v>0.27103215424918581</v>
      </c>
      <c r="U73" s="3"/>
      <c r="V73" s="12">
        <v>2695</v>
      </c>
      <c r="W73" s="12">
        <v>60093</v>
      </c>
      <c r="X73" s="12"/>
      <c r="Y73" s="12">
        <f t="shared" si="28"/>
        <v>62788</v>
      </c>
      <c r="Z73" s="12">
        <v>427730</v>
      </c>
      <c r="AA73" s="12">
        <f t="shared" si="21"/>
        <v>490518</v>
      </c>
      <c r="AB73" s="12">
        <v>2370</v>
      </c>
      <c r="AC73" s="12">
        <v>56903</v>
      </c>
      <c r="AD73" s="12"/>
      <c r="AE73" s="12">
        <f t="shared" si="29"/>
        <v>59273</v>
      </c>
      <c r="AF73" s="12">
        <v>326648</v>
      </c>
      <c r="AG73" s="12">
        <f t="shared" si="23"/>
        <v>385921</v>
      </c>
      <c r="AH73" s="12">
        <v>2571</v>
      </c>
      <c r="AI73" s="12">
        <v>47142</v>
      </c>
      <c r="AJ73" s="12"/>
      <c r="AK73" s="12">
        <f t="shared" si="30"/>
        <v>49713</v>
      </c>
      <c r="AL73" s="12">
        <v>277014</v>
      </c>
      <c r="AM73" s="12">
        <f t="shared" si="25"/>
        <v>326727</v>
      </c>
      <c r="AN73" s="12">
        <v>2419</v>
      </c>
      <c r="AO73" s="12">
        <v>43889</v>
      </c>
      <c r="AP73" s="12"/>
      <c r="AQ73" s="12">
        <f t="shared" si="31"/>
        <v>46308</v>
      </c>
      <c r="AR73" s="12">
        <v>237579</v>
      </c>
      <c r="AS73" s="12">
        <f t="shared" si="26"/>
        <v>283887</v>
      </c>
      <c r="AT73" s="12">
        <v>3339</v>
      </c>
      <c r="AU73" s="12">
        <v>51482</v>
      </c>
      <c r="AV73" s="12"/>
      <c r="AW73" s="12">
        <f t="shared" si="19"/>
        <v>54821</v>
      </c>
      <c r="AX73" s="12">
        <v>114259</v>
      </c>
      <c r="AY73" s="12">
        <f t="shared" si="27"/>
        <v>169080</v>
      </c>
      <c r="AZ73" s="3"/>
      <c r="BA73" s="18" t="s">
        <v>269</v>
      </c>
      <c r="BC73" s="3" t="s">
        <v>270</v>
      </c>
      <c r="BD73" s="42" t="s">
        <v>493</v>
      </c>
    </row>
    <row r="74" spans="1:56" ht="150.5" x14ac:dyDescent="0.3">
      <c r="A74" s="21" t="s">
        <v>271</v>
      </c>
      <c r="B74" s="21" t="s">
        <v>271</v>
      </c>
      <c r="C74" s="21" t="s">
        <v>5</v>
      </c>
      <c r="D74" s="4" t="s">
        <v>126</v>
      </c>
      <c r="E74" s="11">
        <v>21230000000</v>
      </c>
      <c r="F74" s="5" t="str">
        <f>IF(ISNUMBER(Table1[[#This Row],[2019 Scope 3 ]]),IF(Table1[[#This Row],[Net Earnings/Income (2019)]]-k_cost*Table1[[#This Row],[2019 Total Scope 1, 2 + 3]]&lt;0,"Y","N"),"NA")</f>
        <v>Y</v>
      </c>
      <c r="G74" s="54" t="str">
        <f>IF(ISNUMBER(Table1[[#This Row],[2019 Scope 3 ]]),IF(k_cost*Table1[[#This Row],[2019 Total Scope 1, 2 + 3]]/Table1[[#This Row],[Size (2019 Revenue)]]&gt;k_rev_max,"Y","N"),"NA")</f>
        <v>Y</v>
      </c>
      <c r="H74" s="54" t="str">
        <f>IF(OR(Table1[[#This Row],[Net earnings post carbon price @85/t]]="Y",Table1[[#This Row],[Carbon costs in % revenue]] = "Y"),"Y",IF(OR(Table1[[#This Row],[Net earnings post carbon price @85/t]]="NA",Table1[[#This Row],[Carbon costs in % revenue]]="NA"),"NA","N"))</f>
        <v>Y</v>
      </c>
      <c r="I74" s="11">
        <v>-652000000</v>
      </c>
      <c r="J74" s="10">
        <v>1986</v>
      </c>
      <c r="K74" t="s">
        <v>1</v>
      </c>
      <c r="L74" t="s">
        <v>0</v>
      </c>
      <c r="M74" t="s">
        <v>0</v>
      </c>
      <c r="P74" s="3" t="s">
        <v>272</v>
      </c>
      <c r="Q74" s="3" t="s">
        <v>273</v>
      </c>
      <c r="R74" t="s">
        <v>0</v>
      </c>
      <c r="T74" s="51">
        <f>IFERROR((Table1[[#This Row],[2019 Total Scope 1, 2 + 3]])/Table1[[#This Row],[2018 Total Scope 1, 2 + Scope 3]]-1,"NA")</f>
        <v>0.54264884754884757</v>
      </c>
      <c r="V74" s="12">
        <v>22430197</v>
      </c>
      <c r="W74" s="12">
        <v>6420000</v>
      </c>
      <c r="X74" s="12"/>
      <c r="Y74" s="12">
        <f t="shared" si="28"/>
        <v>28850197</v>
      </c>
      <c r="Z74" s="12">
        <f>103000000</f>
        <v>103000000</v>
      </c>
      <c r="AA74" s="12">
        <f t="shared" si="21"/>
        <v>131850197</v>
      </c>
      <c r="AB74" s="12">
        <v>10370000</v>
      </c>
      <c r="AC74" s="12">
        <v>4100000</v>
      </c>
      <c r="AD74" s="12"/>
      <c r="AE74" s="12">
        <f t="shared" si="29"/>
        <v>14470000</v>
      </c>
      <c r="AF74" s="12">
        <v>71000000</v>
      </c>
      <c r="AG74" s="12">
        <f t="shared" si="23"/>
        <v>85470000</v>
      </c>
      <c r="AH74" s="12">
        <v>11300000</v>
      </c>
      <c r="AI74" s="12">
        <v>4200000</v>
      </c>
      <c r="AJ74" s="12"/>
      <c r="AK74" s="12">
        <f t="shared" si="30"/>
        <v>15500000</v>
      </c>
      <c r="AL74" s="12">
        <v>63000000</v>
      </c>
      <c r="AM74" s="12">
        <f t="shared" si="25"/>
        <v>78500000</v>
      </c>
      <c r="AN74" s="12">
        <v>10490000</v>
      </c>
      <c r="AO74" s="12">
        <v>5380000</v>
      </c>
      <c r="AP74" s="12"/>
      <c r="AQ74" s="12">
        <f t="shared" si="31"/>
        <v>15870000</v>
      </c>
      <c r="AR74" s="12"/>
      <c r="AS74" s="12">
        <f t="shared" si="26"/>
        <v>15870000</v>
      </c>
      <c r="AT74" s="12">
        <v>9300000</v>
      </c>
      <c r="AU74" s="12">
        <v>4800000</v>
      </c>
      <c r="AV74" s="12"/>
      <c r="AW74" s="12">
        <f t="shared" si="19"/>
        <v>14100000</v>
      </c>
      <c r="AX74" s="12"/>
      <c r="AY74" s="12">
        <f t="shared" si="27"/>
        <v>14100000</v>
      </c>
      <c r="BA74" s="18" t="s">
        <v>274</v>
      </c>
      <c r="BC74" s="3" t="s">
        <v>275</v>
      </c>
      <c r="BD74" s="42"/>
    </row>
    <row r="75" spans="1:56" ht="163" x14ac:dyDescent="0.3">
      <c r="A75" s="21" t="s">
        <v>276</v>
      </c>
      <c r="B75" s="21" t="s">
        <v>276</v>
      </c>
      <c r="C75" s="32" t="s">
        <v>11</v>
      </c>
      <c r="D75" s="4" t="s">
        <v>74</v>
      </c>
      <c r="E75" s="11">
        <v>39500000000</v>
      </c>
      <c r="F75" s="5" t="str">
        <f>IF(ISNUMBER(Table1[[#This Row],[2019 Scope 3 ]]),IF(Table1[[#This Row],[Net Earnings/Income (2019)]]-k_cost*Table1[[#This Row],[2019 Total Scope 1, 2 + 3]]&lt;0,"Y","N"),"NA")</f>
        <v>N</v>
      </c>
      <c r="G75" s="54" t="str">
        <f>IF(ISNUMBER(Table1[[#This Row],[2019 Scope 3 ]]),IF(k_cost*Table1[[#This Row],[2019 Total Scope 1, 2 + 3]]/Table1[[#This Row],[Size (2019 Revenue)]]&gt;k_rev_max,"Y","N"),"NA")</f>
        <v>N</v>
      </c>
      <c r="H75" s="54" t="str">
        <f>IF(OR(Table1[[#This Row],[Net earnings post carbon price @85/t]]="Y",Table1[[#This Row],[Carbon costs in % revenue]] = "Y"),"Y",IF(OR(Table1[[#This Row],[Net earnings post carbon price @85/t]]="NA",Table1[[#This Row],[Carbon costs in % revenue]]="NA"),"NA","N"))</f>
        <v>N</v>
      </c>
      <c r="I75" s="11">
        <v>11080000000</v>
      </c>
      <c r="J75" s="10">
        <v>1986</v>
      </c>
      <c r="K75" t="s">
        <v>1</v>
      </c>
      <c r="L75" s="4" t="s">
        <v>0</v>
      </c>
      <c r="M75" t="s">
        <v>0</v>
      </c>
      <c r="P75" s="3" t="s">
        <v>277</v>
      </c>
      <c r="R75" t="s">
        <v>0</v>
      </c>
      <c r="T75" s="51">
        <f>IFERROR((Table1[[#This Row],[2019 Total Scope 1, 2 + 3]])/Table1[[#This Row],[2018 Total Scope 1, 2 + Scope 3]]-1,"NA")</f>
        <v>-0.11022567324453059</v>
      </c>
      <c r="V75" s="12">
        <v>16520</v>
      </c>
      <c r="W75" s="12">
        <v>349022</v>
      </c>
      <c r="X75" s="12"/>
      <c r="Y75" s="12">
        <f t="shared" si="28"/>
        <v>365542</v>
      </c>
      <c r="Z75" s="12">
        <f>1139792+151888+21233+8956+1055+173807+70+35824+10915</f>
        <v>1543540</v>
      </c>
      <c r="AA75" s="12">
        <f t="shared" si="21"/>
        <v>1909082</v>
      </c>
      <c r="AB75" s="12">
        <v>17084</v>
      </c>
      <c r="AC75" s="12">
        <v>362448</v>
      </c>
      <c r="AD75" s="12"/>
      <c r="AE75" s="12">
        <f t="shared" si="29"/>
        <v>379532</v>
      </c>
      <c r="AF75" s="12">
        <f>1355224+136405+21747+9468+762+192845+70+37874+11653</f>
        <v>1766048</v>
      </c>
      <c r="AG75" s="12">
        <f t="shared" si="23"/>
        <v>2145580</v>
      </c>
      <c r="AH75" s="12">
        <v>14763</v>
      </c>
      <c r="AI75" s="12">
        <v>403160</v>
      </c>
      <c r="AJ75" s="12"/>
      <c r="AK75" s="12">
        <f t="shared" si="30"/>
        <v>417923</v>
      </c>
      <c r="AL75" s="12">
        <f>77507+588157+24190+33270+769+184168+82.95+33270+40576+9716.17</f>
        <v>991706.12</v>
      </c>
      <c r="AM75" s="12">
        <f t="shared" si="25"/>
        <v>1409629.12</v>
      </c>
      <c r="AN75" s="12">
        <v>11293</v>
      </c>
      <c r="AO75" s="12">
        <v>354428</v>
      </c>
      <c r="AP75" s="12"/>
      <c r="AQ75" s="12">
        <f t="shared" si="31"/>
        <v>365721</v>
      </c>
      <c r="AR75" s="12">
        <f>40644+296193+23999+35103+812+188451+81.85+35103+17552+11604</f>
        <v>649542.85</v>
      </c>
      <c r="AS75" s="12">
        <f t="shared" si="26"/>
        <v>1015263.85</v>
      </c>
      <c r="AT75" s="12">
        <v>11741</v>
      </c>
      <c r="AU75" s="12">
        <v>358673</v>
      </c>
      <c r="AV75" s="12"/>
      <c r="AW75" s="12">
        <f t="shared" si="19"/>
        <v>370414</v>
      </c>
      <c r="AX75" s="12"/>
      <c r="AY75" s="12">
        <f t="shared" si="27"/>
        <v>370414</v>
      </c>
      <c r="BA75" s="18" t="s">
        <v>278</v>
      </c>
      <c r="BC75" s="3" t="s">
        <v>279</v>
      </c>
      <c r="BD75" s="42"/>
    </row>
    <row r="76" spans="1:56" ht="88" x14ac:dyDescent="0.3">
      <c r="A76" s="21" t="s">
        <v>280</v>
      </c>
      <c r="B76" s="21" t="s">
        <v>280</v>
      </c>
      <c r="C76" s="32" t="s">
        <v>6</v>
      </c>
      <c r="D76" s="4" t="s">
        <v>89</v>
      </c>
      <c r="E76" s="11">
        <v>17770000000</v>
      </c>
      <c r="F76" s="5" t="str">
        <f>IF(ISNUMBER(Table1[[#This Row],[2019 Scope 3 ]]),IF(Table1[[#This Row],[Net Earnings/Income (2019)]]-k_cost*Table1[[#This Row],[2019 Total Scope 1, 2 + 3]]&lt;0,"Y","N"),"NA")</f>
        <v>N</v>
      </c>
      <c r="G76" s="54" t="str">
        <f>IF(ISNUMBER(Table1[[#This Row],[2019 Scope 3 ]]),IF(k_cost*Table1[[#This Row],[2019 Total Scope 1, 2 + 3]]/Table1[[#This Row],[Size (2019 Revenue)]]&gt;k_rev_max,"Y","N"),"NA")</f>
        <v>N</v>
      </c>
      <c r="H76" s="54" t="str">
        <f>IF(OR(Table1[[#This Row],[Net earnings post carbon price @85/t]]="Y",Table1[[#This Row],[Carbon costs in % revenue]] = "Y"),"Y",IF(OR(Table1[[#This Row],[Net earnings post carbon price @85/t]]="NA",Table1[[#This Row],[Carbon costs in % revenue]]="NA"),"NA","N"))</f>
        <v>N</v>
      </c>
      <c r="I76" s="11">
        <v>2459000000</v>
      </c>
      <c r="J76" s="10">
        <v>2002</v>
      </c>
      <c r="K76" t="s">
        <v>1</v>
      </c>
      <c r="L76" t="s">
        <v>0</v>
      </c>
      <c r="M76" s="3" t="s">
        <v>1</v>
      </c>
      <c r="P76" s="3"/>
      <c r="R76" t="s">
        <v>0</v>
      </c>
      <c r="T76" s="51">
        <f>IFERROR((Table1[[#This Row],[2019 Total Scope 1, 2 + 3]])/Table1[[#This Row],[2018 Total Scope 1, 2 + Scope 3]]-1,"NA")</f>
        <v>-0.10642570281124497</v>
      </c>
      <c r="V76" s="12">
        <v>9900</v>
      </c>
      <c r="W76" s="12">
        <v>47000</v>
      </c>
      <c r="X76" s="12"/>
      <c r="Y76" s="12">
        <f t="shared" si="28"/>
        <v>56900</v>
      </c>
      <c r="Z76" s="12">
        <v>32100</v>
      </c>
      <c r="AA76" s="12">
        <f t="shared" si="21"/>
        <v>89000</v>
      </c>
      <c r="AB76" s="12">
        <v>10600</v>
      </c>
      <c r="AC76" s="12">
        <v>57900</v>
      </c>
      <c r="AD76" s="12"/>
      <c r="AE76" s="12">
        <f t="shared" si="29"/>
        <v>68500</v>
      </c>
      <c r="AF76" s="12">
        <v>31100</v>
      </c>
      <c r="AG76" s="12">
        <f t="shared" si="23"/>
        <v>99600</v>
      </c>
      <c r="AH76" s="12">
        <v>9600</v>
      </c>
      <c r="AI76" s="12">
        <v>57800</v>
      </c>
      <c r="AJ76" s="12"/>
      <c r="AK76" s="12">
        <f t="shared" si="30"/>
        <v>67400</v>
      </c>
      <c r="AL76" s="12">
        <v>24500</v>
      </c>
      <c r="AM76" s="12">
        <f t="shared" si="25"/>
        <v>91900</v>
      </c>
      <c r="AN76" s="12" t="s">
        <v>401</v>
      </c>
      <c r="AO76" s="12" t="s">
        <v>401</v>
      </c>
      <c r="AP76" s="12"/>
      <c r="AQ76" s="12" t="str">
        <f t="shared" si="31"/>
        <v/>
      </c>
      <c r="AR76" s="12" t="s">
        <v>401</v>
      </c>
      <c r="AS76" s="12" t="str">
        <f t="shared" si="26"/>
        <v/>
      </c>
      <c r="AT76" s="12" t="s">
        <v>401</v>
      </c>
      <c r="AU76" s="12" t="s">
        <v>401</v>
      </c>
      <c r="AV76" s="12"/>
      <c r="AW76" s="12" t="str">
        <f t="shared" ref="AW76:AW101" si="32">IFERROR(AT76+AU76-AV76,"")</f>
        <v/>
      </c>
      <c r="AX76" s="12" t="s">
        <v>401</v>
      </c>
      <c r="AY76" s="12" t="str">
        <f t="shared" si="27"/>
        <v/>
      </c>
      <c r="AZ76" t="s">
        <v>281</v>
      </c>
      <c r="BA76" s="18" t="s">
        <v>282</v>
      </c>
      <c r="BB76" s="3" t="s">
        <v>283</v>
      </c>
      <c r="BC76" s="3" t="s">
        <v>284</v>
      </c>
      <c r="BD76" s="42"/>
    </row>
    <row r="77" spans="1:56" ht="125.5" x14ac:dyDescent="0.3">
      <c r="A77" s="21" t="s">
        <v>285</v>
      </c>
      <c r="B77" s="21" t="s">
        <v>405</v>
      </c>
      <c r="C77" s="21" t="s">
        <v>4</v>
      </c>
      <c r="D77" s="4" t="s">
        <v>133</v>
      </c>
      <c r="E77" s="5">
        <v>67160000000</v>
      </c>
      <c r="F77" s="5" t="str">
        <f>IF(ISNUMBER(Table1[[#This Row],[2019 Scope 3 ]]),IF(Table1[[#This Row],[Net Earnings/Income (2019)]]-k_cost*Table1[[#This Row],[2019 Total Scope 1, 2 + 3]]&lt;0,"Y","N"),"NA")</f>
        <v>N</v>
      </c>
      <c r="G77" s="54" t="str">
        <f>IF(ISNUMBER(Table1[[#This Row],[2019 Scope 3 ]]),IF(k_cost*Table1[[#This Row],[2019 Total Scope 1, 2 + 3]]/Table1[[#This Row],[Size (2019 Revenue)]]&gt;k_rev_max,"Y","N"),"NA")</f>
        <v>Y</v>
      </c>
      <c r="H77" s="54" t="str">
        <f>IF(OR(Table1[[#This Row],[Net earnings post carbon price @85/t]]="Y",Table1[[#This Row],[Carbon costs in % revenue]] = "Y"),"Y",IF(OR(Table1[[#This Row],[Net earnings post carbon price @85/t]]="NA",Table1[[#This Row],[Carbon costs in % revenue]]="NA"),"NA","N"))</f>
        <v>Y</v>
      </c>
      <c r="I77" s="5">
        <v>7353000000</v>
      </c>
      <c r="J77" s="9">
        <v>1999</v>
      </c>
      <c r="K77" s="5" t="s">
        <v>1</v>
      </c>
      <c r="L77" s="4" t="s">
        <v>0</v>
      </c>
      <c r="M77" t="s">
        <v>1</v>
      </c>
      <c r="P77" s="3" t="s">
        <v>286</v>
      </c>
      <c r="R77" t="s">
        <v>0</v>
      </c>
      <c r="S77">
        <v>2020</v>
      </c>
      <c r="T77" s="51">
        <f>IFERROR((Table1[[#This Row],[2019 Total Scope 1, 2 + 3]])/Table1[[#This Row],[2018 Total Scope 1, 2 + Scope 3]]-1,"NA")</f>
        <v>-0.18410667614296283</v>
      </c>
      <c r="V77" s="12">
        <v>3552415</v>
      </c>
      <c r="W77" s="12">
        <v>1425255</v>
      </c>
      <c r="X77" s="12"/>
      <c r="Y77" s="12">
        <f t="shared" si="28"/>
        <v>4977670</v>
      </c>
      <c r="Z77" s="12">
        <f>33599797+600278+946616+720951+25353+140452+201663+11088559+231426+811130+1843424+255417</f>
        <v>50465066</v>
      </c>
      <c r="AA77" s="12">
        <f t="shared" si="21"/>
        <v>55442736</v>
      </c>
      <c r="AB77" s="12">
        <v>3577266</v>
      </c>
      <c r="AC77" s="12">
        <v>1558167</v>
      </c>
      <c r="AD77" s="12"/>
      <c r="AE77" s="12">
        <f t="shared" si="29"/>
        <v>5135433</v>
      </c>
      <c r="AF77" s="12">
        <f>39026490+1698930+603560+1161810+60360+121070+506710+9964010+3046900+1195840+1418720+2730730+1282850</f>
        <v>62817980</v>
      </c>
      <c r="AG77" s="12">
        <f t="shared" si="23"/>
        <v>67953413</v>
      </c>
      <c r="AH77" s="12">
        <v>3734520</v>
      </c>
      <c r="AI77" s="12">
        <v>1713950</v>
      </c>
      <c r="AJ77" s="12"/>
      <c r="AK77" s="12">
        <f t="shared" si="30"/>
        <v>5448470</v>
      </c>
      <c r="AL77" s="12">
        <f>39026490+1698930+603560+1161810+60360+121070+506710+9964010+3046900+1195840+1418720+2730730+1282850</f>
        <v>62817980</v>
      </c>
      <c r="AM77" s="12">
        <f t="shared" si="25"/>
        <v>68266450</v>
      </c>
      <c r="AN77" s="12">
        <v>3798343</v>
      </c>
      <c r="AO77" s="12">
        <v>1912298</v>
      </c>
      <c r="AP77" s="12"/>
      <c r="AQ77" s="12">
        <f t="shared" si="31"/>
        <v>5710641</v>
      </c>
      <c r="AR77" s="12">
        <f>39026487+1698928+603559+1161808+60356+121072+506714+9964009+3046899+1195843+1418715+2730728+1282853</f>
        <v>62817971</v>
      </c>
      <c r="AS77" s="12">
        <f t="shared" si="26"/>
        <v>68528612</v>
      </c>
      <c r="AT77" s="12">
        <v>3766456</v>
      </c>
      <c r="AU77" s="12">
        <v>1985249</v>
      </c>
      <c r="AV77" s="12"/>
      <c r="AW77" s="12">
        <f t="shared" si="32"/>
        <v>5751705</v>
      </c>
      <c r="AX77" s="12">
        <v>63000000</v>
      </c>
      <c r="AY77" s="12">
        <f t="shared" si="27"/>
        <v>68751705</v>
      </c>
      <c r="BA77" s="3" t="s">
        <v>287</v>
      </c>
      <c r="BC77" s="3" t="s">
        <v>288</v>
      </c>
      <c r="BD77" s="42"/>
    </row>
    <row r="78" spans="1:56" ht="200.5" x14ac:dyDescent="0.3">
      <c r="A78" s="21" t="s">
        <v>289</v>
      </c>
      <c r="B78" s="21" t="s">
        <v>451</v>
      </c>
      <c r="C78" s="32" t="s">
        <v>7</v>
      </c>
      <c r="D78" s="4" t="s">
        <v>69</v>
      </c>
      <c r="E78" s="5">
        <v>51750000000</v>
      </c>
      <c r="F78" s="5" t="str">
        <f>IF(ISNUMBER(Table1[[#This Row],[2019 Scope 3 ]]),IF(Table1[[#This Row],[Net Earnings/Income (2019)]]-k_cost*Table1[[#This Row],[2019 Total Scope 1, 2 + 3]]&lt;0,"Y","N"),"NA")</f>
        <v>N</v>
      </c>
      <c r="G78" s="54" t="str">
        <f>IF(ISNUMBER(Table1[[#This Row],[2019 Scope 3 ]]),IF(k_cost*Table1[[#This Row],[2019 Total Scope 1, 2 + 3]]/Table1[[#This Row],[Size (2019 Revenue)]]&gt;k_rev_max,"Y","N"),"NA")</f>
        <v>N</v>
      </c>
      <c r="H78" s="54" t="str">
        <f>IF(OR(Table1[[#This Row],[Net earnings post carbon price @85/t]]="Y",Table1[[#This Row],[Carbon costs in % revenue]] = "Y"),"Y",IF(OR(Table1[[#This Row],[Net earnings post carbon price @85/t]]="NA",Table1[[#This Row],[Carbon costs in % revenue]]="NA"),"NA","N"))</f>
        <v>N</v>
      </c>
      <c r="I78" s="5">
        <v>16270000000</v>
      </c>
      <c r="J78" s="9">
        <v>1942</v>
      </c>
      <c r="K78" s="5" t="s">
        <v>1</v>
      </c>
      <c r="L78" t="s">
        <v>0</v>
      </c>
      <c r="M78" t="s">
        <v>1</v>
      </c>
      <c r="P78" s="3" t="s">
        <v>290</v>
      </c>
      <c r="R78" t="s">
        <v>0</v>
      </c>
      <c r="T78" s="51">
        <f>IFERROR((Table1[[#This Row],[2019 Total Scope 1, 2 + 3]])/Table1[[#This Row],[2018 Total Scope 1, 2 + Scope 3]]-1,"NA")</f>
        <v>0.31837759739269167</v>
      </c>
      <c r="V78" s="12">
        <v>734638</v>
      </c>
      <c r="W78" s="12">
        <v>634205</v>
      </c>
      <c r="X78" s="12"/>
      <c r="Y78" s="12">
        <f t="shared" si="28"/>
        <v>1368843</v>
      </c>
      <c r="Z78" s="12">
        <f>3794093+345953+252909+873030+16420+195718+60645+36273+99576</f>
        <v>5674617</v>
      </c>
      <c r="AA78" s="12">
        <f t="shared" si="21"/>
        <v>7043460</v>
      </c>
      <c r="AB78" s="12">
        <v>756964</v>
      </c>
      <c r="AC78" s="12">
        <v>905002</v>
      </c>
      <c r="AD78" s="12"/>
      <c r="AE78" s="12">
        <f t="shared" si="29"/>
        <v>1661966</v>
      </c>
      <c r="AF78" s="12">
        <f>1562024+855794+265780+416416+11667+347533+92869+35444+85059+7969</f>
        <v>3680555</v>
      </c>
      <c r="AG78" s="12">
        <f t="shared" si="23"/>
        <v>5342521</v>
      </c>
      <c r="AH78" s="12">
        <v>788838</v>
      </c>
      <c r="AI78" s="12">
        <v>812923</v>
      </c>
      <c r="AJ78" s="12"/>
      <c r="AK78" s="12">
        <f t="shared" si="30"/>
        <v>1601761</v>
      </c>
      <c r="AL78" s="12" t="s">
        <v>401</v>
      </c>
      <c r="AM78" s="12" t="str">
        <f t="shared" si="25"/>
        <v/>
      </c>
      <c r="AN78" s="12">
        <v>940953</v>
      </c>
      <c r="AO78" s="12">
        <v>1106924</v>
      </c>
      <c r="AP78" s="12"/>
      <c r="AQ78" s="12">
        <f t="shared" si="31"/>
        <v>2047877</v>
      </c>
      <c r="AR78" s="12">
        <f>1239543+1316763+456623+200983+7363+439313+123060+36243</f>
        <v>3819891</v>
      </c>
      <c r="AS78" s="12">
        <f t="shared" si="26"/>
        <v>5867768</v>
      </c>
      <c r="AT78" s="12">
        <v>875274</v>
      </c>
      <c r="AU78" s="12">
        <v>625591</v>
      </c>
      <c r="AV78" s="12"/>
      <c r="AW78" s="12">
        <f t="shared" si="32"/>
        <v>1500865</v>
      </c>
      <c r="AX78" s="12">
        <f>2135509+956001+342259+126424+6508+147598+134086+89710</f>
        <v>3938095</v>
      </c>
      <c r="AY78" s="12">
        <f t="shared" si="27"/>
        <v>5438960</v>
      </c>
      <c r="AZ78" s="6" t="s">
        <v>0</v>
      </c>
      <c r="BA78" s="3" t="s">
        <v>291</v>
      </c>
      <c r="BC78" s="3" t="s">
        <v>292</v>
      </c>
      <c r="BD78" s="42"/>
    </row>
    <row r="79" spans="1:56" ht="325.5" x14ac:dyDescent="0.3">
      <c r="A79" s="21" t="s">
        <v>293</v>
      </c>
      <c r="B79" s="21" t="s">
        <v>455</v>
      </c>
      <c r="C79" s="21" t="s">
        <v>4</v>
      </c>
      <c r="D79" s="4" t="s">
        <v>82</v>
      </c>
      <c r="E79" s="5">
        <v>79820000000</v>
      </c>
      <c r="F79" s="5" t="str">
        <f>IF(ISNUMBER(Table1[[#This Row],[2019 Scope 3 ]]),IF(Table1[[#This Row],[Net Earnings/Income (2019)]]-k_cost*Table1[[#This Row],[2019 Total Scope 1, 2 + 3]]&lt;0,"Y","N"),"NA")</f>
        <v>N</v>
      </c>
      <c r="G79" s="54" t="str">
        <f>IF(ISNUMBER(Table1[[#This Row],[2019 Scope 3 ]]),IF(k_cost*Table1[[#This Row],[2019 Total Scope 1, 2 + 3]]/Table1[[#This Row],[Size (2019 Revenue)]]&gt;k_rev_max,"Y","N"),"NA")</f>
        <v>N</v>
      </c>
      <c r="H79" s="54" t="str">
        <f>IF(OR(Table1[[#This Row],[Net earnings post carbon price @85/t]]="Y",Table1[[#This Row],[Carbon costs in % revenue]] = "Y"),"Y",IF(OR(Table1[[#This Row],[Net earnings post carbon price @85/t]]="NA",Table1[[#This Row],[Carbon costs in % revenue]]="NA"),"NA","N"))</f>
        <v>N</v>
      </c>
      <c r="I79" s="5">
        <v>7910000000</v>
      </c>
      <c r="J79" s="9">
        <v>2008</v>
      </c>
      <c r="K79" s="5" t="s">
        <v>1</v>
      </c>
      <c r="L79" t="s">
        <v>1</v>
      </c>
      <c r="M79" t="s">
        <v>1</v>
      </c>
      <c r="N79">
        <v>2030</v>
      </c>
      <c r="O79">
        <v>2019</v>
      </c>
      <c r="P79" s="3" t="s">
        <v>294</v>
      </c>
      <c r="Q79" t="s">
        <v>1</v>
      </c>
      <c r="R79" t="s">
        <v>0</v>
      </c>
      <c r="S79">
        <v>2030</v>
      </c>
      <c r="T79" s="51">
        <f>IFERROR((Table1[[#This Row],[2019 Total Scope 1, 2 + 3]])/Table1[[#This Row],[2018 Total Scope 1, 2 + Scope 3]]-1,"NA")</f>
        <v>-0.14933773889901192</v>
      </c>
      <c r="V79" s="12">
        <f>4682000*0.085</f>
        <v>397970</v>
      </c>
      <c r="W79" s="12">
        <f>4682000*0.034</f>
        <v>159188</v>
      </c>
      <c r="X79" s="12"/>
      <c r="Y79" s="12">
        <f t="shared" si="28"/>
        <v>557158</v>
      </c>
      <c r="Z79" s="12">
        <f>4682000*0.881</f>
        <v>4124842</v>
      </c>
      <c r="AA79" s="12">
        <f t="shared" si="21"/>
        <v>4682000</v>
      </c>
      <c r="AB79" s="12">
        <v>408162</v>
      </c>
      <c r="AC79" s="12">
        <v>175785</v>
      </c>
      <c r="AD79" s="12"/>
      <c r="AE79" s="12">
        <f t="shared" si="29"/>
        <v>583947</v>
      </c>
      <c r="AF79" s="12">
        <v>4920000</v>
      </c>
      <c r="AG79" s="12">
        <f t="shared" si="23"/>
        <v>5503947</v>
      </c>
      <c r="AH79" s="12">
        <v>388384</v>
      </c>
      <c r="AI79" s="12">
        <v>241355</v>
      </c>
      <c r="AJ79" s="12"/>
      <c r="AK79" s="12">
        <f t="shared" si="30"/>
        <v>629739</v>
      </c>
      <c r="AL79" s="12">
        <v>5137000</v>
      </c>
      <c r="AM79" s="12">
        <f t="shared" si="25"/>
        <v>5766739</v>
      </c>
      <c r="AN79" s="12">
        <v>351990</v>
      </c>
      <c r="AO79" s="12">
        <v>314049</v>
      </c>
      <c r="AP79" s="12"/>
      <c r="AQ79" s="12">
        <f t="shared" si="31"/>
        <v>666039</v>
      </c>
      <c r="AR79" s="12">
        <v>5649000</v>
      </c>
      <c r="AS79" s="12">
        <f t="shared" si="26"/>
        <v>6315039</v>
      </c>
      <c r="AT79" s="12">
        <v>361720</v>
      </c>
      <c r="AU79" s="12">
        <v>329323</v>
      </c>
      <c r="AV79" s="12"/>
      <c r="AW79" s="12">
        <f t="shared" si="32"/>
        <v>691043</v>
      </c>
      <c r="AX79" s="12">
        <v>5690000</v>
      </c>
      <c r="AY79" s="12">
        <f t="shared" si="27"/>
        <v>6381043</v>
      </c>
      <c r="BA79" s="3" t="s">
        <v>295</v>
      </c>
      <c r="BC79" s="3" t="s">
        <v>296</v>
      </c>
      <c r="BD79" s="42"/>
    </row>
    <row r="80" spans="1:56" ht="300.5" x14ac:dyDescent="0.3">
      <c r="A80" s="21" t="s">
        <v>297</v>
      </c>
      <c r="B80" s="21" t="s">
        <v>478</v>
      </c>
      <c r="C80" s="21" t="s">
        <v>4</v>
      </c>
      <c r="D80" s="4" t="s">
        <v>136</v>
      </c>
      <c r="E80" s="5">
        <v>67680000000</v>
      </c>
      <c r="F80" s="5" t="str">
        <f>IF(ISNUMBER(Table1[[#This Row],[2019 Scope 3 ]]),IF(Table1[[#This Row],[Net Earnings/Income (2019)]]-k_cost*Table1[[#This Row],[2019 Total Scope 1, 2 + 3]]&lt;0,"Y","N"),"NA")</f>
        <v>Y</v>
      </c>
      <c r="G80" s="54" t="str">
        <f>IF(ISNUMBER(Table1[[#This Row],[2019 Scope 3 ]]),IF(k_cost*Table1[[#This Row],[2019 Total Scope 1, 2 + 3]]/Table1[[#This Row],[Size (2019 Revenue)]]&gt;k_rev_max,"Y","N"),"NA")</f>
        <v>Y</v>
      </c>
      <c r="H80" s="54" t="str">
        <f>IF(OR(Table1[[#This Row],[Net earnings post carbon price @85/t]]="Y",Table1[[#This Row],[Carbon costs in % revenue]] = "Y"),"Y",IF(OR(Table1[[#This Row],[Net earnings post carbon price @85/t]]="NA",Table1[[#This Row],[Carbon costs in % revenue]]="NA"),"NA","N"))</f>
        <v>Y</v>
      </c>
      <c r="I80" s="5">
        <v>3890000000</v>
      </c>
      <c r="J80" s="9">
        <v>1978</v>
      </c>
      <c r="K80" s="5" t="s">
        <v>1</v>
      </c>
      <c r="L80" s="4" t="s">
        <v>0</v>
      </c>
      <c r="M80" t="s">
        <v>1</v>
      </c>
      <c r="P80" s="3" t="s">
        <v>298</v>
      </c>
      <c r="Q80" t="s">
        <v>0</v>
      </c>
      <c r="R80" t="s">
        <v>0</v>
      </c>
      <c r="S80">
        <v>2030</v>
      </c>
      <c r="T80" s="51">
        <f>IFERROR((Table1[[#This Row],[2019 Total Scope 1, 2 + 3]])/Table1[[#This Row],[2018 Total Scope 1, 2 + Scope 3]]-1,"NA")</f>
        <v>0.61057117392417259</v>
      </c>
      <c r="V80" s="12">
        <v>2210000</v>
      </c>
      <c r="W80" s="12">
        <v>1840000</v>
      </c>
      <c r="X80" s="12"/>
      <c r="Y80" s="12">
        <f t="shared" si="28"/>
        <v>4050000</v>
      </c>
      <c r="Z80" s="12">
        <f>164210001+247000+495000+9000+151042+117000+3700000+199133000+13251000</f>
        <v>381313043</v>
      </c>
      <c r="AA80" s="12">
        <f t="shared" si="21"/>
        <v>385363043</v>
      </c>
      <c r="AB80" s="12">
        <v>2143000</v>
      </c>
      <c r="AC80" s="12">
        <v>1910000</v>
      </c>
      <c r="AD80" s="12"/>
      <c r="AE80" s="12">
        <f t="shared" si="29"/>
        <v>4053000</v>
      </c>
      <c r="AF80" s="12">
        <v>235218042</v>
      </c>
      <c r="AG80" s="12">
        <f t="shared" si="23"/>
        <v>239271042</v>
      </c>
      <c r="AH80" s="12">
        <v>2122000</v>
      </c>
      <c r="AI80" s="12">
        <v>2437000</v>
      </c>
      <c r="AJ80" s="12"/>
      <c r="AK80" s="12">
        <f t="shared" si="30"/>
        <v>4559000</v>
      </c>
      <c r="AL80" s="12">
        <v>235218042</v>
      </c>
      <c r="AM80" s="12">
        <f t="shared" si="25"/>
        <v>239777042</v>
      </c>
      <c r="AN80" s="12">
        <v>2099000</v>
      </c>
      <c r="AO80" s="12">
        <v>2742000</v>
      </c>
      <c r="AP80" s="12"/>
      <c r="AQ80" s="12">
        <f t="shared" si="31"/>
        <v>4841000</v>
      </c>
      <c r="AR80" s="12">
        <v>210173353</v>
      </c>
      <c r="AS80" s="12">
        <f t="shared" si="26"/>
        <v>215014353</v>
      </c>
      <c r="AT80" s="12">
        <v>2268000</v>
      </c>
      <c r="AU80" s="12">
        <v>2881000</v>
      </c>
      <c r="AV80" s="12"/>
      <c r="AW80" s="12">
        <f t="shared" si="32"/>
        <v>5149000</v>
      </c>
      <c r="AX80" s="12">
        <v>210173353</v>
      </c>
      <c r="AY80" s="12">
        <f t="shared" si="27"/>
        <v>215322353</v>
      </c>
      <c r="AZ80" s="3" t="s">
        <v>299</v>
      </c>
      <c r="BA80" s="3" t="s">
        <v>300</v>
      </c>
      <c r="BC80" s="3" t="s">
        <v>301</v>
      </c>
      <c r="BD80" s="42"/>
    </row>
    <row r="81" spans="1:56" ht="113" x14ac:dyDescent="0.3">
      <c r="A81" s="21" t="s">
        <v>302</v>
      </c>
      <c r="B81" s="21" t="s">
        <v>458</v>
      </c>
      <c r="C81" s="32" t="s">
        <v>11</v>
      </c>
      <c r="D81" s="4" t="s">
        <v>96</v>
      </c>
      <c r="E81" s="11">
        <v>24270000000</v>
      </c>
      <c r="F81" s="5" t="str">
        <f>IF(ISNUMBER(Table1[[#This Row],[2019 Scope 3 ]]),IF(Table1[[#This Row],[Net Earnings/Income (2019)]]-k_cost*Table1[[#This Row],[2019 Total Scope 1, 2 + 3]]&lt;0,"Y","N"),"NA")</f>
        <v>N</v>
      </c>
      <c r="G81" s="54" t="str">
        <f>IF(ISNUMBER(Table1[[#This Row],[2019 Scope 3 ]]),IF(k_cost*Table1[[#This Row],[2019 Total Scope 1, 2 + 3]]/Table1[[#This Row],[Size (2019 Revenue)]]&gt;k_rev_max,"Y","N"),"NA")</f>
        <v>N</v>
      </c>
      <c r="H81" s="54" t="str">
        <f>IF(OR(Table1[[#This Row],[Net earnings post carbon price @85/t]]="Y",Table1[[#This Row],[Carbon costs in % revenue]] = "Y"),"Y",IF(OR(Table1[[#This Row],[Net earnings post carbon price @85/t]]="NA",Table1[[#This Row],[Carbon costs in % revenue]]="NA"),"NA","N"))</f>
        <v>N</v>
      </c>
      <c r="I81" s="11">
        <v>4390000000</v>
      </c>
      <c r="J81" s="10">
        <v>1991</v>
      </c>
      <c r="K81" t="s">
        <v>1</v>
      </c>
      <c r="L81" t="s">
        <v>0</v>
      </c>
      <c r="M81" t="s">
        <v>0</v>
      </c>
      <c r="P81" s="3" t="s">
        <v>303</v>
      </c>
      <c r="Q81" t="s">
        <v>1</v>
      </c>
      <c r="R81" t="s">
        <v>0</v>
      </c>
      <c r="T81" s="51">
        <f>IFERROR((Table1[[#This Row],[2019 Total Scope 1, 2 + 3]])/Table1[[#This Row],[2018 Total Scope 1, 2 + Scope 3]]-1,"NA")</f>
        <v>-1.7118834628733426E-2</v>
      </c>
      <c r="V81" s="12">
        <v>75290</v>
      </c>
      <c r="W81" s="12">
        <v>114060</v>
      </c>
      <c r="X81" s="12"/>
      <c r="Y81" s="12">
        <f t="shared" si="28"/>
        <v>189350</v>
      </c>
      <c r="Z81" s="12">
        <v>112252</v>
      </c>
      <c r="AA81" s="12">
        <f t="shared" si="21"/>
        <v>301602</v>
      </c>
      <c r="AB81" s="12">
        <v>73832</v>
      </c>
      <c r="AC81" s="12">
        <v>120771</v>
      </c>
      <c r="AD81" s="12"/>
      <c r="AE81" s="12">
        <f t="shared" si="29"/>
        <v>194603</v>
      </c>
      <c r="AF81" s="12">
        <v>112252</v>
      </c>
      <c r="AG81" s="12">
        <f t="shared" si="23"/>
        <v>306855</v>
      </c>
      <c r="AH81" s="12">
        <v>80179</v>
      </c>
      <c r="AI81" s="12">
        <v>128298</v>
      </c>
      <c r="AJ81" s="12"/>
      <c r="AK81" s="12">
        <f t="shared" si="30"/>
        <v>208477</v>
      </c>
      <c r="AL81" s="12">
        <v>112252</v>
      </c>
      <c r="AM81" s="12">
        <f t="shared" si="25"/>
        <v>320729</v>
      </c>
      <c r="AN81" s="12">
        <v>75205</v>
      </c>
      <c r="AO81" s="12">
        <v>147681</v>
      </c>
      <c r="AP81" s="12"/>
      <c r="AQ81" s="12">
        <f t="shared" si="31"/>
        <v>222886</v>
      </c>
      <c r="AR81" s="12">
        <v>112252</v>
      </c>
      <c r="AS81" s="12">
        <f t="shared" si="26"/>
        <v>335138</v>
      </c>
      <c r="AT81" s="12">
        <v>75349</v>
      </c>
      <c r="AU81" s="12">
        <v>155288</v>
      </c>
      <c r="AV81" s="12"/>
      <c r="AW81" s="12">
        <f t="shared" si="32"/>
        <v>230637</v>
      </c>
      <c r="AX81" s="12">
        <v>38845</v>
      </c>
      <c r="AY81" s="12">
        <f t="shared" si="27"/>
        <v>269482</v>
      </c>
      <c r="BA81" s="14" t="s">
        <v>304</v>
      </c>
      <c r="BC81" s="3" t="s">
        <v>305</v>
      </c>
      <c r="BD81" s="42"/>
    </row>
    <row r="82" spans="1:56" ht="113" x14ac:dyDescent="0.3">
      <c r="A82" s="21" t="s">
        <v>306</v>
      </c>
      <c r="B82" s="21" t="s">
        <v>449</v>
      </c>
      <c r="C82" s="21" t="s">
        <v>8</v>
      </c>
      <c r="D82" s="4" t="s">
        <v>112</v>
      </c>
      <c r="E82" s="11">
        <v>29176000000</v>
      </c>
      <c r="F82" s="5" t="str">
        <f>IF(ISNUMBER(Table1[[#This Row],[2019 Scope 3 ]]),IF(Table1[[#This Row],[Net Earnings/Income (2019)]]-k_cost*Table1[[#This Row],[2019 Total Scope 1, 2 + 3]]&lt;0,"Y","N"),"NA")</f>
        <v>N</v>
      </c>
      <c r="G82" s="54" t="str">
        <f>IF(ISNUMBER(Table1[[#This Row],[2019 Scope 3 ]]),IF(k_cost*Table1[[#This Row],[2019 Total Scope 1, 2 + 3]]/Table1[[#This Row],[Size (2019 Revenue)]]&gt;k_rev_max,"Y","N"),"NA")</f>
        <v>N</v>
      </c>
      <c r="H82" s="54" t="str">
        <f>IF(OR(Table1[[#This Row],[Net earnings post carbon price @85/t]]="Y",Table1[[#This Row],[Carbon costs in % revenue]] = "Y"),"Y",IF(OR(Table1[[#This Row],[Net earnings post carbon price @85/t]]="NA",Table1[[#This Row],[Carbon costs in % revenue]]="NA"),"NA","N"))</f>
        <v>N</v>
      </c>
      <c r="I82" s="11">
        <v>3343000000</v>
      </c>
      <c r="J82" s="10">
        <v>1952</v>
      </c>
      <c r="K82" t="s">
        <v>1</v>
      </c>
      <c r="L82" t="s">
        <v>0</v>
      </c>
      <c r="M82" t="s">
        <v>0</v>
      </c>
      <c r="P82" s="3" t="s">
        <v>307</v>
      </c>
      <c r="R82" t="s">
        <v>0</v>
      </c>
      <c r="T82" s="51" t="str">
        <f>IFERROR((Table1[[#This Row],[2019 Total Scope 1, 2 + 3]])/Table1[[#This Row],[2018 Total Scope 1, 2 + Scope 3]]-1,"NA")</f>
        <v>NA</v>
      </c>
      <c r="V82" s="12">
        <v>612307</v>
      </c>
      <c r="W82" s="12">
        <v>1114227</v>
      </c>
      <c r="X82" s="12"/>
      <c r="Y82" s="12">
        <f t="shared" si="28"/>
        <v>1726534</v>
      </c>
      <c r="Z82" s="12">
        <f>10865507+1263+194470</f>
        <v>11061240</v>
      </c>
      <c r="AA82" s="12">
        <f t="shared" si="21"/>
        <v>12787774</v>
      </c>
      <c r="AB82" s="12" t="s">
        <v>401</v>
      </c>
      <c r="AC82" s="12" t="s">
        <v>401</v>
      </c>
      <c r="AD82" s="12"/>
      <c r="AE82" s="12" t="str">
        <f t="shared" si="29"/>
        <v/>
      </c>
      <c r="AF82" s="12" t="s">
        <v>401</v>
      </c>
      <c r="AG82" s="12" t="str">
        <f t="shared" si="23"/>
        <v/>
      </c>
      <c r="AH82" s="12" t="s">
        <v>401</v>
      </c>
      <c r="AI82" s="12" t="s">
        <v>401</v>
      </c>
      <c r="AJ82" s="12"/>
      <c r="AK82" s="12" t="str">
        <f t="shared" si="30"/>
        <v/>
      </c>
      <c r="AL82" s="12" t="s">
        <v>401</v>
      </c>
      <c r="AM82" s="12" t="str">
        <f t="shared" si="25"/>
        <v/>
      </c>
      <c r="AN82" s="12" t="s">
        <v>401</v>
      </c>
      <c r="AO82" s="12" t="s">
        <v>401</v>
      </c>
      <c r="AP82" s="12"/>
      <c r="AQ82" s="12" t="str">
        <f t="shared" si="31"/>
        <v/>
      </c>
      <c r="AR82" s="12" t="s">
        <v>401</v>
      </c>
      <c r="AS82" s="12" t="str">
        <f t="shared" si="26"/>
        <v/>
      </c>
      <c r="AT82" s="12" t="s">
        <v>401</v>
      </c>
      <c r="AU82" s="12" t="s">
        <v>401</v>
      </c>
      <c r="AV82" s="12"/>
      <c r="AW82" s="12" t="str">
        <f t="shared" si="32"/>
        <v/>
      </c>
      <c r="AX82" s="12" t="s">
        <v>401</v>
      </c>
      <c r="AY82" s="12" t="str">
        <f t="shared" si="27"/>
        <v/>
      </c>
      <c r="BA82" s="18" t="s">
        <v>308</v>
      </c>
      <c r="BB82" s="3" t="s">
        <v>309</v>
      </c>
      <c r="BC82" s="3" t="s">
        <v>310</v>
      </c>
      <c r="BD82" s="42"/>
    </row>
    <row r="83" spans="1:56" ht="225.5" x14ac:dyDescent="0.3">
      <c r="A83" s="21" t="s">
        <v>311</v>
      </c>
      <c r="B83" s="21" t="s">
        <v>311</v>
      </c>
      <c r="C83" s="32" t="s">
        <v>11</v>
      </c>
      <c r="D83" s="4" t="s">
        <v>74</v>
      </c>
      <c r="E83" s="5">
        <v>13280000000</v>
      </c>
      <c r="F83" s="5" t="str">
        <f>IF(ISNUMBER(Table1[[#This Row],[2019 Scope 3 ]]),IF(Table1[[#This Row],[Net Earnings/Income (2019)]]-k_cost*Table1[[#This Row],[2019 Total Scope 1, 2 + 3]]&lt;0,"Y","N"),"NA")</f>
        <v>N</v>
      </c>
      <c r="G83" s="54" t="str">
        <f>IF(ISNUMBER(Table1[[#This Row],[2019 Scope 3 ]]),IF(k_cost*Table1[[#This Row],[2019 Total Scope 1, 2 + 3]]/Table1[[#This Row],[Size (2019 Revenue)]]&gt;k_rev_max,"Y","N"),"NA")</f>
        <v>N</v>
      </c>
      <c r="H83" s="54" t="str">
        <f>IF(OR(Table1[[#This Row],[Net earnings post carbon price @85/t]]="Y",Table1[[#This Row],[Carbon costs in % revenue]] = "Y"),"Y",IF(OR(Table1[[#This Row],[Net earnings post carbon price @85/t]]="NA",Table1[[#This Row],[Carbon costs in % revenue]]="NA"),"NA","N"))</f>
        <v>N</v>
      </c>
      <c r="I83" s="5">
        <v>1110000000</v>
      </c>
      <c r="J83" s="9">
        <v>2004</v>
      </c>
      <c r="K83" s="5" t="s">
        <v>1</v>
      </c>
      <c r="L83" s="4" t="s">
        <v>1</v>
      </c>
      <c r="M83" s="3" t="s">
        <v>1</v>
      </c>
      <c r="N83">
        <v>2017</v>
      </c>
      <c r="P83" s="3" t="s">
        <v>312</v>
      </c>
      <c r="Q83" t="s">
        <v>1</v>
      </c>
      <c r="R83" t="s">
        <v>1</v>
      </c>
      <c r="S83">
        <v>2022</v>
      </c>
      <c r="T83" s="51">
        <f>IFERROR((Table1[[#This Row],[2019 Total Scope 1, 2 + 3]])/Table1[[#This Row],[2018 Total Scope 1, 2 + Scope 3]]-1,"NA")</f>
        <v>0.35074626865671643</v>
      </c>
      <c r="V83" s="12">
        <v>5000</v>
      </c>
      <c r="W83" s="12">
        <v>291000</v>
      </c>
      <c r="X83" s="12">
        <f>V83+W83</f>
        <v>296000</v>
      </c>
      <c r="Y83" s="12">
        <f t="shared" si="28"/>
        <v>0</v>
      </c>
      <c r="Z83" s="12">
        <v>181000</v>
      </c>
      <c r="AA83" s="12">
        <f t="shared" si="21"/>
        <v>181000</v>
      </c>
      <c r="AB83" s="12">
        <v>4000</v>
      </c>
      <c r="AC83" s="12">
        <v>236000</v>
      </c>
      <c r="AD83" s="12">
        <f>AB83+AC83</f>
        <v>240000</v>
      </c>
      <c r="AE83" s="12">
        <f t="shared" si="29"/>
        <v>0</v>
      </c>
      <c r="AF83" s="12">
        <v>134000</v>
      </c>
      <c r="AG83" s="12">
        <f t="shared" si="23"/>
        <v>134000</v>
      </c>
      <c r="AH83" s="12">
        <v>4000</v>
      </c>
      <c r="AI83" s="12">
        <v>174000</v>
      </c>
      <c r="AJ83" s="12">
        <f>0.23*(AH83+AI83)</f>
        <v>40940</v>
      </c>
      <c r="AK83" s="12">
        <f t="shared" si="30"/>
        <v>137060</v>
      </c>
      <c r="AL83" s="12">
        <v>99000</v>
      </c>
      <c r="AM83" s="12">
        <f t="shared" si="25"/>
        <v>236060</v>
      </c>
      <c r="AN83" s="12">
        <v>3000</v>
      </c>
      <c r="AO83" s="12">
        <v>132000</v>
      </c>
      <c r="AP83" s="12">
        <f>0.23*(AN83+AO83)</f>
        <v>31050</v>
      </c>
      <c r="AQ83" s="12">
        <f t="shared" si="31"/>
        <v>103950</v>
      </c>
      <c r="AR83" s="12">
        <v>84000</v>
      </c>
      <c r="AS83" s="12">
        <f t="shared" si="26"/>
        <v>187950</v>
      </c>
      <c r="AT83" s="12">
        <v>5000</v>
      </c>
      <c r="AU83" s="12">
        <v>71000</v>
      </c>
      <c r="AV83" s="12"/>
      <c r="AW83" s="12">
        <f t="shared" si="32"/>
        <v>76000</v>
      </c>
      <c r="AX83" s="12">
        <v>56000</v>
      </c>
      <c r="AY83" s="12">
        <f t="shared" si="27"/>
        <v>132000</v>
      </c>
      <c r="BA83" s="14" t="s">
        <v>435</v>
      </c>
      <c r="BB83" s="30" t="s">
        <v>434</v>
      </c>
      <c r="BC83" s="3" t="s">
        <v>313</v>
      </c>
      <c r="BD83" s="42"/>
    </row>
    <row r="84" spans="1:56" ht="88" x14ac:dyDescent="0.3">
      <c r="A84" s="21" t="s">
        <v>314</v>
      </c>
      <c r="B84" s="21" t="s">
        <v>445</v>
      </c>
      <c r="C84" s="21" t="s">
        <v>5</v>
      </c>
      <c r="D84" s="4" t="s">
        <v>126</v>
      </c>
      <c r="E84" s="11">
        <v>32900000000</v>
      </c>
      <c r="F84" s="5" t="str">
        <f>IF(ISNUMBER(Table1[[#This Row],[2019 Scope 3 ]]),IF(Table1[[#This Row],[Net Earnings/Income (2019)]]-k_cost*Table1[[#This Row],[2019 Total Scope 1, 2 + 3]]&lt;0,"Y","N"),"NA")</f>
        <v>NA</v>
      </c>
      <c r="G84" s="54" t="str">
        <f>IF(ISNUMBER(Table1[[#This Row],[2019 Scope 3 ]]),IF(k_cost*Table1[[#This Row],[2019 Total Scope 1, 2 + 3]]/Table1[[#This Row],[Size (2019 Revenue)]]&gt;k_rev_max,"Y","N"),"NA")</f>
        <v>NA</v>
      </c>
      <c r="H84" s="54" t="str">
        <f>IF(OR(Table1[[#This Row],[Net earnings post carbon price @85/t]]="Y",Table1[[#This Row],[Carbon costs in % revenue]] = "Y"),"Y",IF(OR(Table1[[#This Row],[Net earnings post carbon price @85/t]]="NA",Table1[[#This Row],[Carbon costs in % revenue]]="NA"),"NA","N"))</f>
        <v>NA</v>
      </c>
      <c r="I84" s="11">
        <v>-10137000000</v>
      </c>
      <c r="J84" s="10">
        <v>1956</v>
      </c>
      <c r="K84" t="s">
        <v>1</v>
      </c>
      <c r="L84" t="s">
        <v>0</v>
      </c>
      <c r="M84" s="3" t="s">
        <v>1</v>
      </c>
      <c r="R84" t="s">
        <v>0</v>
      </c>
      <c r="T84" s="51" t="str">
        <f>IFERROR((Table1[[#This Row],[2019 Total Scope 1, 2 + 3]])/Table1[[#This Row],[2018 Total Scope 1, 2 + Scope 3]]-1,"NA")</f>
        <v>NA</v>
      </c>
      <c r="V84" s="12" t="s">
        <v>401</v>
      </c>
      <c r="W84" s="12" t="s">
        <v>401</v>
      </c>
      <c r="X84" s="12"/>
      <c r="Y84" s="12" t="str">
        <f t="shared" si="28"/>
        <v/>
      </c>
      <c r="Z84" s="12" t="s">
        <v>401</v>
      </c>
      <c r="AA84" s="12" t="str">
        <f t="shared" si="21"/>
        <v/>
      </c>
      <c r="AB84" s="12">
        <v>1423000</v>
      </c>
      <c r="AC84" s="12">
        <v>642000</v>
      </c>
      <c r="AD84" s="12"/>
      <c r="AE84" s="12">
        <f t="shared" si="29"/>
        <v>2065000</v>
      </c>
      <c r="AF84" s="12">
        <v>1185000</v>
      </c>
      <c r="AG84" s="12">
        <f t="shared" si="23"/>
        <v>3250000</v>
      </c>
      <c r="AH84" s="12">
        <v>1358000</v>
      </c>
      <c r="AI84" s="12">
        <v>561000</v>
      </c>
      <c r="AJ84" s="12"/>
      <c r="AK84" s="12">
        <f t="shared" si="30"/>
        <v>1919000</v>
      </c>
      <c r="AL84" s="12">
        <v>911000</v>
      </c>
      <c r="AM84" s="12">
        <f t="shared" si="25"/>
        <v>2830000</v>
      </c>
      <c r="AN84" s="12">
        <v>1136000</v>
      </c>
      <c r="AO84" s="12">
        <v>704000</v>
      </c>
      <c r="AP84" s="12"/>
      <c r="AQ84" s="12">
        <f t="shared" si="31"/>
        <v>1840000</v>
      </c>
      <c r="AR84" s="12">
        <v>876000</v>
      </c>
      <c r="AS84" s="12">
        <f t="shared" si="26"/>
        <v>2716000</v>
      </c>
      <c r="AT84" s="12">
        <v>1400000</v>
      </c>
      <c r="AU84" s="12">
        <v>577000</v>
      </c>
      <c r="AV84" s="12"/>
      <c r="AW84" s="12">
        <f t="shared" si="32"/>
        <v>1977000</v>
      </c>
      <c r="AX84" s="12">
        <v>1057000</v>
      </c>
      <c r="AY84" s="12">
        <f t="shared" si="27"/>
        <v>3034000</v>
      </c>
      <c r="AZ84" t="s">
        <v>0</v>
      </c>
      <c r="BA84" s="7" t="s">
        <v>315</v>
      </c>
      <c r="BC84" s="3" t="s">
        <v>316</v>
      </c>
      <c r="BD84" s="42"/>
    </row>
    <row r="85" spans="1:56" ht="138" x14ac:dyDescent="0.3">
      <c r="A85" s="21" t="s">
        <v>317</v>
      </c>
      <c r="B85" s="21" t="s">
        <v>457</v>
      </c>
      <c r="C85" s="21" t="s">
        <v>10</v>
      </c>
      <c r="D85" t="s">
        <v>10</v>
      </c>
      <c r="E85" s="11">
        <v>5755000000</v>
      </c>
      <c r="F85" s="5" t="str">
        <f>IF(ISNUMBER(Table1[[#This Row],[2019 Scope 3 ]]),IF(Table1[[#This Row],[Net Earnings/Income (2019)]]-k_cost*Table1[[#This Row],[2019 Total Scope 1, 2 + 3]]&lt;0,"Y","N"),"NA")</f>
        <v>N</v>
      </c>
      <c r="G85" s="54" t="str">
        <f>IF(ISNUMBER(Table1[[#This Row],[2019 Scope 3 ]]),IF(k_cost*Table1[[#This Row],[2019 Total Scope 1, 2 + 3]]/Table1[[#This Row],[Size (2019 Revenue)]]&gt;k_rev_max,"Y","N"),"NA")</f>
        <v>N</v>
      </c>
      <c r="H85" s="54" t="str">
        <f>IF(OR(Table1[[#This Row],[Net earnings post carbon price @85/t]]="Y",Table1[[#This Row],[Carbon costs in % revenue]] = "Y"),"Y",IF(OR(Table1[[#This Row],[Net earnings post carbon price @85/t]]="NA",Table1[[#This Row],[Carbon costs in % revenue]]="NA"),"NA","N"))</f>
        <v>N</v>
      </c>
      <c r="I85" s="11">
        <v>2098000000</v>
      </c>
      <c r="J85" s="10">
        <v>1993</v>
      </c>
      <c r="K85" t="s">
        <v>1</v>
      </c>
      <c r="L85" t="s">
        <v>0</v>
      </c>
      <c r="M85" s="3" t="s">
        <v>0</v>
      </c>
      <c r="P85" t="s">
        <v>318</v>
      </c>
      <c r="R85" t="s">
        <v>0</v>
      </c>
      <c r="T85" s="51">
        <f>IFERROR((Table1[[#This Row],[2019 Total Scope 1, 2 + 3]])/Table1[[#This Row],[2018 Total Scope 1, 2 + Scope 3]]-1,"NA")</f>
        <v>-6.1145592632659285E-2</v>
      </c>
      <c r="V85" s="12">
        <v>16863.186000000002</v>
      </c>
      <c r="W85" s="12">
        <v>249714.82</v>
      </c>
      <c r="X85" s="12"/>
      <c r="Y85" s="12">
        <f t="shared" si="28"/>
        <v>266578.00599999999</v>
      </c>
      <c r="Z85" s="12">
        <f>11746+136900+5154+100+6531+419157</f>
        <v>579588</v>
      </c>
      <c r="AA85" s="12">
        <f t="shared" si="21"/>
        <v>846166.00600000005</v>
      </c>
      <c r="AB85" s="12">
        <v>21923</v>
      </c>
      <c r="AC85" s="12">
        <v>287974</v>
      </c>
      <c r="AD85" s="12"/>
      <c r="AE85" s="12">
        <f t="shared" si="29"/>
        <v>309897</v>
      </c>
      <c r="AF85" s="12">
        <v>591378</v>
      </c>
      <c r="AG85" s="12">
        <f t="shared" si="23"/>
        <v>901275</v>
      </c>
      <c r="AH85" s="12">
        <v>19404</v>
      </c>
      <c r="AI85" s="12">
        <v>293618</v>
      </c>
      <c r="AJ85" s="12"/>
      <c r="AK85" s="12">
        <f t="shared" si="30"/>
        <v>313022</v>
      </c>
      <c r="AL85" s="12">
        <v>580998</v>
      </c>
      <c r="AM85" s="12">
        <f t="shared" si="25"/>
        <v>894020</v>
      </c>
      <c r="AN85" s="12">
        <v>20364</v>
      </c>
      <c r="AO85" s="12">
        <v>304405</v>
      </c>
      <c r="AP85" s="12"/>
      <c r="AQ85" s="12">
        <f t="shared" si="31"/>
        <v>324769</v>
      </c>
      <c r="AR85" s="12">
        <v>604001</v>
      </c>
      <c r="AS85" s="12">
        <f t="shared" si="26"/>
        <v>928770</v>
      </c>
      <c r="AT85" s="12">
        <v>23000</v>
      </c>
      <c r="AU85" s="12">
        <v>358862</v>
      </c>
      <c r="AV85" s="12"/>
      <c r="AW85" s="12">
        <f t="shared" si="32"/>
        <v>381862</v>
      </c>
      <c r="AX85" s="12">
        <v>618912</v>
      </c>
      <c r="AY85" s="12">
        <f t="shared" si="27"/>
        <v>1000774</v>
      </c>
      <c r="BA85" s="18" t="s">
        <v>319</v>
      </c>
      <c r="BC85" s="3" t="s">
        <v>320</v>
      </c>
      <c r="BD85" s="42"/>
    </row>
    <row r="86" spans="1:56" ht="213" x14ac:dyDescent="0.3">
      <c r="A86" s="21" t="s">
        <v>321</v>
      </c>
      <c r="B86" s="21" t="s">
        <v>321</v>
      </c>
      <c r="C86" s="21" t="s">
        <v>12</v>
      </c>
      <c r="D86" t="s">
        <v>12</v>
      </c>
      <c r="E86" s="11">
        <v>21419000000</v>
      </c>
      <c r="F86" s="5" t="str">
        <f>IF(ISNUMBER(Table1[[#This Row],[2019 Scope 3 ]]),IF(Table1[[#This Row],[Net Earnings/Income (2019)]]-k_cost*Table1[[#This Row],[2019 Total Scope 1, 2 + 3]]&lt;0,"Y","N"),"NA")</f>
        <v>Y</v>
      </c>
      <c r="G86" s="54" t="str">
        <f>IF(ISNUMBER(Table1[[#This Row],[2019 Scope 3 ]]),IF(k_cost*Table1[[#This Row],[2019 Total Scope 1, 2 + 3]]/Table1[[#This Row],[Size (2019 Revenue)]]&gt;k_rev_max,"Y","N"),"NA")</f>
        <v>Y</v>
      </c>
      <c r="H86" s="54" t="str">
        <f>IF(OR(Table1[[#This Row],[Net earnings post carbon price @85/t]]="Y",Table1[[#This Row],[Carbon costs in % revenue]] = "Y"),"Y",IF(OR(Table1[[#This Row],[Net earnings post carbon price @85/t]]="NA",Table1[[#This Row],[Carbon costs in % revenue]]="NA"),"NA","N"))</f>
        <v>Y</v>
      </c>
      <c r="I86" s="11">
        <v>3250000000</v>
      </c>
      <c r="J86" s="10">
        <v>1949</v>
      </c>
      <c r="K86" t="s">
        <v>1</v>
      </c>
      <c r="L86" t="s">
        <v>0</v>
      </c>
      <c r="M86" t="s">
        <v>0</v>
      </c>
      <c r="N86">
        <v>2050</v>
      </c>
      <c r="O86" s="22">
        <v>2020</v>
      </c>
      <c r="P86" s="3" t="s">
        <v>322</v>
      </c>
      <c r="R86" t="s">
        <v>0</v>
      </c>
      <c r="T86" s="51">
        <f>IFERROR((Table1[[#This Row],[2019 Total Scope 1, 2 + 3]])/Table1[[#This Row],[2018 Total Scope 1, 2 + Scope 3]]-1,"NA")</f>
        <v>-0.10341582335699895</v>
      </c>
      <c r="V86" s="12">
        <v>88213565</v>
      </c>
      <c r="W86" s="12">
        <v>35568</v>
      </c>
      <c r="X86" s="12"/>
      <c r="Y86" s="12">
        <f t="shared" si="28"/>
        <v>88249133</v>
      </c>
      <c r="Z86" s="12">
        <f>3423778+88879+35260791</f>
        <v>38773448</v>
      </c>
      <c r="AA86" s="12">
        <f t="shared" si="21"/>
        <v>127022581</v>
      </c>
      <c r="AB86" s="12">
        <v>102232275</v>
      </c>
      <c r="AC86" s="12">
        <v>2142130.48</v>
      </c>
      <c r="AD86" s="12"/>
      <c r="AE86" s="12">
        <f t="shared" si="29"/>
        <v>104374405.48</v>
      </c>
      <c r="AF86" s="12">
        <v>37299499</v>
      </c>
      <c r="AG86" s="12">
        <f t="shared" si="23"/>
        <v>141673904.48000002</v>
      </c>
      <c r="AH86" s="12">
        <v>97534302</v>
      </c>
      <c r="AI86" s="12">
        <v>2701183</v>
      </c>
      <c r="AJ86" s="12"/>
      <c r="AK86" s="12">
        <f t="shared" si="30"/>
        <v>100235485</v>
      </c>
      <c r="AL86" s="12">
        <v>34630131</v>
      </c>
      <c r="AM86" s="12">
        <f t="shared" si="25"/>
        <v>134865616</v>
      </c>
      <c r="AN86" s="12" t="s">
        <v>0</v>
      </c>
      <c r="AO86" s="12" t="s">
        <v>0</v>
      </c>
      <c r="AP86" s="12" t="s">
        <v>0</v>
      </c>
      <c r="AQ86" s="12" t="str">
        <f t="shared" si="31"/>
        <v/>
      </c>
      <c r="AR86" s="12" t="s">
        <v>0</v>
      </c>
      <c r="AS86" s="12" t="str">
        <f t="shared" si="26"/>
        <v/>
      </c>
      <c r="AT86" s="12" t="s">
        <v>0</v>
      </c>
      <c r="AU86" s="12" t="s">
        <v>0</v>
      </c>
      <c r="AV86" s="12" t="s">
        <v>0</v>
      </c>
      <c r="AW86" s="12" t="str">
        <f t="shared" si="32"/>
        <v/>
      </c>
      <c r="AX86" s="12" t="s">
        <v>0</v>
      </c>
      <c r="AY86" s="12" t="str">
        <f t="shared" si="27"/>
        <v/>
      </c>
      <c r="AZ86" s="3" t="s">
        <v>1</v>
      </c>
      <c r="BA86" s="18" t="s">
        <v>323</v>
      </c>
      <c r="BC86" s="14" t="s">
        <v>436</v>
      </c>
      <c r="BD86" s="42"/>
    </row>
    <row r="87" spans="1:56" ht="100.5" x14ac:dyDescent="0.3">
      <c r="A87" s="21" t="s">
        <v>324</v>
      </c>
      <c r="B87" s="21" t="s">
        <v>406</v>
      </c>
      <c r="C87" s="32" t="s">
        <v>3</v>
      </c>
      <c r="D87" s="4" t="s">
        <v>133</v>
      </c>
      <c r="E87" s="5">
        <v>26510000000</v>
      </c>
      <c r="F87" s="5" t="str">
        <f>IF(ISNUMBER(Table1[[#This Row],[2019 Scope 3 ]]),IF(Table1[[#This Row],[Net Earnings/Income (2019)]]-k_cost*Table1[[#This Row],[2019 Total Scope 1, 2 + 3]]&lt;0,"Y","N"),"NA")</f>
        <v>N</v>
      </c>
      <c r="G87" s="54" t="str">
        <f>IF(ISNUMBER(Table1[[#This Row],[2019 Scope 3 ]]),IF(k_cost*Table1[[#This Row],[2019 Total Scope 1, 2 + 3]]/Table1[[#This Row],[Size (2019 Revenue)]]&gt;k_rev_max,"Y","N"),"NA")</f>
        <v>Y</v>
      </c>
      <c r="H87" s="54" t="str">
        <f>IF(OR(Table1[[#This Row],[Net earnings post carbon price @85/t]]="Y",Table1[[#This Row],[Carbon costs in % revenue]] = "Y"),"Y",IF(OR(Table1[[#This Row],[Net earnings post carbon price @85/t]]="NA",Table1[[#This Row],[Carbon costs in % revenue]]="NA"),"NA","N"))</f>
        <v>Y</v>
      </c>
      <c r="I87" s="5">
        <v>3600000000</v>
      </c>
      <c r="J87" s="9">
        <v>1992</v>
      </c>
      <c r="K87" s="5" t="s">
        <v>1</v>
      </c>
      <c r="L87" t="s">
        <v>1</v>
      </c>
      <c r="M87" t="s">
        <v>1</v>
      </c>
      <c r="N87">
        <v>2050</v>
      </c>
      <c r="O87">
        <v>2020</v>
      </c>
      <c r="P87" s="3" t="s">
        <v>325</v>
      </c>
      <c r="R87" t="s">
        <v>1</v>
      </c>
      <c r="S87" t="s">
        <v>326</v>
      </c>
      <c r="T87" s="51">
        <f>IFERROR((Table1[[#This Row],[2019 Total Scope 1, 2 + 3]])/Table1[[#This Row],[2018 Total Scope 1, 2 + Scope 3]]-1,"NA")</f>
        <v>2.032199009951885E-3</v>
      </c>
      <c r="V87" s="12">
        <v>381198.61</v>
      </c>
      <c r="W87" s="12">
        <v>281700.89</v>
      </c>
      <c r="X87" s="12"/>
      <c r="Y87" s="12">
        <f t="shared" si="28"/>
        <v>662899.5</v>
      </c>
      <c r="Z87" s="12">
        <f>8844532.71+1549767.91+1339261.73+544171.31+1022025.11+19035.53+821116.5+62449.06+149443.2+612189.99</f>
        <v>14963993.050000001</v>
      </c>
      <c r="AA87" s="12">
        <f t="shared" si="21"/>
        <v>15626892.550000001</v>
      </c>
      <c r="AB87" s="12">
        <v>319600</v>
      </c>
      <c r="AC87" s="12">
        <v>285600</v>
      </c>
      <c r="AD87" s="12"/>
      <c r="AE87" s="12">
        <f t="shared" si="29"/>
        <v>605200</v>
      </c>
      <c r="AF87" s="12">
        <v>14990000</v>
      </c>
      <c r="AG87" s="12">
        <f t="shared" si="23"/>
        <v>15595200</v>
      </c>
      <c r="AH87" s="12">
        <v>291000</v>
      </c>
      <c r="AI87" s="12">
        <v>390000</v>
      </c>
      <c r="AJ87" s="12"/>
      <c r="AK87" s="12">
        <f t="shared" si="30"/>
        <v>681000</v>
      </c>
      <c r="AL87" s="12">
        <v>15900000</v>
      </c>
      <c r="AM87" s="12">
        <f t="shared" si="25"/>
        <v>16581000</v>
      </c>
      <c r="AN87" s="12">
        <v>321763</v>
      </c>
      <c r="AO87" s="12">
        <v>253819</v>
      </c>
      <c r="AP87" s="12"/>
      <c r="AQ87" s="12">
        <f t="shared" si="31"/>
        <v>575582</v>
      </c>
      <c r="AR87" s="12">
        <f>9923385+1047965+1395658+660216+1329459+20129+523015+3335+88216+196234</f>
        <v>15187612</v>
      </c>
      <c r="AS87" s="12">
        <f t="shared" si="26"/>
        <v>15763194</v>
      </c>
      <c r="AT87" s="12">
        <v>329002</v>
      </c>
      <c r="AU87" s="12">
        <v>513511</v>
      </c>
      <c r="AV87" s="12"/>
      <c r="AW87" s="12">
        <f t="shared" si="32"/>
        <v>842513</v>
      </c>
      <c r="AX87" s="12">
        <f>6734410+983792+708554+606066+822171+11525+559173+22523+92406+130145</f>
        <v>10670765</v>
      </c>
      <c r="AY87" s="12">
        <f t="shared" si="27"/>
        <v>11513278</v>
      </c>
      <c r="BA87" s="18" t="s">
        <v>327</v>
      </c>
      <c r="BC87" s="3" t="s">
        <v>328</v>
      </c>
      <c r="BD87" s="42"/>
    </row>
    <row r="88" spans="1:56" ht="138" x14ac:dyDescent="0.3">
      <c r="A88" s="21" t="s">
        <v>329</v>
      </c>
      <c r="B88" s="21" t="s">
        <v>444</v>
      </c>
      <c r="C88" s="32" t="s">
        <v>4</v>
      </c>
      <c r="D88" s="4" t="s">
        <v>85</v>
      </c>
      <c r="E88" s="5">
        <v>78100000000</v>
      </c>
      <c r="F88" s="5" t="str">
        <f>IF(ISNUMBER(Table1[[#This Row],[2019 Scope 3 ]]),IF(Table1[[#This Row],[Net Earnings/Income (2019)]]-k_cost*Table1[[#This Row],[2019 Total Scope 1, 2 + 3]]&lt;0,"Y","N"),"NA")</f>
        <v>Y</v>
      </c>
      <c r="G88" s="54" t="str">
        <f>IF(ISNUMBER(Table1[[#This Row],[2019 Scope 3 ]]),IF(k_cost*Table1[[#This Row],[2019 Total Scope 1, 2 + 3]]/Table1[[#This Row],[Size (2019 Revenue)]]&gt;k_rev_max,"Y","N"),"NA")</f>
        <v>Y</v>
      </c>
      <c r="H88" s="54" t="str">
        <f>IF(OR(Table1[[#This Row],[Net earnings post carbon price @85/t]]="Y",Table1[[#This Row],[Carbon costs in % revenue]] = "Y"),"Y",IF(OR(Table1[[#This Row],[Net earnings post carbon price @85/t]]="NA",Table1[[#This Row],[Carbon costs in % revenue]]="NA"),"NA","N"))</f>
        <v>Y</v>
      </c>
      <c r="I88" s="5">
        <v>3269000000</v>
      </c>
      <c r="J88" s="9">
        <v>1967</v>
      </c>
      <c r="K88" s="5" t="s">
        <v>1</v>
      </c>
      <c r="L88" s="4" t="s">
        <v>0</v>
      </c>
      <c r="M88" t="s">
        <v>1</v>
      </c>
      <c r="P88" s="3" t="s">
        <v>330</v>
      </c>
      <c r="R88" t="s">
        <v>1</v>
      </c>
      <c r="S88" s="3" t="s">
        <v>331</v>
      </c>
      <c r="T88" s="53">
        <f>IFERROR((Table1[[#This Row],[2019 Total Scope 1, 2 + 3]])/Table1[[#This Row],[2018 Total Scope 1, 2 + Scope 3]]-1,"NA")</f>
        <v>-0.33122664559404669</v>
      </c>
      <c r="U88" s="3"/>
      <c r="V88" s="12">
        <v>752552</v>
      </c>
      <c r="W88" s="12">
        <v>1545898</v>
      </c>
      <c r="X88" s="12"/>
      <c r="Y88" s="12">
        <f t="shared" si="28"/>
        <v>2298450</v>
      </c>
      <c r="Z88" s="12">
        <f>27389000+743000+509000+1655000+271000+22000+585000+5672000+12897000+2306000</f>
        <v>52049000</v>
      </c>
      <c r="AA88" s="12">
        <f t="shared" si="21"/>
        <v>54347450</v>
      </c>
      <c r="AB88" s="12">
        <v>755484</v>
      </c>
      <c r="AC88" s="12">
        <v>2108893</v>
      </c>
      <c r="AD88" s="12"/>
      <c r="AE88" s="12">
        <f t="shared" si="29"/>
        <v>2864377</v>
      </c>
      <c r="AF88" s="12">
        <f>43284000+1000000+905000+1356000+168000+21000+539000+6950000+23340000+809000+28000</f>
        <v>78400000</v>
      </c>
      <c r="AG88" s="12">
        <f t="shared" si="23"/>
        <v>81264377</v>
      </c>
      <c r="AH88" s="12">
        <v>706176</v>
      </c>
      <c r="AI88" s="12">
        <v>2111537</v>
      </c>
      <c r="AJ88" s="12"/>
      <c r="AK88" s="12">
        <f t="shared" si="30"/>
        <v>2817713</v>
      </c>
      <c r="AL88" s="12">
        <v>78400000</v>
      </c>
      <c r="AM88" s="12">
        <f t="shared" si="25"/>
        <v>81217713</v>
      </c>
      <c r="AN88" s="12">
        <v>730846</v>
      </c>
      <c r="AO88" s="12">
        <v>2155763</v>
      </c>
      <c r="AP88" s="12"/>
      <c r="AQ88" s="12">
        <f t="shared" si="31"/>
        <v>2886609</v>
      </c>
      <c r="AR88" s="12" t="s">
        <v>401</v>
      </c>
      <c r="AS88" s="12" t="str">
        <f t="shared" si="26"/>
        <v/>
      </c>
      <c r="AT88" s="12">
        <v>581568</v>
      </c>
      <c r="AU88" s="12">
        <v>2290938</v>
      </c>
      <c r="AV88" s="12"/>
      <c r="AW88" s="12">
        <f t="shared" si="32"/>
        <v>2872506</v>
      </c>
      <c r="AX88" s="12" t="s">
        <v>401</v>
      </c>
      <c r="AY88" s="12" t="str">
        <f t="shared" si="27"/>
        <v/>
      </c>
      <c r="BA88" s="3" t="s">
        <v>332</v>
      </c>
      <c r="BC88" s="3" t="s">
        <v>333</v>
      </c>
      <c r="BD88" s="42"/>
    </row>
    <row r="89" spans="1:56" ht="88" x14ac:dyDescent="0.3">
      <c r="A89" s="21" t="s">
        <v>334</v>
      </c>
      <c r="B89" s="21" t="s">
        <v>334</v>
      </c>
      <c r="C89" s="32" t="s">
        <v>11</v>
      </c>
      <c r="D89" s="4" t="s">
        <v>96</v>
      </c>
      <c r="E89" s="11">
        <v>14318000000</v>
      </c>
      <c r="F89" s="5" t="str">
        <f>IF(ISNUMBER(Table1[[#This Row],[2019 Scope 3 ]]),IF(Table1[[#This Row],[Net Earnings/Income (2019)]]-k_cost*Table1[[#This Row],[2019 Total Scope 1, 2 + 3]]&lt;0,"Y","N"),"NA")</f>
        <v>NA</v>
      </c>
      <c r="G89" s="54" t="str">
        <f>IF(ISNUMBER(Table1[[#This Row],[2019 Scope 3 ]]),IF(k_cost*Table1[[#This Row],[2019 Total Scope 1, 2 + 3]]/Table1[[#This Row],[Size (2019 Revenue)]]&gt;k_rev_max,"Y","N"),"NA")</f>
        <v>NA</v>
      </c>
      <c r="H89" s="54" t="str">
        <f>IF(OR(Table1[[#This Row],[Net earnings post carbon price @85/t]]="Y",Table1[[#This Row],[Carbon costs in % revenue]] = "Y"),"Y",IF(OR(Table1[[#This Row],[Net earnings post carbon price @85/t]]="NA",Table1[[#This Row],[Carbon costs in % revenue]]="NA"),"NA","N"))</f>
        <v>NA</v>
      </c>
      <c r="I89" s="11">
        <v>5020000000</v>
      </c>
      <c r="J89" s="10">
        <v>1953</v>
      </c>
      <c r="K89" t="s">
        <v>1</v>
      </c>
      <c r="L89" t="s">
        <v>0</v>
      </c>
      <c r="M89" t="s">
        <v>0</v>
      </c>
      <c r="P89" s="3" t="s">
        <v>335</v>
      </c>
      <c r="Q89" t="s">
        <v>1</v>
      </c>
      <c r="R89" t="s">
        <v>0</v>
      </c>
      <c r="T89" s="51" t="str">
        <f>IFERROR((Table1[[#This Row],[2019 Total Scope 1, 2 + 3]])/Table1[[#This Row],[2018 Total Scope 1, 2 + Scope 3]]-1,"NA")</f>
        <v>NA</v>
      </c>
      <c r="V89" s="12">
        <v>966579</v>
      </c>
      <c r="W89" s="12">
        <v>13430</v>
      </c>
      <c r="X89" s="12"/>
      <c r="Y89" s="12">
        <f t="shared" si="28"/>
        <v>980009</v>
      </c>
      <c r="Z89" s="12" t="s">
        <v>401</v>
      </c>
      <c r="AA89" s="12" t="str">
        <f t="shared" si="21"/>
        <v/>
      </c>
      <c r="AB89" s="12">
        <v>1157549</v>
      </c>
      <c r="AC89" s="12">
        <v>1110819</v>
      </c>
      <c r="AD89" s="12"/>
      <c r="AE89" s="12">
        <f t="shared" si="29"/>
        <v>2268368</v>
      </c>
      <c r="AF89" s="12" t="s">
        <v>401</v>
      </c>
      <c r="AG89" s="12" t="str">
        <f t="shared" si="23"/>
        <v/>
      </c>
      <c r="AH89" s="12">
        <v>1161654</v>
      </c>
      <c r="AI89" s="12">
        <v>1256755</v>
      </c>
      <c r="AJ89" s="12"/>
      <c r="AK89" s="12">
        <f t="shared" si="30"/>
        <v>2418409</v>
      </c>
      <c r="AL89" s="12" t="s">
        <v>401</v>
      </c>
      <c r="AM89" s="12" t="str">
        <f t="shared" si="25"/>
        <v/>
      </c>
      <c r="AN89" s="12">
        <v>1076947</v>
      </c>
      <c r="AO89" s="12">
        <v>1319215</v>
      </c>
      <c r="AP89" s="12"/>
      <c r="AQ89" s="12">
        <f t="shared" si="31"/>
        <v>2396162</v>
      </c>
      <c r="AR89" s="12" t="s">
        <v>401</v>
      </c>
      <c r="AS89" s="12" t="str">
        <f t="shared" si="26"/>
        <v/>
      </c>
      <c r="AT89" s="12">
        <v>1085622</v>
      </c>
      <c r="AU89" s="12">
        <v>1322813</v>
      </c>
      <c r="AV89" s="12"/>
      <c r="AW89" s="12">
        <f t="shared" si="32"/>
        <v>2408435</v>
      </c>
      <c r="AX89" s="12" t="s">
        <v>401</v>
      </c>
      <c r="AY89" s="12" t="str">
        <f t="shared" si="27"/>
        <v/>
      </c>
      <c r="AZ89" s="30" t="s">
        <v>1</v>
      </c>
      <c r="BA89" s="14" t="s">
        <v>336</v>
      </c>
      <c r="BC89" s="3" t="s">
        <v>337</v>
      </c>
      <c r="BD89" s="42"/>
    </row>
    <row r="90" spans="1:56" ht="50.5" x14ac:dyDescent="0.3">
      <c r="A90" s="21" t="s">
        <v>338</v>
      </c>
      <c r="B90" s="21" t="s">
        <v>483</v>
      </c>
      <c r="C90" s="32" t="s">
        <v>6</v>
      </c>
      <c r="D90" s="4" t="s">
        <v>109</v>
      </c>
      <c r="E90" s="11">
        <v>20820000000</v>
      </c>
      <c r="F90" s="5" t="str">
        <f>IF(ISNUMBER(Table1[[#This Row],[2019 Scope 3 ]]),IF(Table1[[#This Row],[Net Earnings/Income (2019)]]-k_cost*Table1[[#This Row],[2019 Total Scope 1, 2 + 3]]&lt;0,"Y","N"),"NA")</f>
        <v>N</v>
      </c>
      <c r="G90" s="54" t="str">
        <f>IF(ISNUMBER(Table1[[#This Row],[2019 Scope 3 ]]),IF(k_cost*Table1[[#This Row],[2019 Total Scope 1, 2 + 3]]/Table1[[#This Row],[Size (2019 Revenue)]]&gt;k_rev_max,"Y","N"),"NA")</f>
        <v>N</v>
      </c>
      <c r="H90" s="54" t="str">
        <f>IF(OR(Table1[[#This Row],[Net earnings post carbon price @85/t]]="Y",Table1[[#This Row],[Carbon costs in % revenue]] = "Y"),"Y",IF(OR(Table1[[#This Row],[Net earnings post carbon price @85/t]]="NA",Table1[[#This Row],[Carbon costs in % revenue]]="NA"),"NA","N"))</f>
        <v>N</v>
      </c>
      <c r="I90" s="11">
        <v>4250000000</v>
      </c>
      <c r="J90" s="10">
        <v>1784</v>
      </c>
      <c r="K90" s="4" t="s">
        <v>1</v>
      </c>
      <c r="L90" s="4" t="s">
        <v>1</v>
      </c>
      <c r="M90" t="s">
        <v>0</v>
      </c>
      <c r="N90">
        <v>2015</v>
      </c>
      <c r="O90">
        <v>2008</v>
      </c>
      <c r="P90" s="17" t="s">
        <v>0</v>
      </c>
      <c r="Q90" t="s">
        <v>1</v>
      </c>
      <c r="R90" s="4" t="s">
        <v>0</v>
      </c>
      <c r="S90" s="4" t="s">
        <v>0</v>
      </c>
      <c r="T90" s="52">
        <f>IFERROR((Table1[[#This Row],[2019 Total Scope 1, 2 + 3]])/Table1[[#This Row],[2018 Total Scope 1, 2 + Scope 3]]-1,"NA")</f>
        <v>0.24488372093023258</v>
      </c>
      <c r="U90" s="4"/>
      <c r="V90" s="12">
        <v>8102</v>
      </c>
      <c r="W90" s="12">
        <v>3397</v>
      </c>
      <c r="X90" s="12">
        <v>31457</v>
      </c>
      <c r="Y90" s="12">
        <f t="shared" si="28"/>
        <v>-19958</v>
      </c>
      <c r="Z90" s="12">
        <v>14605</v>
      </c>
      <c r="AA90" s="12">
        <f t="shared" si="21"/>
        <v>-5353</v>
      </c>
      <c r="AB90" s="12">
        <v>8000</v>
      </c>
      <c r="AC90" s="12">
        <v>2500</v>
      </c>
      <c r="AD90" s="12">
        <v>32000</v>
      </c>
      <c r="AE90" s="12">
        <f t="shared" si="29"/>
        <v>-21500</v>
      </c>
      <c r="AF90" s="12">
        <v>17200</v>
      </c>
      <c r="AG90" s="12">
        <f t="shared" si="23"/>
        <v>-4300</v>
      </c>
      <c r="AH90" s="12">
        <v>8265</v>
      </c>
      <c r="AI90" s="12">
        <v>2248</v>
      </c>
      <c r="AJ90" s="12">
        <v>38000</v>
      </c>
      <c r="AK90" s="12">
        <f t="shared" si="30"/>
        <v>-27487</v>
      </c>
      <c r="AL90" s="12">
        <v>17944</v>
      </c>
      <c r="AM90" s="12">
        <f t="shared" si="25"/>
        <v>-9543</v>
      </c>
      <c r="AN90" s="12">
        <v>9000</v>
      </c>
      <c r="AO90" s="12">
        <v>3350</v>
      </c>
      <c r="AP90" s="12">
        <v>32000</v>
      </c>
      <c r="AQ90" s="12">
        <f t="shared" si="31"/>
        <v>-19650</v>
      </c>
      <c r="AR90" s="12">
        <v>19700</v>
      </c>
      <c r="AS90" s="12">
        <f t="shared" si="26"/>
        <v>50</v>
      </c>
      <c r="AT90" s="12"/>
      <c r="AU90" s="12"/>
      <c r="AV90" s="12"/>
      <c r="AW90" s="12">
        <f t="shared" si="32"/>
        <v>0</v>
      </c>
      <c r="AX90" s="12"/>
      <c r="AY90" s="12">
        <f t="shared" si="27"/>
        <v>0</v>
      </c>
      <c r="BA90" s="18" t="s">
        <v>339</v>
      </c>
      <c r="BD90" s="42"/>
    </row>
    <row r="91" spans="1:56" ht="138" x14ac:dyDescent="0.3">
      <c r="A91" s="21" t="s">
        <v>340</v>
      </c>
      <c r="B91" s="21" t="s">
        <v>480</v>
      </c>
      <c r="C91" s="21" t="s">
        <v>2</v>
      </c>
      <c r="D91" s="4" t="s">
        <v>124</v>
      </c>
      <c r="E91" s="11">
        <v>69570000000</v>
      </c>
      <c r="F91" s="5" t="str">
        <f>IF(ISNUMBER(Table1[[#This Row],[2019 Scope 3 ]]),IF(Table1[[#This Row],[Net Earnings/Income (2019)]]-k_cost*Table1[[#This Row],[2019 Total Scope 1, 2 + 3]]&lt;0,"Y","N"),"NA")</f>
        <v>NA</v>
      </c>
      <c r="G91" s="54" t="str">
        <f>IF(ISNUMBER(Table1[[#This Row],[2019 Scope 3 ]]),IF(k_cost*Table1[[#This Row],[2019 Total Scope 1, 2 + 3]]/Table1[[#This Row],[Size (2019 Revenue)]]&gt;k_rev_max,"Y","N"),"NA")</f>
        <v>NA</v>
      </c>
      <c r="H91" s="54" t="str">
        <f>IF(OR(Table1[[#This Row],[Net earnings post carbon price @85/t]]="Y",Table1[[#This Row],[Carbon costs in % revenue]] = "Y"),"Y",IF(OR(Table1[[#This Row],[Net earnings post carbon price @85/t]]="NA",Table1[[#This Row],[Carbon costs in % revenue]]="NA"),"NA","N"))</f>
        <v>NA</v>
      </c>
      <c r="I91" s="11">
        <v>11050000000</v>
      </c>
      <c r="J91" s="10">
        <v>1957</v>
      </c>
      <c r="K91" t="s">
        <v>1</v>
      </c>
      <c r="L91" t="s">
        <v>0</v>
      </c>
      <c r="M91" t="s">
        <v>0</v>
      </c>
      <c r="P91" s="3" t="s">
        <v>341</v>
      </c>
      <c r="R91" t="s">
        <v>0</v>
      </c>
      <c r="T91" s="51" t="str">
        <f>IFERROR((Table1[[#This Row],[2019 Total Scope 1, 2 + 3]])/Table1[[#This Row],[2018 Total Scope 1, 2 + Scope 3]]-1,"NA")</f>
        <v>NA</v>
      </c>
      <c r="V91" s="12">
        <v>855073</v>
      </c>
      <c r="W91" s="12">
        <v>931544</v>
      </c>
      <c r="X91" s="12"/>
      <c r="Y91" s="12">
        <f t="shared" si="28"/>
        <v>1786617</v>
      </c>
      <c r="Z91" s="12" t="s">
        <v>401</v>
      </c>
      <c r="AA91" s="12" t="str">
        <f t="shared" si="21"/>
        <v/>
      </c>
      <c r="AB91" s="12">
        <v>897523</v>
      </c>
      <c r="AC91" s="12">
        <v>975778</v>
      </c>
      <c r="AD91" s="12"/>
      <c r="AE91" s="12">
        <f t="shared" si="29"/>
        <v>1873301</v>
      </c>
      <c r="AF91" s="12" t="s">
        <v>401</v>
      </c>
      <c r="AG91" s="12" t="str">
        <f t="shared" si="23"/>
        <v/>
      </c>
      <c r="AH91" s="12">
        <v>843275</v>
      </c>
      <c r="AI91" s="12">
        <v>1002150</v>
      </c>
      <c r="AJ91" s="12"/>
      <c r="AK91" s="12">
        <f t="shared" si="30"/>
        <v>1845425</v>
      </c>
      <c r="AL91" s="12" t="s">
        <v>401</v>
      </c>
      <c r="AM91" s="12" t="str">
        <f t="shared" si="25"/>
        <v/>
      </c>
      <c r="AN91" s="12">
        <v>865577</v>
      </c>
      <c r="AO91" s="12">
        <v>909738</v>
      </c>
      <c r="AP91" s="12"/>
      <c r="AQ91" s="12">
        <f t="shared" si="31"/>
        <v>1775315</v>
      </c>
      <c r="AR91" s="12" t="s">
        <v>401</v>
      </c>
      <c r="AS91" s="12" t="str">
        <f t="shared" si="26"/>
        <v/>
      </c>
      <c r="AT91" s="12">
        <v>851038</v>
      </c>
      <c r="AU91" s="12">
        <v>917030</v>
      </c>
      <c r="AV91" s="12"/>
      <c r="AW91" s="12">
        <f t="shared" si="32"/>
        <v>1768068</v>
      </c>
      <c r="AX91" s="12" t="s">
        <v>401</v>
      </c>
      <c r="AY91" s="12" t="str">
        <f t="shared" si="27"/>
        <v/>
      </c>
      <c r="BA91" s="3" t="s">
        <v>342</v>
      </c>
      <c r="BC91" s="3" t="s">
        <v>343</v>
      </c>
      <c r="BD91" s="42"/>
    </row>
    <row r="92" spans="1:56" ht="88" x14ac:dyDescent="0.3">
      <c r="A92" s="21" t="s">
        <v>344</v>
      </c>
      <c r="B92" s="21" t="s">
        <v>452</v>
      </c>
      <c r="C92" s="32" t="s">
        <v>7</v>
      </c>
      <c r="D92" s="4" t="s">
        <v>146</v>
      </c>
      <c r="E92" s="11">
        <v>25540000000</v>
      </c>
      <c r="F92" s="5" t="str">
        <f>IF(ISNUMBER(Table1[[#This Row],[2019 Scope 3 ]]),IF(Table1[[#This Row],[Net Earnings/Income (2019)]]-k_cost*Table1[[#This Row],[2019 Total Scope 1, 2 + 3]]&lt;0,"Y","N"),"NA")</f>
        <v>NA</v>
      </c>
      <c r="G92" s="54" t="str">
        <f>IF(ISNUMBER(Table1[[#This Row],[2019 Scope 3 ]]),IF(k_cost*Table1[[#This Row],[2019 Total Scope 1, 2 + 3]]/Table1[[#This Row],[Size (2019 Revenue)]]&gt;k_rev_max,"Y","N"),"NA")</f>
        <v>NA</v>
      </c>
      <c r="H92" s="54" t="str">
        <f>IF(OR(Table1[[#This Row],[Net earnings post carbon price @85/t]]="Y",Table1[[#This Row],[Carbon costs in % revenue]] = "Y"),"Y",IF(OR(Table1[[#This Row],[Net earnings post carbon price @85/t]]="NA",Table1[[#This Row],[Carbon costs in % revenue]]="NA"),"NA","N"))</f>
        <v>NA</v>
      </c>
      <c r="I92" s="11">
        <v>3696000000</v>
      </c>
      <c r="J92" s="10">
        <v>1965</v>
      </c>
      <c r="K92" t="s">
        <v>1</v>
      </c>
      <c r="L92" t="s">
        <v>0</v>
      </c>
      <c r="M92" t="s">
        <v>0</v>
      </c>
      <c r="R92" t="s">
        <v>0</v>
      </c>
      <c r="T92" s="51" t="str">
        <f>IFERROR((Table1[[#This Row],[2019 Total Scope 1, 2 + 3]])/Table1[[#This Row],[2018 Total Scope 1, 2 + Scope 3]]-1,"NA")</f>
        <v>NA</v>
      </c>
      <c r="V92" s="12" t="s">
        <v>401</v>
      </c>
      <c r="W92" s="12" t="s">
        <v>401</v>
      </c>
      <c r="X92" s="12"/>
      <c r="Y92" s="12" t="str">
        <f t="shared" si="28"/>
        <v/>
      </c>
      <c r="Z92" s="12" t="s">
        <v>401</v>
      </c>
      <c r="AA92" s="12" t="str">
        <f t="shared" si="21"/>
        <v/>
      </c>
      <c r="AB92" s="12">
        <v>147521.62</v>
      </c>
      <c r="AC92" s="12">
        <v>690767.33</v>
      </c>
      <c r="AD92" s="12"/>
      <c r="AE92" s="12">
        <f t="shared" si="29"/>
        <v>838288.95</v>
      </c>
      <c r="AF92" s="12" t="s">
        <v>401</v>
      </c>
      <c r="AG92" s="12" t="str">
        <f t="shared" si="23"/>
        <v/>
      </c>
      <c r="AH92" s="12">
        <v>70255</v>
      </c>
      <c r="AI92" s="12">
        <v>408244</v>
      </c>
      <c r="AJ92" s="12"/>
      <c r="AK92" s="12">
        <f t="shared" si="30"/>
        <v>478499</v>
      </c>
      <c r="AL92" s="12">
        <v>206994</v>
      </c>
      <c r="AM92" s="12">
        <f t="shared" si="25"/>
        <v>685493</v>
      </c>
      <c r="AN92" s="12">
        <v>83529</v>
      </c>
      <c r="AO92" s="12">
        <v>305579</v>
      </c>
      <c r="AP92" s="12"/>
      <c r="AQ92" s="12">
        <f t="shared" si="31"/>
        <v>389108</v>
      </c>
      <c r="AR92" s="12"/>
      <c r="AS92" s="12">
        <f t="shared" si="26"/>
        <v>389108</v>
      </c>
      <c r="AT92" s="12">
        <v>92458</v>
      </c>
      <c r="AU92" s="12">
        <v>301234</v>
      </c>
      <c r="AV92" s="12"/>
      <c r="AW92" s="12">
        <f t="shared" si="32"/>
        <v>393692</v>
      </c>
      <c r="AX92" s="12"/>
      <c r="AY92" s="12">
        <f t="shared" si="27"/>
        <v>393692</v>
      </c>
      <c r="BA92" s="18" t="s">
        <v>345</v>
      </c>
      <c r="BC92" s="3" t="s">
        <v>346</v>
      </c>
      <c r="BD92" s="42"/>
    </row>
    <row r="93" spans="1:56" ht="125.5" x14ac:dyDescent="0.3">
      <c r="A93" s="21" t="s">
        <v>347</v>
      </c>
      <c r="B93" s="21" t="s">
        <v>441</v>
      </c>
      <c r="C93" s="21" t="s">
        <v>8</v>
      </c>
      <c r="D93" s="4" t="s">
        <v>165</v>
      </c>
      <c r="E93" s="11">
        <v>21700000000</v>
      </c>
      <c r="F93" s="5" t="str">
        <f>IF(ISNUMBER(Table1[[#This Row],[2019 Scope 3 ]]),IF(Table1[[#This Row],[Net Earnings/Income (2019)]]-k_cost*Table1[[#This Row],[2019 Total Scope 1, 2 + 3]]&lt;0,"Y","N"),"NA")</f>
        <v>N</v>
      </c>
      <c r="G93" s="54" t="str">
        <f>IF(ISNUMBER(Table1[[#This Row],[2019 Scope 3 ]]),IF(k_cost*Table1[[#This Row],[2019 Total Scope 1, 2 + 3]]/Table1[[#This Row],[Size (2019 Revenue)]]&gt;k_rev_max,"Y","N"),"NA")</f>
        <v>N</v>
      </c>
      <c r="H93" s="54" t="str">
        <f>IF(OR(Table1[[#This Row],[Net earnings post carbon price @85/t]]="Y",Table1[[#This Row],[Carbon costs in % revenue]] = "Y"),"Y",IF(OR(Table1[[#This Row],[Net earnings post carbon price @85/t]]="NA",Table1[[#This Row],[Carbon costs in % revenue]]="NA"),"NA","N"))</f>
        <v>N</v>
      </c>
      <c r="I93" s="11">
        <v>5900000000</v>
      </c>
      <c r="K93" t="s">
        <v>1</v>
      </c>
      <c r="L93" t="s">
        <v>0</v>
      </c>
      <c r="M93" s="3" t="s">
        <v>1</v>
      </c>
      <c r="R93" t="s">
        <v>0</v>
      </c>
      <c r="T93" s="51">
        <f>IFERROR((Table1[[#This Row],[2019 Total Scope 1, 2 + 3]])/Table1[[#This Row],[2018 Total Scope 1, 2 + Scope 3]]-1,"NA")</f>
        <v>-0.1143315255931987</v>
      </c>
      <c r="V93" s="12">
        <v>9688964</v>
      </c>
      <c r="W93" s="12">
        <f>10415469-V93</f>
        <v>726505</v>
      </c>
      <c r="X93" s="12"/>
      <c r="Y93" s="12">
        <f t="shared" si="28"/>
        <v>10415469</v>
      </c>
      <c r="Z93" s="12">
        <v>15495</v>
      </c>
      <c r="AA93" s="12">
        <f t="shared" si="21"/>
        <v>10430964</v>
      </c>
      <c r="AB93" s="12">
        <v>10874731</v>
      </c>
      <c r="AC93" s="12">
        <f>11760366-AB93</f>
        <v>885635</v>
      </c>
      <c r="AD93" s="12"/>
      <c r="AE93" s="12">
        <f t="shared" si="29"/>
        <v>11760366</v>
      </c>
      <c r="AF93" s="12">
        <v>17138</v>
      </c>
      <c r="AG93" s="12">
        <f t="shared" si="23"/>
        <v>11777504</v>
      </c>
      <c r="AH93" s="12">
        <v>10216978</v>
      </c>
      <c r="AI93" s="12">
        <f>10989985-AH93</f>
        <v>773007</v>
      </c>
      <c r="AJ93" s="12"/>
      <c r="AK93" s="12">
        <f t="shared" si="30"/>
        <v>10989985</v>
      </c>
      <c r="AL93" s="12">
        <v>18466</v>
      </c>
      <c r="AM93" s="12">
        <f t="shared" si="25"/>
        <v>11008451</v>
      </c>
      <c r="AN93" s="12">
        <v>9913870</v>
      </c>
      <c r="AO93" s="12">
        <f>10685250-AN93</f>
        <v>771380</v>
      </c>
      <c r="AP93" s="12"/>
      <c r="AQ93" s="12">
        <f t="shared" si="31"/>
        <v>10685250</v>
      </c>
      <c r="AR93" s="12">
        <v>18603</v>
      </c>
      <c r="AS93" s="12">
        <f t="shared" si="26"/>
        <v>10703853</v>
      </c>
      <c r="AT93" s="12">
        <v>10834984</v>
      </c>
      <c r="AU93" s="12">
        <f>11683549 -AT93</f>
        <v>848565</v>
      </c>
      <c r="AV93" s="12"/>
      <c r="AW93" s="12">
        <f t="shared" si="32"/>
        <v>11683549</v>
      </c>
      <c r="AX93" s="12">
        <v>19803</v>
      </c>
      <c r="AY93" s="12">
        <f t="shared" si="27"/>
        <v>11703352</v>
      </c>
      <c r="AZ93" s="3" t="s">
        <v>348</v>
      </c>
      <c r="BA93" s="14" t="s">
        <v>349</v>
      </c>
      <c r="BC93" s="3" t="s">
        <v>350</v>
      </c>
      <c r="BD93" s="42"/>
    </row>
    <row r="94" spans="1:56" ht="75.5" x14ac:dyDescent="0.3">
      <c r="A94" s="21" t="s">
        <v>351</v>
      </c>
      <c r="B94" s="21" t="s">
        <v>351</v>
      </c>
      <c r="C94" s="32" t="s">
        <v>7</v>
      </c>
      <c r="D94" s="4" t="s">
        <v>352</v>
      </c>
      <c r="E94" s="11">
        <v>242200000000</v>
      </c>
      <c r="F94" s="5" t="str">
        <f>IF(ISNUMBER(Table1[[#This Row],[2019 Scope 3 ]]),IF(Table1[[#This Row],[Net Earnings/Income (2019)]]-k_cost*Table1[[#This Row],[2019 Total Scope 1, 2 + 3]]&lt;0,"Y","N"),"NA")</f>
        <v>N</v>
      </c>
      <c r="G94" s="54" t="str">
        <f>IF(ISNUMBER(Table1[[#This Row],[2019 Scope 3 ]]),IF(k_cost*Table1[[#This Row],[2019 Total Scope 1, 2 + 3]]/Table1[[#This Row],[Size (2019 Revenue)]]&gt;k_rev_max,"Y","N"),"NA")</f>
        <v>N</v>
      </c>
      <c r="H94" s="54" t="str">
        <f>IF(OR(Table1[[#This Row],[Net earnings post carbon price @85/t]]="Y",Table1[[#This Row],[Carbon costs in % revenue]] = "Y"),"Y",IF(OR(Table1[[#This Row],[Net earnings post carbon price @85/t]]="NA",Table1[[#This Row],[Carbon costs in % revenue]]="NA"),"NA","N"))</f>
        <v>N</v>
      </c>
      <c r="I94" s="11">
        <v>14240000000</v>
      </c>
      <c r="J94" s="10">
        <v>1984</v>
      </c>
      <c r="K94" t="s">
        <v>1</v>
      </c>
      <c r="L94" t="s">
        <v>0</v>
      </c>
      <c r="M94" t="s">
        <v>0</v>
      </c>
      <c r="P94" s="3" t="s">
        <v>353</v>
      </c>
      <c r="R94" t="s">
        <v>0</v>
      </c>
      <c r="T94" s="51">
        <f>IFERROR((Table1[[#This Row],[2019 Total Scope 1, 2 + 3]])/Table1[[#This Row],[2018 Total Scope 1, 2 + Scope 3]]-1,"NA")</f>
        <v>0.26102295004393961</v>
      </c>
      <c r="V94" s="12">
        <v>17709</v>
      </c>
      <c r="W94" s="12">
        <v>149418</v>
      </c>
      <c r="X94" s="12"/>
      <c r="Y94" s="12">
        <f t="shared" si="28"/>
        <v>167127</v>
      </c>
      <c r="Z94" s="12">
        <f>25934+63005+252683+88189</f>
        <v>429811</v>
      </c>
      <c r="AA94" s="12">
        <f t="shared" si="21"/>
        <v>596938</v>
      </c>
      <c r="AB94" s="12">
        <v>13924</v>
      </c>
      <c r="AC94" s="12">
        <v>158042</v>
      </c>
      <c r="AD94" s="12"/>
      <c r="AE94" s="12">
        <f t="shared" si="29"/>
        <v>171966</v>
      </c>
      <c r="AF94" s="12">
        <v>301410</v>
      </c>
      <c r="AG94" s="12">
        <f t="shared" si="23"/>
        <v>473376</v>
      </c>
      <c r="AH94" s="12">
        <v>16570</v>
      </c>
      <c r="AI94" s="12">
        <v>156719</v>
      </c>
      <c r="AJ94" s="12"/>
      <c r="AK94" s="12">
        <f t="shared" si="30"/>
        <v>173289</v>
      </c>
      <c r="AL94" s="12">
        <v>127671</v>
      </c>
      <c r="AM94" s="12">
        <f t="shared" si="25"/>
        <v>300960</v>
      </c>
      <c r="AN94" s="12">
        <v>15838</v>
      </c>
      <c r="AO94" s="12">
        <v>161303</v>
      </c>
      <c r="AP94" s="12"/>
      <c r="AQ94" s="12">
        <f t="shared" si="31"/>
        <v>177141</v>
      </c>
      <c r="AR94" s="12">
        <v>146373</v>
      </c>
      <c r="AS94" s="12">
        <f t="shared" si="26"/>
        <v>323514</v>
      </c>
      <c r="AT94" s="12">
        <v>16567</v>
      </c>
      <c r="AU94" s="12">
        <v>180096</v>
      </c>
      <c r="AV94" s="12"/>
      <c r="AW94" s="12">
        <f t="shared" si="32"/>
        <v>196663</v>
      </c>
      <c r="AX94" s="12">
        <v>173042</v>
      </c>
      <c r="AY94" s="12">
        <f t="shared" si="27"/>
        <v>369705</v>
      </c>
      <c r="BA94" s="3" t="s">
        <v>354</v>
      </c>
      <c r="BC94" s="3" t="s">
        <v>355</v>
      </c>
      <c r="BD94" s="42"/>
    </row>
    <row r="95" spans="1:56" ht="225.5" x14ac:dyDescent="0.3">
      <c r="A95" s="21" t="s">
        <v>356</v>
      </c>
      <c r="B95" s="21" t="s">
        <v>394</v>
      </c>
      <c r="C95" s="21" t="s">
        <v>8</v>
      </c>
      <c r="D95" s="4" t="s">
        <v>165</v>
      </c>
      <c r="E95" s="11">
        <v>74094000000</v>
      </c>
      <c r="F95" s="5" t="str">
        <f>IF(ISNUMBER(Table1[[#This Row],[2019 Scope 3 ]]),IF(Table1[[#This Row],[Net Earnings/Income (2019)]]-k_cost*Table1[[#This Row],[2019 Total Scope 1, 2 + 3]]&lt;0,"Y","N"),"NA")</f>
        <v>N</v>
      </c>
      <c r="G95" s="54" t="str">
        <f>IF(ISNUMBER(Table1[[#This Row],[2019 Scope 3 ]]),IF(k_cost*Table1[[#This Row],[2019 Total Scope 1, 2 + 3]]/Table1[[#This Row],[Size (2019 Revenue)]]&gt;k_rev_max,"Y","N"),"NA")</f>
        <v>N</v>
      </c>
      <c r="H95" s="54" t="str">
        <f>IF(OR(Table1[[#This Row],[Net earnings post carbon price @85/t]]="Y",Table1[[#This Row],[Carbon costs in % revenue]] = "Y"),"Y",IF(OR(Table1[[#This Row],[Net earnings post carbon price @85/t]]="NA",Table1[[#This Row],[Carbon costs in % revenue]]="NA"),"NA","N"))</f>
        <v>N</v>
      </c>
      <c r="I95" s="11">
        <v>4400000000</v>
      </c>
      <c r="J95" s="10">
        <v>1999</v>
      </c>
      <c r="K95" t="s">
        <v>1</v>
      </c>
      <c r="L95" t="s">
        <v>0</v>
      </c>
      <c r="M95" t="s">
        <v>0</v>
      </c>
      <c r="P95" s="3" t="s">
        <v>357</v>
      </c>
      <c r="Q95" t="s">
        <v>1</v>
      </c>
      <c r="R95" t="s">
        <v>0</v>
      </c>
      <c r="T95" s="51">
        <f>IFERROR((Table1[[#This Row],[2019 Total Scope 1, 2 + 3]])/Table1[[#This Row],[2018 Total Scope 1, 2 + Scope 3]]-1,"NA")</f>
        <v>-9.7068664032273766E-3</v>
      </c>
      <c r="V95" s="12">
        <v>14223000</v>
      </c>
      <c r="W95" s="12">
        <v>731000</v>
      </c>
      <c r="X95" s="12"/>
      <c r="Y95" s="12">
        <f t="shared" si="28"/>
        <v>14954000</v>
      </c>
      <c r="Z95" s="12">
        <f>3122000+4629000+2820000+8198000+25000+69000+2079000+9000+57000</f>
        <v>21008000</v>
      </c>
      <c r="AA95" s="12">
        <f t="shared" si="21"/>
        <v>35962000</v>
      </c>
      <c r="AB95" s="12">
        <v>13851000</v>
      </c>
      <c r="AC95" s="12">
        <v>784000</v>
      </c>
      <c r="AD95" s="12">
        <f>(95.9+7.6)*1000</f>
        <v>103500</v>
      </c>
      <c r="AE95" s="12">
        <f t="shared" si="29"/>
        <v>14531500</v>
      </c>
      <c r="AF95" s="12">
        <v>21783000</v>
      </c>
      <c r="AG95" s="12">
        <f t="shared" si="23"/>
        <v>36314500</v>
      </c>
      <c r="AH95" s="12">
        <v>13047000</v>
      </c>
      <c r="AI95" s="12">
        <v>745000</v>
      </c>
      <c r="AJ95" s="12">
        <f>(77.9+6.3)*1000</f>
        <v>84200</v>
      </c>
      <c r="AK95" s="12">
        <f t="shared" si="30"/>
        <v>13707800</v>
      </c>
      <c r="AL95" s="12">
        <v>20071000</v>
      </c>
      <c r="AM95" s="12">
        <f t="shared" si="25"/>
        <v>33778800</v>
      </c>
      <c r="AN95" s="12">
        <v>12432000</v>
      </c>
      <c r="AO95" s="12">
        <v>831000</v>
      </c>
      <c r="AP95" s="12">
        <f>(95.7+6)*1000</f>
        <v>101700</v>
      </c>
      <c r="AQ95" s="12">
        <f t="shared" si="31"/>
        <v>13161300</v>
      </c>
      <c r="AR95" s="12">
        <v>17430000</v>
      </c>
      <c r="AS95" s="12">
        <f t="shared" si="26"/>
        <v>30591300</v>
      </c>
      <c r="AT95" s="12">
        <v>12197000</v>
      </c>
      <c r="AU95" s="12">
        <v>814000</v>
      </c>
      <c r="AV95" s="12">
        <f>(44.9+3.2)*1000</f>
        <v>48100</v>
      </c>
      <c r="AW95" s="12">
        <f t="shared" si="32"/>
        <v>12962900</v>
      </c>
      <c r="AX95" s="12">
        <v>16877000</v>
      </c>
      <c r="AY95" s="12">
        <f t="shared" si="27"/>
        <v>29839900</v>
      </c>
      <c r="AZ95" s="3" t="s">
        <v>358</v>
      </c>
      <c r="BA95" s="3" t="s">
        <v>359</v>
      </c>
      <c r="BC95" s="3" t="s">
        <v>360</v>
      </c>
      <c r="BD95" s="42"/>
    </row>
    <row r="96" spans="1:56" ht="163" x14ac:dyDescent="0.3">
      <c r="A96" s="21" t="s">
        <v>361</v>
      </c>
      <c r="B96" s="21" t="s">
        <v>361</v>
      </c>
      <c r="C96" s="32" t="s">
        <v>6</v>
      </c>
      <c r="D96" s="4" t="s">
        <v>103</v>
      </c>
      <c r="E96" s="11">
        <v>25775000000</v>
      </c>
      <c r="F96" s="5" t="str">
        <f>IF(ISNUMBER(Table1[[#This Row],[2019 Scope 3 ]]),IF(Table1[[#This Row],[Net Earnings/Income (2019)]]-k_cost*Table1[[#This Row],[2019 Total Scope 1, 2 + 3]]&lt;0,"Y","N"),"NA")</f>
        <v>N</v>
      </c>
      <c r="G96" s="54" t="str">
        <f>IF(ISNUMBER(Table1[[#This Row],[2019 Scope 3 ]]),IF(k_cost*Table1[[#This Row],[2019 Total Scope 1, 2 + 3]]/Table1[[#This Row],[Size (2019 Revenue)]]&gt;k_rev_max,"Y","N"),"NA")</f>
        <v>N</v>
      </c>
      <c r="H96" s="54" t="str">
        <f>IF(OR(Table1[[#This Row],[Net earnings post carbon price @85/t]]="Y",Table1[[#This Row],[Carbon costs in % revenue]] = "Y"),"Y",IF(OR(Table1[[#This Row],[Net earnings post carbon price @85/t]]="NA",Table1[[#This Row],[Carbon costs in % revenue]]="NA"),"NA","N"))</f>
        <v>N</v>
      </c>
      <c r="I96" s="11">
        <v>6914000000</v>
      </c>
      <c r="J96" s="10" t="s">
        <v>362</v>
      </c>
      <c r="K96" t="s">
        <v>0</v>
      </c>
      <c r="L96" t="s">
        <v>0</v>
      </c>
      <c r="M96" t="s">
        <v>0</v>
      </c>
      <c r="P96" s="3" t="s">
        <v>363</v>
      </c>
      <c r="R96" t="s">
        <v>0</v>
      </c>
      <c r="T96" s="51">
        <f>IFERROR((Table1[[#This Row],[2019 Total Scope 1, 2 + 3]])/Table1[[#This Row],[2018 Total Scope 1, 2 + Scope 3]]-1,"NA")</f>
        <v>-0.31991370447152412</v>
      </c>
      <c r="V96" s="12">
        <v>56482</v>
      </c>
      <c r="W96" s="12">
        <v>176447</v>
      </c>
      <c r="X96" s="12"/>
      <c r="Y96" s="12">
        <f t="shared" si="28"/>
        <v>232929</v>
      </c>
      <c r="Z96" s="12">
        <f>8528+38762+79195+44088</f>
        <v>170573</v>
      </c>
      <c r="AA96" s="12">
        <f t="shared" si="21"/>
        <v>403502</v>
      </c>
      <c r="AB96" s="12">
        <v>63333</v>
      </c>
      <c r="AC96" s="12">
        <v>233322</v>
      </c>
      <c r="AD96" s="12">
        <f>5165+32382+48317</f>
        <v>85864</v>
      </c>
      <c r="AE96" s="12">
        <f t="shared" si="29"/>
        <v>210791</v>
      </c>
      <c r="AF96" s="50">
        <v>382519</v>
      </c>
      <c r="AG96" s="12">
        <f t="shared" si="23"/>
        <v>593310</v>
      </c>
      <c r="AH96" s="12">
        <v>55029</v>
      </c>
      <c r="AI96" s="12">
        <v>239367</v>
      </c>
      <c r="AJ96" s="12"/>
      <c r="AK96" s="12">
        <f t="shared" si="30"/>
        <v>294396</v>
      </c>
      <c r="AL96" s="12"/>
      <c r="AM96" s="12">
        <f t="shared" si="25"/>
        <v>294396</v>
      </c>
      <c r="AN96" s="12">
        <v>53544</v>
      </c>
      <c r="AO96" s="12">
        <v>325439</v>
      </c>
      <c r="AP96" s="12"/>
      <c r="AQ96" s="12">
        <f t="shared" si="31"/>
        <v>378983</v>
      </c>
      <c r="AR96" s="12">
        <f>4953+27620+54092</f>
        <v>86665</v>
      </c>
      <c r="AS96" s="12">
        <f t="shared" si="26"/>
        <v>465648</v>
      </c>
      <c r="AT96" s="12"/>
      <c r="AU96" s="12"/>
      <c r="AV96" s="12"/>
      <c r="AW96" s="12">
        <f t="shared" si="32"/>
        <v>0</v>
      </c>
      <c r="AX96" s="12"/>
      <c r="AY96" s="12">
        <f t="shared" si="27"/>
        <v>0</v>
      </c>
      <c r="BA96" s="3" t="s">
        <v>364</v>
      </c>
      <c r="BC96" s="3" t="s">
        <v>365</v>
      </c>
      <c r="BD96" s="42" t="s">
        <v>499</v>
      </c>
    </row>
    <row r="97" spans="1:56" ht="88" x14ac:dyDescent="0.3">
      <c r="A97" s="21" t="s">
        <v>366</v>
      </c>
      <c r="B97" s="21" t="s">
        <v>442</v>
      </c>
      <c r="C97" s="21" t="s">
        <v>2</v>
      </c>
      <c r="D97" s="4" t="s">
        <v>99</v>
      </c>
      <c r="E97" s="5">
        <v>131860000000</v>
      </c>
      <c r="F97" s="5" t="str">
        <f>IF(ISNUMBER(Table1[[#This Row],[2019 Scope 3 ]]),IF(Table1[[#This Row],[Net Earnings/Income (2019)]]-k_cost*Table1[[#This Row],[2019 Total Scope 1, 2 + 3]]&lt;0,"Y","N"),"NA")</f>
        <v>N</v>
      </c>
      <c r="G97" s="54" t="str">
        <f>IF(ISNUMBER(Table1[[#This Row],[2019 Scope 3 ]]),IF(k_cost*Table1[[#This Row],[2019 Total Scope 1, 2 + 3]]/Table1[[#This Row],[Size (2019 Revenue)]]&gt;k_rev_max,"Y","N"),"NA")</f>
        <v>N</v>
      </c>
      <c r="H97" s="54" t="str">
        <f>IF(OR(Table1[[#This Row],[Net earnings post carbon price @85/t]]="Y",Table1[[#This Row],[Carbon costs in % revenue]] = "Y"),"Y",IF(OR(Table1[[#This Row],[Net earnings post carbon price @85/t]]="NA",Table1[[#This Row],[Carbon costs in % revenue]]="NA"),"NA","N"))</f>
        <v>N</v>
      </c>
      <c r="I97" s="5">
        <v>19790000000</v>
      </c>
      <c r="J97" s="9">
        <v>2000</v>
      </c>
      <c r="K97" s="5" t="s">
        <v>1</v>
      </c>
      <c r="L97" t="s">
        <v>1</v>
      </c>
      <c r="M97" t="s">
        <v>0</v>
      </c>
      <c r="N97">
        <v>2035</v>
      </c>
      <c r="O97">
        <v>2019</v>
      </c>
      <c r="Q97" t="s">
        <v>1</v>
      </c>
      <c r="R97" t="s">
        <v>0</v>
      </c>
      <c r="S97" t="s">
        <v>367</v>
      </c>
      <c r="T97" s="51" t="str">
        <f>IFERROR((Table1[[#This Row],[2019 Total Scope 1, 2 + 3]])/Table1[[#This Row],[2018 Total Scope 1, 2 + Scope 3]]-1,"NA")</f>
        <v>NA</v>
      </c>
      <c r="V97" s="12">
        <v>358753</v>
      </c>
      <c r="W97" s="12">
        <v>3982613</v>
      </c>
      <c r="X97" s="12"/>
      <c r="Y97" s="12">
        <f t="shared" si="28"/>
        <v>4341366</v>
      </c>
      <c r="Z97" s="12">
        <f>12502929+1057075+65443+36503+92882+511555+56906+2736735+1619</f>
        <v>17061647</v>
      </c>
      <c r="AA97" s="12">
        <f t="shared" si="21"/>
        <v>21403013</v>
      </c>
      <c r="AB97" s="12">
        <v>385241</v>
      </c>
      <c r="AC97" s="12">
        <v>4033579</v>
      </c>
      <c r="AD97" s="12"/>
      <c r="AE97" s="12">
        <f t="shared" si="29"/>
        <v>4418820</v>
      </c>
      <c r="AF97" s="12" t="s">
        <v>401</v>
      </c>
      <c r="AG97" s="12" t="str">
        <f t="shared" si="23"/>
        <v/>
      </c>
      <c r="AH97" s="12">
        <v>376735</v>
      </c>
      <c r="AI97" s="12">
        <v>4522261</v>
      </c>
      <c r="AJ97" s="12"/>
      <c r="AK97" s="12">
        <f t="shared" si="30"/>
        <v>4898996</v>
      </c>
      <c r="AL97" s="12">
        <v>69271</v>
      </c>
      <c r="AM97" s="12">
        <f t="shared" si="25"/>
        <v>4968267</v>
      </c>
      <c r="AN97" s="12">
        <v>372496</v>
      </c>
      <c r="AO97" s="12">
        <v>5529727</v>
      </c>
      <c r="AP97" s="12"/>
      <c r="AQ97" s="12">
        <f t="shared" si="31"/>
        <v>5902223</v>
      </c>
      <c r="AR97" s="12">
        <v>91365</v>
      </c>
      <c r="AS97" s="12">
        <f t="shared" si="26"/>
        <v>5993588</v>
      </c>
      <c r="AT97" s="12">
        <v>445704</v>
      </c>
      <c r="AU97" s="12">
        <v>5529153</v>
      </c>
      <c r="AV97" s="12"/>
      <c r="AW97" s="12">
        <f t="shared" si="32"/>
        <v>5974857</v>
      </c>
      <c r="AX97" s="12">
        <v>43333</v>
      </c>
      <c r="AY97" s="12">
        <f t="shared" si="27"/>
        <v>6018190</v>
      </c>
      <c r="BA97" s="3" t="s">
        <v>368</v>
      </c>
      <c r="BB97" t="s">
        <v>369</v>
      </c>
      <c r="BC97" s="3" t="s">
        <v>370</v>
      </c>
      <c r="BD97" s="42"/>
    </row>
    <row r="98" spans="1:56" ht="113" x14ac:dyDescent="0.3">
      <c r="A98" s="21" t="s">
        <v>371</v>
      </c>
      <c r="B98" s="21" t="s">
        <v>462</v>
      </c>
      <c r="C98" s="32" t="s">
        <v>6</v>
      </c>
      <c r="D98" s="4" t="s">
        <v>89</v>
      </c>
      <c r="E98" s="5">
        <v>23000000000</v>
      </c>
      <c r="F98" s="5" t="str">
        <f>IF(ISNUMBER(Table1[[#This Row],[2019 Scope 3 ]]),IF(Table1[[#This Row],[Net Earnings/Income (2019)]]-k_cost*Table1[[#This Row],[2019 Total Scope 1, 2 + 3]]&lt;0,"Y","N"),"NA")</f>
        <v>N</v>
      </c>
      <c r="G98" s="54" t="str">
        <f>IF(ISNUMBER(Table1[[#This Row],[2019 Scope 3 ]]),IF(k_cost*Table1[[#This Row],[2019 Total Scope 1, 2 + 3]]/Table1[[#This Row],[Size (2019 Revenue)]]&gt;k_rev_max,"Y","N"),"NA")</f>
        <v>N</v>
      </c>
      <c r="H98" s="54" t="str">
        <f>IF(OR(Table1[[#This Row],[Net earnings post carbon price @85/t]]="Y",Table1[[#This Row],[Carbon costs in % revenue]] = "Y"),"Y",IF(OR(Table1[[#This Row],[Net earnings post carbon price @85/t]]="NA",Table1[[#This Row],[Carbon costs in % revenue]]="NA"),"NA","N"))</f>
        <v>N</v>
      </c>
      <c r="I98" s="5">
        <v>12100000000</v>
      </c>
      <c r="J98" s="9">
        <v>2008</v>
      </c>
      <c r="K98" s="5" t="s">
        <v>1</v>
      </c>
      <c r="L98" t="s">
        <v>0</v>
      </c>
      <c r="M98" t="s">
        <v>0</v>
      </c>
      <c r="R98" t="s">
        <v>1</v>
      </c>
      <c r="S98">
        <v>2019</v>
      </c>
      <c r="T98" s="51">
        <f>IFERROR((Table1[[#This Row],[2019 Total Scope 1, 2 + 3]])/Table1[[#This Row],[2018 Total Scope 1, 2 + Scope 3]]-1,"NA")</f>
        <v>0.9770039995693709</v>
      </c>
      <c r="V98" s="12">
        <v>8642</v>
      </c>
      <c r="W98" s="12">
        <v>51366</v>
      </c>
      <c r="X98" s="12"/>
      <c r="Y98" s="12">
        <f t="shared" si="28"/>
        <v>60008</v>
      </c>
      <c r="Z98" s="12">
        <f>430410+13729+2203+48009+29518+94</f>
        <v>523963</v>
      </c>
      <c r="AA98" s="12">
        <f t="shared" ref="AA98:AA101" si="33">IFERROR(Y98+Z98,"")</f>
        <v>583971</v>
      </c>
      <c r="AB98" s="12">
        <f>287390*0.03</f>
        <v>8621.6999999999989</v>
      </c>
      <c r="AC98" s="12">
        <f>287390*0.19</f>
        <v>54604.1</v>
      </c>
      <c r="AD98" s="12"/>
      <c r="AE98" s="12">
        <f t="shared" si="29"/>
        <v>63225.799999999996</v>
      </c>
      <c r="AF98" s="12">
        <f>153409+6583+2793+47000+22342+29</f>
        <v>232156</v>
      </c>
      <c r="AG98" s="12">
        <f t="shared" ref="AG98:AG101" si="34">IFERROR(AE98+AF98,"")</f>
        <v>295381.8</v>
      </c>
      <c r="AH98" s="12">
        <v>9143</v>
      </c>
      <c r="AI98" s="12">
        <v>56628</v>
      </c>
      <c r="AJ98" s="12"/>
      <c r="AK98" s="12">
        <f t="shared" si="30"/>
        <v>65771</v>
      </c>
      <c r="AL98" s="12">
        <v>55182</v>
      </c>
      <c r="AM98" s="12">
        <f t="shared" ref="AM98:AM101" si="35">IFERROR(AK98+AL98,"")</f>
        <v>120953</v>
      </c>
      <c r="AN98" s="12">
        <v>9005</v>
      </c>
      <c r="AO98" s="12">
        <v>68968</v>
      </c>
      <c r="AP98" s="12"/>
      <c r="AQ98" s="12">
        <f t="shared" si="31"/>
        <v>77973</v>
      </c>
      <c r="AR98" s="12">
        <v>49736</v>
      </c>
      <c r="AS98" s="12">
        <f t="shared" ref="AS98:AS101" si="36">IFERROR(AQ98+AR98,"")</f>
        <v>127709</v>
      </c>
      <c r="AT98" s="12">
        <v>17837</v>
      </c>
      <c r="AU98" s="12">
        <v>55177</v>
      </c>
      <c r="AV98" s="12"/>
      <c r="AW98" s="12">
        <f t="shared" si="32"/>
        <v>73014</v>
      </c>
      <c r="AX98" s="12">
        <v>33149</v>
      </c>
      <c r="AY98" s="12">
        <f t="shared" ref="AY98:AY101" si="37">IFERROR(AW98+AX98,"")</f>
        <v>106163</v>
      </c>
      <c r="AZ98" t="s">
        <v>0</v>
      </c>
      <c r="BA98" s="3" t="s">
        <v>372</v>
      </c>
      <c r="BB98" s="3" t="s">
        <v>373</v>
      </c>
      <c r="BC98" s="3" t="s">
        <v>374</v>
      </c>
      <c r="BD98" s="42"/>
    </row>
    <row r="99" spans="1:56" ht="50.5" x14ac:dyDescent="0.3">
      <c r="A99" s="21" t="s">
        <v>375</v>
      </c>
      <c r="B99" s="21" t="s">
        <v>479</v>
      </c>
      <c r="C99" s="32" t="s">
        <v>7</v>
      </c>
      <c r="D99" s="4" t="s">
        <v>85</v>
      </c>
      <c r="E99" s="11">
        <v>136900000000</v>
      </c>
      <c r="F99" s="5" t="str">
        <f>IF(ISNUMBER(Table1[[#This Row],[2019 Scope 3 ]]),IF(Table1[[#This Row],[Net Earnings/Income (2019)]]-k_cost*Table1[[#This Row],[2019 Total Scope 1, 2 + 3]]&lt;0,"Y","N"),"NA")</f>
        <v>N</v>
      </c>
      <c r="G99" s="54" t="str">
        <f>IF(ISNUMBER(Table1[[#This Row],[2019 Scope 3 ]]),IF(k_cost*Table1[[#This Row],[2019 Total Scope 1, 2 + 3]]/Table1[[#This Row],[Size (2019 Revenue)]]&gt;k_rev_max,"Y","N"),"NA")</f>
        <v>N</v>
      </c>
      <c r="H99" s="54" t="str">
        <f>IF(OR(Table1[[#This Row],[Net earnings post carbon price @85/t]]="Y",Table1[[#This Row],[Carbon costs in % revenue]] = "Y"),"Y",IF(OR(Table1[[#This Row],[Net earnings post carbon price @85/t]]="NA",Table1[[#This Row],[Carbon costs in % revenue]]="NA"),"NA","N"))</f>
        <v>N</v>
      </c>
      <c r="I99" s="11">
        <v>3900000000</v>
      </c>
      <c r="J99" s="10">
        <v>1927</v>
      </c>
      <c r="K99" t="s">
        <v>1</v>
      </c>
      <c r="L99" t="s">
        <v>0</v>
      </c>
      <c r="M99" t="s">
        <v>0</v>
      </c>
      <c r="R99" t="s">
        <v>0</v>
      </c>
      <c r="T99" s="51">
        <f>IFERROR((Table1[[#This Row],[2019 Total Scope 1, 2 + 3]])/Table1[[#This Row],[2018 Total Scope 1, 2 + Scope 3]]-1,"NA")</f>
        <v>5.6364490371065834E-3</v>
      </c>
      <c r="V99" s="12">
        <v>389000</v>
      </c>
      <c r="W99" s="12">
        <v>1645000</v>
      </c>
      <c r="X99" s="12"/>
      <c r="Y99" s="12">
        <f t="shared" si="28"/>
        <v>2034000</v>
      </c>
      <c r="Z99" s="12">
        <v>107000</v>
      </c>
      <c r="AA99" s="12">
        <f t="shared" si="33"/>
        <v>2141000</v>
      </c>
      <c r="AB99" s="12">
        <v>370000</v>
      </c>
      <c r="AC99" s="12">
        <v>1639000</v>
      </c>
      <c r="AD99" s="12"/>
      <c r="AE99" s="12">
        <f t="shared" si="29"/>
        <v>2009000</v>
      </c>
      <c r="AF99" s="12">
        <v>120000</v>
      </c>
      <c r="AG99" s="12">
        <f t="shared" si="34"/>
        <v>2129000</v>
      </c>
      <c r="AH99" s="12">
        <v>368000</v>
      </c>
      <c r="AI99" s="12">
        <v>1863000</v>
      </c>
      <c r="AJ99" s="12"/>
      <c r="AK99" s="12">
        <f t="shared" si="30"/>
        <v>2231000</v>
      </c>
      <c r="AL99" s="12">
        <v>123000</v>
      </c>
      <c r="AM99" s="12">
        <f t="shared" si="35"/>
        <v>2354000</v>
      </c>
      <c r="AN99" s="12"/>
      <c r="AO99" s="12"/>
      <c r="AP99" s="12"/>
      <c r="AQ99" s="12">
        <f t="shared" si="31"/>
        <v>0</v>
      </c>
      <c r="AR99" s="12"/>
      <c r="AS99" s="12">
        <f t="shared" si="36"/>
        <v>0</v>
      </c>
      <c r="AT99" s="12"/>
      <c r="AU99" s="12"/>
      <c r="AV99" s="12"/>
      <c r="AW99" s="12">
        <f t="shared" si="32"/>
        <v>0</v>
      </c>
      <c r="AX99" s="12"/>
      <c r="AY99" s="12">
        <f t="shared" si="37"/>
        <v>0</v>
      </c>
      <c r="AZ99" t="s">
        <v>376</v>
      </c>
      <c r="BA99" s="18" t="s">
        <v>377</v>
      </c>
      <c r="BC99" s="3" t="s">
        <v>378</v>
      </c>
      <c r="BD99" s="42"/>
    </row>
    <row r="100" spans="1:56" ht="200.5" x14ac:dyDescent="0.3">
      <c r="A100" s="21" t="s">
        <v>379</v>
      </c>
      <c r="B100" s="21" t="s">
        <v>379</v>
      </c>
      <c r="C100" s="21" t="s">
        <v>4</v>
      </c>
      <c r="D100" s="4" t="s">
        <v>85</v>
      </c>
      <c r="E100" s="5">
        <v>524000000000</v>
      </c>
      <c r="F100" s="5" t="str">
        <f>IF(ISNUMBER(Table1[[#This Row],[2019 Scope 3 ]]),IF(Table1[[#This Row],[Net Earnings/Income (2019)]]-k_cost*Table1[[#This Row],[2019 Total Scope 1, 2 + 3]]&lt;0,"Y","N"),"NA")</f>
        <v>Y</v>
      </c>
      <c r="G100" s="54" t="str">
        <f>IF(ISNUMBER(Table1[[#This Row],[2019 Scope 3 ]]),IF(k_cost*Table1[[#This Row],[2019 Total Scope 1, 2 + 3]]/Table1[[#This Row],[Size (2019 Revenue)]]&gt;k_rev_max,"Y","N"),"NA")</f>
        <v>N</v>
      </c>
      <c r="H100" s="54" t="str">
        <f>IF(OR(Table1[[#This Row],[Net earnings post carbon price @85/t]]="Y",Table1[[#This Row],[Carbon costs in % revenue]] = "Y"),"Y",IF(OR(Table1[[#This Row],[Net earnings post carbon price @85/t]]="NA",Table1[[#This Row],[Carbon costs in % revenue]]="NA"),"NA","N"))</f>
        <v>Y</v>
      </c>
      <c r="I100" s="5">
        <v>14880000000</v>
      </c>
      <c r="J100" s="9">
        <v>1972</v>
      </c>
      <c r="K100" s="5" t="s">
        <v>1</v>
      </c>
      <c r="L100" s="4" t="s">
        <v>1</v>
      </c>
      <c r="M100" t="s">
        <v>1</v>
      </c>
      <c r="N100">
        <v>2040</v>
      </c>
      <c r="P100" s="3" t="s">
        <v>380</v>
      </c>
      <c r="Q100" t="s">
        <v>0</v>
      </c>
      <c r="R100" t="s">
        <v>1</v>
      </c>
      <c r="S100">
        <v>2025</v>
      </c>
      <c r="T100" s="51">
        <f>IFERROR((Table1[[#This Row],[2019 Total Scope 1, 2 + 3]])/Table1[[#This Row],[2018 Total Scope 1, 2 + Scope 3]]-1,"NA")</f>
        <v>-2.764724364318516E-3</v>
      </c>
      <c r="V100" s="12">
        <v>6484616</v>
      </c>
      <c r="W100" s="12">
        <v>11078980</v>
      </c>
      <c r="X100" s="12"/>
      <c r="Y100" s="12">
        <f t="shared" si="28"/>
        <v>17563596</v>
      </c>
      <c r="Z100" s="12">
        <f>143267842+645328+3327874+342577+968265+76296+3500000+5099+32211000+130+130000</f>
        <v>184474411</v>
      </c>
      <c r="AA100" s="12">
        <f t="shared" si="33"/>
        <v>202038007</v>
      </c>
      <c r="AB100" s="12">
        <v>6101641</v>
      </c>
      <c r="AC100" s="12">
        <v>12022083</v>
      </c>
      <c r="AD100" s="12"/>
      <c r="AE100" s="12">
        <f t="shared" si="29"/>
        <v>18123724</v>
      </c>
      <c r="AF100" s="12">
        <f>143267842+645328+3327874+342577+968265+76296+3500000+5099+32211000+130+130000</f>
        <v>184474411</v>
      </c>
      <c r="AG100" s="12">
        <f t="shared" si="34"/>
        <v>202598135</v>
      </c>
      <c r="AH100" s="12">
        <v>12160000</v>
      </c>
      <c r="AI100" s="12">
        <v>6520000</v>
      </c>
      <c r="AJ100" s="12"/>
      <c r="AK100" s="12">
        <f t="shared" si="30"/>
        <v>18680000</v>
      </c>
      <c r="AL100" s="12"/>
      <c r="AM100" s="12">
        <f t="shared" si="35"/>
        <v>18680000</v>
      </c>
      <c r="AN100" s="12">
        <v>14080000</v>
      </c>
      <c r="AO100" s="12">
        <v>6650000</v>
      </c>
      <c r="AP100" s="12"/>
      <c r="AQ100" s="12">
        <f t="shared" si="31"/>
        <v>20730000</v>
      </c>
      <c r="AR100" s="12"/>
      <c r="AS100" s="12">
        <f t="shared" si="36"/>
        <v>20730000</v>
      </c>
      <c r="AT100" s="12">
        <v>14930000</v>
      </c>
      <c r="AU100" s="12">
        <v>6110000</v>
      </c>
      <c r="AV100" s="12"/>
      <c r="AW100" s="12">
        <f t="shared" si="32"/>
        <v>21040000</v>
      </c>
      <c r="AX100" s="12"/>
      <c r="AY100" s="12">
        <f t="shared" si="37"/>
        <v>21040000</v>
      </c>
      <c r="AZ100" s="3" t="s">
        <v>381</v>
      </c>
      <c r="BA100" s="3" t="s">
        <v>382</v>
      </c>
      <c r="BB100" s="3" t="s">
        <v>383</v>
      </c>
      <c r="BC100" s="3" t="s">
        <v>384</v>
      </c>
      <c r="BD100" s="42"/>
    </row>
    <row r="101" spans="1:56" ht="125.5" x14ac:dyDescent="0.3">
      <c r="A101" s="21" t="s">
        <v>385</v>
      </c>
      <c r="B101" s="21" t="s">
        <v>385</v>
      </c>
      <c r="C101" s="32" t="s">
        <v>6</v>
      </c>
      <c r="D101" s="4" t="s">
        <v>103</v>
      </c>
      <c r="E101" s="5">
        <v>85060000000</v>
      </c>
      <c r="F101" s="5" t="str">
        <f>IF(ISNUMBER(Table1[[#This Row],[2019 Scope 3 ]]),IF(Table1[[#This Row],[Net Earnings/Income (2019)]]-k_cost*Table1[[#This Row],[2019 Total Scope 1, 2 + 3]]&lt;0,"Y","N"),"NA")</f>
        <v>N</v>
      </c>
      <c r="G101" s="54" t="str">
        <f>IF(ISNUMBER(Table1[[#This Row],[2019 Scope 3 ]]),IF(k_cost*Table1[[#This Row],[2019 Total Scope 1, 2 + 3]]/Table1[[#This Row],[Size (2019 Revenue)]]&gt;k_rev_max,"Y","N"),"NA")</f>
        <v>N</v>
      </c>
      <c r="H101" s="54" t="str">
        <f>IF(OR(Table1[[#This Row],[Net earnings post carbon price @85/t]]="Y",Table1[[#This Row],[Carbon costs in % revenue]] = "Y"),"Y",IF(OR(Table1[[#This Row],[Net earnings post carbon price @85/t]]="NA",Table1[[#This Row],[Carbon costs in % revenue]]="NA"),"NA","N"))</f>
        <v>N</v>
      </c>
      <c r="I101" s="5">
        <v>19550000000</v>
      </c>
      <c r="J101" s="9">
        <v>1978</v>
      </c>
      <c r="K101" s="5" t="s">
        <v>1</v>
      </c>
      <c r="L101" t="s">
        <v>0</v>
      </c>
      <c r="M101" t="s">
        <v>0</v>
      </c>
      <c r="P101" s="3" t="s">
        <v>386</v>
      </c>
      <c r="Q101" s="3" t="s">
        <v>387</v>
      </c>
      <c r="R101" t="s">
        <v>1</v>
      </c>
      <c r="S101">
        <v>2017</v>
      </c>
      <c r="T101" s="51">
        <f>IFERROR((Table1[[#This Row],[2019 Total Scope 1, 2 + 3]])/Table1[[#This Row],[2018 Total Scope 1, 2 + Scope 3]]-1,"NA")</f>
        <v>-0.21291325731022215</v>
      </c>
      <c r="V101" s="12">
        <v>91993</v>
      </c>
      <c r="W101" s="12">
        <v>4988</v>
      </c>
      <c r="X101" s="12"/>
      <c r="Y101" s="12">
        <f t="shared" si="28"/>
        <v>96981</v>
      </c>
      <c r="Z101" s="12">
        <f>2304829+455599+148420+9921+78277+613405</f>
        <v>3610451</v>
      </c>
      <c r="AA101" s="12">
        <f t="shared" si="33"/>
        <v>3707432</v>
      </c>
      <c r="AB101" s="12">
        <v>95316</v>
      </c>
      <c r="AC101" s="12">
        <v>833204</v>
      </c>
      <c r="AD101" s="12"/>
      <c r="AE101" s="12">
        <f t="shared" si="29"/>
        <v>928520</v>
      </c>
      <c r="AF101" s="12">
        <f>2347646+559600+156145+12132+93815+612464</f>
        <v>3781802</v>
      </c>
      <c r="AG101" s="12">
        <f t="shared" si="34"/>
        <v>4710322</v>
      </c>
      <c r="AH101" s="12">
        <v>85830</v>
      </c>
      <c r="AI101" s="12">
        <v>848520</v>
      </c>
      <c r="AJ101" s="12"/>
      <c r="AK101" s="12">
        <f t="shared" si="30"/>
        <v>934350</v>
      </c>
      <c r="AL101" s="12" t="s">
        <v>401</v>
      </c>
      <c r="AM101" s="12" t="str">
        <f t="shared" si="35"/>
        <v/>
      </c>
      <c r="AN101" s="12">
        <v>85628</v>
      </c>
      <c r="AO101" s="12">
        <v>974982</v>
      </c>
      <c r="AP101" s="12"/>
      <c r="AQ101" s="12">
        <f t="shared" si="31"/>
        <v>1060610</v>
      </c>
      <c r="AR101" s="12" t="s">
        <v>401</v>
      </c>
      <c r="AS101" s="12" t="str">
        <f t="shared" si="36"/>
        <v/>
      </c>
      <c r="AT101" s="12">
        <v>92610</v>
      </c>
      <c r="AU101" s="12">
        <v>1193278</v>
      </c>
      <c r="AV101" s="12"/>
      <c r="AW101" s="12">
        <f t="shared" si="32"/>
        <v>1285888</v>
      </c>
      <c r="AX101" s="12" t="s">
        <v>401</v>
      </c>
      <c r="AY101" s="12" t="str">
        <f t="shared" si="37"/>
        <v/>
      </c>
      <c r="BA101" s="3" t="s">
        <v>388</v>
      </c>
      <c r="BC101" s="3" t="s">
        <v>389</v>
      </c>
      <c r="BD101" s="42"/>
    </row>
    <row r="102" spans="1:56" x14ac:dyDescent="0.25">
      <c r="A102" s="32"/>
      <c r="B102" s="32"/>
      <c r="D102" s="4"/>
      <c r="E102" s="37"/>
      <c r="F102" s="37"/>
      <c r="G102" s="37"/>
      <c r="H102" s="37"/>
      <c r="I102" s="37"/>
      <c r="J102" s="38"/>
      <c r="K102" s="37"/>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BA102" s="30"/>
      <c r="BC102" s="30"/>
    </row>
    <row r="103" spans="1:56" x14ac:dyDescent="0.25">
      <c r="V103" s="17"/>
      <c r="W103" s="17"/>
      <c r="X103" s="17"/>
      <c r="Y103" s="17"/>
      <c r="Z103" s="17"/>
      <c r="AA103" s="17"/>
      <c r="AB103" s="17"/>
      <c r="AC103" s="17"/>
      <c r="AD103" s="17"/>
      <c r="AE103" s="17"/>
      <c r="AF103" s="17"/>
      <c r="AG103" s="17"/>
      <c r="AH103" s="17"/>
      <c r="AI103" s="17"/>
      <c r="AJ103" s="17"/>
      <c r="AK103" s="13"/>
      <c r="AL103" s="17"/>
      <c r="AM103" s="17"/>
      <c r="AN103" s="17"/>
      <c r="AO103" s="17"/>
      <c r="AP103" s="17"/>
      <c r="AQ103" s="17"/>
      <c r="AR103" s="17"/>
      <c r="AS103" s="17"/>
      <c r="AT103" s="17"/>
      <c r="AU103" s="17"/>
      <c r="AV103" s="17"/>
      <c r="AW103" s="17"/>
      <c r="AX103" s="17"/>
      <c r="AY103" s="17"/>
    </row>
    <row r="104" spans="1:56" x14ac:dyDescent="0.25">
      <c r="V104" s="17"/>
      <c r="W104" s="17"/>
      <c r="X104" s="17"/>
      <c r="Y104" s="17"/>
      <c r="Z104" s="17"/>
      <c r="AA104" s="17"/>
      <c r="AB104" s="17"/>
      <c r="AC104" s="17"/>
      <c r="AD104" s="17"/>
      <c r="AE104" s="17"/>
      <c r="AF104" s="17"/>
      <c r="AG104" s="17"/>
      <c r="AH104" s="17"/>
      <c r="AI104" s="17"/>
      <c r="AJ104" s="17"/>
      <c r="AK104" s="13"/>
      <c r="AL104" s="17"/>
      <c r="AM104" s="17"/>
      <c r="AN104" s="17"/>
      <c r="AO104" s="17"/>
      <c r="AP104" s="17"/>
      <c r="AQ104" s="17"/>
      <c r="AR104" s="17"/>
      <c r="AS104" s="17"/>
      <c r="AT104" s="17"/>
      <c r="AU104" s="17"/>
      <c r="AV104" s="17"/>
      <c r="AW104" s="17"/>
      <c r="AX104" s="17"/>
      <c r="AY104" s="17"/>
    </row>
    <row r="105" spans="1:56" x14ac:dyDescent="0.25">
      <c r="A105" s="4"/>
      <c r="V105" s="17"/>
      <c r="W105" s="17"/>
      <c r="X105" s="17"/>
      <c r="Y105" s="17"/>
      <c r="Z105" s="17"/>
      <c r="AA105" s="17"/>
      <c r="AB105" s="17"/>
      <c r="AC105" s="17"/>
      <c r="AD105" s="17"/>
      <c r="AE105" s="17"/>
      <c r="AF105" s="17"/>
      <c r="AG105" s="17"/>
      <c r="AH105" s="17"/>
      <c r="AI105" s="17"/>
      <c r="AJ105" s="17"/>
      <c r="AK105" s="13"/>
      <c r="AL105" s="17"/>
      <c r="AM105" s="17"/>
      <c r="AN105" s="17"/>
      <c r="AO105" s="17"/>
      <c r="AP105" s="17"/>
      <c r="AQ105" s="17"/>
      <c r="AR105" s="17"/>
      <c r="AS105" s="17"/>
      <c r="AT105" s="17"/>
      <c r="AU105" s="17"/>
      <c r="AV105" s="17"/>
      <c r="AW105" s="17"/>
      <c r="AX105" s="17"/>
      <c r="AY105" s="17"/>
    </row>
    <row r="106" spans="1:56" x14ac:dyDescent="0.25">
      <c r="V106" s="17"/>
      <c r="W106" s="17"/>
      <c r="X106" s="17"/>
      <c r="Y106" s="17"/>
      <c r="Z106" s="17"/>
      <c r="AA106" s="17"/>
      <c r="AB106" s="17"/>
      <c r="AC106" s="17"/>
      <c r="AD106" s="17"/>
      <c r="AE106" s="17"/>
      <c r="AF106" s="17"/>
      <c r="AG106" s="17"/>
      <c r="AH106" s="17"/>
      <c r="AI106" s="17"/>
      <c r="AJ106" s="17"/>
      <c r="AK106" s="13"/>
      <c r="AL106" s="17"/>
      <c r="AM106" s="17"/>
      <c r="AN106" s="17"/>
      <c r="AO106" s="17"/>
      <c r="AP106" s="17"/>
      <c r="AQ106" s="17"/>
      <c r="AR106" s="17"/>
      <c r="AS106" s="17"/>
      <c r="AT106" s="17"/>
      <c r="AU106" s="17"/>
      <c r="AV106" s="17"/>
      <c r="AW106" s="17"/>
      <c r="AX106" s="17"/>
      <c r="AY106" s="17"/>
    </row>
    <row r="107" spans="1:56" x14ac:dyDescent="0.25">
      <c r="V107" s="17"/>
      <c r="W107" s="17"/>
      <c r="X107" s="17"/>
      <c r="Y107" s="17"/>
      <c r="Z107" s="17"/>
      <c r="AA107" s="17"/>
      <c r="AB107" s="17"/>
      <c r="AC107" s="17"/>
      <c r="AD107" s="17"/>
      <c r="AE107" s="17"/>
      <c r="AF107" s="17"/>
      <c r="AG107" s="17"/>
      <c r="AH107" s="17"/>
      <c r="AI107" s="17"/>
      <c r="AJ107" s="17"/>
      <c r="AK107" s="13"/>
      <c r="AL107" s="17"/>
      <c r="AM107" s="17"/>
      <c r="AN107" s="17"/>
      <c r="AO107" s="17"/>
      <c r="AP107" s="17"/>
      <c r="AQ107" s="17"/>
      <c r="AR107" s="17"/>
      <c r="AS107" s="17"/>
      <c r="AT107" s="17"/>
      <c r="AU107" s="17"/>
      <c r="AV107" s="17"/>
      <c r="AW107" s="17"/>
      <c r="AX107" s="17"/>
      <c r="AY107" s="17"/>
    </row>
    <row r="108" spans="1:56" x14ac:dyDescent="0.25">
      <c r="V108" s="17"/>
      <c r="W108" s="17"/>
      <c r="X108" s="17"/>
      <c r="Y108" s="17"/>
      <c r="Z108" s="17"/>
      <c r="AA108" s="17"/>
      <c r="AB108" s="17"/>
      <c r="AC108" s="17"/>
      <c r="AD108" s="17"/>
      <c r="AE108" s="17"/>
      <c r="AF108" s="17"/>
      <c r="AG108" s="17"/>
      <c r="AH108" s="17"/>
      <c r="AI108" s="17"/>
      <c r="AJ108" s="17"/>
      <c r="AK108" s="13"/>
      <c r="AL108" s="17"/>
      <c r="AM108" s="17"/>
      <c r="AN108" s="17"/>
      <c r="AO108" s="17"/>
      <c r="AP108" s="17"/>
      <c r="AQ108" s="17"/>
      <c r="AR108" s="17"/>
      <c r="AS108" s="17"/>
      <c r="AT108" s="17"/>
      <c r="AU108" s="17"/>
      <c r="AV108" s="17"/>
      <c r="AW108" s="17"/>
      <c r="AX108" s="17"/>
      <c r="AY108" s="17"/>
    </row>
    <row r="109" spans="1:56" x14ac:dyDescent="0.25">
      <c r="V109" s="17"/>
      <c r="W109" s="17"/>
      <c r="X109" s="17"/>
      <c r="Y109" s="17"/>
      <c r="Z109" s="17"/>
      <c r="AA109" s="17"/>
      <c r="AB109" s="17"/>
      <c r="AC109" s="17"/>
      <c r="AD109" s="17"/>
      <c r="AE109" s="17"/>
      <c r="AF109" s="17"/>
      <c r="AG109" s="17"/>
      <c r="AH109" s="17"/>
      <c r="AI109" s="17"/>
      <c r="AJ109" s="17"/>
      <c r="AK109" s="13"/>
      <c r="AL109" s="17"/>
      <c r="AM109" s="17"/>
      <c r="AN109" s="17"/>
      <c r="AO109" s="17"/>
      <c r="AP109" s="17"/>
      <c r="AQ109" s="17"/>
      <c r="AR109" s="17"/>
      <c r="AS109" s="17"/>
      <c r="AT109" s="17"/>
      <c r="AU109" s="17"/>
      <c r="AV109" s="17"/>
      <c r="AW109" s="17"/>
      <c r="AX109" s="17"/>
      <c r="AY109" s="17"/>
    </row>
    <row r="110" spans="1:56" x14ac:dyDescent="0.25">
      <c r="V110" s="17"/>
      <c r="W110" s="17"/>
      <c r="X110" s="17"/>
      <c r="Y110" s="17"/>
      <c r="Z110" s="17"/>
      <c r="AA110" s="17"/>
      <c r="AB110" s="17"/>
      <c r="AC110" s="17"/>
      <c r="AD110" s="17"/>
      <c r="AE110" s="17"/>
      <c r="AF110" s="17"/>
      <c r="AG110" s="17"/>
      <c r="AH110" s="17"/>
      <c r="AI110" s="17"/>
      <c r="AJ110" s="17"/>
      <c r="AK110" s="13"/>
      <c r="AL110" s="17"/>
      <c r="AM110" s="17"/>
      <c r="AN110" s="17"/>
      <c r="AO110" s="17"/>
      <c r="AP110" s="17"/>
      <c r="AQ110" s="17"/>
      <c r="AR110" s="17"/>
      <c r="AS110" s="17"/>
      <c r="AT110" s="17"/>
      <c r="AU110" s="17"/>
      <c r="AV110" s="17"/>
      <c r="AW110" s="17"/>
      <c r="AX110" s="17"/>
      <c r="AY110" s="17"/>
    </row>
    <row r="111" spans="1:56" x14ac:dyDescent="0.25">
      <c r="V111" s="17"/>
      <c r="W111" s="17"/>
      <c r="X111" s="17"/>
      <c r="Y111" s="17"/>
      <c r="Z111" s="17"/>
      <c r="AA111" s="17"/>
      <c r="AB111" s="17"/>
      <c r="AC111" s="17"/>
      <c r="AD111" s="17"/>
      <c r="AE111" s="17"/>
      <c r="AF111" s="17"/>
      <c r="AG111" s="17"/>
      <c r="AH111" s="17"/>
      <c r="AI111" s="17"/>
      <c r="AJ111" s="17"/>
      <c r="AK111" s="13"/>
      <c r="AL111" s="17"/>
      <c r="AM111" s="17"/>
      <c r="AN111" s="17"/>
      <c r="AO111" s="17"/>
      <c r="AP111" s="17"/>
      <c r="AQ111" s="17"/>
      <c r="AR111" s="17"/>
      <c r="AS111" s="17"/>
      <c r="AT111" s="17"/>
      <c r="AU111" s="17"/>
      <c r="AV111" s="17"/>
      <c r="AW111" s="17"/>
      <c r="AX111" s="17"/>
      <c r="AY111" s="17"/>
    </row>
    <row r="112" spans="1:56" x14ac:dyDescent="0.25">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row>
    <row r="113" spans="22:51" x14ac:dyDescent="0.25">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row>
    <row r="114" spans="22:51" x14ac:dyDescent="0.25">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row>
    <row r="115" spans="22:51" x14ac:dyDescent="0.25">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row>
    <row r="116" spans="22:51" x14ac:dyDescent="0.25">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row>
    <row r="117" spans="22:51" x14ac:dyDescent="0.25">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row>
    <row r="118" spans="22:51" x14ac:dyDescent="0.25">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row>
    <row r="119" spans="22:51" x14ac:dyDescent="0.25">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row>
    <row r="120" spans="22:51" x14ac:dyDescent="0.25">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row>
    <row r="121" spans="22:51" x14ac:dyDescent="0.25">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row>
    <row r="122" spans="22:51" x14ac:dyDescent="0.25">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row>
    <row r="123" spans="22:51" x14ac:dyDescent="0.25">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row>
    <row r="124" spans="22:51" x14ac:dyDescent="0.25">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row>
    <row r="125" spans="22:51" x14ac:dyDescent="0.25">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row>
    <row r="126" spans="22:51" x14ac:dyDescent="0.25">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row>
    <row r="127" spans="22:51" x14ac:dyDescent="0.25">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row>
    <row r="128" spans="22:51" x14ac:dyDescent="0.25">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row>
    <row r="129" spans="22:51" x14ac:dyDescent="0.25">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row>
    <row r="130" spans="22:51" x14ac:dyDescent="0.25">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row>
    <row r="131" spans="22:51" x14ac:dyDescent="0.25">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row>
    <row r="132" spans="22:51" x14ac:dyDescent="0.25">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row>
    <row r="133" spans="22:51" x14ac:dyDescent="0.25">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row>
    <row r="134" spans="22:51" x14ac:dyDescent="0.25">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row>
    <row r="135" spans="22:51" x14ac:dyDescent="0.25">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row>
    <row r="136" spans="22:51" x14ac:dyDescent="0.25">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row>
    <row r="137" spans="22:51" x14ac:dyDescent="0.25">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row>
    <row r="138" spans="22:51" x14ac:dyDescent="0.25">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row>
    <row r="139" spans="22:51" x14ac:dyDescent="0.25">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row>
    <row r="140" spans="22:51" x14ac:dyDescent="0.25">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row>
    <row r="141" spans="22:51" x14ac:dyDescent="0.25">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row>
    <row r="142" spans="22:51" x14ac:dyDescent="0.25">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row>
    <row r="143" spans="22:51" x14ac:dyDescent="0.25">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row>
    <row r="144" spans="22:51" x14ac:dyDescent="0.25">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row>
    <row r="145" spans="22:51" x14ac:dyDescent="0.25">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row>
    <row r="146" spans="22:51" x14ac:dyDescent="0.25">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row>
    <row r="147" spans="22:51" x14ac:dyDescent="0.25">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row>
    <row r="148" spans="22:51" x14ac:dyDescent="0.25">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row>
    <row r="149" spans="22:51" x14ac:dyDescent="0.25">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row>
    <row r="150" spans="22:51" x14ac:dyDescent="0.25">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row>
    <row r="151" spans="22:51" x14ac:dyDescent="0.25">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row>
    <row r="152" spans="22:51" x14ac:dyDescent="0.25">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row>
    <row r="153" spans="22:51" x14ac:dyDescent="0.25">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row>
    <row r="154" spans="22:51" x14ac:dyDescent="0.25">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row>
    <row r="155" spans="22:51" x14ac:dyDescent="0.25">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row>
    <row r="156" spans="22:51" x14ac:dyDescent="0.25">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row>
    <row r="157" spans="22:51" x14ac:dyDescent="0.25">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row>
    <row r="158" spans="22:51" x14ac:dyDescent="0.25">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row>
    <row r="159" spans="22:51" x14ac:dyDescent="0.25">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row>
    <row r="160" spans="22:51" x14ac:dyDescent="0.25">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row>
    <row r="161" spans="22:51" x14ac:dyDescent="0.25">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row>
    <row r="162" spans="22:51" x14ac:dyDescent="0.25">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row>
    <row r="163" spans="22:51" x14ac:dyDescent="0.25">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row>
    <row r="164" spans="22:51" x14ac:dyDescent="0.25">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row>
    <row r="165" spans="22:51" x14ac:dyDescent="0.25">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row>
    <row r="166" spans="22:51" x14ac:dyDescent="0.25">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row>
    <row r="167" spans="22:51" x14ac:dyDescent="0.25">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row>
    <row r="168" spans="22:51" x14ac:dyDescent="0.25">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row>
    <row r="169" spans="22:51" x14ac:dyDescent="0.25">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row>
    <row r="170" spans="22:51" x14ac:dyDescent="0.25">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row>
    <row r="171" spans="22:51" x14ac:dyDescent="0.25">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row>
    <row r="172" spans="22:51" x14ac:dyDescent="0.25">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row>
    <row r="173" spans="22:51" x14ac:dyDescent="0.25">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row>
    <row r="174" spans="22:51" x14ac:dyDescent="0.25">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row>
    <row r="175" spans="22:51" x14ac:dyDescent="0.25">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row>
    <row r="176" spans="22:51" x14ac:dyDescent="0.25">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row>
    <row r="177" spans="22:51" x14ac:dyDescent="0.25">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row>
    <row r="178" spans="22:51" x14ac:dyDescent="0.25">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row>
    <row r="179" spans="22:51" x14ac:dyDescent="0.25">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row>
    <row r="180" spans="22:51" x14ac:dyDescent="0.25">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row>
    <row r="181" spans="22:51" x14ac:dyDescent="0.25">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row>
  </sheetData>
  <phoneticPr fontId="7" type="noConversion"/>
  <hyperlinks>
    <hyperlink ref="BC24" r:id="rId1" xr:uid="{E2FBD465-37BD-47C2-B298-1DAC5BD95783}"/>
  </hyperlinks>
  <pageMargins left="0.7" right="0.7" top="0.75" bottom="0.75" header="0.3" footer="0.3"/>
  <pageSetup orientation="portrait"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DAA04-11BE-44D0-BE7F-6E9CF9E10A5B}">
  <dimension ref="A1:Q13"/>
  <sheetViews>
    <sheetView showGridLines="0" workbookViewId="0">
      <selection activeCell="L12" sqref="L12"/>
    </sheetView>
  </sheetViews>
  <sheetFormatPr defaultRowHeight="12.5" x14ac:dyDescent="0.25"/>
  <cols>
    <col min="1" max="1" width="21.81640625" bestFit="1" customWidth="1"/>
    <col min="2" max="3" width="21.81640625" customWidth="1"/>
    <col min="4" max="7" width="22.7265625" customWidth="1"/>
    <col min="10" max="10" width="10.81640625" bestFit="1" customWidth="1"/>
    <col min="11" max="11" width="9.54296875" bestFit="1" customWidth="1"/>
    <col min="12" max="12" width="12.26953125" bestFit="1" customWidth="1"/>
    <col min="13" max="13" width="7.1796875" bestFit="1" customWidth="1"/>
    <col min="14" max="14" width="7.1796875" customWidth="1"/>
  </cols>
  <sheetData>
    <row r="1" spans="1:17" ht="13" x14ac:dyDescent="0.3">
      <c r="B1" s="48" t="s">
        <v>496</v>
      </c>
      <c r="C1" s="48" t="s">
        <v>497</v>
      </c>
      <c r="D1" s="48" t="s">
        <v>490</v>
      </c>
      <c r="E1" s="48" t="s">
        <v>489</v>
      </c>
      <c r="F1" s="47" t="s">
        <v>486</v>
      </c>
      <c r="G1" s="47" t="s">
        <v>487</v>
      </c>
      <c r="H1" s="47" t="s">
        <v>492</v>
      </c>
      <c r="I1" s="47" t="s">
        <v>491</v>
      </c>
      <c r="J1" s="47" t="s">
        <v>508</v>
      </c>
      <c r="K1" s="47" t="s">
        <v>509</v>
      </c>
      <c r="L1" s="55" t="s">
        <v>511</v>
      </c>
      <c r="M1" s="47" t="s">
        <v>501</v>
      </c>
      <c r="O1" s="47" t="s">
        <v>494</v>
      </c>
      <c r="P1" s="47" t="s">
        <v>495</v>
      </c>
      <c r="Q1" s="47" t="s">
        <v>500</v>
      </c>
    </row>
    <row r="2" spans="1:17" x14ac:dyDescent="0.25">
      <c r="A2" s="40" t="s">
        <v>2</v>
      </c>
      <c r="B2" s="46">
        <f>COUNTIFS(company!$C:$C, sector!$A2,company!$Z:$Z,"NR", company!$AF:$AF,"NR")</f>
        <v>5</v>
      </c>
      <c r="C2" s="46">
        <f>M2-B2</f>
        <v>3</v>
      </c>
      <c r="D2" s="46">
        <f>COUNTIFS(company!$L:$L,"N",company!$C:$C,sector!$A2 )</f>
        <v>4</v>
      </c>
      <c r="E2" s="46">
        <f>COUNTIFS(company!$L:$L,"Y",company!$C:$C,sector!$A2 )</f>
        <v>4</v>
      </c>
      <c r="F2" s="46">
        <f>COUNTIFS(company!$M:$M,"N",company!$C:$C,sector!$A2 )</f>
        <v>6</v>
      </c>
      <c r="G2" s="46">
        <f>COUNTIFS(company!$M:$M,"Y",company!$C:$C,sector!$A2 )</f>
        <v>2</v>
      </c>
      <c r="H2" s="46">
        <f>COUNTIFS(company!$R:$R,"N",company!$C:$C,sector!$A2 )</f>
        <v>6</v>
      </c>
      <c r="I2" s="46">
        <f>COUNTIFS(company!$R:$R,"Y",company!$C:$C,sector!$A2 )</f>
        <v>2</v>
      </c>
      <c r="J2" s="46">
        <f>COUNTIFS(company!$C:$C,sector!$A2,company!$H:$H,"Y")</f>
        <v>0</v>
      </c>
      <c r="K2" s="46">
        <f>COUNTIFS(company!$C:$C,sector!$A2,company!$H:$H,"N")</f>
        <v>3</v>
      </c>
      <c r="L2" s="54">
        <f>J2/SUM(J2:K2)</f>
        <v>0</v>
      </c>
      <c r="M2">
        <f>H2+I2</f>
        <v>8</v>
      </c>
      <c r="O2" t="b">
        <f>(D2+E2) = (F2+G2)</f>
        <v>1</v>
      </c>
      <c r="P2" t="b">
        <f>(F2 + G2) = (H2 + I2)</f>
        <v>1</v>
      </c>
      <c r="Q2" t="b">
        <f>(B2+C2)=(D2+E2)</f>
        <v>1</v>
      </c>
    </row>
    <row r="3" spans="1:17" x14ac:dyDescent="0.25">
      <c r="A3" s="40" t="s">
        <v>3</v>
      </c>
      <c r="B3" s="46">
        <f>COUNTIFS(company!$C:$C, sector!$A3,company!$Z:$Z,"NR", company!$AF:$AF,"NR")</f>
        <v>1</v>
      </c>
      <c r="C3" s="46">
        <f t="shared" ref="C3:C12" si="0">M3-B3</f>
        <v>8</v>
      </c>
      <c r="D3" s="46">
        <f>COUNTIFS(company!$L:$L,"N",company!$C:$C,sector!$A3 )</f>
        <v>4</v>
      </c>
      <c r="E3" s="46">
        <f>COUNTIFS(company!$L:$L,"Y",company!$C:$C,sector!$A3 )</f>
        <v>5</v>
      </c>
      <c r="F3" s="46">
        <f>COUNTIFS(company!$M:$M,"N",company!$C:$C,sector!$A3 )</f>
        <v>5</v>
      </c>
      <c r="G3" s="46">
        <f>COUNTIFS(company!$M:$M,"Y",company!$C:$C,sector!$A3 )</f>
        <v>4</v>
      </c>
      <c r="H3" s="46">
        <f>COUNTIFS(company!$R:$R,"N",company!$C:$C,sector!$A3 )</f>
        <v>4</v>
      </c>
      <c r="I3" s="46">
        <f>COUNTIFS(company!$R:$R,"Y",company!$C:$C,sector!$A3 )</f>
        <v>5</v>
      </c>
      <c r="J3" s="46">
        <f>COUNTIFS(company!$C:$C,sector!$A3,company!$H:$H,"Y")</f>
        <v>6</v>
      </c>
      <c r="K3" s="46">
        <f>COUNTIFS(company!$C:$C,sector!$A3,company!$H:$H,"N")</f>
        <v>2</v>
      </c>
      <c r="L3" s="54">
        <f t="shared" ref="L3:L13" si="1">J3/SUM(J3:K3)</f>
        <v>0.75</v>
      </c>
      <c r="M3">
        <f t="shared" ref="M3:M12" si="2">H3+I3</f>
        <v>9</v>
      </c>
      <c r="O3" t="b">
        <f t="shared" ref="O3:O12" si="3">(D3+E3) = (F3+G3)</f>
        <v>1</v>
      </c>
      <c r="P3" t="b">
        <f t="shared" ref="P3:P12" si="4">(F3 + G3) = (H3 + I3)</f>
        <v>1</v>
      </c>
      <c r="Q3" t="b">
        <f t="shared" ref="Q3:Q12" si="5">(B3+C3)=(D3+E3)</f>
        <v>1</v>
      </c>
    </row>
    <row r="4" spans="1:17" x14ac:dyDescent="0.25">
      <c r="A4" s="40" t="s">
        <v>4</v>
      </c>
      <c r="B4" s="46">
        <f>COUNTIFS(company!$C:$C, sector!$A4,company!$Z:$Z,"NR", company!$AF:$AF,"NR")</f>
        <v>2</v>
      </c>
      <c r="C4" s="46">
        <f t="shared" si="0"/>
        <v>9</v>
      </c>
      <c r="D4" s="46">
        <f>COUNTIFS(company!$L:$L,"N",company!$C:$C,sector!$A4 )</f>
        <v>9</v>
      </c>
      <c r="E4" s="46">
        <f>COUNTIFS(company!$L:$L,"Y",company!$C:$C,sector!$A4 )</f>
        <v>2</v>
      </c>
      <c r="F4" s="46">
        <f>COUNTIFS(company!$M:$M,"N",company!$C:$C,sector!$A4 )</f>
        <v>2</v>
      </c>
      <c r="G4" s="46">
        <f>COUNTIFS(company!$M:$M,"Y",company!$C:$C,sector!$A4 )</f>
        <v>9</v>
      </c>
      <c r="H4" s="46">
        <f>COUNTIFS(company!$R:$R,"N",company!$C:$C,sector!$A4 )</f>
        <v>8</v>
      </c>
      <c r="I4" s="46">
        <f>COUNTIFS(company!$R:$R,"Y",company!$C:$C,sector!$A4 )</f>
        <v>3</v>
      </c>
      <c r="J4" s="46">
        <f>COUNTIFS(company!$C:$C,sector!$A4,company!$H:$H,"Y")</f>
        <v>7</v>
      </c>
      <c r="K4" s="46">
        <f>COUNTIFS(company!$C:$C,sector!$A4,company!$H:$H,"N")</f>
        <v>1</v>
      </c>
      <c r="L4" s="54">
        <f t="shared" si="1"/>
        <v>0.875</v>
      </c>
      <c r="M4">
        <f t="shared" si="2"/>
        <v>11</v>
      </c>
      <c r="O4" t="b">
        <f t="shared" si="3"/>
        <v>1</v>
      </c>
      <c r="P4" t="b">
        <f t="shared" si="4"/>
        <v>1</v>
      </c>
      <c r="Q4" t="b">
        <f t="shared" si="5"/>
        <v>1</v>
      </c>
    </row>
    <row r="5" spans="1:17" x14ac:dyDescent="0.25">
      <c r="A5" s="40" t="s">
        <v>5</v>
      </c>
      <c r="B5" s="46">
        <f>COUNTIFS(company!$C:$C, sector!$A5,company!$Z:$Z,"NR", company!$AF:$AF,"NR")</f>
        <v>2</v>
      </c>
      <c r="C5" s="46">
        <f t="shared" si="0"/>
        <v>4</v>
      </c>
      <c r="D5" s="46">
        <f>COUNTIFS(company!$L:$L,"N",company!$C:$C,sector!$A5 )</f>
        <v>5</v>
      </c>
      <c r="E5" s="46">
        <f>COUNTIFS(company!$L:$L,"Y",company!$C:$C,sector!$A5 )</f>
        <v>1</v>
      </c>
      <c r="F5" s="46">
        <f>COUNTIFS(company!$M:$M,"N",company!$C:$C,sector!$A5 )</f>
        <v>5</v>
      </c>
      <c r="G5" s="46">
        <f>COUNTIFS(company!$M:$M,"Y",company!$C:$C,sector!$A5 )</f>
        <v>1</v>
      </c>
      <c r="H5" s="46">
        <f>COUNTIFS(company!$R:$R,"N",company!$C:$C,sector!$A5 )</f>
        <v>6</v>
      </c>
      <c r="I5" s="46">
        <f>COUNTIFS(company!$R:$R,"Y",company!$C:$C,sector!$A5 )</f>
        <v>0</v>
      </c>
      <c r="J5" s="46">
        <f>COUNTIFS(company!$C:$C,sector!$A5,company!$H:$H,"Y")</f>
        <v>3</v>
      </c>
      <c r="K5" s="46">
        <f>COUNTIFS(company!$C:$C,sector!$A5,company!$H:$H,"N")</f>
        <v>0</v>
      </c>
      <c r="L5" s="54">
        <f t="shared" si="1"/>
        <v>1</v>
      </c>
      <c r="M5">
        <f t="shared" si="2"/>
        <v>6</v>
      </c>
      <c r="O5" t="b">
        <f t="shared" si="3"/>
        <v>1</v>
      </c>
      <c r="P5" t="b">
        <f t="shared" si="4"/>
        <v>1</v>
      </c>
      <c r="Q5" t="b">
        <f t="shared" si="5"/>
        <v>1</v>
      </c>
    </row>
    <row r="6" spans="1:17" x14ac:dyDescent="0.25">
      <c r="A6" s="40" t="s">
        <v>6</v>
      </c>
      <c r="B6" s="46">
        <f>COUNTIFS(company!$C:$C, sector!$A6,company!$Z:$Z,"NR", company!$AF:$AF,"NR")</f>
        <v>2</v>
      </c>
      <c r="C6" s="46">
        <f t="shared" si="0"/>
        <v>16</v>
      </c>
      <c r="D6" s="46">
        <f>COUNTIFS(company!$L:$L,"N",company!$C:$C,sector!$A6 )</f>
        <v>11</v>
      </c>
      <c r="E6" s="46">
        <f>COUNTIFS(company!$L:$L,"Y",company!$C:$C,sector!$A6 )</f>
        <v>7</v>
      </c>
      <c r="F6" s="46">
        <f>COUNTIFS(company!$M:$M,"N",company!$C:$C,sector!$A6 )</f>
        <v>16</v>
      </c>
      <c r="G6" s="46">
        <f>COUNTIFS(company!$M:$M,"Y",company!$C:$C,sector!$A6 )</f>
        <v>2</v>
      </c>
      <c r="H6" s="46">
        <f>COUNTIFS(company!$R:$R,"N",company!$C:$C,sector!$A6 )</f>
        <v>7</v>
      </c>
      <c r="I6" s="46">
        <f>COUNTIFS(company!$R:$R,"Y",company!$C:$C,sector!$A6 )</f>
        <v>11</v>
      </c>
      <c r="J6" s="46">
        <f>COUNTIFS(company!$C:$C,sector!$A6,company!$H:$H,"Y")</f>
        <v>0</v>
      </c>
      <c r="K6" s="46">
        <f>COUNTIFS(company!$C:$C,sector!$A6,company!$H:$H,"N")</f>
        <v>16</v>
      </c>
      <c r="L6" s="54">
        <f t="shared" si="1"/>
        <v>0</v>
      </c>
      <c r="M6">
        <f t="shared" si="2"/>
        <v>18</v>
      </c>
      <c r="O6" t="b">
        <f t="shared" si="3"/>
        <v>1</v>
      </c>
      <c r="P6" t="b">
        <f t="shared" si="4"/>
        <v>1</v>
      </c>
      <c r="Q6" t="b">
        <f t="shared" si="5"/>
        <v>1</v>
      </c>
    </row>
    <row r="7" spans="1:17" x14ac:dyDescent="0.25">
      <c r="A7" s="40" t="s">
        <v>7</v>
      </c>
      <c r="B7" s="46">
        <f>COUNTIFS(company!$C:$C, sector!$A7,company!$Z:$Z,"NR", company!$AF:$AF,"NR")</f>
        <v>3</v>
      </c>
      <c r="C7" s="46">
        <f t="shared" si="0"/>
        <v>13</v>
      </c>
      <c r="D7" s="46">
        <f>COUNTIFS(company!$L:$L,"N",company!$C:$C,sector!$A7 )</f>
        <v>15</v>
      </c>
      <c r="E7" s="46">
        <f>COUNTIFS(company!$L:$L,"Y",company!$C:$C,sector!$A7 )</f>
        <v>1</v>
      </c>
      <c r="F7" s="46">
        <f>COUNTIFS(company!$M:$M,"N",company!$C:$C,sector!$A7 )</f>
        <v>13</v>
      </c>
      <c r="G7" s="46">
        <f>COUNTIFS(company!$M:$M,"Y",company!$C:$C,sector!$A7 )</f>
        <v>3</v>
      </c>
      <c r="H7" s="46">
        <f>COUNTIFS(company!$R:$R,"N",company!$C:$C,sector!$A7 )</f>
        <v>13</v>
      </c>
      <c r="I7" s="46">
        <f>COUNTIFS(company!$R:$R,"Y",company!$C:$C,sector!$A7 )</f>
        <v>3</v>
      </c>
      <c r="J7" s="46">
        <f>COUNTIFS(company!$C:$C,sector!$A7,company!$H:$H,"Y")</f>
        <v>0</v>
      </c>
      <c r="K7" s="46">
        <f>COUNTIFS(company!$C:$C,sector!$A7,company!$H:$H,"N")</f>
        <v>13</v>
      </c>
      <c r="L7" s="54">
        <f t="shared" si="1"/>
        <v>0</v>
      </c>
      <c r="M7">
        <f t="shared" si="2"/>
        <v>16</v>
      </c>
      <c r="O7" t="b">
        <f t="shared" si="3"/>
        <v>1</v>
      </c>
      <c r="P7" t="b">
        <f t="shared" si="4"/>
        <v>1</v>
      </c>
      <c r="Q7" t="b">
        <f t="shared" si="5"/>
        <v>1</v>
      </c>
    </row>
    <row r="8" spans="1:17" x14ac:dyDescent="0.25">
      <c r="A8" s="40" t="s">
        <v>8</v>
      </c>
      <c r="B8" s="46">
        <f>COUNTIFS(company!$C:$C, sector!$A8,company!$Z:$Z,"NR", company!$AF:$AF,"NR")</f>
        <v>3</v>
      </c>
      <c r="C8" s="46">
        <f t="shared" si="0"/>
        <v>9</v>
      </c>
      <c r="D8" s="46">
        <f>COUNTIFS(company!$L:$L,"N",company!$C:$C,sector!$A8 )</f>
        <v>12</v>
      </c>
      <c r="E8" s="46">
        <f>COUNTIFS(company!$L:$L,"Y",company!$C:$C,sector!$A8 )</f>
        <v>0</v>
      </c>
      <c r="F8" s="46">
        <f>COUNTIFS(company!$M:$M,"N",company!$C:$C,sector!$A8 )</f>
        <v>11</v>
      </c>
      <c r="G8" s="46">
        <f>COUNTIFS(company!$M:$M,"Y",company!$C:$C,sector!$A8 )</f>
        <v>1</v>
      </c>
      <c r="H8" s="46">
        <f>COUNTIFS(company!$R:$R,"N",company!$C:$C,sector!$A8 )</f>
        <v>11</v>
      </c>
      <c r="I8" s="46">
        <f>COUNTIFS(company!$R:$R,"Y",company!$C:$C,sector!$A8 )</f>
        <v>1</v>
      </c>
      <c r="J8" s="46">
        <f>COUNTIFS(company!$C:$C,sector!$A8,company!$H:$H,"Y")</f>
        <v>3</v>
      </c>
      <c r="K8" s="46">
        <f>COUNTIFS(company!$C:$C,sector!$A8,company!$H:$H,"N")</f>
        <v>6</v>
      </c>
      <c r="L8" s="54">
        <f t="shared" si="1"/>
        <v>0.33333333333333331</v>
      </c>
      <c r="M8">
        <f t="shared" si="2"/>
        <v>12</v>
      </c>
      <c r="O8" t="b">
        <f t="shared" si="3"/>
        <v>1</v>
      </c>
      <c r="P8" t="b">
        <f t="shared" si="4"/>
        <v>1</v>
      </c>
      <c r="Q8" t="b">
        <f t="shared" si="5"/>
        <v>1</v>
      </c>
    </row>
    <row r="9" spans="1:17" x14ac:dyDescent="0.25">
      <c r="A9" s="40" t="s">
        <v>9</v>
      </c>
      <c r="B9" s="46">
        <f>COUNTIFS(company!$C:$C, sector!$A9,company!$Z:$Z,"NR", company!$AF:$AF,"NR")</f>
        <v>0</v>
      </c>
      <c r="C9" s="46">
        <f t="shared" si="0"/>
        <v>2</v>
      </c>
      <c r="D9" s="46">
        <f>COUNTIFS(company!$L:$L,"N",company!$C:$C,sector!$A9 )</f>
        <v>0</v>
      </c>
      <c r="E9" s="46">
        <f>COUNTIFS(company!$L:$L,"Y",company!$C:$C,sector!$A9 )</f>
        <v>2</v>
      </c>
      <c r="F9" s="46">
        <f>COUNTIFS(company!$M:$M,"N",company!$C:$C,sector!$A9 )</f>
        <v>2</v>
      </c>
      <c r="G9" s="46">
        <f>COUNTIFS(company!$M:$M,"Y",company!$C:$C,sector!$A9 )</f>
        <v>0</v>
      </c>
      <c r="H9" s="46">
        <f>COUNTIFS(company!$R:$R,"N",company!$C:$C,sector!$A9 )</f>
        <v>2</v>
      </c>
      <c r="I9" s="46">
        <f>COUNTIFS(company!$R:$R,"Y",company!$C:$C,sector!$A9 )</f>
        <v>0</v>
      </c>
      <c r="J9" s="46">
        <f>COUNTIFS(company!$C:$C,sector!$A9,company!$H:$H,"Y")</f>
        <v>2</v>
      </c>
      <c r="K9" s="46">
        <f>COUNTIFS(company!$C:$C,sector!$A9,company!$H:$H,"N")</f>
        <v>0</v>
      </c>
      <c r="L9" s="54">
        <f t="shared" si="1"/>
        <v>1</v>
      </c>
      <c r="M9">
        <f t="shared" si="2"/>
        <v>2</v>
      </c>
      <c r="O9" t="b">
        <f t="shared" si="3"/>
        <v>1</v>
      </c>
      <c r="P9" t="b">
        <f t="shared" si="4"/>
        <v>1</v>
      </c>
      <c r="Q9" t="b">
        <f t="shared" si="5"/>
        <v>1</v>
      </c>
    </row>
    <row r="10" spans="1:17" x14ac:dyDescent="0.25">
      <c r="A10" s="40" t="s">
        <v>10</v>
      </c>
      <c r="B10" s="46">
        <f>COUNTIFS(company!$C:$C, sector!$A10,company!$Z:$Z,"NR", company!$AF:$AF,"NR")</f>
        <v>1</v>
      </c>
      <c r="C10" s="46">
        <f t="shared" si="0"/>
        <v>1</v>
      </c>
      <c r="D10" s="46">
        <f>COUNTIFS(company!$L:$L,"N",company!$C:$C,sector!$A10 )</f>
        <v>2</v>
      </c>
      <c r="E10" s="46">
        <f>COUNTIFS(company!$L:$L,"Y",company!$C:$C,sector!$A10 )</f>
        <v>0</v>
      </c>
      <c r="F10" s="46">
        <f>COUNTIFS(company!$M:$M,"N",company!$C:$C,sector!$A10 )</f>
        <v>2</v>
      </c>
      <c r="G10" s="46">
        <f>COUNTIFS(company!$M:$M,"Y",company!$C:$C,sector!$A10 )</f>
        <v>0</v>
      </c>
      <c r="H10" s="46">
        <f>COUNTIFS(company!$R:$R,"N",company!$C:$C,sector!$A10 )</f>
        <v>2</v>
      </c>
      <c r="I10" s="46">
        <f>COUNTIFS(company!$R:$R,"Y",company!$C:$C,sector!$A10 )</f>
        <v>0</v>
      </c>
      <c r="J10" s="46">
        <f>COUNTIFS(company!$C:$C,sector!$A10,company!$H:$H,"Y")</f>
        <v>0</v>
      </c>
      <c r="K10" s="46">
        <f>COUNTIFS(company!$C:$C,sector!$A10,company!$H:$H,"N")</f>
        <v>1</v>
      </c>
      <c r="L10" s="54">
        <f t="shared" si="1"/>
        <v>0</v>
      </c>
      <c r="M10">
        <f t="shared" si="2"/>
        <v>2</v>
      </c>
      <c r="O10" t="b">
        <f t="shared" si="3"/>
        <v>1</v>
      </c>
      <c r="P10" t="b">
        <f t="shared" si="4"/>
        <v>1</v>
      </c>
      <c r="Q10" t="b">
        <f t="shared" si="5"/>
        <v>1</v>
      </c>
    </row>
    <row r="11" spans="1:17" x14ac:dyDescent="0.25">
      <c r="A11" s="40" t="s">
        <v>11</v>
      </c>
      <c r="B11" s="46">
        <f>COUNTIFS(company!$C:$C, sector!$A11,company!$Z:$Z,"NR", company!$AF:$AF,"NR")</f>
        <v>1</v>
      </c>
      <c r="C11" s="46">
        <f t="shared" si="0"/>
        <v>11</v>
      </c>
      <c r="D11" s="46">
        <f>COUNTIFS(company!$L:$L,"N",company!$C:$C,sector!$A11 )</f>
        <v>9</v>
      </c>
      <c r="E11" s="46">
        <f>COUNTIFS(company!$L:$L,"Y",company!$C:$C,sector!$A11 )</f>
        <v>3</v>
      </c>
      <c r="F11" s="46">
        <f>COUNTIFS(company!$M:$M,"N",company!$C:$C,sector!$A11 )</f>
        <v>7</v>
      </c>
      <c r="G11" s="46">
        <f>COUNTIFS(company!$M:$M,"Y",company!$C:$C,sector!$A11 )</f>
        <v>5</v>
      </c>
      <c r="H11" s="46">
        <f>COUNTIFS(company!$R:$R,"N",company!$C:$C,sector!$A11 )</f>
        <v>7</v>
      </c>
      <c r="I11" s="46">
        <f>COUNTIFS(company!$R:$R,"Y",company!$C:$C,sector!$A11 )</f>
        <v>5</v>
      </c>
      <c r="J11" s="46">
        <f>COUNTIFS(company!$C:$C,sector!$A11,company!$H:$H,"Y")</f>
        <v>0</v>
      </c>
      <c r="K11" s="46">
        <f>COUNTIFS(company!$C:$C,sector!$A11,company!$H:$H,"N")</f>
        <v>11</v>
      </c>
      <c r="L11" s="54">
        <f t="shared" si="1"/>
        <v>0</v>
      </c>
      <c r="M11">
        <f t="shared" si="2"/>
        <v>12</v>
      </c>
      <c r="O11" t="b">
        <f t="shared" si="3"/>
        <v>1</v>
      </c>
      <c r="P11" t="b">
        <f t="shared" si="4"/>
        <v>1</v>
      </c>
      <c r="Q11" t="b">
        <f t="shared" si="5"/>
        <v>1</v>
      </c>
    </row>
    <row r="12" spans="1:17" x14ac:dyDescent="0.25">
      <c r="A12" s="40" t="s">
        <v>12</v>
      </c>
      <c r="B12" s="46">
        <f>COUNTIFS(company!$C:$C, sector!$A12,company!$Z:$Z,"NR", company!$AF:$AF,"NR")</f>
        <v>1</v>
      </c>
      <c r="C12" s="46">
        <f t="shared" si="0"/>
        <v>3</v>
      </c>
      <c r="D12" s="46">
        <f>COUNTIFS(company!$L:$L,"N",company!$C:$C,sector!$A12 )</f>
        <v>3</v>
      </c>
      <c r="E12" s="46">
        <f>COUNTIFS(company!$L:$L,"Y",company!$C:$C,sector!$A12 )</f>
        <v>1</v>
      </c>
      <c r="F12" s="46">
        <f>COUNTIFS(company!$M:$M,"N",company!$C:$C,sector!$A12 )</f>
        <v>4</v>
      </c>
      <c r="G12" s="46">
        <f>COUNTIFS(company!$M:$M,"Y",company!$C:$C,sector!$A12 )</f>
        <v>0</v>
      </c>
      <c r="H12" s="46">
        <f>COUNTIFS(company!$R:$R,"N",company!$C:$C,sector!$A12 )</f>
        <v>4</v>
      </c>
      <c r="I12" s="46">
        <f>COUNTIFS(company!$R:$R,"Y",company!$C:$C,sector!$A12 )</f>
        <v>0</v>
      </c>
      <c r="J12" s="46">
        <f>COUNTIFS(company!$C:$C,sector!$A12,company!$H:$H,"Y")</f>
        <v>3</v>
      </c>
      <c r="K12" s="46">
        <f>COUNTIFS(company!$C:$C,sector!$A12,company!$H:$H,"N")</f>
        <v>0</v>
      </c>
      <c r="L12" s="54">
        <f t="shared" si="1"/>
        <v>1</v>
      </c>
      <c r="M12">
        <f t="shared" si="2"/>
        <v>4</v>
      </c>
      <c r="O12" t="b">
        <f t="shared" si="3"/>
        <v>1</v>
      </c>
      <c r="P12" t="b">
        <f t="shared" si="4"/>
        <v>1</v>
      </c>
      <c r="Q12" t="b">
        <f t="shared" si="5"/>
        <v>1</v>
      </c>
    </row>
    <row r="13" spans="1:17" ht="13" x14ac:dyDescent="0.3">
      <c r="A13" s="44" t="s">
        <v>488</v>
      </c>
      <c r="B13" s="45">
        <f t="shared" ref="B13:C13" si="6">SUM(B2:B12)</f>
        <v>21</v>
      </c>
      <c r="C13" s="45">
        <f t="shared" si="6"/>
        <v>79</v>
      </c>
      <c r="D13" s="45">
        <f t="shared" ref="D13:M13" si="7">SUM(D2:D12)</f>
        <v>74</v>
      </c>
      <c r="E13" s="45">
        <f t="shared" si="7"/>
        <v>26</v>
      </c>
      <c r="F13" s="45">
        <f t="shared" si="7"/>
        <v>73</v>
      </c>
      <c r="G13" s="45">
        <f t="shared" si="7"/>
        <v>27</v>
      </c>
      <c r="H13" s="45">
        <f t="shared" si="7"/>
        <v>70</v>
      </c>
      <c r="I13" s="45">
        <f t="shared" si="7"/>
        <v>30</v>
      </c>
      <c r="J13" s="45">
        <f t="shared" si="7"/>
        <v>24</v>
      </c>
      <c r="K13" s="45">
        <f t="shared" si="7"/>
        <v>53</v>
      </c>
      <c r="L13" s="56">
        <f t="shared" si="1"/>
        <v>0.31168831168831168</v>
      </c>
      <c r="M13" s="45">
        <f t="shared" si="7"/>
        <v>100</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 3 6 < / H e i g h t > < / S a n d b o x E d i t o r . F o r m u l a B a r S t a t e > ] ] > < / C u s t o m C o n t e n t > < / G e m i n i > 
</file>

<file path=customXml/item10.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 C o m p a n y   N a m e < / s t r i n g > < / k e y > < v a l u e > < i n t > 2 2 7 < / i n t > < / v a l u e > < / i t e m > < i t e m > < k e y > < s t r i n g > S e c t o r < / s t r i n g > < / k e y > < v a l u e > < i n t > 1 2 5 < / i n t > < / v a l u e > < / i t e m > < i t e m > < k e y > < s t r i n g > I n d u s t r y < / s t r i n g > < / k e y > < v a l u e > < i n t > 1 4 6 < / i n t > < / v a l u e > < / i t e m > < i t e m > < k e y > < s t r i n g > S i z e   ( 2 0 1 9   R e v e n u e ) < / s t r i n g > < / k e y > < v a l u e > < i n t > 2 7 0 < / i n t > < / v a l u e > < / i t e m > < i t e m > < k e y > < s t r i n g > N e t   E a r n i n g s / I n c o m e   ( 2 0 1 9 ) < / s t r i n g > < / k e y > < v a l u e > < i n t > 3 5 6 < / i n t > < / v a l u e > < / i t e m > < i t e m > < k e y > < s t r i n g > I P O   Y e a r < / s t r i n g > < / k e y > < v a l u e > < i n t > 1 4 5 < / i n t > < / v a l u e > < / i t e m > < i t e m > < k e y > < s t r i n g > S & a m p ; P   1 0 0 ?   ( Y / N ) < / s t r i n g > < / k e y > < v a l u e > < i n t > 2 1 7 < / i n t > < / v a l u e > < / i t e m > < i t e m > < k e y > < s t r i n g > C a r b o n   N e u t r a l   G o a l ?   ( Y / N ) < / s t r i n g > < / k e y > < v a l u e > < i n t > 3 4 5 < / i n t > < / v a l u e > < / i t e m > < i t e m > < k e y > < s t r i n g > S c i e n c e - B a s e d   T a r g e t ?   ( Y / N ) < / s t r i n g > < / k e y > < v a l u e > < i n t > 3 5 2 < / i n t > < / v a l u e > < / i t e m > < i t e m > < k e y > < s t r i n g > C a r b o n   N e u t r a l   b y . . . .   ( y e a r ) < / s t r i n g > < / k e y > < v a l u e > < i n t > 3 4 5 < / i n t > < / v a l u e > < / i t e m > < i t e m > < k e y > < s t r i n g > C a r b o n   N e u t r a l   A n n o u n c e m e n t   ( y e a r ) < / s t r i n g > < / k e y > < v a l u e > < i n t > 4 5 9 < / i n t > < / v a l u e > < / i t e m > < i t e m > < k e y > < s t r i n g > C a r b o n   G o a l   ( i f   n o n - z e r o ) < / s t r i n g > < / k e y > < v a l u e > < i n t > 3 2 5 < / i n t > < / v a l u e > < / i t e m > < i t e m > < k e y > < s t r i n g > R e l i a n c e   o n   O f f s e t s ?   ( Y / N ) < / s t r i n g > < / k e y > < v a l u e > < i n t > 3 3 2 < / i n t > < / v a l u e > < / i t e m > < i t e m > < k e y > < s t r i n g > R E 1 0 0   C o m m i t m e n t ?   ( Y / N ) < / s t r i n g > < / k e y > < v a l u e > < i n t > 3 4 3 < / i n t > < / v a l u e > < / i t e m > < i t e m > < k e y > < s t r i n g > 1 0 0 %   R e n e w a b l e   E n e r g y   b y . . .   ( y e a r ) < / s t r i n g > < / k e y > < v a l u e > < i n t > 4 3 7 < / i n t > < / v a l u e > < / i t e m > < i t e m > < k e y > < s t r i n g > 2 0 1 9   S c o p e   1   ( M e T   C o 2 ) < / s t r i n g > < / k e y > < v a l u e > < i n t > 3 1 5 < / i n t > < / v a l u e > < / i t e m > < i t e m > < k e y > < s t r i n g > 2 0 1 9   S c o p e   2 < / s t r i n g > < / k e y > < v a l u e > < i n t > 1 9 8 < / i n t > < / v a l u e > < / i t e m > < i t e m > < k e y > < s t r i n g > 2 0 1 9   O f f s e t s   P u r c h a s e d < / s t r i n g > < / k e y > < v a l u e > < i n t > 3 0 5 < / i n t > < / v a l u e > < / i t e m > < i t e m > < k e y > < s t r i n g > 2 0 1 9   N e t   S c o p e   1   +   2   E m i s s i o n s < / s t r i n g > < / k e y > < v a l u e > < i n t > 3 9 1 < / i n t > < / v a l u e > < / i t e m > < i t e m > < k e y > < s t r i n g > 2 0 1 9   S c o p e   3 < / s t r i n g > < / k e y > < v a l u e > < i n t > 1 9 8 < / i n t > < / v a l u e > < / i t e m > < i t e m > < k e y > < s t r i n g > 2 0 1 8   S c o p e   1 < / s t r i n g > < / k e y > < v a l u e > < i n t > 1 9 8 < / i n t > < / v a l u e > < / i t e m > < i t e m > < k e y > < s t r i n g > 2 0 1 8   S c o p e   2 < / s t r i n g > < / k e y > < v a l u e > < i n t > 1 9 8 < / i n t > < / v a l u e > < / i t e m > < i t e m > < k e y > < s t r i n g > 2 0 1 8   O f f s e t s   P u r c h a s e d < / s t r i n g > < / k e y > < v a l u e > < i n t > 3 0 5 < / i n t > < / v a l u e > < / i t e m > < i t e m > < k e y > < s t r i n g > 2 0 1 8   N e t   S c o p e   1   +   2   E m i s s i o n s < / s t r i n g > < / k e y > < v a l u e > < i n t > 3 9 1 < / i n t > < / v a l u e > < / i t e m > < i t e m > < k e y > < s t r i n g > 2 0 1 8   S c o p e   3 < / s t r i n g > < / k e y > < v a l u e > < i n t > 1 9 8 < / i n t > < / v a l u e > < / i t e m > < i t e m > < k e y > < s t r i n g > 2 0 1 7   S c o p e   1 < / s t r i n g > < / k e y > < v a l u e > < i n t > 1 9 8 < / i n t > < / v a l u e > < / i t e m > < i t e m > < k e y > < s t r i n g > 2 0 1 7   S c o p e   2 < / s t r i n g > < / k e y > < v a l u e > < i n t > 1 9 8 < / i n t > < / v a l u e > < / i t e m > < i t e m > < k e y > < s t r i n g > 2 0 1 7   O f f s e t s   P u r c h a s e d < / s t r i n g > < / k e y > < v a l u e > < i n t > 3 0 5 < / i n t > < / v a l u e > < / i t e m > < i t e m > < k e y > < s t r i n g > 2 0 1 7   N e t   S c o p e   1   +   2   E m i s s i o n s < / s t r i n g > < / k e y > < v a l u e > < i n t > 3 9 1 < / i n t > < / v a l u e > < / i t e m > < i t e m > < k e y > < s t r i n g > 2 0 1 7   S c o p e   3 < / s t r i n g > < / k e y > < v a l u e > < i n t > 1 9 8 < / i n t > < / v a l u e > < / i t e m > < i t e m > < k e y > < s t r i n g > 2 0 1 6   S c o p e   1 < / s t r i n g > < / k e y > < v a l u e > < i n t > 1 9 8 < / i n t > < / v a l u e > < / i t e m > < i t e m > < k e y > < s t r i n g > 2 0 1 6   S c o p e   2 < / s t r i n g > < / k e y > < v a l u e > < i n t > 1 9 8 < / i n t > < / v a l u e > < / i t e m > < i t e m > < k e y > < s t r i n g > 2 0 1 6   O f f s e t s   P u r c h a s e d < / s t r i n g > < / k e y > < v a l u e > < i n t > 3 0 5 < / i n t > < / v a l u e > < / i t e m > < i t e m > < k e y > < s t r i n g > 2 0 1 6   N e t   S c o p e   1   +   2   E m i s s i o n s < / s t r i n g > < / k e y > < v a l u e > < i n t > 3 9 1 < / i n t > < / v a l u e > < / i t e m > < i t e m > < k e y > < s t r i n g > 2 0 1 6   S c o p e   3 < / s t r i n g > < / k e y > < v a l u e > < i n t > 1 9 8 < / i n t > < / v a l u e > < / i t e m > < i t e m > < k e y > < s t r i n g > 2 0 1 5   S c o p e   1 < / s t r i n g > < / k e y > < v a l u e > < i n t > 1 9 8 < / i n t > < / v a l u e > < / i t e m > < i t e m > < k e y > < s t r i n g > 2 0 1 5   S c o p e   2 < / s t r i n g > < / k e y > < v a l u e > < i n t > 1 9 8 < / i n t > < / v a l u e > < / i t e m > < i t e m > < k e y > < s t r i n g > 2 0 1 5   O f f s e t s   P u r c h a s e d < / s t r i n g > < / k e y > < v a l u e > < i n t > 3 0 5 < / i n t > < / v a l u e > < / i t e m > < i t e m > < k e y > < s t r i n g > 2 0 1 5   N e t   S c o p e   1   +   2   E m i s s i o n s < / s t r i n g > < / k e y > < v a l u e > < i n t > 3 9 1 < / i n t > < / v a l u e > < / i t e m > < i t e m > < k e y > < s t r i n g > 2 0 1 5   S c o p e   3 < / s t r i n g > < / k e y > < v a l u e > < i n t > 1 9 8 < / i n t > < / v a l u e > < / i t e m > < i t e m > < k e y > < s t r i n g > P o l i c y   A r m ? < / s t r i n g > < / k e y > < v a l u e > < i n t > 1 8 1 < / i n t > < / v a l u e > < / i t e m > < i t e m > < k e y > < s t r i n g > I n i t i a t i v e s   f o r   C a r b o n   N e u t r a l i t y < / s t r i n g > < / k e y > < v a l u e > < i n t > 3 9 0 < / i n t > < / v a l u e > < / i t e m > < i t e m > < k e y > < s t r i n g > N o t e s < / s t r i n g > < / k e y > < v a l u e > < i n t > 1 2 0 < / i n t > < / v a l u e > < / i t e m > < i t e m > < k e y > < s t r i n g > S o u r c e s < / s t r i n g > < / k e y > < v a l u e > < i n t > 1 4 0 < / i n t > < / v a l u e > < / i t e m > < i t e m > < k e y > < s t r i n g > 2 0 0 7 < / s t r i n g > < / k e y > < v a l u e > < i n t > 1 0 9 < / i n t > < / v a l u e > < / i t e m > < i t e m > < k e y > < s t r i n g > 2 0 1 5 < / s t r i n g > < / k e y > < v a l u e > < i n t > 1 0 9 < / i n t > < / v a l u e > < / i t e m > < i t e m > < k e y > < s t r i n g > 2 0 1 6 < / s t r i n g > < / k e y > < v a l u e > < i n t > 1 0 9 < / i n t > < / v a l u e > < / i t e m > < i t e m > < k e y > < s t r i n g > 2 0 1 7 < / s t r i n g > < / k e y > < v a l u e > < i n t > 1 0 9 < / i n t > < / v a l u e > < / i t e m > < i t e m > < k e y > < s t r i n g > 2 0 1 8 < / s t r i n g > < / k e y > < v a l u e > < i n t > 1 0 9 < / i n t > < / v a l u e > < / i t e m > < i t e m > < k e y > < s t r i n g > 2 0 1 9 < / s t r i n g > < / k e y > < v a l u e > < i n t > 1 0 9 < / i n t > < / v a l u e > < / i t e m > < i t e m > < k e y > < s t r i n g > 2 0 2 0 < / s t r i n g > < / k e y > < v a l u e > < i n t > 1 0 9 < / i n t > < / v a l u e > < / i t e m > < i t e m > < k e y > < s t r i n g > 2 0 2 2 < / s t r i n g > < / k e y > < v a l u e > < i n t > 1 0 9 < / i n t > < / v a l u e > < / i t e m > < i t e m > < k e y > < s t r i n g > 2 0 2 3 < / s t r i n g > < / k e y > < v a l u e > < i n t > 1 0 9 < / i n t > < / v a l u e > < / i t e m > < i t e m > < k e y > < s t r i n g > 2 0 2 5 < / s t r i n g > < / k e y > < v a l u e > < i n t > 1 0 9 < / i n t > < / v a l u e > < / i t e m > < i t e m > < k e y > < s t r i n g > 2 0 2 9 < / s t r i n g > < / k e y > < v a l u e > < i n t > 1 0 9 < / i n t > < / v a l u e > < / i t e m > < i t e m > < k e y > < s t r i n g > 2 0 3 0 < / s t r i n g > < / k e y > < v a l u e > < i n t > 1 0 9 < / i n t > < / v a l u e > < / i t e m > < i t e m > < k e y > < s t r i n g > 2 0 3 5 < / s t r i n g > < / k e y > < v a l u e > < i n t > 1 0 9 < / i n t > < / v a l u e > < / i t e m > < i t e m > < k e y > < s t r i n g > 2 0 4 0 < / s t r i n g > < / k e y > < v a l u e > < i n t > 1 0 9 < / i n t > < / v a l u e > < / i t e m > < i t e m > < k e y > < s t r i n g > 2 0 4 4 < / s t r i n g > < / k e y > < v a l u e > < i n t > 1 0 9 < / i n t > < / v a l u e > < / i t e m > < i t e m > < k e y > < s t r i n g > 2 0 5 0 < / s t r i n g > < / k e y > < v a l u e > < i n t > 1 0 9 < / i n t > < / v a l u e > < / i t e m > < / C o l u m n W i d t h s > < C o l u m n D i s p l a y I n d e x > < i t e m > < k e y > < s t r i n g > C o m p a n y   N a m e < / s t r i n g > < / k e y > < v a l u e > < i n t > 0 < / i n t > < / v a l u e > < / i t e m > < i t e m > < k e y > < s t r i n g > S e c t o r < / s t r i n g > < / k e y > < v a l u e > < i n t > 1 < / i n t > < / v a l u e > < / i t e m > < i t e m > < k e y > < s t r i n g > I n d u s t r y < / s t r i n g > < / k e y > < v a l u e > < i n t > 2 < / i n t > < / v a l u e > < / i t e m > < i t e m > < k e y > < s t r i n g > S i z e   ( 2 0 1 9   R e v e n u e ) < / s t r i n g > < / k e y > < v a l u e > < i n t > 3 < / i n t > < / v a l u e > < / i t e m > < i t e m > < k e y > < s t r i n g > N e t   E a r n i n g s / I n c o m e   ( 2 0 1 9 ) < / s t r i n g > < / k e y > < v a l u e > < i n t > 4 < / i n t > < / v a l u e > < / i t e m > < i t e m > < k e y > < s t r i n g > I P O   Y e a r < / s t r i n g > < / k e y > < v a l u e > < i n t > 5 < / i n t > < / v a l u e > < / i t e m > < i t e m > < k e y > < s t r i n g > S & a m p ; P   1 0 0 ?   ( Y / N ) < / s t r i n g > < / k e y > < v a l u e > < i n t > 6 < / i n t > < / v a l u e > < / i t e m > < i t e m > < k e y > < s t r i n g > C a r b o n   N e u t r a l   G o a l ?   ( Y / N ) < / s t r i n g > < / k e y > < v a l u e > < i n t > 7 < / i n t > < / v a l u e > < / i t e m > < i t e m > < k e y > < s t r i n g > S c i e n c e - B a s e d   T a r g e t ?   ( Y / N ) < / s t r i n g > < / k e y > < v a l u e > < i n t > 8 < / i n t > < / v a l u e > < / i t e m > < i t e m > < k e y > < s t r i n g > C a r b o n   N e u t r a l   b y . . . .   ( y e a r ) < / s t r i n g > < / k e y > < v a l u e > < i n t > 9 < / i n t > < / v a l u e > < / i t e m > < i t e m > < k e y > < s t r i n g > C a r b o n   N e u t r a l   A n n o u n c e m e n t   ( y e a r ) < / s t r i n g > < / k e y > < v a l u e > < i n t > 1 0 < / i n t > < / v a l u e > < / i t e m > < i t e m > < k e y > < s t r i n g > C a r b o n   G o a l   ( i f   n o n - z e r o ) < / s t r i n g > < / k e y > < v a l u e > < i n t > 1 1 < / i n t > < / v a l u e > < / i t e m > < i t e m > < k e y > < s t r i n g > R e l i a n c e   o n   O f f s e t s ?   ( Y / N ) < / s t r i n g > < / k e y > < v a l u e > < i n t > 1 2 < / i n t > < / v a l u e > < / i t e m > < i t e m > < k e y > < s t r i n g > R E 1 0 0   C o m m i t m e n t ?   ( Y / N ) < / s t r i n g > < / k e y > < v a l u e > < i n t > 1 3 < / i n t > < / v a l u e > < / i t e m > < i t e m > < k e y > < s t r i n g > 1 0 0 %   R e n e w a b l e   E n e r g y   b y . . .   ( y e a r ) < / s t r i n g > < / k e y > < v a l u e > < i n t > 1 4 < / i n t > < / v a l u e > < / i t e m > < i t e m > < k e y > < s t r i n g > 2 0 1 9   S c o p e   1   ( M e T   C o 2 ) < / s t r i n g > < / k e y > < v a l u e > < i n t > 1 5 < / i n t > < / v a l u e > < / i t e m > < i t e m > < k e y > < s t r i n g > 2 0 1 9   S c o p e   2 < / s t r i n g > < / k e y > < v a l u e > < i n t > 1 6 < / i n t > < / v a l u e > < / i t e m > < i t e m > < k e y > < s t r i n g > 2 0 1 9   O f f s e t s   P u r c h a s e d < / s t r i n g > < / k e y > < v a l u e > < i n t > 1 7 < / i n t > < / v a l u e > < / i t e m > < i t e m > < k e y > < s t r i n g > 2 0 1 9   N e t   S c o p e   1   +   2   E m i s s i o n s < / s t r i n g > < / k e y > < v a l u e > < i n t > 1 8 < / i n t > < / v a l u e > < / i t e m > < i t e m > < k e y > < s t r i n g > 2 0 1 9   S c o p e   3 < / s t r i n g > < / k e y > < v a l u e > < i n t > 1 9 < / i n t > < / v a l u e > < / i t e m > < i t e m > < k e y > < s t r i n g > 2 0 1 8   S c o p e   1 < / s t r i n g > < / k e y > < v a l u e > < i n t > 2 0 < / i n t > < / v a l u e > < / i t e m > < i t e m > < k e y > < s t r i n g > 2 0 1 8   S c o p e   2 < / s t r i n g > < / k e y > < v a l u e > < i n t > 2 1 < / i n t > < / v a l u e > < / i t e m > < i t e m > < k e y > < s t r i n g > 2 0 1 8   O f f s e t s   P u r c h a s e d < / s t r i n g > < / k e y > < v a l u e > < i n t > 2 2 < / i n t > < / v a l u e > < / i t e m > < i t e m > < k e y > < s t r i n g > 2 0 1 8   N e t   S c o p e   1   +   2   E m i s s i o n s < / s t r i n g > < / k e y > < v a l u e > < i n t > 2 3 < / i n t > < / v a l u e > < / i t e m > < i t e m > < k e y > < s t r i n g > 2 0 1 8   S c o p e   3 < / s t r i n g > < / k e y > < v a l u e > < i n t > 2 4 < / i n t > < / v a l u e > < / i t e m > < i t e m > < k e y > < s t r i n g > 2 0 1 7   S c o p e   1 < / s t r i n g > < / k e y > < v a l u e > < i n t > 2 5 < / i n t > < / v a l u e > < / i t e m > < i t e m > < k e y > < s t r i n g > 2 0 1 7   S c o p e   2 < / s t r i n g > < / k e y > < v a l u e > < i n t > 2 6 < / i n t > < / v a l u e > < / i t e m > < i t e m > < k e y > < s t r i n g > 2 0 1 7   O f f s e t s   P u r c h a s e d < / s t r i n g > < / k e y > < v a l u e > < i n t > 2 7 < / i n t > < / v a l u e > < / i t e m > < i t e m > < k e y > < s t r i n g > 2 0 1 7   N e t   S c o p e   1   +   2   E m i s s i o n s < / s t r i n g > < / k e y > < v a l u e > < i n t > 2 8 < / i n t > < / v a l u e > < / i t e m > < i t e m > < k e y > < s t r i n g > 2 0 1 7   S c o p e   3 < / s t r i n g > < / k e y > < v a l u e > < i n t > 2 9 < / i n t > < / v a l u e > < / i t e m > < i t e m > < k e y > < s t r i n g > 2 0 1 6   S c o p e   1 < / s t r i n g > < / k e y > < v a l u e > < i n t > 3 0 < / i n t > < / v a l u e > < / i t e m > < i t e m > < k e y > < s t r i n g > 2 0 1 6   S c o p e   2 < / s t r i n g > < / k e y > < v a l u e > < i n t > 3 1 < / i n t > < / v a l u e > < / i t e m > < i t e m > < k e y > < s t r i n g > 2 0 1 6   O f f s e t s   P u r c h a s e d < / s t r i n g > < / k e y > < v a l u e > < i n t > 3 2 < / i n t > < / v a l u e > < / i t e m > < i t e m > < k e y > < s t r i n g > 2 0 1 6   N e t   S c o p e   1   +   2   E m i s s i o n s < / s t r i n g > < / k e y > < v a l u e > < i n t > 3 3 < / i n t > < / v a l u e > < / i t e m > < i t e m > < k e y > < s t r i n g > 2 0 1 6   S c o p e   3 < / s t r i n g > < / k e y > < v a l u e > < i n t > 3 4 < / i n t > < / v a l u e > < / i t e m > < i t e m > < k e y > < s t r i n g > 2 0 1 5   S c o p e   1 < / s t r i n g > < / k e y > < v a l u e > < i n t > 3 5 < / i n t > < / v a l u e > < / i t e m > < i t e m > < k e y > < s t r i n g > 2 0 1 5   S c o p e   2 < / s t r i n g > < / k e y > < v a l u e > < i n t > 3 6 < / i n t > < / v a l u e > < / i t e m > < i t e m > < k e y > < s t r i n g > 2 0 1 5   O f f s e t s   P u r c h a s e d < / s t r i n g > < / k e y > < v a l u e > < i n t > 3 7 < / i n t > < / v a l u e > < / i t e m > < i t e m > < k e y > < s t r i n g > 2 0 1 5   N e t   S c o p e   1   +   2   E m i s s i o n s < / s t r i n g > < / k e y > < v a l u e > < i n t > 3 8 < / i n t > < / v a l u e > < / i t e m > < i t e m > < k e y > < s t r i n g > 2 0 1 5   S c o p e   3 < / s t r i n g > < / k e y > < v a l u e > < i n t > 3 9 < / i n t > < / v a l u e > < / i t e m > < i t e m > < k e y > < s t r i n g > P o l i c y   A r m ? < / s t r i n g > < / k e y > < v a l u e > < i n t > 4 0 < / i n t > < / v a l u e > < / i t e m > < i t e m > < k e y > < s t r i n g > I n i t i a t i v e s   f o r   C a r b o n   N e u t r a l i t y < / s t r i n g > < / k e y > < v a l u e > < i n t > 4 1 < / i n t > < / v a l u e > < / i t e m > < i t e m > < k e y > < s t r i n g > N o t e s < / s t r i n g > < / k e y > < v a l u e > < i n t > 4 2 < / i n t > < / v a l u e > < / i t e m > < i t e m > < k e y > < s t r i n g > S o u r c e s < / s t r i n g > < / k e y > < v a l u e > < i n t > 4 3 < / i n t > < / v a l u e > < / i t e m > < i t e m > < k e y > < s t r i n g > 2 0 0 7 < / s t r i n g > < / k e y > < v a l u e > < i n t > 4 4 < / i n t > < / v a l u e > < / i t e m > < i t e m > < k e y > < s t r i n g > 2 0 1 5 < / s t r i n g > < / k e y > < v a l u e > < i n t > 4 5 < / i n t > < / v a l u e > < / i t e m > < i t e m > < k e y > < s t r i n g > 2 0 1 6 < / s t r i n g > < / k e y > < v a l u e > < i n t > 4 6 < / i n t > < / v a l u e > < / i t e m > < i t e m > < k e y > < s t r i n g > 2 0 1 7 < / s t r i n g > < / k e y > < v a l u e > < i n t > 4 7 < / i n t > < / v a l u e > < / i t e m > < i t e m > < k e y > < s t r i n g > 2 0 1 8 < / s t r i n g > < / k e y > < v a l u e > < i n t > 4 8 < / i n t > < / v a l u e > < / i t e m > < i t e m > < k e y > < s t r i n g > 2 0 1 9 < / s t r i n g > < / k e y > < v a l u e > < i n t > 4 9 < / i n t > < / v a l u e > < / i t e m > < i t e m > < k e y > < s t r i n g > 2 0 2 0 < / s t r i n g > < / k e y > < v a l u e > < i n t > 5 0 < / i n t > < / v a l u e > < / i t e m > < i t e m > < k e y > < s t r i n g > 2 0 2 2 < / s t r i n g > < / k e y > < v a l u e > < i n t > 5 1 < / i n t > < / v a l u e > < / i t e m > < i t e m > < k e y > < s t r i n g > 2 0 2 3 < / s t r i n g > < / k e y > < v a l u e > < i n t > 5 2 < / i n t > < / v a l u e > < / i t e m > < i t e m > < k e y > < s t r i n g > 2 0 2 5 < / s t r i n g > < / k e y > < v a l u e > < i n t > 5 3 < / i n t > < / v a l u e > < / i t e m > < i t e m > < k e y > < s t r i n g > 2 0 2 9 < / s t r i n g > < / k e y > < v a l u e > < i n t > 5 4 < / i n t > < / v a l u e > < / i t e m > < i t e m > < k e y > < s t r i n g > 2 0 3 0 < / s t r i n g > < / k e y > < v a l u e > < i n t > 5 5 < / i n t > < / v a l u e > < / i t e m > < i t e m > < k e y > < s t r i n g > 2 0 3 5 < / s t r i n g > < / k e y > < v a l u e > < i n t > 5 6 < / i n t > < / v a l u e > < / i t e m > < i t e m > < k e y > < s t r i n g > 2 0 4 0 < / s t r i n g > < / k e y > < v a l u e > < i n t > 5 7 < / i n t > < / v a l u e > < / i t e m > < i t e m > < k e y > < s t r i n g > 2 0 4 4 < / s t r i n g > < / k e y > < v a l u e > < i n t > 5 8 < / i n t > < / v a l u e > < / i t e m > < i t e m > < k e y > < s t r i n g > 2 0 5 0 < / s t r i n g > < / k e y > < v a l u e > < i n t > 5 9 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P o w e r P i v o t V e r s i o n " > < C u s t o m C o n t e n t > < ! [ C D A T A [ 2 0 1 5 . 1 3 0 . 8 0 0 . 1 3 3 8 ] ] > < / 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 C o l u m n s \ S i z e   ( 2 0 1 9   R e v e n u e ) < / K e y > < / a : K e y > < a : V a l u e   i : t y p e = " T a b l e W i d g e t B a s e V i e w S t a t e " / > < / a : K e y V a l u e O f D i a g r a m O b j e c t K e y a n y T y p e z b w N T n L X > < a : K e y V a l u e O f D i a g r a m O b j e c t K e y a n y T y p e z b w N T n L X > < a : K e y > < K e y > C o l u m n s \ N e t   E a r n i n g s / I n c o m e   ( 2 0 1 9 ) < / K e y > < / a : K e y > < a : V a l u e   i : t y p e = " T a b l e W i d g e t B a s e V i e w S t a t e " / > < / a : K e y V a l u e O f D i a g r a m O b j e c t K e y a n y T y p e z b w N T n L X > < a : K e y V a l u e O f D i a g r a m O b j e c t K e y a n y T y p e z b w N T n L X > < a : K e y > < K e y > C o l u m n s \ I P O   Y e a r < / K e y > < / a : K e y > < a : V a l u e   i : t y p e = " T a b l e W i d g e t B a s e V i e w S t a t e " / > < / a : K e y V a l u e O f D i a g r a m O b j e c t K e y a n y T y p e z b w N T n L X > < a : K e y V a l u e O f D i a g r a m O b j e c t K e y a n y T y p e z b w N T n L X > < a : K e y > < K e y > C o l u m n s \ S & a m p ; P   1 0 0 ?   ( Y / N ) < / K e y > < / a : K e y > < a : V a l u e   i : t y p e = " T a b l e W i d g e t B a s e V i e w S t a t e " / > < / a : K e y V a l u e O f D i a g r a m O b j e c t K e y a n y T y p e z b w N T n L X > < a : K e y V a l u e O f D i a g r a m O b j e c t K e y a n y T y p e z b w N T n L X > < a : K e y > < K e y > C o l u m n s \ C a r b o n   N e u t r a l   G o a l ?   ( Y / N ) < / K e y > < / a : K e y > < a : V a l u e   i : t y p e = " T a b l e W i d g e t B a s e V i e w S t a t e " / > < / a : K e y V a l u e O f D i a g r a m O b j e c t K e y a n y T y p e z b w N T n L X > < a : K e y V a l u e O f D i a g r a m O b j e c t K e y a n y T y p e z b w N T n L X > < a : K e y > < K e y > C o l u m n s \ S c i e n c e - B a s e d   T a r g e t ?   ( Y / N ) < / K e y > < / a : K e y > < a : V a l u e   i : t y p e = " T a b l e W i d g e t B a s e V i e w S t a t e " / > < / a : K e y V a l u e O f D i a g r a m O b j e c t K e y a n y T y p e z b w N T n L X > < a : K e y V a l u e O f D i a g r a m O b j e c t K e y a n y T y p e z b w N T n L X > < a : K e y > < K e y > C o l u m n s \ C a r b o n   N e u t r a l   b y . . . .   ( y e a r ) < / K e y > < / a : K e y > < a : V a l u e   i : t y p e = " T a b l e W i d g e t B a s e V i e w S t a t e " / > < / a : K e y V a l u e O f D i a g r a m O b j e c t K e y a n y T y p e z b w N T n L X > < a : K e y V a l u e O f D i a g r a m O b j e c t K e y a n y T y p e z b w N T n L X > < a : K e y > < K e y > C o l u m n s \ C a r b o n   N e u t r a l   A n n o u n c e m e n t   ( y e a r ) < / K e y > < / a : K e y > < a : V a l u e   i : t y p e = " T a b l e W i d g e t B a s e V i e w S t a t e " / > < / a : K e y V a l u e O f D i a g r a m O b j e c t K e y a n y T y p e z b w N T n L X > < a : K e y V a l u e O f D i a g r a m O b j e c t K e y a n y T y p e z b w N T n L X > < a : K e y > < K e y > C o l u m n s \ C a r b o n   G o a l   ( i f   n o n - z e r o ) < / K e y > < / a : K e y > < a : V a l u e   i : t y p e = " T a b l e W i d g e t B a s e V i e w S t a t e " / > < / a : K e y V a l u e O f D i a g r a m O b j e c t K e y a n y T y p e z b w N T n L X > < a : K e y V a l u e O f D i a g r a m O b j e c t K e y a n y T y p e z b w N T n L X > < a : K e y > < K e y > C o l u m n s \ R e l i a n c e   o n   O f f s e t s ?   ( Y / N ) < / K e y > < / a : K e y > < a : V a l u e   i : t y p e = " T a b l e W i d g e t B a s e V i e w S t a t e " / > < / a : K e y V a l u e O f D i a g r a m O b j e c t K e y a n y T y p e z b w N T n L X > < a : K e y V a l u e O f D i a g r a m O b j e c t K e y a n y T y p e z b w N T n L X > < a : K e y > < K e y > C o l u m n s \ R E 1 0 0   C o m m i t m e n t ?   ( Y / N ) < / K e y > < / a : K e y > < a : V a l u e   i : t y p e = " T a b l e W i d g e t B a s e V i e w S t a t e " / > < / a : K e y V a l u e O f D i a g r a m O b j e c t K e y a n y T y p e z b w N T n L X > < a : K e y V a l u e O f D i a g r a m O b j e c t K e y a n y T y p e z b w N T n L X > < a : K e y > < K e y > C o l u m n s \ 1 0 0 %   R e n e w a b l e   E n e r g y   b y . . .   ( y e a r ) < / K e y > < / a : K e y > < a : V a l u e   i : t y p e = " T a b l e W i d g e t B a s e V i e w S t a t e " / > < / a : K e y V a l u e O f D i a g r a m O b j e c t K e y a n y T y p e z b w N T n L X > < a : K e y V a l u e O f D i a g r a m O b j e c t K e y a n y T y p e z b w N T n L X > < a : K e y > < K e y > C o l u m n s \ 2 0 1 9   S c o p e   1   ( M e T   C o 2 ) < / K e y > < / a : K e y > < a : V a l u e   i : t y p e = " T a b l e W i d g e t B a s e V i e w S t a t e " / > < / a : K e y V a l u e O f D i a g r a m O b j e c t K e y a n y T y p e z b w N T n L X > < a : K e y V a l u e O f D i a g r a m O b j e c t K e y a n y T y p e z b w N T n L X > < a : K e y > < K e y > C o l u m n s \ 2 0 1 9   S c o p e   2 < / K e y > < / a : K e y > < a : V a l u e   i : t y p e = " T a b l e W i d g e t B a s e V i e w S t a t e " / > < / a : K e y V a l u e O f D i a g r a m O b j e c t K e y a n y T y p e z b w N T n L X > < a : K e y V a l u e O f D i a g r a m O b j e c t K e y a n y T y p e z b w N T n L X > < a : K e y > < K e y > C o l u m n s \ 2 0 1 9   O f f s e t s   P u r c h a s e d < / K e y > < / a : K e y > < a : V a l u e   i : t y p e = " T a b l e W i d g e t B a s e V i e w S t a t e " / > < / a : K e y V a l u e O f D i a g r a m O b j e c t K e y a n y T y p e z b w N T n L X > < a : K e y V a l u e O f D i a g r a m O b j e c t K e y a n y T y p e z b w N T n L X > < a : K e y > < K e y > C o l u m n s \ 2 0 1 9   N e t   S c o p e   1   +   2   E m i s s i o n s < / K e y > < / a : K e y > < a : V a l u e   i : t y p e = " T a b l e W i d g e t B a s e V i e w S t a t e " / > < / a : K e y V a l u e O f D i a g r a m O b j e c t K e y a n y T y p e z b w N T n L X > < a : K e y V a l u e O f D i a g r a m O b j e c t K e y a n y T y p e z b w N T n L X > < a : K e y > < K e y > C o l u m n s \ 2 0 1 9   S c o p e   3 < / K e y > < / a : K e y > < a : V a l u e   i : t y p e = " T a b l e W i d g e t B a s e V i e w S t a t e " / > < / a : K e y V a l u e O f D i a g r a m O b j e c t K e y a n y T y p e z b w N T n L X > < a : K e y V a l u e O f D i a g r a m O b j e c t K e y a n y T y p e z b w N T n L X > < a : K e y > < K e y > C o l u m n s \ 2 0 1 8   S c o p e   1 < / K e y > < / a : K e y > < a : V a l u e   i : t y p e = " T a b l e W i d g e t B a s e V i e w S t a t e " / > < / a : K e y V a l u e O f D i a g r a m O b j e c t K e y a n y T y p e z b w N T n L X > < a : K e y V a l u e O f D i a g r a m O b j e c t K e y a n y T y p e z b w N T n L X > < a : K e y > < K e y > C o l u m n s \ 2 0 1 8   S c o p e   2 < / K e y > < / a : K e y > < a : V a l u e   i : t y p e = " T a b l e W i d g e t B a s e V i e w S t a t e " / > < / a : K e y V a l u e O f D i a g r a m O b j e c t K e y a n y T y p e z b w N T n L X > < a : K e y V a l u e O f D i a g r a m O b j e c t K e y a n y T y p e z b w N T n L X > < a : K e y > < K e y > C o l u m n s \ 2 0 1 8   O f f s e t s   P u r c h a s e d < / K e y > < / a : K e y > < a : V a l u e   i : t y p e = " T a b l e W i d g e t B a s e V i e w S t a t e " / > < / a : K e y V a l u e O f D i a g r a m O b j e c t K e y a n y T y p e z b w N T n L X > < a : K e y V a l u e O f D i a g r a m O b j e c t K e y a n y T y p e z b w N T n L X > < a : K e y > < K e y > C o l u m n s \ 2 0 1 8   N e t   S c o p e   1   +   2   E m i s s i o n s < / K e y > < / a : K e y > < a : V a l u e   i : t y p e = " T a b l e W i d g e t B a s e V i e w S t a t e " / > < / a : K e y V a l u e O f D i a g r a m O b j e c t K e y a n y T y p e z b w N T n L X > < a : K e y V a l u e O f D i a g r a m O b j e c t K e y a n y T y p e z b w N T n L X > < a : K e y > < K e y > C o l u m n s \ 2 0 1 8   S c o p e   3 < / K e y > < / a : K e y > < a : V a l u e   i : t y p e = " T a b l e W i d g e t B a s e V i e w S t a t e " / > < / a : K e y V a l u e O f D i a g r a m O b j e c t K e y a n y T y p e z b w N T n L X > < a : K e y V a l u e O f D i a g r a m O b j e c t K e y a n y T y p e z b w N T n L X > < a : K e y > < K e y > C o l u m n s \ 2 0 1 7   S c o p e   1 < / K e y > < / a : K e y > < a : V a l u e   i : t y p e = " T a b l e W i d g e t B a s e V i e w S t a t e " / > < / a : K e y V a l u e O f D i a g r a m O b j e c t K e y a n y T y p e z b w N T n L X > < a : K e y V a l u e O f D i a g r a m O b j e c t K e y a n y T y p e z b w N T n L X > < a : K e y > < K e y > C o l u m n s \ 2 0 1 7   S c o p e   2 < / K e y > < / a : K e y > < a : V a l u e   i : t y p e = " T a b l e W i d g e t B a s e V i e w S t a t e " / > < / a : K e y V a l u e O f D i a g r a m O b j e c t K e y a n y T y p e z b w N T n L X > < a : K e y V a l u e O f D i a g r a m O b j e c t K e y a n y T y p e z b w N T n L X > < a : K e y > < K e y > C o l u m n s \ 2 0 1 7   O f f s e t s   P u r c h a s e d < / K e y > < / a : K e y > < a : V a l u e   i : t y p e = " T a b l e W i d g e t B a s e V i e w S t a t e " / > < / a : K e y V a l u e O f D i a g r a m O b j e c t K e y a n y T y p e z b w N T n L X > < a : K e y V a l u e O f D i a g r a m O b j e c t K e y a n y T y p e z b w N T n L X > < a : K e y > < K e y > C o l u m n s \ 2 0 1 7   N e t   S c o p e   1   +   2   E m i s s i o n s < / K e y > < / a : K e y > < a : V a l u e   i : t y p e = " T a b l e W i d g e t B a s e V i e w S t a t e " / > < / a : K e y V a l u e O f D i a g r a m O b j e c t K e y a n y T y p e z b w N T n L X > < a : K e y V a l u e O f D i a g r a m O b j e c t K e y a n y T y p e z b w N T n L X > < a : K e y > < K e y > C o l u m n s \ 2 0 1 7   S c o p e   3 < / K e y > < / a : K e y > < a : V a l u e   i : t y p e = " T a b l e W i d g e t B a s e V i e w S t a t e " / > < / a : K e y V a l u e O f D i a g r a m O b j e c t K e y a n y T y p e z b w N T n L X > < a : K e y V a l u e O f D i a g r a m O b j e c t K e y a n y T y p e z b w N T n L X > < a : K e y > < K e y > C o l u m n s \ 2 0 1 6   S c o p e   1 < / K e y > < / a : K e y > < a : V a l u e   i : t y p e = " T a b l e W i d g e t B a s e V i e w S t a t e " / > < / a : K e y V a l u e O f D i a g r a m O b j e c t K e y a n y T y p e z b w N T n L X > < a : K e y V a l u e O f D i a g r a m O b j e c t K e y a n y T y p e z b w N T n L X > < a : K e y > < K e y > C o l u m n s \ 2 0 1 6   S c o p e   2 < / K e y > < / a : K e y > < a : V a l u e   i : t y p e = " T a b l e W i d g e t B a s e V i e w S t a t e " / > < / a : K e y V a l u e O f D i a g r a m O b j e c t K e y a n y T y p e z b w N T n L X > < a : K e y V a l u e O f D i a g r a m O b j e c t K e y a n y T y p e z b w N T n L X > < a : K e y > < K e y > C o l u m n s \ 2 0 1 6   O f f s e t s   P u r c h a s e d < / K e y > < / a : K e y > < a : V a l u e   i : t y p e = " T a b l e W i d g e t B a s e V i e w S t a t e " / > < / a : K e y V a l u e O f D i a g r a m O b j e c t K e y a n y T y p e z b w N T n L X > < a : K e y V a l u e O f D i a g r a m O b j e c t K e y a n y T y p e z b w N T n L X > < a : K e y > < K e y > C o l u m n s \ 2 0 1 6   N e t   S c o p e   1   +   2   E m i s s i o n s < / K e y > < / a : K e y > < a : V a l u e   i : t y p e = " T a b l e W i d g e t B a s e V i e w S t a t e " / > < / a : K e y V a l u e O f D i a g r a m O b j e c t K e y a n y T y p e z b w N T n L X > < a : K e y V a l u e O f D i a g r a m O b j e c t K e y a n y T y p e z b w N T n L X > < a : K e y > < K e y > C o l u m n s \ 2 0 1 6   S c o p e   3 < / K e y > < / a : K e y > < a : V a l u e   i : t y p e = " T a b l e W i d g e t B a s e V i e w S t a t e " / > < / a : K e y V a l u e O f D i a g r a m O b j e c t K e y a n y T y p e z b w N T n L X > < a : K e y V a l u e O f D i a g r a m O b j e c t K e y a n y T y p e z b w N T n L X > < a : K e y > < K e y > C o l u m n s \ 2 0 1 5   S c o p e   1 < / K e y > < / a : K e y > < a : V a l u e   i : t y p e = " T a b l e W i d g e t B a s e V i e w S t a t e " / > < / a : K e y V a l u e O f D i a g r a m O b j e c t K e y a n y T y p e z b w N T n L X > < a : K e y V a l u e O f D i a g r a m O b j e c t K e y a n y T y p e z b w N T n L X > < a : K e y > < K e y > C o l u m n s \ 2 0 1 5   S c o p e   2 < / K e y > < / a : K e y > < a : V a l u e   i : t y p e = " T a b l e W i d g e t B a s e V i e w S t a t e " / > < / a : K e y V a l u e O f D i a g r a m O b j e c t K e y a n y T y p e z b w N T n L X > < a : K e y V a l u e O f D i a g r a m O b j e c t K e y a n y T y p e z b w N T n L X > < a : K e y > < K e y > C o l u m n s \ 2 0 1 5   O f f s e t s   P u r c h a s e d < / K e y > < / a : K e y > < a : V a l u e   i : t y p e = " T a b l e W i d g e t B a s e V i e w S t a t e " / > < / a : K e y V a l u e O f D i a g r a m O b j e c t K e y a n y T y p e z b w N T n L X > < a : K e y V a l u e O f D i a g r a m O b j e c t K e y a n y T y p e z b w N T n L X > < a : K e y > < K e y > C o l u m n s \ 2 0 1 5   N e t   S c o p e   1   +   2   E m i s s i o n s < / K e y > < / a : K e y > < a : V a l u e   i : t y p e = " T a b l e W i d g e t B a s e V i e w S t a t e " / > < / a : K e y V a l u e O f D i a g r a m O b j e c t K e y a n y T y p e z b w N T n L X > < a : K e y V a l u e O f D i a g r a m O b j e c t K e y a n y T y p e z b w N T n L X > < a : K e y > < K e y > C o l u m n s \ 2 0 1 5   S c o p e   3 < / K e y > < / a : K e y > < a : V a l u e   i : t y p e = " T a b l e W i d g e t B a s e V i e w S t a t e " / > < / a : K e y V a l u e O f D i a g r a m O b j e c t K e y a n y T y p e z b w N T n L X > < a : K e y V a l u e O f D i a g r a m O b j e c t K e y a n y T y p e z b w N T n L X > < a : K e y > < K e y > C o l u m n s \ P o l i c y   A r m ? < / K e y > < / a : K e y > < a : V a l u e   i : t y p e = " T a b l e W i d g e t B a s e V i e w S t a t e " / > < / a : K e y V a l u e O f D i a g r a m O b j e c t K e y a n y T y p e z b w N T n L X > < a : K e y V a l u e O f D i a g r a m O b j e c t K e y a n y T y p e z b w N T n L X > < a : K e y > < K e y > C o l u m n s \ I n i t i a t i v e s   f o r   C a r b o n   N e u t r a l i t y 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 C o l u m n s \ S o u r c e s < / K e y > < / a : K e y > < a : V a l u e   i : t y p e = " T a b l e W i d g e t B a s e V i e w S t a t e " / > < / a : K e y V a l u e O f D i a g r a m O b j e c t K e y a n y T y p e z b w N T n L X > < a : K e y V a l u e O f D i a g r a m O b j e c t K e y a n y T y p e z b w N T n L X > < a : K e y > < K e y > C o l u m n s \ 2 0 0 7 < / K e y > < / a : K e y > < a : V a l u e   i : t y p e = " T a b l e W i d g e t B a s e V i e w S t a t e " / > < / a : K e y V a l u e O f D i a g r a m O b j e c t K e y a n y T y p e z b w N T n L X > < a : K e y V a l u e O f D i a g r a m O b j e c t K e y a n y T y p e z b w N T n L X > < a : K e y > < K e y > C o l u m n s \ 2 0 1 5 < / K e y > < / a : K e y > < a : V a l u e   i : t y p e = " T a b l e W i d g e t B a s e V i e w S t a t e " / > < / a : K e y V a l u e O f D i a g r a m O b j e c t K e y a n y T y p e z b w N T n L X > < a : K e y V a l u e O f D i a g r a m O b j e c t K e y a n y T y p e z b w N T n L X > < a : K e y > < K e y > C o l u m n s \ 2 0 1 6 < / K e y > < / a : K e y > < a : V a l u e   i : t y p e = " T a b l e W i d g e t B a s e V i e w S t a t e " / > < / a : K e y V a l u e O f D i a g r a m O b j e c t K e y a n y T y p e z b w N T n L X > < a : K e y V a l u e O f D i a g r a m O b j e c t K e y a n y T y p e z b w N T n L X > < a : K e y > < K e y > C o l u m n s \ 2 0 1 7 < / K e y > < / a : K e y > < a : V a l u e   i : t y p e = " T a b l e W i d g e t B a s e V i e w S t a t e " / > < / a : K e y V a l u e O f D i a g r a m O b j e c t K e y a n y T y p e z b w N T n L X > < a : K e y V a l u e O f D i a g r a m O b j e c t K e y a n y T y p e z b w N T n L X > < a : K e y > < K e y > C o l u m n s \ 2 0 1 8 < / K e y > < / a : K e y > < a : V a l u e   i : t y p e = " T a b l e W i d g e t B a s e V i e w S t a t e " / > < / a : K e y V a l u e O f D i a g r a m O b j e c t K e y a n y T y p e z b w N T n L X > < a : K e y V a l u e O f D i a g r a m O b j e c t K e y a n y T y p e z b w N T n L X > < a : K e y > < K e y > C o l u m n s \ 2 0 1 9 < / K e y > < / a : K e y > < a : V a l u e   i : t y p e = " T a b l e W i d g e t B a s e V i e w S t a t e " / > < / a : K e y V a l u e O f D i a g r a m O b j e c t K e y a n y T y p e z b w N T n L X > < a : K e y V a l u e O f D i a g r a m O b j e c t K e y a n y T y p e z b w N T n L X > < a : K e y > < K e y > C o l u m n s \ 2 0 2 0 < / K e y > < / a : K e y > < a : V a l u e   i : t y p e = " T a b l e W i d g e t B a s e V i e w S t a t e " / > < / a : K e y V a l u e O f D i a g r a m O b j e c t K e y a n y T y p e z b w N T n L X > < a : K e y V a l u e O f D i a g r a m O b j e c t K e y a n y T y p e z b w N T n L X > < a : K e y > < K e y > C o l u m n s \ 2 0 2 2 < / K e y > < / a : K e y > < a : V a l u e   i : t y p e = " T a b l e W i d g e t B a s e V i e w S t a t e " / > < / a : K e y V a l u e O f D i a g r a m O b j e c t K e y a n y T y p e z b w N T n L X > < a : K e y V a l u e O f D i a g r a m O b j e c t K e y a n y T y p e z b w N T n L X > < a : K e y > < K e y > C o l u m n s \ 2 0 2 3 < / K e y > < / a : K e y > < a : V a l u e   i : t y p e = " T a b l e W i d g e t B a s e V i e w S t a t e " / > < / a : K e y V a l u e O f D i a g r a m O b j e c t K e y a n y T y p e z b w N T n L X > < a : K e y V a l u e O f D i a g r a m O b j e c t K e y a n y T y p e z b w N T n L X > < a : K e y > < K e y > C o l u m n s \ 2 0 2 5 < / K e y > < / a : K e y > < a : V a l u e   i : t y p e = " T a b l e W i d g e t B a s e V i e w S t a t e " / > < / a : K e y V a l u e O f D i a g r a m O b j e c t K e y a n y T y p e z b w N T n L X > < a : K e y V a l u e O f D i a g r a m O b j e c t K e y a n y T y p e z b w N T n L X > < a : K e y > < K e y > C o l u m n s \ 2 0 2 9 < / K e y > < / a : K e y > < a : V a l u e   i : t y p e = " T a b l e W i d g e t B a s e V i e w S t a t e " / > < / a : K e y V a l u e O f D i a g r a m O b j e c t K e y a n y T y p e z b w N T n L X > < a : K e y V a l u e O f D i a g r a m O b j e c t K e y a n y T y p e z b w N T n L X > < a : K e y > < K e y > C o l u m n s \ 2 0 3 0 < / K e y > < / a : K e y > < a : V a l u e   i : t y p e = " T a b l e W i d g e t B a s e V i e w S t a t e " / > < / a : K e y V a l u e O f D i a g r a m O b j e c t K e y a n y T y p e z b w N T n L X > < a : K e y V a l u e O f D i a g r a m O b j e c t K e y a n y T y p e z b w N T n L X > < a : K e y > < K e y > C o l u m n s \ 2 0 3 5 < / K e y > < / a : K e y > < a : V a l u e   i : t y p e = " T a b l e W i d g e t B a s e V i e w S t a t e " / > < / a : K e y V a l u e O f D i a g r a m O b j e c t K e y a n y T y p e z b w N T n L X > < a : K e y V a l u e O f D i a g r a m O b j e c t K e y a n y T y p e z b w N T n L X > < a : K e y > < K e y > C o l u m n s \ 2 0 4 0 < / K e y > < / a : K e y > < a : V a l u e   i : t y p e = " T a b l e W i d g e t B a s e V i e w S t a t e " / > < / a : K e y V a l u e O f D i a g r a m O b j e c t K e y a n y T y p e z b w N T n L X > < a : K e y V a l u e O f D i a g r a m O b j e c t K e y a n y T y p e z b w N T n L X > < a : K e y > < K e y > C o l u m n s \ 2 0 4 4 < / K e y > < / a : K e y > < a : V a l u e   i : t y p e = " T a b l e W i d g e t B a s e V i e w S t a t e " / > < / a : K e y V a l u e O f D i a g r a m O b j e c t K e y a n y T y p e z b w N T n L X > < a : K e y V a l u e O f D i a g r a m O b j e c t K e y a n y T y p e z b w N T n L X > < a : K e y > < K e y > C o l u m n s \ 2 0 5 0 < / 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C l i e n t W i n d o w X M L " > < C u s t o m C o n t e n t > < ! [ C D A T A [ T a b l e 1 ] ] > < / C u s t o m C o n t e n t > < / G e m i n i > 
</file>

<file path=customXml/item2.xml>��< ? x m l   v e r s i o n = " 1 . 0 "   e n c o d i n g = " U T F - 1 6 " ? > < G e m i n i   x m l n s = " h t t p : / / g e m i n i / p i v o t c u s t o m i z a t i o n / I s S a n d b o x E m b e d d e d " > < C u s t o m C o n t e n t > < ! [ C D A T A [ y e s ] ] > < / C u s t o m C o n t e n t > < / G e m i n i > 
</file>

<file path=customXml/item3.xml>��< ? x m l   v e r s i o n = " 1 . 0 "   e n c o d i n g = " U T F - 1 6 " ? > < G e m i n i   x m l n s = " h t t p : / / g e m i n i / p i v o t c u s t o m i z a t i o n / S h o w H i d d e n " > < C u s t o m C o n t e n t > < ! [ C D A T A [ T r u 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O r d e r " > < C u s t o m C o n t e n t > < ! [ C D A T A [ T a b l e 1 ] ] > < / C u s t o m C o n t e n t > < / G e m i n i > 
</file>

<file path=customXml/item6.xml>��< ? x m l   v e r s i o n = " 1 . 0 "   e n c o d i n g = " U T F - 1 6 " ? > < G e m i n i   x m l n s = " h t t p : / / g e m i n i / p i v o t c u s t o m i z a t i o n / S a n d b o x N o n E m p t y " > < C u s t o m C o n t e n t > < ! [ C D A T A [ 1 ] ] > < / 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 2 0 2 0 - 0 9 - 2 5 T 1 4 : 4 7 : 1 5 . 1 2 4 6 7 4 1 - 0 5 : 0 0 < / L a s t P r o c e s s e d T i m e > < / D a t a M o d e l i n g S a n d b o x . S e r i a l i z e d S a n d b o x E r r o r C a c h 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 1 6 9 < / a : S i z e A t D p i 9 6 > < a : V i s i b l e > t r u e < / a : V i s i b l e > < / V a l u e > < / K e y V a l u e O f s t r i n g S a n d b o x E d i t o r . M e a s u r e G r i d S t a t e S c d E 3 5 R y > < / A r r a y O f K e y V a l u e O f s t r i n g S a n d b o x E d i t o r . M e a s u r e G r i d S t a t e S c d E 3 5 R y > ] ] > < / 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  N a m e < / K e y > < / D i a g r a m O b j e c t K e y > < D i a g r a m O b j e c t K e y > < K e y > C o l u m n s \ S e c t o r < / K e y > < / D i a g r a m O b j e c t K e y > < D i a g r a m O b j e c t K e y > < K e y > C o l u m n s \ I n d u s t r y < / K e y > < / D i a g r a m O b j e c t K e y > < D i a g r a m O b j e c t K e y > < K e y > C o l u m n s \ S i z e   ( 2 0 1 9   R e v e n u e ) < / K e y > < / D i a g r a m O b j e c t K e y > < D i a g r a m O b j e c t K e y > < K e y > C o l u m n s \ N e t   E a r n i n g s / I n c o m e   ( 2 0 1 9 ) < / K e y > < / D i a g r a m O b j e c t K e y > < D i a g r a m O b j e c t K e y > < K e y > C o l u m n s \ I P O   Y e a r < / K e y > < / D i a g r a m O b j e c t K e y > < D i a g r a m O b j e c t K e y > < K e y > C o l u m n s \ S & a m p ; P   1 0 0 ?   ( Y / N ) < / K e y > < / D i a g r a m O b j e c t K e y > < D i a g r a m O b j e c t K e y > < K e y > C o l u m n s \ C a r b o n   N e u t r a l   G o a l ?   ( Y / N ) < / K e y > < / D i a g r a m O b j e c t K e y > < D i a g r a m O b j e c t K e y > < K e y > C o l u m n s \ S c i e n c e - B a s e d   T a r g e t ?   ( Y / N ) < / K e y > < / D i a g r a m O b j e c t K e y > < D i a g r a m O b j e c t K e y > < K e y > C o l u m n s \ C a r b o n   N e u t r a l   b y . . . .   ( y e a r ) < / K e y > < / D i a g r a m O b j e c t K e y > < D i a g r a m O b j e c t K e y > < K e y > C o l u m n s \ C a r b o n   N e u t r a l   A n n o u n c e m e n t   ( y e a r ) < / K e y > < / D i a g r a m O b j e c t K e y > < D i a g r a m O b j e c t K e y > < K e y > C o l u m n s \ C a r b o n   G o a l   ( i f   n o n - z e r o ) < / K e y > < / D i a g r a m O b j e c t K e y > < D i a g r a m O b j e c t K e y > < K e y > C o l u m n s \ R e l i a n c e   o n   O f f s e t s ?   ( Y / N ) < / K e y > < / D i a g r a m O b j e c t K e y > < D i a g r a m O b j e c t K e y > < K e y > C o l u m n s \ R E 1 0 0   C o m m i t m e n t ?   ( Y / N ) < / K e y > < / D i a g r a m O b j e c t K e y > < D i a g r a m O b j e c t K e y > < K e y > C o l u m n s \ 1 0 0 %   R e n e w a b l e   E n e r g y   b y . . .   ( y e a r ) < / K e y > < / D i a g r a m O b j e c t K e y > < D i a g r a m O b j e c t K e y > < K e y > C o l u m n s \ 2 0 1 9   S c o p e   1   ( M e T   C o 2 ) < / K e y > < / D i a g r a m O b j e c t K e y > < D i a g r a m O b j e c t K e y > < K e y > C o l u m n s \ 2 0 1 9   S c o p e   2 < / K e y > < / D i a g r a m O b j e c t K e y > < D i a g r a m O b j e c t K e y > < K e y > C o l u m n s \ 2 0 1 9   O f f s e t s   P u r c h a s e d < / K e y > < / D i a g r a m O b j e c t K e y > < D i a g r a m O b j e c t K e y > < K e y > C o l u m n s \ 2 0 1 9   N e t   S c o p e   1   +   2   E m i s s i o n s < / K e y > < / D i a g r a m O b j e c t K e y > < D i a g r a m O b j e c t K e y > < K e y > C o l u m n s \ 2 0 1 9   S c o p e   3 < / K e y > < / D i a g r a m O b j e c t K e y > < D i a g r a m O b j e c t K e y > < K e y > C o l u m n s \ 2 0 1 8   S c o p e   1 < / K e y > < / D i a g r a m O b j e c t K e y > < D i a g r a m O b j e c t K e y > < K e y > C o l u m n s \ 2 0 1 8   S c o p e   2 < / K e y > < / D i a g r a m O b j e c t K e y > < D i a g r a m O b j e c t K e y > < K e y > C o l u m n s \ 2 0 1 8   O f f s e t s   P u r c h a s e d < / K e y > < / D i a g r a m O b j e c t K e y > < D i a g r a m O b j e c t K e y > < K e y > C o l u m n s \ 2 0 1 8   N e t   S c o p e   1   +   2   E m i s s i o n s < / K e y > < / D i a g r a m O b j e c t K e y > < D i a g r a m O b j e c t K e y > < K e y > C o l u m n s \ 2 0 1 8   S c o p e   3 < / K e y > < / D i a g r a m O b j e c t K e y > < D i a g r a m O b j e c t K e y > < K e y > C o l u m n s \ 2 0 1 7   S c o p e   1 < / K e y > < / D i a g r a m O b j e c t K e y > < D i a g r a m O b j e c t K e y > < K e y > C o l u m n s \ 2 0 1 7   S c o p e   2 < / K e y > < / D i a g r a m O b j e c t K e y > < D i a g r a m O b j e c t K e y > < K e y > C o l u m n s \ 2 0 1 7   O f f s e t s   P u r c h a s e d < / K e y > < / D i a g r a m O b j e c t K e y > < D i a g r a m O b j e c t K e y > < K e y > C o l u m n s \ 2 0 1 7   N e t   S c o p e   1   +   2   E m i s s i o n s < / K e y > < / D i a g r a m O b j e c t K e y > < D i a g r a m O b j e c t K e y > < K e y > C o l u m n s \ 2 0 1 7   S c o p e   3 < / K e y > < / D i a g r a m O b j e c t K e y > < D i a g r a m O b j e c t K e y > < K e y > C o l u m n s \ 2 0 1 6   S c o p e   1 < / K e y > < / D i a g r a m O b j e c t K e y > < D i a g r a m O b j e c t K e y > < K e y > C o l u m n s \ 2 0 1 6   S c o p e   2 < / K e y > < / D i a g r a m O b j e c t K e y > < D i a g r a m O b j e c t K e y > < K e y > C o l u m n s \ 2 0 1 6   O f f s e t s   P u r c h a s e d < / K e y > < / D i a g r a m O b j e c t K e y > < D i a g r a m O b j e c t K e y > < K e y > C o l u m n s \ 2 0 1 6   N e t   S c o p e   1   +   2   E m i s s i o n s < / K e y > < / D i a g r a m O b j e c t K e y > < D i a g r a m O b j e c t K e y > < K e y > C o l u m n s \ 2 0 1 6   S c o p e   3 < / K e y > < / D i a g r a m O b j e c t K e y > < D i a g r a m O b j e c t K e y > < K e y > C o l u m n s \ 2 0 1 5   S c o p e   1 < / K e y > < / D i a g r a m O b j e c t K e y > < D i a g r a m O b j e c t K e y > < K e y > C o l u m n s \ 2 0 1 5   S c o p e   2 < / K e y > < / D i a g r a m O b j e c t K e y > < D i a g r a m O b j e c t K e y > < K e y > C o l u m n s \ 2 0 1 5   O f f s e t s   P u r c h a s e d < / K e y > < / D i a g r a m O b j e c t K e y > < D i a g r a m O b j e c t K e y > < K e y > C o l u m n s \ 2 0 1 5   N e t   S c o p e   1   +   2   E m i s s i o n s < / K e y > < / D i a g r a m O b j e c t K e y > < D i a g r a m O b j e c t K e y > < K e y > C o l u m n s \ 2 0 1 5   S c o p e   3 < / K e y > < / D i a g r a m O b j e c t K e y > < D i a g r a m O b j e c t K e y > < K e y > C o l u m n s \ P o l i c y   A r m ? < / K e y > < / D i a g r a m O b j e c t K e y > < D i a g r a m O b j e c t K e y > < K e y > C o l u m n s \ I n i t i a t i v e s   f o r   C a r b o n   N e u t r a l i t y < / K e y > < / D i a g r a m O b j e c t K e y > < D i a g r a m O b j e c t K e y > < K e y > C o l u m n s \ N o t e s < / K e y > < / D i a g r a m O b j e c t K e y > < D i a g r a m O b j e c t K e y > < K e y > C o l u m n s \ S o u r c e s < / K e y > < / D i a g r a m O b j e c t K e y > < D i a g r a m O b j e c t K e y > < K e y > C o l u m n s \ 2 0 0 7 < / K e y > < / D i a g r a m O b j e c t K e y > < D i a g r a m O b j e c t K e y > < K e y > C o l u m n s \ 2 0 1 5 < / K e y > < / D i a g r a m O b j e c t K e y > < D i a g r a m O b j e c t K e y > < K e y > C o l u m n s \ 2 0 1 6 < / K e y > < / D i a g r a m O b j e c t K e y > < D i a g r a m O b j e c t K e y > < K e y > C o l u m n s \ 2 0 1 7 < / K e y > < / D i a g r a m O b j e c t K e y > < D i a g r a m O b j e c t K e y > < K e y > C o l u m n s \ 2 0 1 8 < / K e y > < / D i a g r a m O b j e c t K e y > < D i a g r a m O b j e c t K e y > < K e y > C o l u m n s \ 2 0 1 9 < / K e y > < / D i a g r a m O b j e c t K e y > < D i a g r a m O b j e c t K e y > < K e y > C o l u m n s \ 2 0 2 0 < / K e y > < / D i a g r a m O b j e c t K e y > < D i a g r a m O b j e c t K e y > < K e y > C o l u m n s \ 2 0 2 2 < / K e y > < / D i a g r a m O b j e c t K e y > < D i a g r a m O b j e c t K e y > < K e y > C o l u m n s \ 2 0 2 3 < / K e y > < / D i a g r a m O b j e c t K e y > < D i a g r a m O b j e c t K e y > < K e y > C o l u m n s \ 2 0 2 5 < / K e y > < / D i a g r a m O b j e c t K e y > < D i a g r a m O b j e c t K e y > < K e y > C o l u m n s \ 2 0 2 9 < / K e y > < / D i a g r a m O b j e c t K e y > < D i a g r a m O b j e c t K e y > < K e y > C o l u m n s \ 2 0 3 0 < / K e y > < / D i a g r a m O b j e c t K e y > < D i a g r a m O b j e c t K e y > < K e y > C o l u m n s \ 2 0 3 5 < / K e y > < / D i a g r a m O b j e c t K e y > < D i a g r a m O b j e c t K e y > < K e y > C o l u m n s \ 2 0 4 0 < / K e y > < / D i a g r a m O b j e c t K e y > < D i a g r a m O b j e c t K e y > < K e y > C o l u m n s \ 2 0 4 4 < / K e y > < / D i a g r a m O b j e c t K e y > < D i a g r a m O b j e c t K e y > < K e y > C o l u m n s \ 2 0 5 0 < / K e y > < / D i a g r a m O b j e c t K e y > < D i a g r a m O b j e c t K e y > < K e y > M e a s u r e s \ C o u n t   o f   C a r b o n   N e u t r a l   G o a l ?   ( Y / N ) < / K e y > < / D i a g r a m O b j e c t K e y > < D i a g r a m O b j e c t K e y > < K e y > M e a s u r e s \ C o u n t   o f   C a r b o n   N e u t r a l   G o a l ?   ( Y / N ) \ T a g I n f o \ F o r m u l a < / K e y > < / D i a g r a m O b j e c t K e y > < D i a g r a m O b j e c t K e y > < K e y > M e a s u r e s \ C o u n t   o f   C a r b o n   N e u t r a l   G o a l ?   ( Y / N ) \ T a g I n f o \ V a l u e < / K e y > < / D i a g r a m O b j e c t K e y > < D i a g r a m O b j e c t K e y > < K e y > L i n k s \ & l t ; C o l u m n s \ C o u n t   o f   C a r b o n   N e u t r a l   G o a l ?   ( Y / N ) & g t ; - & l t ; M e a s u r e s \ C a r b o n   N e u t r a l   G o a l ?   ( Y / N ) & g t ; < / K e y > < / D i a g r a m O b j e c t K e y > < D i a g r a m O b j e c t K e y > < K e y > L i n k s \ & l t ; C o l u m n s \ C o u n t   o f   C a r b o n   N e u t r a l   G o a l ?   ( Y / N ) & g t ; - & l t ; M e a s u r e s \ C a r b o n   N e u t r a l   G o a l ?   ( Y / N ) & g t ; \ C O L U M N < / K e y > < / D i a g r a m O b j e c t K e y > < D i a g r a m O b j e c t K e y > < K e y > L i n k s \ & l t ; C o l u m n s \ C o u n t   o f   C a r b o n   N e u t r a l   G o a l ?   ( Y / N ) & g t ; - & l t ; M e a s u r e s \ C a r b o n   N e u t r a l   G o a l ?   ( Y / N ) & g t ; \ M E A S U R E 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  N a m e < / K e y > < / a : K e y > < a : V a l u e   i : t y p e = " M e a s u r e G r i d N o d e V i e w S t a t e " > < L a y e d O u t > t r u e < / L a y e d O u t > < / a : V a l u e > < / a : K e y V a l u e O f D i a g r a m O b j e c t K e y a n y T y p e z b w N T n L X > < a : K e y V a l u e O f D i a g r a m O b j e c t K e y a n y T y p e z b w N T n L X > < a : K e y > < K e y > C o l u m n s \ S e c t o r < / K e y > < / a : K e y > < a : V a l u e   i : t y p e = " M e a s u r e G r i d N o d e V i e w S t a t e " > < C o l u m n > 1 < / C o l u m n > < L a y e d O u t > t r u e < / L a y e d O u t > < / a : V a l u e > < / a : K e y V a l u e O f D i a g r a m O b j e c t K e y a n y T y p e z b w N T n L X > < a : K e y V a l u e O f D i a g r a m O b j e c t K e y a n y T y p e z b w N T n L X > < a : K e y > < K e y > C o l u m n s \ I n d u s t r y < / K e y > < / a : K e y > < a : V a l u e   i : t y p e = " M e a s u r e G r i d N o d e V i e w S t a t e " > < C o l u m n > 2 < / C o l u m n > < L a y e d O u t > t r u e < / L a y e d O u t > < / a : V a l u e > < / a : K e y V a l u e O f D i a g r a m O b j e c t K e y a n y T y p e z b w N T n L X > < a : K e y V a l u e O f D i a g r a m O b j e c t K e y a n y T y p e z b w N T n L X > < a : K e y > < K e y > C o l u m n s \ S i z e   ( 2 0 1 9   R e v e n u e ) < / K e y > < / a : K e y > < a : V a l u e   i : t y p e = " M e a s u r e G r i d N o d e V i e w S t a t e " > < C o l u m n > 3 < / C o l u m n > < L a y e d O u t > t r u e < / L a y e d O u t > < / a : V a l u e > < / a : K e y V a l u e O f D i a g r a m O b j e c t K e y a n y T y p e z b w N T n L X > < a : K e y V a l u e O f D i a g r a m O b j e c t K e y a n y T y p e z b w N T n L X > < a : K e y > < K e y > C o l u m n s \ N e t   E a r n i n g s / I n c o m e   ( 2 0 1 9 ) < / K e y > < / a : K e y > < a : V a l u e   i : t y p e = " M e a s u r e G r i d N o d e V i e w S t a t e " > < C o l u m n > 4 < / C o l u m n > < L a y e d O u t > t r u e < / L a y e d O u t > < / a : V a l u e > < / a : K e y V a l u e O f D i a g r a m O b j e c t K e y a n y T y p e z b w N T n L X > < a : K e y V a l u e O f D i a g r a m O b j e c t K e y a n y T y p e z b w N T n L X > < a : K e y > < K e y > C o l u m n s \ I P O   Y e a r < / K e y > < / a : K e y > < a : V a l u e   i : t y p e = " M e a s u r e G r i d N o d e V i e w S t a t e " > < C o l u m n > 5 < / C o l u m n > < L a y e d O u t > t r u e < / L a y e d O u t > < / a : V a l u e > < / a : K e y V a l u e O f D i a g r a m O b j e c t K e y a n y T y p e z b w N T n L X > < a : K e y V a l u e O f D i a g r a m O b j e c t K e y a n y T y p e z b w N T n L X > < a : K e y > < K e y > C o l u m n s \ S & a m p ; P   1 0 0 ?   ( Y / N ) < / K e y > < / a : K e y > < a : V a l u e   i : t y p e = " M e a s u r e G r i d N o d e V i e w S t a t e " > < C o l u m n > 6 < / C o l u m n > < L a y e d O u t > t r u e < / L a y e d O u t > < / a : V a l u e > < / a : K e y V a l u e O f D i a g r a m O b j e c t K e y a n y T y p e z b w N T n L X > < a : K e y V a l u e O f D i a g r a m O b j e c t K e y a n y T y p e z b w N T n L X > < a : K e y > < K e y > C o l u m n s \ C a r b o n   N e u t r a l   G o a l ?   ( Y / N ) < / K e y > < / a : K e y > < a : V a l u e   i : t y p e = " M e a s u r e G r i d N o d e V i e w S t a t e " > < C o l u m n > 7 < / C o l u m n > < L a y e d O u t > t r u e < / L a y e d O u t > < / a : V a l u e > < / a : K e y V a l u e O f D i a g r a m O b j e c t K e y a n y T y p e z b w N T n L X > < a : K e y V a l u e O f D i a g r a m O b j e c t K e y a n y T y p e z b w N T n L X > < a : K e y > < K e y > C o l u m n s \ S c i e n c e - B a s e d   T a r g e t ?   ( Y / N ) < / K e y > < / a : K e y > < a : V a l u e   i : t y p e = " M e a s u r e G r i d N o d e V i e w S t a t e " > < C o l u m n > 8 < / C o l u m n > < L a y e d O u t > t r u e < / L a y e d O u t > < / a : V a l u e > < / a : K e y V a l u e O f D i a g r a m O b j e c t K e y a n y T y p e z b w N T n L X > < a : K e y V a l u e O f D i a g r a m O b j e c t K e y a n y T y p e z b w N T n L X > < a : K e y > < K e y > C o l u m n s \ C a r b o n   N e u t r a l   b y . . . .   ( y e a r ) < / K e y > < / a : K e y > < a : V a l u e   i : t y p e = " M e a s u r e G r i d N o d e V i e w S t a t e " > < C o l u m n > 9 < / C o l u m n > < L a y e d O u t > t r u e < / L a y e d O u t > < / a : V a l u e > < / a : K e y V a l u e O f D i a g r a m O b j e c t K e y a n y T y p e z b w N T n L X > < a : K e y V a l u e O f D i a g r a m O b j e c t K e y a n y T y p e z b w N T n L X > < a : K e y > < K e y > C o l u m n s \ C a r b o n   N e u t r a l   A n n o u n c e m e n t   ( y e a r ) < / K e y > < / a : K e y > < a : V a l u e   i : t y p e = " M e a s u r e G r i d N o d e V i e w S t a t e " > < C o l u m n > 1 0 < / C o l u m n > < L a y e d O u t > t r u e < / L a y e d O u t > < / a : V a l u e > < / a : K e y V a l u e O f D i a g r a m O b j e c t K e y a n y T y p e z b w N T n L X > < a : K e y V a l u e O f D i a g r a m O b j e c t K e y a n y T y p e z b w N T n L X > < a : K e y > < K e y > C o l u m n s \ C a r b o n   G o a l   ( i f   n o n - z e r o ) < / K e y > < / a : K e y > < a : V a l u e   i : t y p e = " M e a s u r e G r i d N o d e V i e w S t a t e " > < C o l u m n > 1 1 < / C o l u m n > < L a y e d O u t > t r u e < / L a y e d O u t > < / a : V a l u e > < / a : K e y V a l u e O f D i a g r a m O b j e c t K e y a n y T y p e z b w N T n L X > < a : K e y V a l u e O f D i a g r a m O b j e c t K e y a n y T y p e z b w N T n L X > < a : K e y > < K e y > C o l u m n s \ R e l i a n c e   o n   O f f s e t s ?   ( Y / N ) < / K e y > < / a : K e y > < a : V a l u e   i : t y p e = " M e a s u r e G r i d N o d e V i e w S t a t e " > < C o l u m n > 1 2 < / C o l u m n > < L a y e d O u t > t r u e < / L a y e d O u t > < / a : V a l u e > < / a : K e y V a l u e O f D i a g r a m O b j e c t K e y a n y T y p e z b w N T n L X > < a : K e y V a l u e O f D i a g r a m O b j e c t K e y a n y T y p e z b w N T n L X > < a : K e y > < K e y > C o l u m n s \ R E 1 0 0   C o m m i t m e n t ?   ( Y / N ) < / K e y > < / a : K e y > < a : V a l u e   i : t y p e = " M e a s u r e G r i d N o d e V i e w S t a t e " > < C o l u m n > 1 3 < / C o l u m n > < L a y e d O u t > t r u e < / L a y e d O u t > < / a : V a l u e > < / a : K e y V a l u e O f D i a g r a m O b j e c t K e y a n y T y p e z b w N T n L X > < a : K e y V a l u e O f D i a g r a m O b j e c t K e y a n y T y p e z b w N T n L X > < a : K e y > < K e y > C o l u m n s \ 1 0 0 %   R e n e w a b l e   E n e r g y   b y . . .   ( y e a r ) < / K e y > < / a : K e y > < a : V a l u e   i : t y p e = " M e a s u r e G r i d N o d e V i e w S t a t e " > < C o l u m n > 1 4 < / C o l u m n > < L a y e d O u t > t r u e < / L a y e d O u t > < / a : V a l u e > < / a : K e y V a l u e O f D i a g r a m O b j e c t K e y a n y T y p e z b w N T n L X > < a : K e y V a l u e O f D i a g r a m O b j e c t K e y a n y T y p e z b w N T n L X > < a : K e y > < K e y > C o l u m n s \ 2 0 1 9   S c o p e   1   ( M e T   C o 2 ) < / K e y > < / a : K e y > < a : V a l u e   i : t y p e = " M e a s u r e G r i d N o d e V i e w S t a t e " > < C o l u m n > 1 5 < / C o l u m n > < L a y e d O u t > t r u e < / L a y e d O u t > < / a : V a l u e > < / a : K e y V a l u e O f D i a g r a m O b j e c t K e y a n y T y p e z b w N T n L X > < a : K e y V a l u e O f D i a g r a m O b j e c t K e y a n y T y p e z b w N T n L X > < a : K e y > < K e y > C o l u m n s \ 2 0 1 9   S c o p e   2 < / K e y > < / a : K e y > < a : V a l u e   i : t y p e = " M e a s u r e G r i d N o d e V i e w S t a t e " > < C o l u m n > 1 6 < / C o l u m n > < L a y e d O u t > t r u e < / L a y e d O u t > < / a : V a l u e > < / a : K e y V a l u e O f D i a g r a m O b j e c t K e y a n y T y p e z b w N T n L X > < a : K e y V a l u e O f D i a g r a m O b j e c t K e y a n y T y p e z b w N T n L X > < a : K e y > < K e y > C o l u m n s \ 2 0 1 9   O f f s e t s   P u r c h a s e d < / K e y > < / a : K e y > < a : V a l u e   i : t y p e = " M e a s u r e G r i d N o d e V i e w S t a t e " > < C o l u m n > 1 7 < / C o l u m n > < L a y e d O u t > t r u e < / L a y e d O u t > < / a : V a l u e > < / a : K e y V a l u e O f D i a g r a m O b j e c t K e y a n y T y p e z b w N T n L X > < a : K e y V a l u e O f D i a g r a m O b j e c t K e y a n y T y p e z b w N T n L X > < a : K e y > < K e y > C o l u m n s \ 2 0 1 9   N e t   S c o p e   1   +   2   E m i s s i o n s < / K e y > < / a : K e y > < a : V a l u e   i : t y p e = " M e a s u r e G r i d N o d e V i e w S t a t e " > < C o l u m n > 1 8 < / C o l u m n > < L a y e d O u t > t r u e < / L a y e d O u t > < / a : V a l u e > < / a : K e y V a l u e O f D i a g r a m O b j e c t K e y a n y T y p e z b w N T n L X > < a : K e y V a l u e O f D i a g r a m O b j e c t K e y a n y T y p e z b w N T n L X > < a : K e y > < K e y > C o l u m n s \ 2 0 1 9   S c o p e   3 < / K e y > < / a : K e y > < a : V a l u e   i : t y p e = " M e a s u r e G r i d N o d e V i e w S t a t e " > < C o l u m n > 1 9 < / C o l u m n > < L a y e d O u t > t r u e < / L a y e d O u t > < / a : V a l u e > < / a : K e y V a l u e O f D i a g r a m O b j e c t K e y a n y T y p e z b w N T n L X > < a : K e y V a l u e O f D i a g r a m O b j e c t K e y a n y T y p e z b w N T n L X > < a : K e y > < K e y > C o l u m n s \ 2 0 1 8   S c o p e   1 < / K e y > < / a : K e y > < a : V a l u e   i : t y p e = " M e a s u r e G r i d N o d e V i e w S t a t e " > < C o l u m n > 2 0 < / C o l u m n > < L a y e d O u t > t r u e < / L a y e d O u t > < / a : V a l u e > < / a : K e y V a l u e O f D i a g r a m O b j e c t K e y a n y T y p e z b w N T n L X > < a : K e y V a l u e O f D i a g r a m O b j e c t K e y a n y T y p e z b w N T n L X > < a : K e y > < K e y > C o l u m n s \ 2 0 1 8   S c o p e   2 < / K e y > < / a : K e y > < a : V a l u e   i : t y p e = " M e a s u r e G r i d N o d e V i e w S t a t e " > < C o l u m n > 2 1 < / C o l u m n > < L a y e d O u t > t r u e < / L a y e d O u t > < / a : V a l u e > < / a : K e y V a l u e O f D i a g r a m O b j e c t K e y a n y T y p e z b w N T n L X > < a : K e y V a l u e O f D i a g r a m O b j e c t K e y a n y T y p e z b w N T n L X > < a : K e y > < K e y > C o l u m n s \ 2 0 1 8   O f f s e t s   P u r c h a s e d < / K e y > < / a : K e y > < a : V a l u e   i : t y p e = " M e a s u r e G r i d N o d e V i e w S t a t e " > < C o l u m n > 2 2 < / C o l u m n > < L a y e d O u t > t r u e < / L a y e d O u t > < / a : V a l u e > < / a : K e y V a l u e O f D i a g r a m O b j e c t K e y a n y T y p e z b w N T n L X > < a : K e y V a l u e O f D i a g r a m O b j e c t K e y a n y T y p e z b w N T n L X > < a : K e y > < K e y > C o l u m n s \ 2 0 1 8   N e t   S c o p e   1   +   2   E m i s s i o n s < / K e y > < / a : K e y > < a : V a l u e   i : t y p e = " M e a s u r e G r i d N o d e V i e w S t a t e " > < C o l u m n > 2 3 < / C o l u m n > < L a y e d O u t > t r u e < / L a y e d O u t > < / a : V a l u e > < / a : K e y V a l u e O f D i a g r a m O b j e c t K e y a n y T y p e z b w N T n L X > < a : K e y V a l u e O f D i a g r a m O b j e c t K e y a n y T y p e z b w N T n L X > < a : K e y > < K e y > C o l u m n s \ 2 0 1 8   S c o p e   3 < / K e y > < / a : K e y > < a : V a l u e   i : t y p e = " M e a s u r e G r i d N o d e V i e w S t a t e " > < C o l u m n > 2 4 < / C o l u m n > < L a y e d O u t > t r u e < / L a y e d O u t > < / a : V a l u e > < / a : K e y V a l u e O f D i a g r a m O b j e c t K e y a n y T y p e z b w N T n L X > < a : K e y V a l u e O f D i a g r a m O b j e c t K e y a n y T y p e z b w N T n L X > < a : K e y > < K e y > C o l u m n s \ 2 0 1 7   S c o p e   1 < / K e y > < / a : K e y > < a : V a l u e   i : t y p e = " M e a s u r e G r i d N o d e V i e w S t a t e " > < C o l u m n > 2 5 < / C o l u m n > < L a y e d O u t > t r u e < / L a y e d O u t > < / a : V a l u e > < / a : K e y V a l u e O f D i a g r a m O b j e c t K e y a n y T y p e z b w N T n L X > < a : K e y V a l u e O f D i a g r a m O b j e c t K e y a n y T y p e z b w N T n L X > < a : K e y > < K e y > C o l u m n s \ 2 0 1 7   S c o p e   2 < / K e y > < / a : K e y > < a : V a l u e   i : t y p e = " M e a s u r e G r i d N o d e V i e w S t a t e " > < C o l u m n > 2 6 < / C o l u m n > < L a y e d O u t > t r u e < / L a y e d O u t > < / a : V a l u e > < / a : K e y V a l u e O f D i a g r a m O b j e c t K e y a n y T y p e z b w N T n L X > < a : K e y V a l u e O f D i a g r a m O b j e c t K e y a n y T y p e z b w N T n L X > < a : K e y > < K e y > C o l u m n s \ 2 0 1 7   O f f s e t s   P u r c h a s e d < / K e y > < / a : K e y > < a : V a l u e   i : t y p e = " M e a s u r e G r i d N o d e V i e w S t a t e " > < C o l u m n > 2 7 < / C o l u m n > < L a y e d O u t > t r u e < / L a y e d O u t > < / a : V a l u e > < / a : K e y V a l u e O f D i a g r a m O b j e c t K e y a n y T y p e z b w N T n L X > < a : K e y V a l u e O f D i a g r a m O b j e c t K e y a n y T y p e z b w N T n L X > < a : K e y > < K e y > C o l u m n s \ 2 0 1 7   N e t   S c o p e   1   +   2   E m i s s i o n s < / K e y > < / a : K e y > < a : V a l u e   i : t y p e = " M e a s u r e G r i d N o d e V i e w S t a t e " > < C o l u m n > 2 8 < / C o l u m n > < L a y e d O u t > t r u e < / L a y e d O u t > < / a : V a l u e > < / a : K e y V a l u e O f D i a g r a m O b j e c t K e y a n y T y p e z b w N T n L X > < a : K e y V a l u e O f D i a g r a m O b j e c t K e y a n y T y p e z b w N T n L X > < a : K e y > < K e y > C o l u m n s \ 2 0 1 7   S c o p e   3 < / K e y > < / a : K e y > < a : V a l u e   i : t y p e = " M e a s u r e G r i d N o d e V i e w S t a t e " > < C o l u m n > 2 9 < / C o l u m n > < L a y e d O u t > t r u e < / L a y e d O u t > < / a : V a l u e > < / a : K e y V a l u e O f D i a g r a m O b j e c t K e y a n y T y p e z b w N T n L X > < a : K e y V a l u e O f D i a g r a m O b j e c t K e y a n y T y p e z b w N T n L X > < a : K e y > < K e y > C o l u m n s \ 2 0 1 6   S c o p e   1 < / K e y > < / a : K e y > < a : V a l u e   i : t y p e = " M e a s u r e G r i d N o d e V i e w S t a t e " > < C o l u m n > 3 0 < / C o l u m n > < L a y e d O u t > t r u e < / L a y e d O u t > < / a : V a l u e > < / a : K e y V a l u e O f D i a g r a m O b j e c t K e y a n y T y p e z b w N T n L X > < a : K e y V a l u e O f D i a g r a m O b j e c t K e y a n y T y p e z b w N T n L X > < a : K e y > < K e y > C o l u m n s \ 2 0 1 6   S c o p e   2 < / K e y > < / a : K e y > < a : V a l u e   i : t y p e = " M e a s u r e G r i d N o d e V i e w S t a t e " > < C o l u m n > 3 1 < / C o l u m n > < L a y e d O u t > t r u e < / L a y e d O u t > < / a : V a l u e > < / a : K e y V a l u e O f D i a g r a m O b j e c t K e y a n y T y p e z b w N T n L X > < a : K e y V a l u e O f D i a g r a m O b j e c t K e y a n y T y p e z b w N T n L X > < a : K e y > < K e y > C o l u m n s \ 2 0 1 6   O f f s e t s   P u r c h a s e d < / K e y > < / a : K e y > < a : V a l u e   i : t y p e = " M e a s u r e G r i d N o d e V i e w S t a t e " > < C o l u m n > 3 2 < / C o l u m n > < L a y e d O u t > t r u e < / L a y e d O u t > < / a : V a l u e > < / a : K e y V a l u e O f D i a g r a m O b j e c t K e y a n y T y p e z b w N T n L X > < a : K e y V a l u e O f D i a g r a m O b j e c t K e y a n y T y p e z b w N T n L X > < a : K e y > < K e y > C o l u m n s \ 2 0 1 6   N e t   S c o p e   1   +   2   E m i s s i o n s < / K e y > < / a : K e y > < a : V a l u e   i : t y p e = " M e a s u r e G r i d N o d e V i e w S t a t e " > < C o l u m n > 3 3 < / C o l u m n > < L a y e d O u t > t r u e < / L a y e d O u t > < / a : V a l u e > < / a : K e y V a l u e O f D i a g r a m O b j e c t K e y a n y T y p e z b w N T n L X > < a : K e y V a l u e O f D i a g r a m O b j e c t K e y a n y T y p e z b w N T n L X > < a : K e y > < K e y > C o l u m n s \ 2 0 1 6   S c o p e   3 < / K e y > < / a : K e y > < a : V a l u e   i : t y p e = " M e a s u r e G r i d N o d e V i e w S t a t e " > < C o l u m n > 3 4 < / C o l u m n > < L a y e d O u t > t r u e < / L a y e d O u t > < / a : V a l u e > < / a : K e y V a l u e O f D i a g r a m O b j e c t K e y a n y T y p e z b w N T n L X > < a : K e y V a l u e O f D i a g r a m O b j e c t K e y a n y T y p e z b w N T n L X > < a : K e y > < K e y > C o l u m n s \ 2 0 1 5   S c o p e   1 < / K e y > < / a : K e y > < a : V a l u e   i : t y p e = " M e a s u r e G r i d N o d e V i e w S t a t e " > < C o l u m n > 3 5 < / C o l u m n > < L a y e d O u t > t r u e < / L a y e d O u t > < / a : V a l u e > < / a : K e y V a l u e O f D i a g r a m O b j e c t K e y a n y T y p e z b w N T n L X > < a : K e y V a l u e O f D i a g r a m O b j e c t K e y a n y T y p e z b w N T n L X > < a : K e y > < K e y > C o l u m n s \ 2 0 1 5   S c o p e   2 < / K e y > < / a : K e y > < a : V a l u e   i : t y p e = " M e a s u r e G r i d N o d e V i e w S t a t e " > < C o l u m n > 3 6 < / C o l u m n > < L a y e d O u t > t r u e < / L a y e d O u t > < / a : V a l u e > < / a : K e y V a l u e O f D i a g r a m O b j e c t K e y a n y T y p e z b w N T n L X > < a : K e y V a l u e O f D i a g r a m O b j e c t K e y a n y T y p e z b w N T n L X > < a : K e y > < K e y > C o l u m n s \ 2 0 1 5   O f f s e t s   P u r c h a s e d < / K e y > < / a : K e y > < a : V a l u e   i : t y p e = " M e a s u r e G r i d N o d e V i e w S t a t e " > < C o l u m n > 3 7 < / C o l u m n > < L a y e d O u t > t r u e < / L a y e d O u t > < / a : V a l u e > < / a : K e y V a l u e O f D i a g r a m O b j e c t K e y a n y T y p e z b w N T n L X > < a : K e y V a l u e O f D i a g r a m O b j e c t K e y a n y T y p e z b w N T n L X > < a : K e y > < K e y > C o l u m n s \ 2 0 1 5   N e t   S c o p e   1   +   2   E m i s s i o n s < / K e y > < / a : K e y > < a : V a l u e   i : t y p e = " M e a s u r e G r i d N o d e V i e w S t a t e " > < C o l u m n > 3 8 < / C o l u m n > < L a y e d O u t > t r u e < / L a y e d O u t > < / a : V a l u e > < / a : K e y V a l u e O f D i a g r a m O b j e c t K e y a n y T y p e z b w N T n L X > < a : K e y V a l u e O f D i a g r a m O b j e c t K e y a n y T y p e z b w N T n L X > < a : K e y > < K e y > C o l u m n s \ 2 0 1 5   S c o p e   3 < / K e y > < / a : K e y > < a : V a l u e   i : t y p e = " M e a s u r e G r i d N o d e V i e w S t a t e " > < C o l u m n > 3 9 < / C o l u m n > < L a y e d O u t > t r u e < / L a y e d O u t > < / a : V a l u e > < / a : K e y V a l u e O f D i a g r a m O b j e c t K e y a n y T y p e z b w N T n L X > < a : K e y V a l u e O f D i a g r a m O b j e c t K e y a n y T y p e z b w N T n L X > < a : K e y > < K e y > C o l u m n s \ P o l i c y   A r m ? < / K e y > < / a : K e y > < a : V a l u e   i : t y p e = " M e a s u r e G r i d N o d e V i e w S t a t e " > < C o l u m n > 4 0 < / C o l u m n > < L a y e d O u t > t r u e < / L a y e d O u t > < / a : V a l u e > < / a : K e y V a l u e O f D i a g r a m O b j e c t K e y a n y T y p e z b w N T n L X > < a : K e y V a l u e O f D i a g r a m O b j e c t K e y a n y T y p e z b w N T n L X > < a : K e y > < K e y > C o l u m n s \ I n i t i a t i v e s   f o r   C a r b o n   N e u t r a l i t y < / K e y > < / a : K e y > < a : V a l u e   i : t y p e = " M e a s u r e G r i d N o d e V i e w S t a t e " > < C o l u m n > 4 1 < / C o l u m n > < L a y e d O u t > t r u e < / L a y e d O u t > < / a : V a l u e > < / a : K e y V a l u e O f D i a g r a m O b j e c t K e y a n y T y p e z b w N T n L X > < a : K e y V a l u e O f D i a g r a m O b j e c t K e y a n y T y p e z b w N T n L X > < a : K e y > < K e y > C o l u m n s \ N o t e s < / K e y > < / a : K e y > < a : V a l u e   i : t y p e = " M e a s u r e G r i d N o d e V i e w S t a t e " > < C o l u m n > 4 2 < / C o l u m n > < L a y e d O u t > t r u e < / L a y e d O u t > < / a : V a l u e > < / a : K e y V a l u e O f D i a g r a m O b j e c t K e y a n y T y p e z b w N T n L X > < a : K e y V a l u e O f D i a g r a m O b j e c t K e y a n y T y p e z b w N T n L X > < a : K e y > < K e y > C o l u m n s \ S o u r c e s < / K e y > < / a : K e y > < a : V a l u e   i : t y p e = " M e a s u r e G r i d N o d e V i e w S t a t e " > < C o l u m n > 4 3 < / C o l u m n > < L a y e d O u t > t r u e < / L a y e d O u t > < / a : V a l u e > < / a : K e y V a l u e O f D i a g r a m O b j e c t K e y a n y T y p e z b w N T n L X > < a : K e y V a l u e O f D i a g r a m O b j e c t K e y a n y T y p e z b w N T n L X > < a : K e y > < K e y > C o l u m n s \ 2 0 0 7 < / K e y > < / a : K e y > < a : V a l u e   i : t y p e = " M e a s u r e G r i d N o d e V i e w S t a t e " > < C o l u m n > 4 4 < / C o l u m n > < L a y e d O u t > t r u e < / L a y e d O u t > < / a : V a l u e > < / a : K e y V a l u e O f D i a g r a m O b j e c t K e y a n y T y p e z b w N T n L X > < a : K e y V a l u e O f D i a g r a m O b j e c t K e y a n y T y p e z b w N T n L X > < a : K e y > < K e y > C o l u m n s \ 2 0 1 5 < / K e y > < / a : K e y > < a : V a l u e   i : t y p e = " M e a s u r e G r i d N o d e V i e w S t a t e " > < C o l u m n > 4 5 < / C o l u m n > < L a y e d O u t > t r u e < / L a y e d O u t > < / a : V a l u e > < / a : K e y V a l u e O f D i a g r a m O b j e c t K e y a n y T y p e z b w N T n L X > < a : K e y V a l u e O f D i a g r a m O b j e c t K e y a n y T y p e z b w N T n L X > < a : K e y > < K e y > C o l u m n s \ 2 0 1 6 < / K e y > < / a : K e y > < a : V a l u e   i : t y p e = " M e a s u r e G r i d N o d e V i e w S t a t e " > < C o l u m n > 4 6 < / C o l u m n > < L a y e d O u t > t r u e < / L a y e d O u t > < / a : V a l u e > < / a : K e y V a l u e O f D i a g r a m O b j e c t K e y a n y T y p e z b w N T n L X > < a : K e y V a l u e O f D i a g r a m O b j e c t K e y a n y T y p e z b w N T n L X > < a : K e y > < K e y > C o l u m n s \ 2 0 1 7 < / K e y > < / a : K e y > < a : V a l u e   i : t y p e = " M e a s u r e G r i d N o d e V i e w S t a t e " > < C o l u m n > 4 7 < / C o l u m n > < L a y e d O u t > t r u e < / L a y e d O u t > < / a : V a l u e > < / a : K e y V a l u e O f D i a g r a m O b j e c t K e y a n y T y p e z b w N T n L X > < a : K e y V a l u e O f D i a g r a m O b j e c t K e y a n y T y p e z b w N T n L X > < a : K e y > < K e y > C o l u m n s \ 2 0 1 8 < / K e y > < / a : K e y > < a : V a l u e   i : t y p e = " M e a s u r e G r i d N o d e V i e w S t a t e " > < C o l u m n > 4 8 < / C o l u m n > < L a y e d O u t > t r u e < / L a y e d O u t > < / a : V a l u e > < / a : K e y V a l u e O f D i a g r a m O b j e c t K e y a n y T y p e z b w N T n L X > < a : K e y V a l u e O f D i a g r a m O b j e c t K e y a n y T y p e z b w N T n L X > < a : K e y > < K e y > C o l u m n s \ 2 0 1 9 < / K e y > < / a : K e y > < a : V a l u e   i : t y p e = " M e a s u r e G r i d N o d e V i e w S t a t e " > < C o l u m n > 4 9 < / C o l u m n > < L a y e d O u t > t r u e < / L a y e d O u t > < / a : V a l u e > < / a : K e y V a l u e O f D i a g r a m O b j e c t K e y a n y T y p e z b w N T n L X > < a : K e y V a l u e O f D i a g r a m O b j e c t K e y a n y T y p e z b w N T n L X > < a : K e y > < K e y > C o l u m n s \ 2 0 2 0 < / K e y > < / a : K e y > < a : V a l u e   i : t y p e = " M e a s u r e G r i d N o d e V i e w S t a t e " > < C o l u m n > 5 0 < / C o l u m n > < L a y e d O u t > t r u e < / L a y e d O u t > < / a : V a l u e > < / a : K e y V a l u e O f D i a g r a m O b j e c t K e y a n y T y p e z b w N T n L X > < a : K e y V a l u e O f D i a g r a m O b j e c t K e y a n y T y p e z b w N T n L X > < a : K e y > < K e y > C o l u m n s \ 2 0 2 2 < / K e y > < / a : K e y > < a : V a l u e   i : t y p e = " M e a s u r e G r i d N o d e V i e w S t a t e " > < C o l u m n > 5 1 < / C o l u m n > < L a y e d O u t > t r u e < / L a y e d O u t > < / a : V a l u e > < / a : K e y V a l u e O f D i a g r a m O b j e c t K e y a n y T y p e z b w N T n L X > < a : K e y V a l u e O f D i a g r a m O b j e c t K e y a n y T y p e z b w N T n L X > < a : K e y > < K e y > C o l u m n s \ 2 0 2 3 < / K e y > < / a : K e y > < a : V a l u e   i : t y p e = " M e a s u r e G r i d N o d e V i e w S t a t e " > < C o l u m n > 5 2 < / C o l u m n > < L a y e d O u t > t r u e < / L a y e d O u t > < / a : V a l u e > < / a : K e y V a l u e O f D i a g r a m O b j e c t K e y a n y T y p e z b w N T n L X > < a : K e y V a l u e O f D i a g r a m O b j e c t K e y a n y T y p e z b w N T n L X > < a : K e y > < K e y > C o l u m n s \ 2 0 2 5 < / K e y > < / a : K e y > < a : V a l u e   i : t y p e = " M e a s u r e G r i d N o d e V i e w S t a t e " > < C o l u m n > 5 3 < / C o l u m n > < L a y e d O u t > t r u e < / L a y e d O u t > < / a : V a l u e > < / a : K e y V a l u e O f D i a g r a m O b j e c t K e y a n y T y p e z b w N T n L X > < a : K e y V a l u e O f D i a g r a m O b j e c t K e y a n y T y p e z b w N T n L X > < a : K e y > < K e y > C o l u m n s \ 2 0 2 9 < / K e y > < / a : K e y > < a : V a l u e   i : t y p e = " M e a s u r e G r i d N o d e V i e w S t a t e " > < C o l u m n > 5 4 < / C o l u m n > < L a y e d O u t > t r u e < / L a y e d O u t > < / a : V a l u e > < / a : K e y V a l u e O f D i a g r a m O b j e c t K e y a n y T y p e z b w N T n L X > < a : K e y V a l u e O f D i a g r a m O b j e c t K e y a n y T y p e z b w N T n L X > < a : K e y > < K e y > C o l u m n s \ 2 0 3 0 < / K e y > < / a : K e y > < a : V a l u e   i : t y p e = " M e a s u r e G r i d N o d e V i e w S t a t e " > < C o l u m n > 5 5 < / C o l u m n > < L a y e d O u t > t r u e < / L a y e d O u t > < / a : V a l u e > < / a : K e y V a l u e O f D i a g r a m O b j e c t K e y a n y T y p e z b w N T n L X > < a : K e y V a l u e O f D i a g r a m O b j e c t K e y a n y T y p e z b w N T n L X > < a : K e y > < K e y > C o l u m n s \ 2 0 3 5 < / K e y > < / a : K e y > < a : V a l u e   i : t y p e = " M e a s u r e G r i d N o d e V i e w S t a t e " > < C o l u m n > 5 6 < / C o l u m n > < L a y e d O u t > t r u e < / L a y e d O u t > < / a : V a l u e > < / a : K e y V a l u e O f D i a g r a m O b j e c t K e y a n y T y p e z b w N T n L X > < a : K e y V a l u e O f D i a g r a m O b j e c t K e y a n y T y p e z b w N T n L X > < a : K e y > < K e y > C o l u m n s \ 2 0 4 0 < / K e y > < / a : K e y > < a : V a l u e   i : t y p e = " M e a s u r e G r i d N o d e V i e w S t a t e " > < C o l u m n > 5 7 < / C o l u m n > < L a y e d O u t > t r u e < / L a y e d O u t > < / a : V a l u e > < / a : K e y V a l u e O f D i a g r a m O b j e c t K e y a n y T y p e z b w N T n L X > < a : K e y V a l u e O f D i a g r a m O b j e c t K e y a n y T y p e z b w N T n L X > < a : K e y > < K e y > C o l u m n s \ 2 0 4 4 < / K e y > < / a : K e y > < a : V a l u e   i : t y p e = " M e a s u r e G r i d N o d e V i e w S t a t e " > < C o l u m n > 5 8 < / C o l u m n > < L a y e d O u t > t r u e < / L a y e d O u t > < / a : V a l u e > < / a : K e y V a l u e O f D i a g r a m O b j e c t K e y a n y T y p e z b w N T n L X > < a : K e y V a l u e O f D i a g r a m O b j e c t K e y a n y T y p e z b w N T n L X > < a : K e y > < K e y > C o l u m n s \ 2 0 5 0 < / K e y > < / a : K e y > < a : V a l u e   i : t y p e = " M e a s u r e G r i d N o d e V i e w S t a t e " > < C o l u m n > 5 9 < / C o l u m n > < L a y e d O u t > t r u e < / L a y e d O u t > < / a : V a l u e > < / a : K e y V a l u e O f D i a g r a m O b j e c t K e y a n y T y p e z b w N T n L X > < a : K e y V a l u e O f D i a g r a m O b j e c t K e y a n y T y p e z b w N T n L X > < a : K e y > < K e y > M e a s u r e s \ C o u n t   o f   C a r b o n   N e u t r a l   G o a l ?   ( Y / N ) < / K e y > < / a : K e y > < a : V a l u e   i : t y p e = " M e a s u r e G r i d N o d e V i e w S t a t e " > < C o l u m n > 7 < / C o l u m n > < L a y e d O u t > t r u e < / L a y e d O u t > < W a s U I I n v i s i b l e > t r u e < / W a s U I I n v i s i b l e > < / a : V a l u e > < / a : K e y V a l u e O f D i a g r a m O b j e c t K e y a n y T y p e z b w N T n L X > < a : K e y V a l u e O f D i a g r a m O b j e c t K e y a n y T y p e z b w N T n L X > < a : K e y > < K e y > M e a s u r e s \ C o u n t   o f   C a r b o n   N e u t r a l   G o a l ?   ( Y / N ) \ T a g I n f o \ F o r m u l a < / K e y > < / a : K e y > < a : V a l u e   i : t y p e = " M e a s u r e G r i d V i e w S t a t e I D i a g r a m T a g A d d i t i o n a l I n f o " / > < / a : K e y V a l u e O f D i a g r a m O b j e c t K e y a n y T y p e z b w N T n L X > < a : K e y V a l u e O f D i a g r a m O b j e c t K e y a n y T y p e z b w N T n L X > < a : K e y > < K e y > M e a s u r e s \ C o u n t   o f   C a r b o n   N e u t r a l   G o a l ?   ( Y / N ) \ T a g I n f o \ V a l u e < / K e y > < / a : K e y > < a : V a l u e   i : t y p e = " M e a s u r e G r i d V i e w S t a t e I D i a g r a m T a g A d d i t i o n a l I n f o " / > < / a : K e y V a l u e O f D i a g r a m O b j e c t K e y a n y T y p e z b w N T n L X > < a : K e y V a l u e O f D i a g r a m O b j e c t K e y a n y T y p e z b w N T n L X > < a : K e y > < K e y > L i n k s \ & l t ; C o l u m n s \ C o u n t   o f   C a r b o n   N e u t r a l   G o a l ?   ( Y / N ) & g t ; - & l t ; M e a s u r e s \ C a r b o n   N e u t r a l   G o a l ?   ( Y / N ) & g t ; < / K e y > < / a : K e y > < a : V a l u e   i : t y p e = " M e a s u r e G r i d V i e w S t a t e I D i a g r a m L i n k " / > < / a : K e y V a l u e O f D i a g r a m O b j e c t K e y a n y T y p e z b w N T n L X > < a : K e y V a l u e O f D i a g r a m O b j e c t K e y a n y T y p e z b w N T n L X > < a : K e y > < K e y > L i n k s \ & l t ; C o l u m n s \ C o u n t   o f   C a r b o n   N e u t r a l   G o a l ?   ( Y / N ) & g t ; - & l t ; M e a s u r e s \ C a r b o n   N e u t r a l   G o a l ?   ( Y / N ) & g t ; \ C O L U M N < / K e y > < / a : K e y > < a : V a l u e   i : t y p e = " M e a s u r e G r i d V i e w S t a t e I D i a g r a m L i n k E n d p o i n t " / > < / a : K e y V a l u e O f D i a g r a m O b j e c t K e y a n y T y p e z b w N T n L X > < a : K e y V a l u e O f D i a g r a m O b j e c t K e y a n y T y p e z b w N T n L X > < a : K e y > < K e y > L i n k s \ & l t ; C o l u m n s \ C o u n t   o f   C a r b o n   N e u t r a l   G o a l ?   ( Y / N ) & g t ; - & l t ; M e a s u r e s \ C a r b o n   N e u t r a l   G o a l ?   ( Y / N ) & g t ; \ M E A S U R E 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DF007CB-EFF8-462F-AE44-B9820558C57C}">
  <ds:schemaRefs>
    <ds:schemaRef ds:uri="http://gemini/pivotcustomization/FormulaBarState"/>
  </ds:schemaRefs>
</ds:datastoreItem>
</file>

<file path=customXml/itemProps10.xml><?xml version="1.0" encoding="utf-8"?>
<ds:datastoreItem xmlns:ds="http://schemas.openxmlformats.org/officeDocument/2006/customXml" ds:itemID="{C3DC4AB6-9A92-42C3-96A9-E293D8DC2BDA}">
  <ds:schemaRefs>
    <ds:schemaRef ds:uri="http://gemini/pivotcustomization/TableXML_Table1"/>
  </ds:schemaRefs>
</ds:datastoreItem>
</file>

<file path=customXml/itemProps11.xml><?xml version="1.0" encoding="utf-8"?>
<ds:datastoreItem xmlns:ds="http://schemas.openxmlformats.org/officeDocument/2006/customXml" ds:itemID="{2C53A1DF-4D11-4C5E-8E6D-2CB7FBF9CF36}">
  <ds:schemaRefs>
    <ds:schemaRef ds:uri="http://gemini/pivotcustomization/RelationshipAutoDetectionEnabled"/>
  </ds:schemaRefs>
</ds:datastoreItem>
</file>

<file path=customXml/itemProps12.xml><?xml version="1.0" encoding="utf-8"?>
<ds:datastoreItem xmlns:ds="http://schemas.openxmlformats.org/officeDocument/2006/customXml" ds:itemID="{44E30152-CB53-4EF6-A495-3745C2D44813}">
  <ds:schemaRefs>
    <ds:schemaRef ds:uri="http://gemini/pivotcustomization/ShowImplicitMeasures"/>
  </ds:schemaRefs>
</ds:datastoreItem>
</file>

<file path=customXml/itemProps13.xml><?xml version="1.0" encoding="utf-8"?>
<ds:datastoreItem xmlns:ds="http://schemas.openxmlformats.org/officeDocument/2006/customXml" ds:itemID="{4C7F21FD-D173-4954-9A09-7A16241193A7}">
  <ds:schemaRefs>
    <ds:schemaRef ds:uri="http://gemini/pivotcustomization/PowerPivotVersion"/>
  </ds:schemaRefs>
</ds:datastoreItem>
</file>

<file path=customXml/itemProps14.xml><?xml version="1.0" encoding="utf-8"?>
<ds:datastoreItem xmlns:ds="http://schemas.openxmlformats.org/officeDocument/2006/customXml" ds:itemID="{BED47B6D-B9E4-482A-B768-2881B4C7C783}">
  <ds:schemaRefs>
    <ds:schemaRef ds:uri="http://gemini/pivotcustomization/ManualCalcMode"/>
  </ds:schemaRefs>
</ds:datastoreItem>
</file>

<file path=customXml/itemProps15.xml><?xml version="1.0" encoding="utf-8"?>
<ds:datastoreItem xmlns:ds="http://schemas.openxmlformats.org/officeDocument/2006/customXml" ds:itemID="{7F18D981-4E96-49E6-B154-CDC6D1088E66}">
  <ds:schemaRefs>
    <ds:schemaRef ds:uri="http://gemini/pivotcustomization/TableWidget"/>
  </ds:schemaRefs>
</ds:datastoreItem>
</file>

<file path=customXml/itemProps16.xml><?xml version="1.0" encoding="utf-8"?>
<ds:datastoreItem xmlns:ds="http://schemas.openxmlformats.org/officeDocument/2006/customXml" ds:itemID="{93CA14C1-B02C-454D-A1B6-3CFAE449071C}">
  <ds:schemaRefs>
    <ds:schemaRef ds:uri="http://gemini/pivotcustomization/ClientWindowXML"/>
  </ds:schemaRefs>
</ds:datastoreItem>
</file>

<file path=customXml/itemProps2.xml><?xml version="1.0" encoding="utf-8"?>
<ds:datastoreItem xmlns:ds="http://schemas.openxmlformats.org/officeDocument/2006/customXml" ds:itemID="{2709A323-C744-4B3F-B0D5-66D83C405879}">
  <ds:schemaRefs>
    <ds:schemaRef ds:uri="http://gemini/pivotcustomization/IsSandboxEmbedded"/>
  </ds:schemaRefs>
</ds:datastoreItem>
</file>

<file path=customXml/itemProps3.xml><?xml version="1.0" encoding="utf-8"?>
<ds:datastoreItem xmlns:ds="http://schemas.openxmlformats.org/officeDocument/2006/customXml" ds:itemID="{729C1D0C-6BC0-4EA6-A2A1-EAD76443E6F3}">
  <ds:schemaRefs>
    <ds:schemaRef ds:uri="http://gemini/pivotcustomization/ShowHidden"/>
  </ds:schemaRefs>
</ds:datastoreItem>
</file>

<file path=customXml/itemProps4.xml><?xml version="1.0" encoding="utf-8"?>
<ds:datastoreItem xmlns:ds="http://schemas.openxmlformats.org/officeDocument/2006/customXml" ds:itemID="{48980BAF-B3C4-4A2A-ADCF-A51AC5789B62}">
  <ds:schemaRefs>
    <ds:schemaRef ds:uri="http://gemini/pivotcustomization/LinkedTableUpdateMode"/>
  </ds:schemaRefs>
</ds:datastoreItem>
</file>

<file path=customXml/itemProps5.xml><?xml version="1.0" encoding="utf-8"?>
<ds:datastoreItem xmlns:ds="http://schemas.openxmlformats.org/officeDocument/2006/customXml" ds:itemID="{8AC283E2-4F0F-4201-93B8-17DEE984007A}">
  <ds:schemaRefs>
    <ds:schemaRef ds:uri="http://gemini/pivotcustomization/TableOrder"/>
  </ds:schemaRefs>
</ds:datastoreItem>
</file>

<file path=customXml/itemProps6.xml><?xml version="1.0" encoding="utf-8"?>
<ds:datastoreItem xmlns:ds="http://schemas.openxmlformats.org/officeDocument/2006/customXml" ds:itemID="{B1FE6BD5-4A30-4787-96CA-4A8AA9E641CE}">
  <ds:schemaRefs>
    <ds:schemaRef ds:uri="http://gemini/pivotcustomization/SandboxNonEmpty"/>
  </ds:schemaRefs>
</ds:datastoreItem>
</file>

<file path=customXml/itemProps7.xml><?xml version="1.0" encoding="utf-8"?>
<ds:datastoreItem xmlns:ds="http://schemas.openxmlformats.org/officeDocument/2006/customXml" ds:itemID="{121C9889-2A96-4951-9E69-A9D647F5F94D}">
  <ds:schemaRefs>
    <ds:schemaRef ds:uri="http://gemini/pivotcustomization/ErrorCache"/>
  </ds:schemaRefs>
</ds:datastoreItem>
</file>

<file path=customXml/itemProps8.xml><?xml version="1.0" encoding="utf-8"?>
<ds:datastoreItem xmlns:ds="http://schemas.openxmlformats.org/officeDocument/2006/customXml" ds:itemID="{C52C42D5-A088-4722-80C0-B6A93377AD8A}">
  <ds:schemaRefs>
    <ds:schemaRef ds:uri="http://gemini/pivotcustomization/MeasureGridState"/>
  </ds:schemaRefs>
</ds:datastoreItem>
</file>

<file path=customXml/itemProps9.xml><?xml version="1.0" encoding="utf-8"?>
<ds:datastoreItem xmlns:ds="http://schemas.openxmlformats.org/officeDocument/2006/customXml" ds:itemID="{49097C70-4B4A-4D40-9502-7DAE8FE59AD7}">
  <ds:schemaRefs>
    <ds:schemaRef ds:uri="http://gemini/pivotcustomization/Diagra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assumption</vt:lpstr>
      <vt:lpstr>companies</vt:lpstr>
      <vt:lpstr>targets</vt:lpstr>
      <vt:lpstr>grouping</vt:lpstr>
      <vt:lpstr>financials</vt:lpstr>
      <vt:lpstr>GHG19</vt:lpstr>
      <vt:lpstr>sources</vt:lpstr>
      <vt:lpstr>company</vt:lpstr>
      <vt:lpstr>sector</vt:lpstr>
      <vt:lpstr>Sheet1</vt:lpstr>
      <vt:lpstr>k_cost</vt:lpstr>
      <vt:lpstr>k_rev_max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Edmunds</dc:creator>
  <cp:keywords/>
  <dc:description/>
  <cp:lastModifiedBy>Generic</cp:lastModifiedBy>
  <cp:revision/>
  <dcterms:created xsi:type="dcterms:W3CDTF">2020-06-04T19:09:35Z</dcterms:created>
  <dcterms:modified xsi:type="dcterms:W3CDTF">2021-07-10T02:05:39Z</dcterms:modified>
  <cp:category/>
  <cp:contentStatus/>
</cp:coreProperties>
</file>