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sumption" sheetId="1" r:id="rId4"/>
    <sheet state="visible" name="companies" sheetId="2" r:id="rId5"/>
    <sheet state="visible" name="corp_scores" sheetId="3" r:id="rId6"/>
    <sheet state="visible" name="reporting" sheetId="4" r:id="rId7"/>
    <sheet state="visible" name="test1_1" sheetId="5" r:id="rId8"/>
    <sheet state="visible" name="test1_2" sheetId="6" r:id="rId9"/>
    <sheet state="visible" name="test2" sheetId="7" r:id="rId10"/>
    <sheet state="visible" name="test3" sheetId="8" r:id="rId11"/>
    <sheet state="visible" name="test4" sheetId="9" r:id="rId12"/>
    <sheet state="visible" name="test5" sheetId="10" r:id="rId13"/>
    <sheet state="visible" name="test6_1" sheetId="11" r:id="rId14"/>
    <sheet state="visible" name="test6_2" sheetId="12" r:id="rId15"/>
    <sheet state="visible" name="test7" sheetId="13" r:id="rId16"/>
    <sheet state="visible" name="test8+9_1" sheetId="14" r:id="rId17"/>
    <sheet state="visible" name="test8+9_2" sheetId="15" r:id="rId18"/>
    <sheet state="visible" name="total_scores" sheetId="16" r:id="rId19"/>
    <sheet state="visible" name="targets_quant" sheetId="17" r:id="rId20"/>
    <sheet state="visible" name="ghg" sheetId="18" r:id="rId21"/>
    <sheet state="visible" name="targets_state" sheetId="19" r:id="rId22"/>
    <sheet state="visible" name="ghg_forecast" sheetId="20" r:id="rId23"/>
    <sheet state="visible" name="invest" sheetId="21" r:id="rId24"/>
    <sheet state="visible" name="progress" sheetId="22" r:id="rId25"/>
    <sheet state="visible" name="scores_test" sheetId="23" r:id="rId26"/>
    <sheet state="visible" name="cdp_2020" sheetId="24" r:id="rId27"/>
    <sheet state="visible" name="target_data" sheetId="25" r:id="rId28"/>
    <sheet state="visible" name="fundamental_data" sheetId="26" r:id="rId29"/>
    <sheet state="visible" name="targets_extract" sheetId="27" r:id="rId30"/>
    <sheet state="visible" name="help_scope3_targets" sheetId="28" r:id="rId31"/>
    <sheet state="visible" name="financials" sheetId="29" r:id="rId32"/>
    <sheet state="visible" name="GHG17" sheetId="30" r:id="rId33"/>
    <sheet state="visible" name="GHG18" sheetId="31" r:id="rId34"/>
    <sheet state="visible" name="GHG19" sheetId="32" r:id="rId35"/>
    <sheet state="visible" name="sources" sheetId="33" r:id="rId36"/>
    <sheet state="visible" name="grouping" sheetId="34" r:id="rId37"/>
    <sheet state="visible" name="company" sheetId="35" r:id="rId38"/>
    <sheet state="visible" name="Feuil1" sheetId="36" r:id="rId39"/>
    <sheet state="visible" name="sector" sheetId="37" r:id="rId40"/>
    <sheet state="visible" name="isin" sheetId="38" r:id="rId41"/>
  </sheets>
  <definedNames>
    <definedName name="last_reporting_year">reporting!$D:$D</definedName>
    <definedName name="k_rev_max">assumption!$B$3</definedName>
    <definedName name="category_test_8">test7!$V$1:$W$21</definedName>
    <definedName name="scope_2_loc">ghg!$G:$G</definedName>
    <definedName name="scope_2_mkt_verif">ghg!$AH:$AH</definedName>
    <definedName name="scope_1_verif">ghg!$AF:$AF</definedName>
    <definedName name="scope_1">ghg!$F:$F</definedName>
    <definedName name="scope_3_bycategory_details">ghg!$I:$I</definedName>
    <definedName name="k_cost">assumption!$B$2</definedName>
    <definedName name="scope_2_loc_verif">ghg!$AG:$AG</definedName>
    <definedName name="category_3_1">test2!$T$1:$U$7</definedName>
    <definedName name="scope_2_mkt">ghg!$H:$H</definedName>
    <definedName name="scope_3_verif">ghg!$AI:$AI</definedName>
    <definedName hidden="1" localSheetId="26" name="_xlnm._FilterDatabase">targets_extract!$A$1:$U$161</definedName>
    <definedName hidden="1" localSheetId="27" name="_xlnm._FilterDatabase">help_scope3_targets!$A$1:$A$2</definedName>
    <definedName hidden="1" localSheetId="28" name="_xlnm._FilterDatabase">financials!$A$1:$F$101</definedName>
    <definedName hidden="1" localSheetId="30" name="_xlnm._FilterDatabase">'GHG18'!$A$1:$Y$101</definedName>
    <definedName hidden="1" localSheetId="31" name="_xlnm._FilterDatabase">'GHG19'!$A$1:$Y$101</definedName>
    <definedName hidden="1" localSheetId="33" name="_xlnm._FilterDatabase">grouping!$A$1:$L$101</definedName>
    <definedName hidden="1" localSheetId="35" name="_xlnm._FilterDatabase">Feuil1!$A$1:$B$101</definedName>
  </definedNames>
  <calcPr/>
  <extLst>
    <ext uri="GoogleSheetsCustomDataVersion1">
      <go:sheetsCustomData xmlns:go="http://customooxmlschemas.google.com/" r:id="rId42" roundtripDataSignature="AMtx7mizWpCpBgAS6MlPT3QWhRRM15Fdew=="/>
    </ext>
  </extLst>
</workbook>
</file>

<file path=xl/comments1.xml><?xml version="1.0" encoding="utf-8"?>
<comments xmlns:r="http://schemas.openxmlformats.org/officeDocument/2006/relationships" xmlns="http://schemas.openxmlformats.org/spreadsheetml/2006/main">
  <authors>
    <author/>
  </authors>
  <commentList>
    <comment authorId="0" ref="H2">
      <text>
        <t xml:space="preserve">======
ID#AAAANrRNwtQ
Vincent Manier    (2021-08-04 07:06:45)
In case of conflicts, use the highest index</t>
      </text>
    </comment>
  </commentList>
  <extLst>
    <ext uri="GoogleSheetsCustomDataVersion1">
      <go:sheetsCustomData xmlns:go="http://customooxmlschemas.google.com/" r:id="rId1" roundtripDataSignature="AMtx7mio5gmn3GY8T3xlcMU0TJNVvL95YQ=="/>
    </ext>
  </extLst>
</comments>
</file>

<file path=xl/sharedStrings.xml><?xml version="1.0" encoding="utf-8"?>
<sst xmlns="http://schemas.openxmlformats.org/spreadsheetml/2006/main" count="11096" uniqueCount="1769">
  <si>
    <t>Carbon costs ($/t)</t>
  </si>
  <si>
    <t>Threshold for performance (in % revenue)</t>
  </si>
  <si>
    <t>company_id</t>
  </si>
  <si>
    <t>company_name</t>
  </si>
  <si>
    <t>short_name</t>
  </si>
  <si>
    <t>ISIN</t>
  </si>
  <si>
    <t>Tickers</t>
  </si>
  <si>
    <t>primary_isin</t>
  </si>
  <si>
    <t>primary_ticker</t>
  </si>
  <si>
    <t>link</t>
  </si>
  <si>
    <t>3M</t>
  </si>
  <si>
    <t xml:space="preserve"> US88579Y1010</t>
  </si>
  <si>
    <t xml:space="preserve"> MMM US</t>
  </si>
  <si>
    <t>US88579Y1010</t>
  </si>
  <si>
    <t>MMM US</t>
  </si>
  <si>
    <t>Abbott Laboratories</t>
  </si>
  <si>
    <t xml:space="preserve"> US0028241000</t>
  </si>
  <si>
    <t xml:space="preserve"> ABT US</t>
  </si>
  <si>
    <t>US0028241000</t>
  </si>
  <si>
    <t>ABT US</t>
  </si>
  <si>
    <t>AbbVie Inc.</t>
  </si>
  <si>
    <t>AbbVie</t>
  </si>
  <si>
    <t xml:space="preserve"> US00287Y1091</t>
  </si>
  <si>
    <t xml:space="preserve"> ABBV US</t>
  </si>
  <si>
    <t>US00287Y1091</t>
  </si>
  <si>
    <t>ABBV US</t>
  </si>
  <si>
    <t>Accenture</t>
  </si>
  <si>
    <t xml:space="preserve"> IE00B4BNMY34</t>
  </si>
  <si>
    <t xml:space="preserve"> ACN US</t>
  </si>
  <si>
    <t>IE00B4BNMY34</t>
  </si>
  <si>
    <t>ACN US</t>
  </si>
  <si>
    <t>Adobe Inc.</t>
  </si>
  <si>
    <t>Adobe</t>
  </si>
  <si>
    <t xml:space="preserve"> US00724F1012</t>
  </si>
  <si>
    <t xml:space="preserve"> ADBE US</t>
  </si>
  <si>
    <t>US00724F1012</t>
  </si>
  <si>
    <t>ADBE US</t>
  </si>
  <si>
    <t>https://www.adobe.com/corporate-responsibility/corporate-responsibility-reports.html</t>
  </si>
  <si>
    <t>Allstate Corp</t>
  </si>
  <si>
    <t>Allstate</t>
  </si>
  <si>
    <t xml:space="preserve"> US0200021014</t>
  </si>
  <si>
    <t xml:space="preserve"> ALL US</t>
  </si>
  <si>
    <t>US0200021014</t>
  </si>
  <si>
    <t>ALL US</t>
  </si>
  <si>
    <t>Alphabet Inc. Google</t>
  </si>
  <si>
    <t>Alphabet / Google</t>
  </si>
  <si>
    <t xml:space="preserve"> US02079K1079</t>
  </si>
  <si>
    <t xml:space="preserve"> GOOG US, GOOGL US</t>
  </si>
  <si>
    <t>US02079K3059</t>
  </si>
  <si>
    <t>GOOGL US</t>
  </si>
  <si>
    <t>https://sustainability.google/reports/</t>
  </si>
  <si>
    <t>Altria Group Inc</t>
  </si>
  <si>
    <t>Altria</t>
  </si>
  <si>
    <t xml:space="preserve"> US02209S1033</t>
  </si>
  <si>
    <t xml:space="preserve"> MO US</t>
  </si>
  <si>
    <t>US02209S1033</t>
  </si>
  <si>
    <t>MO US</t>
  </si>
  <si>
    <t>https://www.altria.com/responsibility/protect-the-environment</t>
  </si>
  <si>
    <t>Amazon.com Inc.</t>
  </si>
  <si>
    <t>Amazon</t>
  </si>
  <si>
    <t>US0231351067</t>
  </si>
  <si>
    <t>AMZN</t>
  </si>
  <si>
    <t>American Express</t>
  </si>
  <si>
    <t xml:space="preserve"> US0258161092</t>
  </si>
  <si>
    <t xml:space="preserve"> AXP US</t>
  </si>
  <si>
    <t>US0258161092</t>
  </si>
  <si>
    <t>AXP US</t>
  </si>
  <si>
    <t>American International Group (AIG)</t>
  </si>
  <si>
    <t>AIG</t>
  </si>
  <si>
    <t xml:space="preserve"> US0268747849</t>
  </si>
  <si>
    <t xml:space="preserve"> AIG US</t>
  </si>
  <si>
    <t>US0268747849</t>
  </si>
  <si>
    <t>AIG US</t>
  </si>
  <si>
    <t>American Tower</t>
  </si>
  <si>
    <t xml:space="preserve"> US03027X1000</t>
  </si>
  <si>
    <t xml:space="preserve"> AMT US</t>
  </si>
  <si>
    <t>US03027X1000</t>
  </si>
  <si>
    <t>AMT US</t>
  </si>
  <si>
    <t>Amgen Inc.</t>
  </si>
  <si>
    <t>Amgen</t>
  </si>
  <si>
    <t xml:space="preserve"> US0311621009</t>
  </si>
  <si>
    <t xml:space="preserve"> AMGN US</t>
  </si>
  <si>
    <t>US0311621009</t>
  </si>
  <si>
    <t>AMGN US</t>
  </si>
  <si>
    <t>Apple Inc.</t>
  </si>
  <si>
    <t>Apple</t>
  </si>
  <si>
    <t xml:space="preserve"> US0378331005</t>
  </si>
  <si>
    <t xml:space="preserve"> AAPL US</t>
  </si>
  <si>
    <t>US0378331005</t>
  </si>
  <si>
    <t>AAPL US</t>
  </si>
  <si>
    <t>AT&amp;T Inc.</t>
  </si>
  <si>
    <t>AT&amp;T</t>
  </si>
  <si>
    <t xml:space="preserve"> US00206R1023</t>
  </si>
  <si>
    <t xml:space="preserve"> T US</t>
  </si>
  <si>
    <t>US00206R1023</t>
  </si>
  <si>
    <t>T US</t>
  </si>
  <si>
    <t>Bank of America</t>
  </si>
  <si>
    <t xml:space="preserve"> US0605051046</t>
  </si>
  <si>
    <t xml:space="preserve"> BAC US</t>
  </si>
  <si>
    <t>US0605051046</t>
  </si>
  <si>
    <t>BAC US</t>
  </si>
  <si>
    <t>Berkshire Hathaway Inc.</t>
  </si>
  <si>
    <t>Berkshire Hathaway</t>
  </si>
  <si>
    <t>US0846707026</t>
  </si>
  <si>
    <t>BRK-B</t>
  </si>
  <si>
    <t>Biogen Inc.</t>
  </si>
  <si>
    <t>Biogen</t>
  </si>
  <si>
    <t xml:space="preserve"> US09062X1037</t>
  </si>
  <si>
    <t xml:space="preserve"> BIIB US</t>
  </si>
  <si>
    <t>US09062X1037</t>
  </si>
  <si>
    <t>BIIB US</t>
  </si>
  <si>
    <t>BlackRock Inc.</t>
  </si>
  <si>
    <t>BlackRock</t>
  </si>
  <si>
    <t xml:space="preserve"> US09247X1019</t>
  </si>
  <si>
    <t xml:space="preserve"> BLK US</t>
  </si>
  <si>
    <t>US09247X1019</t>
  </si>
  <si>
    <t>BLK US</t>
  </si>
  <si>
    <t>Boeing</t>
  </si>
  <si>
    <t xml:space="preserve"> US0970231058</t>
  </si>
  <si>
    <t xml:space="preserve"> BA US</t>
  </si>
  <si>
    <t>US0970231058</t>
  </si>
  <si>
    <t>BA US</t>
  </si>
  <si>
    <t>Booking Holdings Inc.</t>
  </si>
  <si>
    <t>Booking Holdings</t>
  </si>
  <si>
    <t>US09857L1089</t>
  </si>
  <si>
    <t>Bristol Myers Squibb</t>
  </si>
  <si>
    <t xml:space="preserve"> US1101221083</t>
  </si>
  <si>
    <t xml:space="preserve"> BMY US</t>
  </si>
  <si>
    <t>US1101221083</t>
  </si>
  <si>
    <t>BMY US</t>
  </si>
  <si>
    <t>Capital One Financial</t>
  </si>
  <si>
    <t>Capital One</t>
  </si>
  <si>
    <t xml:space="preserve"> US14040H1059</t>
  </si>
  <si>
    <t xml:space="preserve"> COF US</t>
  </si>
  <si>
    <t>US14040H1059</t>
  </si>
  <si>
    <t>COF US</t>
  </si>
  <si>
    <t>Caterpillar Inc.</t>
  </si>
  <si>
    <t>Caterpillar</t>
  </si>
  <si>
    <t>US1491231015</t>
  </si>
  <si>
    <t>Charter Communications Inc.</t>
  </si>
  <si>
    <t>Charter Communications</t>
  </si>
  <si>
    <t>US16119P1084</t>
  </si>
  <si>
    <t>Chevron</t>
  </si>
  <si>
    <t>US1667641005</t>
  </si>
  <si>
    <t>Cisco Systems</t>
  </si>
  <si>
    <t>Cisco</t>
  </si>
  <si>
    <t xml:space="preserve"> US17275R1023</t>
  </si>
  <si>
    <t xml:space="preserve"> CSCO US</t>
  </si>
  <si>
    <t>US17275R1023</t>
  </si>
  <si>
    <t>CSCO US</t>
  </si>
  <si>
    <t>Citigroup Inc.</t>
  </si>
  <si>
    <t>Citigroup</t>
  </si>
  <si>
    <t xml:space="preserve"> US1729674242</t>
  </si>
  <si>
    <t xml:space="preserve"> C US</t>
  </si>
  <si>
    <t>US1729674242</t>
  </si>
  <si>
    <t>C US</t>
  </si>
  <si>
    <t>Coca-Cola</t>
  </si>
  <si>
    <t>Coca Cola</t>
  </si>
  <si>
    <t xml:space="preserve"> US1912161007</t>
  </si>
  <si>
    <t xml:space="preserve"> KO US</t>
  </si>
  <si>
    <t>US1912161007</t>
  </si>
  <si>
    <t>KO US</t>
  </si>
  <si>
    <t>Colgate-Palmolive</t>
  </si>
  <si>
    <t xml:space="preserve"> US1941621039</t>
  </si>
  <si>
    <t xml:space="preserve"> CL US</t>
  </si>
  <si>
    <t>US1941621039</t>
  </si>
  <si>
    <t>CL US</t>
  </si>
  <si>
    <t>Comcast</t>
  </si>
  <si>
    <t xml:space="preserve"> US20030N1019</t>
  </si>
  <si>
    <t xml:space="preserve"> CMCSA US</t>
  </si>
  <si>
    <t>US20030N1019</t>
  </si>
  <si>
    <t>CMCSA US</t>
  </si>
  <si>
    <t>ConocoPhillips</t>
  </si>
  <si>
    <t xml:space="preserve"> US20825C1045</t>
  </si>
  <si>
    <t xml:space="preserve"> COP US</t>
  </si>
  <si>
    <t>US20825C1045</t>
  </si>
  <si>
    <t>COP US</t>
  </si>
  <si>
    <t>Costco</t>
  </si>
  <si>
    <t xml:space="preserve"> US22160K1051</t>
  </si>
  <si>
    <t xml:space="preserve"> COST US</t>
  </si>
  <si>
    <t>US22160K1051</t>
  </si>
  <si>
    <t>COST US</t>
  </si>
  <si>
    <t>CVS Health</t>
  </si>
  <si>
    <t>CVS</t>
  </si>
  <si>
    <t xml:space="preserve"> US1266501006</t>
  </si>
  <si>
    <t xml:space="preserve"> CVS US</t>
  </si>
  <si>
    <t>US1266501006</t>
  </si>
  <si>
    <t>CVS US</t>
  </si>
  <si>
    <t>Danaher</t>
  </si>
  <si>
    <t>US2358511028</t>
  </si>
  <si>
    <t>Dow Inc.</t>
  </si>
  <si>
    <t>Dow</t>
  </si>
  <si>
    <t>US2605571031</t>
  </si>
  <si>
    <t>Duke Energy</t>
  </si>
  <si>
    <t xml:space="preserve"> US26441C2044</t>
  </si>
  <si>
    <t xml:space="preserve"> DUK US</t>
  </si>
  <si>
    <t>US26441C2044</t>
  </si>
  <si>
    <t>DUK US</t>
  </si>
  <si>
    <t>DuPont</t>
  </si>
  <si>
    <t xml:space="preserve"> US26078J1007</t>
  </si>
  <si>
    <t xml:space="preserve"> DWDP US</t>
  </si>
  <si>
    <t>US26078J1007</t>
  </si>
  <si>
    <t>DWDP US</t>
  </si>
  <si>
    <t>Eli Lilly</t>
  </si>
  <si>
    <t xml:space="preserve"> US5324571083</t>
  </si>
  <si>
    <t xml:space="preserve"> LLY US</t>
  </si>
  <si>
    <t>US5324571083</t>
  </si>
  <si>
    <t>LLY US</t>
  </si>
  <si>
    <t>Emerson Electric</t>
  </si>
  <si>
    <t>US2910111044</t>
  </si>
  <si>
    <t>Exelon</t>
  </si>
  <si>
    <t xml:space="preserve"> US30161N1019</t>
  </si>
  <si>
    <t xml:space="preserve"> EXC US</t>
  </si>
  <si>
    <t>US30161N1019</t>
  </si>
  <si>
    <t>EXC US</t>
  </si>
  <si>
    <t>Exxon Mobil</t>
  </si>
  <si>
    <t>US30231G1022</t>
  </si>
  <si>
    <t>Facebook, Inc.</t>
  </si>
  <si>
    <t>Facebook</t>
  </si>
  <si>
    <t>US30303M1027</t>
  </si>
  <si>
    <t>FedEx</t>
  </si>
  <si>
    <t xml:space="preserve"> US31428X1063</t>
  </si>
  <si>
    <t xml:space="preserve"> FDX US</t>
  </si>
  <si>
    <t>US31428X1063</t>
  </si>
  <si>
    <t>FDX US</t>
  </si>
  <si>
    <t>Ford Motor Company</t>
  </si>
  <si>
    <t>Ford</t>
  </si>
  <si>
    <t xml:space="preserve"> US3453708600</t>
  </si>
  <si>
    <t xml:space="preserve"> F US</t>
  </si>
  <si>
    <t>US3453708600</t>
  </si>
  <si>
    <t>F US</t>
  </si>
  <si>
    <t>General Dynamics</t>
  </si>
  <si>
    <t xml:space="preserve"> US3695501086</t>
  </si>
  <si>
    <t xml:space="preserve"> GD US</t>
  </si>
  <si>
    <t>US3695501086</t>
  </si>
  <si>
    <t>GD US</t>
  </si>
  <si>
    <t>General Electric</t>
  </si>
  <si>
    <t>GE</t>
  </si>
  <si>
    <t xml:space="preserve"> US3696041033</t>
  </si>
  <si>
    <t xml:space="preserve"> GE US</t>
  </si>
  <si>
    <t>US3696041033</t>
  </si>
  <si>
    <t>GE US</t>
  </si>
  <si>
    <t>General Motors</t>
  </si>
  <si>
    <t>GM</t>
  </si>
  <si>
    <t xml:space="preserve"> US37045V1008</t>
  </si>
  <si>
    <t xml:space="preserve"> GM US</t>
  </si>
  <si>
    <t>US37045V1008</t>
  </si>
  <si>
    <t>GM US</t>
  </si>
  <si>
    <t>Gilead Sciences Inc.</t>
  </si>
  <si>
    <t>Gilead Sciences</t>
  </si>
  <si>
    <t xml:space="preserve"> US3755581036</t>
  </si>
  <si>
    <t xml:space="preserve"> GILD US</t>
  </si>
  <si>
    <t>US3755581036</t>
  </si>
  <si>
    <t>GILD US</t>
  </si>
  <si>
    <t>Goldman Sachs Group</t>
  </si>
  <si>
    <t>Goldman Sachs</t>
  </si>
  <si>
    <t xml:space="preserve"> US38141G1040</t>
  </si>
  <si>
    <t xml:space="preserve"> GS US</t>
  </si>
  <si>
    <t>US38141G1040</t>
  </si>
  <si>
    <t>GS US</t>
  </si>
  <si>
    <t>Home Depot</t>
  </si>
  <si>
    <t xml:space="preserve"> US4370761029</t>
  </si>
  <si>
    <t xml:space="preserve"> HD US</t>
  </si>
  <si>
    <t>US4370761029</t>
  </si>
  <si>
    <t>HD US</t>
  </si>
  <si>
    <t>Honeywell Inc.</t>
  </si>
  <si>
    <t>Honeywell</t>
  </si>
  <si>
    <t xml:space="preserve"> US4385161066</t>
  </si>
  <si>
    <t xml:space="preserve"> HON US</t>
  </si>
  <si>
    <t>US4385161066</t>
  </si>
  <si>
    <t>HON US</t>
  </si>
  <si>
    <t>IBM Corp.</t>
  </si>
  <si>
    <t xml:space="preserve">IBM </t>
  </si>
  <si>
    <t xml:space="preserve"> US4592001014</t>
  </si>
  <si>
    <t xml:space="preserve"> IBM US</t>
  </si>
  <si>
    <t>US4592001014</t>
  </si>
  <si>
    <t>IBM US</t>
  </si>
  <si>
    <t>Intel Corp.</t>
  </si>
  <si>
    <t>Intel</t>
  </si>
  <si>
    <t xml:space="preserve"> US4581401001</t>
  </si>
  <si>
    <t xml:space="preserve"> INTC US</t>
  </si>
  <si>
    <t>US4581401001</t>
  </si>
  <si>
    <t>INTC US</t>
  </si>
  <si>
    <t>Johnson &amp; Johnson</t>
  </si>
  <si>
    <t>J&amp;J</t>
  </si>
  <si>
    <t xml:space="preserve"> US4781601046</t>
  </si>
  <si>
    <t xml:space="preserve"> JNJ US</t>
  </si>
  <si>
    <t>US4781601046</t>
  </si>
  <si>
    <t>JNJ US</t>
  </si>
  <si>
    <t>JPMorgan Chase &amp; Co.</t>
  </si>
  <si>
    <t xml:space="preserve">JPMorgan Chase </t>
  </si>
  <si>
    <t xml:space="preserve"> US46625H1005</t>
  </si>
  <si>
    <t xml:space="preserve"> JPM US</t>
  </si>
  <si>
    <t>US46625H1005</t>
  </si>
  <si>
    <t>JPM US</t>
  </si>
  <si>
    <t>Kinder Morgan Inc.</t>
  </si>
  <si>
    <t>Kinder Morgan</t>
  </si>
  <si>
    <t>US49456B1017</t>
  </si>
  <si>
    <t>Kraft Heinz Co</t>
  </si>
  <si>
    <t>Kraft Heinz</t>
  </si>
  <si>
    <t xml:space="preserve"> US5007541064</t>
  </si>
  <si>
    <t xml:space="preserve"> KHC US</t>
  </si>
  <si>
    <t>US5007541064</t>
  </si>
  <si>
    <t>KHC US</t>
  </si>
  <si>
    <t>Lockheed Martin Corp.</t>
  </si>
  <si>
    <t xml:space="preserve">Lockheed Martin </t>
  </si>
  <si>
    <t xml:space="preserve"> US5398301094</t>
  </si>
  <si>
    <t xml:space="preserve"> LMT US</t>
  </si>
  <si>
    <t>US5398301094</t>
  </si>
  <si>
    <t>LMT US</t>
  </si>
  <si>
    <t>Lowe's Companies, Inc.</t>
  </si>
  <si>
    <t>Lowe's</t>
  </si>
  <si>
    <t xml:space="preserve"> US5486611073</t>
  </si>
  <si>
    <t xml:space="preserve"> LOW US</t>
  </si>
  <si>
    <t>US5486611073</t>
  </si>
  <si>
    <t>LOW US</t>
  </si>
  <si>
    <t>MasterCard Inc.</t>
  </si>
  <si>
    <t>MasterCard</t>
  </si>
  <si>
    <t xml:space="preserve"> US57636Q1040</t>
  </si>
  <si>
    <t xml:space="preserve"> MA US</t>
  </si>
  <si>
    <t>US57636Q1040</t>
  </si>
  <si>
    <t>MA US</t>
  </si>
  <si>
    <t>McDonald's Corp.</t>
  </si>
  <si>
    <t xml:space="preserve">McDonald's </t>
  </si>
  <si>
    <t xml:space="preserve"> US5801351017</t>
  </si>
  <si>
    <t xml:space="preserve"> MCD US</t>
  </si>
  <si>
    <t>US5801351017</t>
  </si>
  <si>
    <t>MCD US</t>
  </si>
  <si>
    <t>Medtronic</t>
  </si>
  <si>
    <t xml:space="preserve"> IE00BTN1Y115</t>
  </si>
  <si>
    <t xml:space="preserve"> MDT UN, MDT US</t>
  </si>
  <si>
    <t>IE00BTN1Y115</t>
  </si>
  <si>
    <t>MDT US</t>
  </si>
  <si>
    <t>Merck &amp; Co.</t>
  </si>
  <si>
    <t xml:space="preserve">Merck </t>
  </si>
  <si>
    <t xml:space="preserve"> US58933Y1055</t>
  </si>
  <si>
    <t xml:space="preserve"> MRK US</t>
  </si>
  <si>
    <t>US58933Y1055</t>
  </si>
  <si>
    <t>MRK US</t>
  </si>
  <si>
    <t>MetLife Inc.</t>
  </si>
  <si>
    <t>MetLife</t>
  </si>
  <si>
    <t xml:space="preserve"> US59156R1086</t>
  </si>
  <si>
    <t xml:space="preserve"> MET US</t>
  </si>
  <si>
    <t>US59156R1086</t>
  </si>
  <si>
    <t>MET US</t>
  </si>
  <si>
    <t>Microsoft Corp.</t>
  </si>
  <si>
    <t xml:space="preserve">Microsoft </t>
  </si>
  <si>
    <t xml:space="preserve"> US5949181045</t>
  </si>
  <si>
    <t xml:space="preserve"> MSFT US</t>
  </si>
  <si>
    <t>US5949181045</t>
  </si>
  <si>
    <t>MSFT US</t>
  </si>
  <si>
    <t>Mondelez International</t>
  </si>
  <si>
    <t>Mondelez</t>
  </si>
  <si>
    <t xml:space="preserve"> US6092071058</t>
  </si>
  <si>
    <t xml:space="preserve"> MDLZ US</t>
  </si>
  <si>
    <t>US6092071058</t>
  </si>
  <si>
    <t>MDLZ US</t>
  </si>
  <si>
    <t>Morgan Stanley</t>
  </si>
  <si>
    <t xml:space="preserve"> US6174464486</t>
  </si>
  <si>
    <t xml:space="preserve"> MS US</t>
  </si>
  <si>
    <t>US6174464486</t>
  </si>
  <si>
    <t>MS US</t>
  </si>
  <si>
    <t>Netflix Inc.</t>
  </si>
  <si>
    <t>Netflix</t>
  </si>
  <si>
    <t>US64110L1061</t>
  </si>
  <si>
    <t>Nextera Energy Inc.</t>
  </si>
  <si>
    <t>Nextera Energy</t>
  </si>
  <si>
    <t>US65339F1012</t>
  </si>
  <si>
    <t>Nike Inc.</t>
  </si>
  <si>
    <t>Nike</t>
  </si>
  <si>
    <t xml:space="preserve"> US6541061031</t>
  </si>
  <si>
    <t xml:space="preserve"> NKE US</t>
  </si>
  <si>
    <t>US6541061031</t>
  </si>
  <si>
    <t>NKE US</t>
  </si>
  <si>
    <t>Nvidia</t>
  </si>
  <si>
    <t xml:space="preserve"> US67066G1040</t>
  </si>
  <si>
    <t xml:space="preserve"> NVDA US</t>
  </si>
  <si>
    <t>US67066G1040</t>
  </si>
  <si>
    <t>NVDA US</t>
  </si>
  <si>
    <t>Occidental Petroleum</t>
  </si>
  <si>
    <t xml:space="preserve"> US6745991058</t>
  </si>
  <si>
    <t xml:space="preserve"> OXY US</t>
  </si>
  <si>
    <t>US6745991058</t>
  </si>
  <si>
    <t>OXY US</t>
  </si>
  <si>
    <t>Oracle</t>
  </si>
  <si>
    <t xml:space="preserve"> US68389X1054</t>
  </si>
  <si>
    <t xml:space="preserve"> ORCL US</t>
  </si>
  <si>
    <t>US68389X1054</t>
  </si>
  <si>
    <t>ORCL US</t>
  </si>
  <si>
    <t>PayPal</t>
  </si>
  <si>
    <t xml:space="preserve"> US70450Y1038</t>
  </si>
  <si>
    <t xml:space="preserve"> PYPL US</t>
  </si>
  <si>
    <t>US70450Y1038</t>
  </si>
  <si>
    <t>PYPL US</t>
  </si>
  <si>
    <t>PepsiCo Inc.</t>
  </si>
  <si>
    <t>PepsiCo</t>
  </si>
  <si>
    <t xml:space="preserve"> US7134481081</t>
  </si>
  <si>
    <t xml:space="preserve"> PEP US</t>
  </si>
  <si>
    <t>US7134481081</t>
  </si>
  <si>
    <t>PEP US</t>
  </si>
  <si>
    <t>Pfizer Inc.</t>
  </si>
  <si>
    <t>Pfizer</t>
  </si>
  <si>
    <t xml:space="preserve"> US7170811035</t>
  </si>
  <si>
    <t xml:space="preserve"> PFE US</t>
  </si>
  <si>
    <t>US7170811035</t>
  </si>
  <si>
    <t>PFE US</t>
  </si>
  <si>
    <t>Philip Morris International</t>
  </si>
  <si>
    <t>Philip Morris</t>
  </si>
  <si>
    <t xml:space="preserve"> US7181721090</t>
  </si>
  <si>
    <t xml:space="preserve"> PM US</t>
  </si>
  <si>
    <t>US7181721090</t>
  </si>
  <si>
    <t>PM US</t>
  </si>
  <si>
    <t>Procter &amp; Gamble</t>
  </si>
  <si>
    <t>P&amp;G</t>
  </si>
  <si>
    <t xml:space="preserve"> US7427181091</t>
  </si>
  <si>
    <t xml:space="preserve"> PG US</t>
  </si>
  <si>
    <t>US7427181091</t>
  </si>
  <si>
    <t>PG US</t>
  </si>
  <si>
    <t>QUALCOMM Inc.</t>
  </si>
  <si>
    <t>QUALCOMM</t>
  </si>
  <si>
    <t xml:space="preserve"> US7475251036</t>
  </si>
  <si>
    <t xml:space="preserve"> QCOM US</t>
  </si>
  <si>
    <t>US7475251036</t>
  </si>
  <si>
    <t>QCOM US</t>
  </si>
  <si>
    <t>Raytheon Technologies</t>
  </si>
  <si>
    <t>Raytheon</t>
  </si>
  <si>
    <t>US75513E1010</t>
  </si>
  <si>
    <t>Salesforce</t>
  </si>
  <si>
    <t xml:space="preserve"> US79466L3024</t>
  </si>
  <si>
    <t xml:space="preserve"> CRM US</t>
  </si>
  <si>
    <t>US79466L3024</t>
  </si>
  <si>
    <t>CRM US</t>
  </si>
  <si>
    <t>Schlumberger Ltd.</t>
  </si>
  <si>
    <t>Schlumberger</t>
  </si>
  <si>
    <t>AN8068571086</t>
  </si>
  <si>
    <t>Simon Property Group Inc.</t>
  </si>
  <si>
    <t>Simon Property Group</t>
  </si>
  <si>
    <t xml:space="preserve"> US8288061091</t>
  </si>
  <si>
    <t xml:space="preserve"> SPG US</t>
  </si>
  <si>
    <t>US8288061091</t>
  </si>
  <si>
    <t>SPG US</t>
  </si>
  <si>
    <t>Southern Company</t>
  </si>
  <si>
    <t xml:space="preserve"> US8425871071</t>
  </si>
  <si>
    <t xml:space="preserve"> SO US</t>
  </si>
  <si>
    <t>US8425871071</t>
  </si>
  <si>
    <t>SO US</t>
  </si>
  <si>
    <t>Starbucks Corp.</t>
  </si>
  <si>
    <t>Starbucks</t>
  </si>
  <si>
    <t xml:space="preserve"> US8552441094</t>
  </si>
  <si>
    <t xml:space="preserve"> SBUX US</t>
  </si>
  <si>
    <t>US8552441094</t>
  </si>
  <si>
    <t>SBUX US</t>
  </si>
  <si>
    <t>Target Corp.</t>
  </si>
  <si>
    <t>Target</t>
  </si>
  <si>
    <t xml:space="preserve"> US87612E1064</t>
  </si>
  <si>
    <t xml:space="preserve"> TGT US</t>
  </si>
  <si>
    <t>US87612E1064</t>
  </si>
  <si>
    <t>TGT US</t>
  </si>
  <si>
    <t>Texas Instruments</t>
  </si>
  <si>
    <t xml:space="preserve"> US8825081040</t>
  </si>
  <si>
    <t xml:space="preserve"> TXN US</t>
  </si>
  <si>
    <t>US8825081040</t>
  </si>
  <si>
    <t>TXN US</t>
  </si>
  <si>
    <t>The Bank of New York Mellon</t>
  </si>
  <si>
    <t>Bank of New York Mellon</t>
  </si>
  <si>
    <t xml:space="preserve"> US0640581007</t>
  </si>
  <si>
    <t xml:space="preserve"> BK US</t>
  </si>
  <si>
    <t>US0640581007</t>
  </si>
  <si>
    <t>BK US</t>
  </si>
  <si>
    <t>The Walt Disney Company</t>
  </si>
  <si>
    <t>Disney</t>
  </si>
  <si>
    <t xml:space="preserve"> US2546871060</t>
  </si>
  <si>
    <t xml:space="preserve"> DIS US</t>
  </si>
  <si>
    <t>US2546871060</t>
  </si>
  <si>
    <t>DIS US</t>
  </si>
  <si>
    <t>Thermo Fisher Scientific</t>
  </si>
  <si>
    <t>Thermo Fisher</t>
  </si>
  <si>
    <t>US8835561023</t>
  </si>
  <si>
    <t>Union Pacific Corp</t>
  </si>
  <si>
    <t>Union Pacific</t>
  </si>
  <si>
    <t xml:space="preserve"> US9078181081</t>
  </si>
  <si>
    <t xml:space="preserve"> UNP US</t>
  </si>
  <si>
    <t>US9078181081</t>
  </si>
  <si>
    <t>UNP US</t>
  </si>
  <si>
    <t>United Health Group</t>
  </si>
  <si>
    <t xml:space="preserve"> US91324P1021</t>
  </si>
  <si>
    <t xml:space="preserve"> UNH US</t>
  </si>
  <si>
    <t>US91324P1021</t>
  </si>
  <si>
    <t>UNH US</t>
  </si>
  <si>
    <t>United Parcel Service</t>
  </si>
  <si>
    <t>UPS</t>
  </si>
  <si>
    <t xml:space="preserve"> US9113121068</t>
  </si>
  <si>
    <t xml:space="preserve"> UPS US</t>
  </si>
  <si>
    <t>US9113121068</t>
  </si>
  <si>
    <t>UPS US</t>
  </si>
  <si>
    <t>US Bancorp</t>
  </si>
  <si>
    <t xml:space="preserve"> US9029733048</t>
  </si>
  <si>
    <t xml:space="preserve"> USB US</t>
  </si>
  <si>
    <t>US9029733048</t>
  </si>
  <si>
    <t>USB US</t>
  </si>
  <si>
    <t>Verizon Communications</t>
  </si>
  <si>
    <t>Verizon</t>
  </si>
  <si>
    <t xml:space="preserve"> US92343V1044</t>
  </si>
  <si>
    <t xml:space="preserve"> VZ US</t>
  </si>
  <si>
    <t>US92343V1044</t>
  </si>
  <si>
    <t>VZ US</t>
  </si>
  <si>
    <t>Visa Inc.</t>
  </si>
  <si>
    <t>Visa</t>
  </si>
  <si>
    <t xml:space="preserve"> US92826C8394</t>
  </si>
  <si>
    <t xml:space="preserve"> V US</t>
  </si>
  <si>
    <t>US92826C8394</t>
  </si>
  <si>
    <t>V US</t>
  </si>
  <si>
    <t>Walgreens Boots Alliance</t>
  </si>
  <si>
    <t>Walgreens</t>
  </si>
  <si>
    <t xml:space="preserve"> US9314271084</t>
  </si>
  <si>
    <t xml:space="preserve"> WBA US</t>
  </si>
  <si>
    <t>US9314271084</t>
  </si>
  <si>
    <t>WBA US</t>
  </si>
  <si>
    <t>Walmart</t>
  </si>
  <si>
    <t xml:space="preserve"> US9311421039</t>
  </si>
  <si>
    <t xml:space="preserve"> WMT US</t>
  </si>
  <si>
    <t>US9311421039</t>
  </si>
  <si>
    <t>WMT US</t>
  </si>
  <si>
    <t>Wells Fargo</t>
  </si>
  <si>
    <t xml:space="preserve"> US9497461015</t>
  </si>
  <si>
    <t xml:space="preserve"> WFC US</t>
  </si>
  <si>
    <t>US9497461015</t>
  </si>
  <si>
    <t>WFC US</t>
  </si>
  <si>
    <t>transp_score</t>
  </si>
  <si>
    <t>comm_score</t>
  </si>
  <si>
    <t>actions_score</t>
  </si>
  <si>
    <t>score</t>
  </si>
  <si>
    <t>rank</t>
  </si>
  <si>
    <t>update_date</t>
  </si>
  <si>
    <t>last_reporting_year</t>
  </si>
  <si>
    <t>07/31/2021</t>
  </si>
  <si>
    <t>NR</t>
  </si>
  <si>
    <t>reporting_year</t>
  </si>
  <si>
    <t>preceding_year</t>
  </si>
  <si>
    <t>Condition1</t>
  </si>
  <si>
    <t>Condition2</t>
  </si>
  <si>
    <t>Condition3</t>
  </si>
  <si>
    <t>Condition4</t>
  </si>
  <si>
    <t>Condition5</t>
  </si>
  <si>
    <t>Condition6</t>
  </si>
  <si>
    <t>Condition7</t>
  </si>
  <si>
    <t>Condition8</t>
  </si>
  <si>
    <t>Condition9</t>
  </si>
  <si>
    <t>Max_point</t>
  </si>
  <si>
    <t>test_1</t>
  </si>
  <si>
    <t>score_test_1</t>
  </si>
  <si>
    <t>Are S1+S2 figures disclosed for the last reporting year and the preceding period?</t>
  </si>
  <si>
    <t>reporting?</t>
  </si>
  <si>
    <t>S1 Figure in reporting_year</t>
  </si>
  <si>
    <t>S2 loc Figure in reporting_year</t>
  </si>
  <si>
    <t>S2 Mkt Figure in reporting_year</t>
  </si>
  <si>
    <t>Condition2 or Condition3</t>
  </si>
  <si>
    <t>value1</t>
  </si>
  <si>
    <t>value2</t>
  </si>
  <si>
    <t>value3</t>
  </si>
  <si>
    <t>value4</t>
  </si>
  <si>
    <t>value5</t>
  </si>
  <si>
    <t>value6</t>
  </si>
  <si>
    <t>value7</t>
  </si>
  <si>
    <t>value8</t>
  </si>
  <si>
    <t>test_value_1</t>
  </si>
  <si>
    <t>test_value_2</t>
  </si>
  <si>
    <t>test_value_3</t>
  </si>
  <si>
    <t>test_value_4</t>
  </si>
  <si>
    <t>test_2</t>
  </si>
  <si>
    <t>score_test_2</t>
  </si>
  <si>
    <t>scope_1_verif</t>
  </si>
  <si>
    <t>scope_2_loc_verif</t>
  </si>
  <si>
    <t>scope_2_mkt_verif</t>
  </si>
  <si>
    <t>max(loc;bmkt)</t>
  </si>
  <si>
    <t>score_test_3_1</t>
  </si>
  <si>
    <t>total</t>
  </si>
  <si>
    <t>score_test_3</t>
  </si>
  <si>
    <t>cdp</t>
  </si>
  <si>
    <t>cat_1</t>
  </si>
  <si>
    <t>linear</t>
  </si>
  <si>
    <t>public</t>
  </si>
  <si>
    <t>no</t>
  </si>
  <si>
    <t>Objective</t>
  </si>
  <si>
    <t>test_value1</t>
  </si>
  <si>
    <t>score_test_4</t>
  </si>
  <si>
    <t>test1</t>
  </si>
  <si>
    <t>Min</t>
  </si>
  <si>
    <t>Max</t>
  </si>
  <si>
    <t>test2</t>
  </si>
  <si>
    <t>test</t>
  </si>
  <si>
    <t>test3</t>
  </si>
  <si>
    <t>score_test_5</t>
  </si>
  <si>
    <t>S1S2S3</t>
  </si>
  <si>
    <t>scope</t>
  </si>
  <si>
    <t>red_obj</t>
  </si>
  <si>
    <t>score_test_6</t>
  </si>
  <si>
    <t>zero_policy</t>
  </si>
  <si>
    <t>S1S2</t>
  </si>
  <si>
    <t>target_type</t>
  </si>
  <si>
    <t>offset_inc</t>
  </si>
  <si>
    <t>target_year</t>
  </si>
  <si>
    <t>Scale</t>
  </si>
  <si>
    <t>abs</t>
  </si>
  <si>
    <t>min</t>
  </si>
  <si>
    <t>target_quant_index</t>
  </si>
  <si>
    <t>base_year</t>
  </si>
  <si>
    <t>base_year_emissions_scope1</t>
  </si>
  <si>
    <t>base_year_emissions_scope2_loc</t>
  </si>
  <si>
    <t>base_year_emissions_scope2_mkt</t>
  </si>
  <si>
    <t>base_year_emissionsscope1+2</t>
  </si>
  <si>
    <t>reduction_obj</t>
  </si>
  <si>
    <t>target_year_emissions</t>
  </si>
  <si>
    <t>last_reporting_year_emissions_scope1</t>
  </si>
  <si>
    <t>last_reporting_year_emissions_scope2_loc</t>
  </si>
  <si>
    <t>last_reporting_year_emissions_scope2_mkt</t>
  </si>
  <si>
    <t>last_reporting_year_emissions_scope1+2</t>
  </si>
  <si>
    <t>reduction_per_year</t>
  </si>
  <si>
    <t>base_year_emissions_scope3</t>
  </si>
  <si>
    <t>base_year_emissionsscope1+2+3</t>
  </si>
  <si>
    <t>last_reporting_year_emissions_scope3</t>
  </si>
  <si>
    <t>last_reporting_year_emissions_scope1+2+3</t>
  </si>
  <si>
    <t>value_3</t>
  </si>
  <si>
    <t>score_test_7_1</t>
  </si>
  <si>
    <t>score_test_7_2</t>
  </si>
  <si>
    <t>score_test_7</t>
  </si>
  <si>
    <t>committed_unknown</t>
  </si>
  <si>
    <t>set_1.5deg</t>
  </si>
  <si>
    <t>_</t>
  </si>
  <si>
    <t>Linear scale</t>
  </si>
  <si>
    <t>base_year_emissions</t>
  </si>
  <si>
    <t>last_reporting_year_emissions</t>
  </si>
  <si>
    <t>% reduction_to_date</t>
  </si>
  <si>
    <t>reduction_objectives</t>
  </si>
  <si>
    <t>reduction_objectives_at_reporting_year</t>
  </si>
  <si>
    <t>performance</t>
  </si>
  <si>
    <t>forward_looking_red_obj_per_year</t>
  </si>
  <si>
    <t>last_year_red%</t>
  </si>
  <si>
    <t>Score</t>
  </si>
  <si>
    <t>preceding_year_emissions_scope1</t>
  </si>
  <si>
    <t>preceding_year_emissions_scope2_loc</t>
  </si>
  <si>
    <t>preceding_year_emissions_scope2_mkt</t>
  </si>
  <si>
    <t>preceding_year_emissions_scope3</t>
  </si>
  <si>
    <t>preceding_year_emissions_scope1+2+3</t>
  </si>
  <si>
    <t>test4</t>
  </si>
  <si>
    <t>test5</t>
  </si>
  <si>
    <t>test6</t>
  </si>
  <si>
    <t>test7</t>
  </si>
  <si>
    <t>test8</t>
  </si>
  <si>
    <t>test9</t>
  </si>
  <si>
    <t>test10</t>
  </si>
  <si>
    <t>ranking</t>
  </si>
  <si>
    <t>test_1_1</t>
  </si>
  <si>
    <t>test_1_2</t>
  </si>
  <si>
    <t>test6_1</t>
  </si>
  <si>
    <t>test6_2</t>
  </si>
  <si>
    <t>test8_1</t>
  </si>
  <si>
    <t>test8_2</t>
  </si>
  <si>
    <t>test9_1</t>
  </si>
  <si>
    <t>test9_2</t>
  </si>
  <si>
    <t>Top 10</t>
  </si>
  <si>
    <t>0-10</t>
  </si>
  <si>
    <t>10-20</t>
  </si>
  <si>
    <t>20-30</t>
  </si>
  <si>
    <t>30-40</t>
  </si>
  <si>
    <t>40-50</t>
  </si>
  <si>
    <t>50-60</t>
  </si>
  <si>
    <t>60-70</t>
  </si>
  <si>
    <t>70-80</t>
  </si>
  <si>
    <t>80-90</t>
  </si>
  <si>
    <t>90-100</t>
  </si>
  <si>
    <t>targets_id</t>
  </si>
  <si>
    <t>statement_id</t>
  </si>
  <si>
    <t>offsets_inc</t>
  </si>
  <si>
    <t>validator</t>
  </si>
  <si>
    <t>intensity_metric</t>
  </si>
  <si>
    <t>coverage_s1</t>
  </si>
  <si>
    <t>coverage_s2</t>
  </si>
  <si>
    <t>coverage_s3</t>
  </si>
  <si>
    <t>start_year</t>
  </si>
  <si>
    <t>reviewer_comment</t>
  </si>
  <si>
    <t>warning</t>
  </si>
  <si>
    <t>yes</t>
  </si>
  <si>
    <t>NA</t>
  </si>
  <si>
    <t>The base year for scope 1, scope 2 and scope 3 emissions reduction (-100% by 2030) is assumed to be 2019</t>
  </si>
  <si>
    <t>calculated</t>
  </si>
  <si>
    <t>int</t>
  </si>
  <si>
    <t>sbti</t>
  </si>
  <si>
    <t>revenue</t>
  </si>
  <si>
    <t>S3</t>
  </si>
  <si>
    <t>This target is not recorded, nor validated by the SBTi.</t>
  </si>
  <si>
    <t>We assume the start year of the SBTi target is 2018 (base year is 2016)</t>
  </si>
  <si>
    <t>We assume the start date of this target is 2019 (see comment in 2020 CDP report, issued on Aug 2020, stating that this target will be reported in 2020 report</t>
  </si>
  <si>
    <t>We assume the start date of this target is 2019 (see comment in 2020 CDP report, issued on Aug 2020, stating that this target will be reported in 2020 report. Business travel emissions in 2019 represented 16% of scope 3</t>
  </si>
  <si>
    <t xml:space="preserve">We assume the start date of this target is 2019 (see comment in 2020 CDP report, issued on Aug 2020, stating that this target will be reported in 2020 report. </t>
  </si>
  <si>
    <t>We assume the start date of this target is 2019 (see comment in 2020 CDP report, issued on Aug 2020, stating that this target will be reported in 2020 report.</t>
  </si>
  <si>
    <t>Google target is to offset all residual scope 1 and scope 2 emissions (and a very small portion of scope 3 emissions) every year</t>
  </si>
  <si>
    <t>In the 2019 sustainability report, it is noted that "Given that and the significant progress made against our 2025 goals, in 2020 we reset to more aggressive goals for 2030" that is why the start year for the new targets is assumed to be 2020.</t>
  </si>
  <si>
    <t>Absolute reduction targets could not be found because of reliance on offsets "For operations in which carbon emissions cannot be eliminated, Amgen supports additional environmental and sustainability projects that sequester or avoid greenhouse gas emissions"</t>
  </si>
  <si>
    <t>Apple also commits to continue annually sourcing 100% renewable electricity through FY2030. The target boundary includes biogenic emissions and removals from bioenergy feedstocks.</t>
  </si>
  <si>
    <t>We assume the reduction target addresses the 3 scopes without exception and the start and base years are 2020.</t>
  </si>
  <si>
    <t>We assume the reduction target addresses the 3 scopes without exception and the start and base years are 2019 (year of the signature of the Climate Pledge).</t>
  </si>
  <si>
    <t xml:space="preserve">We assume the net zero commitment of Blackrock covers scope1, scope2 and scope 3 with 2020 as a start year </t>
  </si>
  <si>
    <t>ghg_id</t>
  </si>
  <si>
    <t>ghg_scope_1</t>
  </si>
  <si>
    <t>ghg_loc_scope_2</t>
  </si>
  <si>
    <t>ghg_mkt_scope_2</t>
  </si>
  <si>
    <t>scope3_bycategory_details</t>
  </si>
  <si>
    <t>ghg_scope3_total</t>
  </si>
  <si>
    <t>ghg_purch_scope3</t>
  </si>
  <si>
    <t>ghg_capital_scope3</t>
  </si>
  <si>
    <t>ghg_fuel_energy_loc_scope3</t>
  </si>
  <si>
    <t>ghg_fuel_energy_mkt_scope3</t>
  </si>
  <si>
    <t>ghg_upstream_td_scope3</t>
  </si>
  <si>
    <t>ghg_wate_ops_scope3</t>
  </si>
  <si>
    <t>ghg_bus_travel_scope3</t>
  </si>
  <si>
    <t>ghg_commute_scope3</t>
  </si>
  <si>
    <t>ghg_up_leased_scope3</t>
  </si>
  <si>
    <t>ghg_downstream_td_scope3</t>
  </si>
  <si>
    <t>ghg_proc_sold_scope3</t>
  </si>
  <si>
    <t>ghg_use_sold_scope3</t>
  </si>
  <si>
    <t>ghg_eol_sold_scope3</t>
  </si>
  <si>
    <t>ghg_down_leased_scope3</t>
  </si>
  <si>
    <t>ghg_franchises_scope3</t>
  </si>
  <si>
    <t>ghg_investments_scope3</t>
  </si>
  <si>
    <t>gross_upother_scope3_cdp</t>
  </si>
  <si>
    <t>gross_downother_scope3_cdp</t>
  </si>
  <si>
    <t>gross_total_scope3_cdp</t>
  </si>
  <si>
    <t>total_ghg</t>
  </si>
  <si>
    <t>purch_ghg_offsets</t>
  </si>
  <si>
    <t>loc_scope_2_verif</t>
  </si>
  <si>
    <t>mkt_scope_2_verif</t>
  </si>
  <si>
    <t>scope3_verif</t>
  </si>
  <si>
    <t>reporting_fmw</t>
  </si>
  <si>
    <t>company_id+year</t>
  </si>
  <si>
    <t>Past year GHG figures were restated but the assurance statement provided only covers the reporting year figures. However, the sustainability report includes a table showing that GHG figures were verified for the past 4 years. Microsoft should clarify if restated emissions were verified.</t>
  </si>
  <si>
    <t>WRI, WBCSD, GHG</t>
  </si>
  <si>
    <t>Assurance statement is date April 14 2020 (should be 2021). Scope 3 - Category 10-12 are not evaluated (most of 3M’s products are intermediates with many potential end uses) so it is difficult to understand scope 3 coverage reporting. An estimate would be useful.</t>
  </si>
  <si>
    <t>WRI, WBCSD</t>
  </si>
  <si>
    <t>Disclosed figures in the 2021 sustainability report does not match with previous CDP reports. Explanations should be provided. CDP data includes data about scope 3 that should be fully disclosed by category in the sustainability report (scope 3 represents more than 90% emissions, which is disclosed)</t>
  </si>
  <si>
    <t>Disclosed figures in the 2021 sustainability report does not match with the verification report (see market-based and location-based scope 2 emissions). Explanations should be provided.</t>
  </si>
  <si>
    <t>CDP data includes data about scope 3 that should be fully disclosed by category in the sustainability report (scope 3 represents more than 90% emissions, which is disclosed). 
Note in the ESG report: "In 2020, we partnered with S&amp;P Global Trucost to perform a Climate Risk Assessment for Physical Risks. The analysis focuses on extreme weather impacts today and other climate impacts in 2020 to 2050. The risk assessment encompassed 100 global sites and locations including all manufacturing, R&amp;D, warehouse locations, along with selected commercial affiliate offices. It also included the top 35 locations of our critical suppliers, the top 20 locations for our third-party logistic warehouses and all 9 of our global third-party data centers. We are in the process of analyzing the results of this assessment and will publicly disclose the results as part of our 2021 CDP Climate submission."</t>
  </si>
  <si>
    <t>CDP data includes data about scope 3 that should be fully disclosed by category in the sustainability report (scope 3 represents more than 65% emissions, which is not disclosed). Past year restatements are not verified</t>
  </si>
  <si>
    <t>Scope 3 emissions are provided but without details by category is provided. The link to CDP reporting is poitning to 2019 emissions, not 2020. Scope 3 emissions verified by LQRA are 20% of scope 3 in 2020 (193,101t out of 667,994)</t>
  </si>
  <si>
    <t>2.7%</t>
  </si>
  <si>
    <t>Scope 3 emissions are provided but without details by category is provided. The link to CDP reporting is pointing to 2018 emissions, not 2019. Scope 3 emissions verified by LQRA are 2.7% in 2019</t>
  </si>
  <si>
    <t>Scope 3 emissions are provided but without details by category is provided. Verification document could not be found for 2018.</t>
  </si>
  <si>
    <t>We assumed that only 10% of scope 3 emissions were reported and verified in 2017-2018</t>
  </si>
  <si>
    <t>Verification reports are not publcly available. The 2020 sustainability report does not disclose the total scope 3 emissions but only business travel (that represented 24% of scope 3 emissions based on CDP data)</t>
  </si>
  <si>
    <t>Even if scope 3 emissions details by category is not provided in the 2019 sustainability report, a link to CDP report and the total scope 3 emissions are provided. We consider this practice as transparent, even if it would be preferable to include the details by category and clarify that some data are not verified. Only 4% of scope3 emissions are verified.</t>
  </si>
  <si>
    <t>Note from the 2019 sustainability report: "We’ve restated our 2018 Scope 3 (other) emissions due to changes in our calculation methodology and improvements in data quality, resulting in a corresponding restatement of our 2018 Scope 3 (total) and 2018 Total (Scope 1, 2 [market-based], and 3 [total]) emissions." Verification by E&amp;Y does not cover this restatement.Only 4% of scope 3 emissions are verified.(business travel and commuting)</t>
  </si>
  <si>
    <t>Like 2018-2019, we assume only 4% of scope 3 emissions are verified.(business travel and commuting). This assumption is due to the changes in scope 3 reporting from 2018.</t>
  </si>
  <si>
    <t>Like 2018-2019, we assume only 4% of scope 3 emissions are verified.(business travel and commuting)</t>
  </si>
  <si>
    <t>Total scope 3 emissions (reported in the ESG data table and 2019 Corporate Responsibility report) are not consistent with CDP data that include other upstream and downstream emissions (342,000t are missing). Scope 3 emissions are not verified, except for business travel that represents less than 1%.</t>
  </si>
  <si>
    <t>Total scope 3 emissions, as reported to CDP, are not included in the ESG report. Business travel represents less than 1% scope 3 emissions. CDP report is not made available to the public.</t>
  </si>
  <si>
    <t>Very few metrics are disclosed in the 2020 ESG report. Best practices are to disclose scope 1, scope 2 (location-based and market-based) and full scope 3 (with details by category) over the past 3 years, on a comparable basis, and fully verified by a third-party.</t>
  </si>
  <si>
    <t>No verification document was found; no link to CDP report was made available.</t>
  </si>
  <si>
    <t>Scope 3 downstream emisisons (2% of scope 3) were not reported, nor verified. However, they are made available in CDP report.</t>
  </si>
  <si>
    <t>GHG emissions are verified by APEX (scope1,2 and a small portion of scope 3) and Fraunhofer (total scope 3).</t>
  </si>
  <si>
    <t>Full scope 3 emissions are not included in the KPI (see page 20 of the 2020-2021 ESG report). It is noted that in footnote 21 that "U.S. carbon footprint not inclusive of supplier emissions." but other scope 3 categories seem to be also excluded (2019 emissions). The assurance report was not found for 2020 emissions. We assume that 62% scope 3 emissions (same as in 2019) are verified. Scope 1 + Scope 2 emissions should be reported as an aggregate as it is the key indicator undelrying the 2 main GHG emission reduction targets (2030 and 2035).</t>
  </si>
  <si>
    <t>Sope 3 emissions are not fully verified (62% in 2019 - Categories 5, 6 and 13). 2019 Assurance report was found via google search, not the public website.</t>
  </si>
  <si>
    <t>Details by category, as defined by the GHG protocol, are not disclosed (only aggregates), making any comparison with peers challenging.</t>
  </si>
  <si>
    <t>21% of scope 3 was verified in 2020 (vs. 13% in 2019)</t>
  </si>
  <si>
    <t>Additional reporting on the scope 3 Investments category expected in 2021 (Weighted-average carbon intensity reported at product level)
Scope 3 GHG emissions verified by LRQA are about 13% total scope 3 reported - they only include business travel ,fuel and energy related activities, waste, upstream leased assets, and employee commuting emissions. The reported employee commuting GHG emissions are only related to employee shuttles in India</t>
  </si>
  <si>
    <t>CDP_HELP</t>
  </si>
  <si>
    <t>Not evaluated; most of 3M’s products are intermediates with many potential end uses.</t>
  </si>
  <si>
    <t>-</t>
  </si>
  <si>
    <t>statement</t>
  </si>
  <si>
    <t>statement_date</t>
  </si>
  <si>
    <t>net0_valid</t>
  </si>
  <si>
    <t>status</t>
  </si>
  <si>
    <t>scenario</t>
  </si>
  <si>
    <t>yearly_plan</t>
  </si>
  <si>
    <t>docs</t>
  </si>
  <si>
    <t>reduction_path_by_year</t>
  </si>
  <si>
    <t>offsets_contrib_by_year</t>
  </si>
  <si>
    <t>offset_quality_statement</t>
  </si>
  <si>
    <t>client_decarb_statement</t>
  </si>
  <si>
    <t>company_id+target_type</t>
  </si>
  <si>
    <t>By 2030 Microsoft will be carbon negative, and by 2050 Microsoft will remove from the environment all the carbon the company has emitted either directly or by electrical consumption since it was founded in 1975.</t>
  </si>
  <si>
    <t>01/16/2020</t>
  </si>
  <si>
    <t>active</t>
  </si>
  <si>
    <t>Meeting the world’s sustainability goals will require the procurement of new solutions, particularly in areas like carbon reduction and removal, and water replenishment, at levels many orders of magnitude greater than they exist today. If these markets don’t mature rapidly, they will be overwhelmed by the demand that will be placed on them in the coming years. Current sustainability markets, such as those for avoided emissions offsets or carbon removal credits, are opaque and poorly understood by many current customers and most future ones. Standard contracting templates, aggregating demand through buyers’ alliances, and well communicated pricing and delivery are all advances that will mature these markets and ready them for the onslaught of demand that will occur in the final years of this decade and beyond.By 2030, we must be operating in a world where carbon offset and removal, water replenishment, and ecosystem service markets can supply demand many orders of magnitude greater than today and do so with transactional transparency and standard insurance and indemnification guarantees.</t>
  </si>
  <si>
    <t>not specific</t>
  </si>
  <si>
    <t xml:space="preserve">
American multinational technology company Microsoft commits to continue annually source 100% renewable electricity through 2030. Microsoft also commits to reduce scope 3 GHG emissions intensity per unit of revenue 30% by 2030 from a 2017 base year and to avoid growth in absolute scope 3 emissions.
The targets covering greenhouse gas emissions from company operations (scopes 1 and 2) are consistent with reductions required to keep warming to 1.5°C. The renewable energy procurement target covering scope 2 emissions is consistent with reductions required to keep warming to 1.5°C.</t>
  </si>
  <si>
    <t>set</t>
  </si>
  <si>
    <t>1.5deg</t>
  </si>
  <si>
    <t>3M’s new commitment is to reduce Scope 1 and 2 market-based GHG emissions from our 2019 baseline by at least 50% by 2030, 80% by 2040, and be 100% carbon neutral in our operations by 2050.</t>
  </si>
  <si>
    <t>02/16/2021</t>
  </si>
  <si>
    <t>The statement is not explicit enough in terms of scope coverage and other GHG emissions. We assume the emission reduction targets cover only scope 1 + 2 and that carbon is equivalent to GHG emissions.</t>
  </si>
  <si>
    <t>Reduce absolute Scope 1 and 2 CO2e emissions by 30% on an absolute basis compared with our 2018 baseline, which aligns with the objectives of the Science Based Targets initiative (SBTi) of well below the two-degree Celsius warming scenario. Work with our key carbon-intensive suppliers to implement sustainable programs to reduce our Scope 3 carbon emissions (Quantitative Scope 3 target is forthcoming)</t>
  </si>
  <si>
    <t>12/15/2020</t>
  </si>
  <si>
    <t>In 2016, the company established emissions, water and waste reductions targets to be met by 2025. Measured against a 2015 baseline, these will see total CO2 equivalent (CO2e) emissions reduced by 25 per cent and the amount of electricity purchased from renewable sources reach 50 per cent. Total water usage will be cut by 20 per cent while total hazardous and non-hazardous waste generated will be reduced by 20 per cent and a recycling rate of 50 per cent for hazardous and non-hazardous waste combined (excluding construction and demolition waste) will be achieved. By 2035, CO2e emissions will have been reduced by 50 per cent; 100 per cent of electric energy will come from renewable resources; water usage will be cut by 50 per cent; and there will be zero waste to landfill at all AbbVie sites.</t>
  </si>
  <si>
    <t>Unclear when the commitments were made</t>
  </si>
  <si>
    <t>committed</t>
  </si>
  <si>
    <t>unknown</t>
  </si>
  <si>
    <t>Global management consulting and professional services firm Accenture commits to reduce absolute scope 1, 2 and 3 GHG emissions 11% by 2025 from a 2016 base-year. This target includes a 65% reduction in scope 1 and 2 emissions, and represents a 40% per unit of revenue intensity reduction for scope 1, 2 and 3 GHG emissions over the same time period.</t>
  </si>
  <si>
    <t>Achieve net-zero emissions by 2025. Accenture will make actual reductions in emissions by powering offices with 100% renewable energy, engaging key suppliers to reduce their emissions and equipping Accenture’s people to make climate-smart travel decisions. To address remaining emissions, the company will invest in proprietary, nature-based carbon removal solutions, such as large-scale tree planting, that will directly remove emissions from the atmosphere.</t>
  </si>
  <si>
    <t>To address remaining emissions, the company will invest in proprietary, nature-based carbon removal solutions, such as large-scale tree planting, that will directly remove emissions from the atmosphere.</t>
  </si>
  <si>
    <t>It is unclear if the net zero target by 2025 covers the full scope of ghg emissions and how much will be covered by offsets. We assume the target only covers scope 1 + scope 2 and the base year is 2019 (commitment made in October 2020 so the last full year was 2019)</t>
  </si>
  <si>
    <t>In the 2020 sustainability report : "our commitment to pursue science-based targets puts us on a path to evaluate the Scope emissions in our investment portfolio. We look forward to providing additional information in the future."</t>
  </si>
  <si>
    <t>We don't want to simply offset our carbon footprint - we want to fundamentally change it</t>
  </si>
  <si>
    <t>In the 2020 CDP Climate Change Questionnaire (Aug 24 2020), it is stated that "In 2020 this [int2] goal will be retired and replaced with a Scope 3 Purchased Goods &amp; Services (PG&amp;S) goal that will better address over 66% of our Scope 3 emissions." We have not seen this new goal publicly disclosed.</t>
  </si>
  <si>
    <t>"Allstate intends to have its SBT scenarios for Scope 1 and 2 emissions completed during the second half of 2021. Scope 3 SBT scenarios focus on the climate impact of its investment portfolio. Allstate intends to also complete its initial Scope 3 review during the second half of 2021 and plans to submit its intent to establish an emissions reduction target based on the Guidance for Financial Institutions from the Science Based Targets Initiative (SBTI-FI), focused on the IPCC guidance consistent with a well-below 2°C pathway, by the end of 2021."</t>
  </si>
  <si>
    <t>5/26/2021</t>
  </si>
  <si>
    <t>intent</t>
  </si>
  <si>
    <t>Notes from the 2020 sustainability report: "our commitment to pursue science-based targets puts us on a path to evaluate the Scope emissions in our investment portfolio. We look forward to providing additional information in the future." "In 2021, we are committed to adopting science-based targets and continue to report our emissions through CDP."  "Allstate intends to have its SBT scenarios for Scope 1 and 2 emissions completed during the second half of 2021. Scope 3 SBT scenarios focus on the climate impact of its investment portfolio. Allstate intends to also complete its initial Scope 3 review during the second half of 2021 and plans to submit its intent to establish an emissions reduction target based on the Guidance for Financial Institutions from the Science Based Targets Initiative (SBTI-FI), focused on the IPCC guidance consistent with a well-below 2°C pathway, by the end of 2021."</t>
  </si>
  <si>
    <t>Every year, we have a goal of being carbon neutral. As of December 31, 2019, we reached carbon neutrality for 100% of our FY2019 operational emissions, which represent Scope 1 + Scope 2 (market-based) + Scope 3 (business travel, candidate travel, and employee commuting). Abs1 covers Scope 1 + Scope 2 (market-based) + Scope 3 (business travel, candidate travel, and employee commuting). We committed to being carbon neutral in 2007 and we have achieved this goal each year since then. We maintain our commitment to carbon neutrality of our operational footprint first through energy efficiency, second, by signing long-term contracts for renewable energy directly from our utility providers and from renewable energy facilities in the same grid regions as our data centers, and lastly, by investing in high-quality carbon offset projects. We understand that CDP does not acknowledge carbon offsets as a way to reduce emissions, however, we do recognize offsets as a viable and important approach for mitigating our carbon emissions impact, as well as a critical component of our three-tiered carbon neutrality strategy.</t>
  </si>
  <si>
    <t>6/19/2007</t>
  </si>
  <si>
    <t>n order to meet our short-term goal of carbon neutrality, we have decided to purchase some carbon offsets. To be clear, we see carbon offsets not as a permanent solution but rather as a temporary tool which allows us to take full responsibility for our impact right away. By investing in projects elsewhere in the world that cut the overall amount of greenhouse gases, we can help reduce climate impact now while we develop more sustainable strategies for the future. When considering an offset project, we carefully examine the project's environmental integrity, its ability to be monitored and verified, and the impact that our investment will have in furthering that project's goals. In other words, we want to make sure that our offset funding directly enables the project, and that the carbon savings of the project are real.</t>
  </si>
  <si>
    <t>Google does not have specific absolute emissions reduction target and is guaranteed to achieve its carbon neutrality target every year by buying a sufficient amount of offsets. We cannot quantify the absolute emissions reduction but no penalty was applied in the scoring given the aggressive renewable sourcing strategy. Still, it is preferable to clarify the targets in terms of absolute emissions reduction objectives and expected offsets contribution.</t>
  </si>
  <si>
    <t>Altria commits to reduce absolute scope 1 and 2 GHG emissions 55% by 2030 from a 2017 base year. Altria also commits to reduce absolute scope 3 GHG emissions 18% by 2030 from a 2017 base year.</t>
  </si>
  <si>
    <t>Today, American Express (NYSE:AXP) released its 2018-2019 Corporate Social Responsibility (CSR) Report, outlining its recent efforts to address the social, environmental and economic needs of its communities, customers, colleagues, shareholders and partners. American Express made progress in 2018 on several of its CSR objectives, including reducing its net carbon emissions to zero and achieving CarbonNeutral® status for the first time, and powering the company’s operations with 100% renewable electricity. The company plans to build on this work, as outlined in the report, by eliminating single-use plastics across its operations, sourcing 100% of its direct marketing, customer communications and office paper from certified responsibly managed forests, committing to remaining a CarbonNeutral® company, and continuing to power its operations with 100% renewable energy.</t>
  </si>
  <si>
    <t>9/23/2019</t>
  </si>
  <si>
    <t>2019 ESG report defines net zero target as follows : "Achieved zero net GHG emissions for scope 1, 2, and 3 (waste and colleague business travel, including third- party air, rail and rental cars) through renewable energy credits, carbon offsets and reduced GHG emissions."</t>
  </si>
  <si>
    <t>At the company level, we have taken deliberate steps to study climate change and the role AIG can play in alleviating the pressure being put on our planet. We recently committed to reducing our operational carbon emissions to net zero by 2050 and we are undertaking a thorough carbon exposure assessment of our investment and underwriting portfolios to guide our climate strategy and ambitions going forward.</t>
  </si>
  <si>
    <t>It is unclear when AIG commited to achieve net zero by 2050. We could not find any specific press release from AIG corporate website</t>
  </si>
  <si>
    <t>no_target</t>
  </si>
  <si>
    <t>No carbon reduction or net zero commitment was found.</t>
  </si>
  <si>
    <t>The “Road to Net Zero” is Amgen’s third set of environmental sustainability targets focused on achieving carbon neutrality1 from our operations, further reducing water use by 40% and waste disposal by 75% by 2027.</t>
  </si>
  <si>
    <t>For operations in which carbon emissions cannot be eliminated, Amgen supports additional environmental and sustainability projects that sequester or avoid greenhouse gas emissions. Additionally, Amgen’s plan includes engaging with our partners to assist with and encourage carbon reductions throughout our value chain.</t>
  </si>
  <si>
    <t>100% carbon neutrality across Scope 1 and Scope 2 Emissions where, 100% carbon neutrality across Scope 1 and Scope 2 Emissions where, Scope 1 emissions are direct emissions from owned or controlled sources (combustion of fuels on site) Scope 2 emissions are indirect emissions from the generation of purchased energy (electricity or steam)</t>
  </si>
  <si>
    <t>Apple today unveiled its plan to become carbon neutral across its entire business, manufacturing supply chain, and product life cycle by 2030. The company is already carbon neutral today for its global corporate operations, and this new commitment means that by 2030, every Apple device sold will have net zero climate impact.</t>
  </si>
  <si>
    <t>7/21/2020</t>
  </si>
  <si>
    <t>We’ll invest in high-quality carbon removal projects to address the emissions that remain, prioritizing the protection of ecosystems as a powerful, natural carbon solution. These projects will also align to rigorous international standards to ensure their impact. And by avoiding emissions first, we’ll also reduce the carbon we need to remove.</t>
  </si>
  <si>
    <t>Create products with net zero carbon impact by 2030</t>
  </si>
  <si>
    <t>Apple commits to reduce absolute combined scope 1, 2 and 3 GHG emissions 62% by FY2030 from a FY2019 base year. Apple also commits to continue annually sourcing 100% renewable electricity through FY2030.* *The target boundary includes biogenic emissions and removals from bioenergy feedstocks.</t>
  </si>
  <si>
    <t>The Science Based Targets initiative (SBTi) recently validated Apple’s emissions reduction target: 61.7 percent by 2030 relative to our 2019 emissions. This SBTi-approved target is derived from our current target—to reduce emissions by 75 percent by 2030—only with a 2019 base year, instead of 2015.</t>
  </si>
  <si>
    <t>AT&amp;T commits* to reduce absolute scope 1 and scope 2 GHG emissions 63% by 2030 from a 2015 base year. AT&amp;T also commits that 50% of its suppliers by spend covering purchased goods and services, capital goods, and downstream leased assets will set science-based scope 1 and scope 2 targets by 2024. *The target boundary includes biogenic emissions and removals from bioenergy feedstocks.</t>
  </si>
  <si>
    <t>AT&amp;T Commits to be Carbon Neutral by 2035 [...] The company will achieve net zero Scope 1 and 2 emissions.</t>
  </si>
  <si>
    <t>9/17/2020</t>
  </si>
  <si>
    <t>Though AT&amp;T aims to reduce its footprint to as close to zero emissions as possible, there may be some sources of emissions that cannot be eliminated. In these cases, the company will invest in carbon offsets to cover the associated emissions.</t>
  </si>
  <si>
    <t>Following AT&amp;T’s commitment to achieving net zero Scope 1 and 2 emissions14 by 2035, we sought a more ambitious goal for the enablement of customer GHG emissions reductions. In 2021, we retired our 10x goal and announced the AT&amp;T Gigaton Goal to deliver connectivity solutions that enable business customers to save a gigaton (1 billion metric tons) of GHG emissions by 2035.</t>
  </si>
  <si>
    <t>Building on Bank of America’s longstanding support for the Paris Climate Agreement, the company today outlined initial steps to achieve its goal of net zero greenhouse gas (GHG) emissions in its financing activities, operations and supply chain before 2050. Bank of America continues to actively engage with its clients to help accelerate their own transitions to net zero, and it plans to establish interim science based emissions targets for high-emitting portfolios, including energy and power. In addition, Bank of America released its broader 2030 operational and supply chain goals as part of a holistic commitment to environmental sustainability.</t>
  </si>
  <si>
    <t>Commits to net zero carbon by 2040 and 100% renewable energy by 2030</t>
  </si>
  <si>
    <t>9/19/2019</t>
  </si>
  <si>
    <t>Neutralize any remaining emissions with additional, quantifiable, real, permanent, and socially-beneficial offsets to achieve net zero annual carbon emissions by 2040.</t>
  </si>
  <si>
    <t>Amazon joined SBTi in May 2020 and will publish its science-based targets in 2022, in accordance with SBTi’s target setting process.</t>
  </si>
  <si>
    <t>Biogen commits to reduce absolute scope 1 and 2 GHG emissions 55% by 2032 and 100% by 2040 from a 2019 base year. Biogen commits that 80% of its suppliers by spend covering purchased goods and services and capital goods, will have science-based targets by 2025.</t>
  </si>
  <si>
    <t>The world is moving to net zero, and BlackRock believes that our clients are best served by being at the forefront of that transition. We are carbon neutral today in our own operations and are committed to supporting the goal of net zero greenhouse gas emissions by 2050 or sooner. No company can easily plan over thirty years, but we believe all companies – including BlackRock – must begin to address the transition to net zero today. We are taking a number of steps to help investors prepare their portfolios for a net zero world, including capturing opportunities created by the net zero transition.</t>
  </si>
  <si>
    <t>1/26/2021</t>
  </si>
  <si>
    <t>In 2014 Biogen became carbon neutral, achieved by matching 100% of our electricity with renewable electricity (via unbundled renewable energy credits) and retiring carbon offsets (from certified landfill gas to energy projects) against the remainder of our Scope 1, 2 and 3 emissions. Following new guidance that avoided emission carbon offsets (i.e., offsets that still involve emitting activity as compared to a negative emitting activity, which are referred to as “negative emission carbon offsets/credits”) are not consistent with the Paris Agreement, Biogen reevaluated its carbon neutral strategy and moved away from carbon offsets in 2019. While our long- term objective is to become fossil fuel free, we may use both avoided emission and negative emission carbon offsets/credits in the short term as part of our overall climate strategy and our desire to have a positive impact.</t>
  </si>
  <si>
    <t>Total</t>
  </si>
  <si>
    <t>zero_to_zero</t>
  </si>
  <si>
    <t>invest_id</t>
  </si>
  <si>
    <t>initiative</t>
  </si>
  <si>
    <t>desc</t>
  </si>
  <si>
    <t>amount</t>
  </si>
  <si>
    <t>currency</t>
  </si>
  <si>
    <t>doc</t>
  </si>
  <si>
    <t>Climate Innovation Fund</t>
  </si>
  <si>
    <t>Investing for new carbon reduction and removal technology. We will deploy $1 billion of our own capital in a new Climate Innovation Fund to accelerate the development of carbon reduction and removal technologies that will help us and the world become carbon negative.</t>
  </si>
  <si>
    <t>USD</t>
  </si>
  <si>
    <t>Long-term investment</t>
  </si>
  <si>
    <t>Investment of approximately $1 billion over the next 20 years to accelerate new environmental goals</t>
  </si>
  <si>
    <t>Amgen will invest more than $200 million to achieve these 2027 environmental commitments, and expects that such investment will help us to become not just more environmentally sustainable but also more flexible and productive, resulting in reductions in operating costs from such efficiencies over the same period. The company will focus on the use of innovative technologies to significantly reduce carbon emissions from Amgen-owned operations, as well as on sourcing renewable energy.</t>
  </si>
  <si>
    <t>Restore Fund</t>
  </si>
  <si>
    <t>Amount Apple will invest through the Restore Fund to remove carbon from the atmosphere.</t>
  </si>
  <si>
    <t>Climate Pledge Fund</t>
  </si>
  <si>
    <t>The Climate Pledge Fund is a corporate venture capital fund that invests in companies that can accelerate Amazon’s path to meeting The Climate Pledge. Amazon launched The Climate Pledge Fund in 2020 to support the development of sustainable and decarbonizing technologies and services. This dedicated investment program—with an initial $2 billion in funding—invests invisionary companies whose products and solutions will facilitate the transition to a low-carbon economy.</t>
  </si>
  <si>
    <t>Healthy Climate, Healthy Lives</t>
  </si>
  <si>
    <t>Healthy Climate, Healthy Lives™, a groundbreaking $250 million, 20-year initiative to eliminate fossil fuels across its operations and collaborate with renowned institutions with the aim to improve health, especially for the world’s most vulnerable populations.</t>
  </si>
  <si>
    <t>progress_id</t>
  </si>
  <si>
    <t>date</t>
  </si>
  <si>
    <t>7/14/21</t>
  </si>
  <si>
    <t>1/28/21</t>
  </si>
  <si>
    <t>1/16/20</t>
  </si>
  <si>
    <t>04/22/2021</t>
  </si>
  <si>
    <t>kpi</t>
  </si>
  <si>
    <t>test11</t>
  </si>
  <si>
    <t>test12</t>
  </si>
  <si>
    <t>test13</t>
  </si>
  <si>
    <t>test14</t>
  </si>
  <si>
    <t>test15</t>
  </si>
  <si>
    <t>test16</t>
  </si>
  <si>
    <t>test17</t>
  </si>
  <si>
    <t>test18</t>
  </si>
  <si>
    <t>TOTAL</t>
  </si>
  <si>
    <t>weight</t>
  </si>
  <si>
    <t>measurement</t>
  </si>
  <si>
    <t>scores</t>
  </si>
  <si>
    <t>cdp_id</t>
  </si>
  <si>
    <t>Column1</t>
  </si>
  <si>
    <t>intensity_metric_original</t>
  </si>
  <si>
    <t>coverate_original</t>
  </si>
  <si>
    <t>reduction_ambition_original</t>
  </si>
  <si>
    <t>reduction_ambition</t>
  </si>
  <si>
    <t>end_year</t>
  </si>
  <si>
    <t>base_year_emissions_target</t>
  </si>
  <si>
    <t>base_year_ghg_s1</t>
  </si>
  <si>
    <t>base_year_ghg_s2</t>
  </si>
  <si>
    <t>base_year_ghg_s3</t>
  </si>
  <si>
    <t>achieved_reduction_original</t>
  </si>
  <si>
    <t>achieved_reduction</t>
  </si>
  <si>
    <t>Colonne1</t>
  </si>
  <si>
    <t>Absolute</t>
  </si>
  <si>
    <t>S1+S2</t>
  </si>
  <si>
    <t>Alphabet Inc. / Google</t>
  </si>
  <si>
    <t>US02079K1079</t>
  </si>
  <si>
    <t>S1+S2+S3</t>
  </si>
  <si>
    <t>S1</t>
  </si>
  <si>
    <t>2010</t>
  </si>
  <si>
    <t>S2</t>
  </si>
  <si>
    <t>Intensity</t>
  </si>
  <si>
    <t>Metric tons CO2e per USD($) value-added</t>
  </si>
  <si>
    <t>Other</t>
  </si>
  <si>
    <t>Metric tons CO2e per unit FTE employee</t>
  </si>
  <si>
    <t>Metric tons CO2e per square foot</t>
  </si>
  <si>
    <t>Other, please specify: Other: Estimated customer-related carbon emissions reductions as a result of AT&amp;T connectivity / total combined AT&amp;T Scope 1 + Scope 2 emissions</t>
  </si>
  <si>
    <t>other</t>
  </si>
  <si>
    <t>Other, please specify: kg CO2e per Barrel of Oil Equivalent (BOE)</t>
  </si>
  <si>
    <t>Oil</t>
  </si>
  <si>
    <t>Metric tons CO2e per unit revenue</t>
  </si>
  <si>
    <t>Revenue</t>
  </si>
  <si>
    <t>Metric tons CO2e per metric ton of product</t>
  </si>
  <si>
    <t>Metric tons CO2e per barrel of oil equivalent (BOE)</t>
  </si>
  <si>
    <t>Other, please specify: Metric ton methane (CH4) per thousand BOE</t>
  </si>
  <si>
    <t>Metric tons CO2e per megawatt hour (MWh)</t>
  </si>
  <si>
    <t>Other, please specify: Metric tonnes CO2e per Terabyte of Data</t>
  </si>
  <si>
    <t>isic</t>
  </si>
  <si>
    <t>country</t>
  </si>
  <si>
    <t>region</t>
  </si>
  <si>
    <t>industry_level_1</t>
  </si>
  <si>
    <t>industry_level_2</t>
  </si>
  <si>
    <t>industry_level_3</t>
  </si>
  <si>
    <t>industry_level_4</t>
  </si>
  <si>
    <t>sector</t>
  </si>
  <si>
    <t>ghg_s1</t>
  </si>
  <si>
    <t>ghg_s2_loc</t>
  </si>
  <si>
    <t>ghg_s2_mkt</t>
  </si>
  <si>
    <t>ghg_s1s2</t>
  </si>
  <si>
    <t>ghg_s3</t>
  </si>
  <si>
    <t>company_revenue</t>
  </si>
  <si>
    <t>company_market_cap</t>
  </si>
  <si>
    <t>company_enterprise_value</t>
  </si>
  <si>
    <t>company_total_assets</t>
  </si>
  <si>
    <t>company_cash_equivalents</t>
  </si>
  <si>
    <t>United States</t>
  </si>
  <si>
    <t>North America</t>
  </si>
  <si>
    <t>Materials</t>
  </si>
  <si>
    <t>Chemicals</t>
  </si>
  <si>
    <t>Biotech, health care &amp; pharma</t>
  </si>
  <si>
    <t>Medical equipment &amp; supplies</t>
  </si>
  <si>
    <t>Biotech &amp; pharma</t>
  </si>
  <si>
    <t>Ireland</t>
  </si>
  <si>
    <t>Europe</t>
  </si>
  <si>
    <t>Services</t>
  </si>
  <si>
    <t>IT &amp; software development</t>
  </si>
  <si>
    <t>Financial services</t>
  </si>
  <si>
    <t>Web &amp; marketing services</t>
  </si>
  <si>
    <t>Food, beverage &amp; agriculture</t>
  </si>
  <si>
    <t>Tobacco</t>
  </si>
  <si>
    <t>Infrastructure</t>
  </si>
  <si>
    <t>Construction</t>
  </si>
  <si>
    <t>Manufacturing</t>
  </si>
  <si>
    <t>Electrical &amp; electronic equipment</t>
  </si>
  <si>
    <t>Media, telecommunications &amp; data center services</t>
  </si>
  <si>
    <t>B</t>
  </si>
  <si>
    <t>Transportation equipment</t>
  </si>
  <si>
    <t>Food &amp; beverage processing</t>
  </si>
  <si>
    <t>Fossil Fuels</t>
  </si>
  <si>
    <t>Oil &amp; gas extraction &amp; production</t>
  </si>
  <si>
    <t>Retail</t>
  </si>
  <si>
    <t>Convenience retail</t>
  </si>
  <si>
    <t>Power generation</t>
  </si>
  <si>
    <t>Thermal power generation</t>
  </si>
  <si>
    <t>Nuclear power generation</t>
  </si>
  <si>
    <t>Transportation services</t>
  </si>
  <si>
    <t>Intermodal transport &amp; logistics</t>
  </si>
  <si>
    <t>Powered machinery</t>
  </si>
  <si>
    <t>Discretionary retail</t>
  </si>
  <si>
    <t>C</t>
  </si>
  <si>
    <t>Specialized professional services</t>
  </si>
  <si>
    <t>Hospitality</t>
  </si>
  <si>
    <t>Bars, hotels &amp; restaurants</t>
  </si>
  <si>
    <t>D</t>
  </si>
  <si>
    <t>E</t>
  </si>
  <si>
    <t>Apparel</t>
  </si>
  <si>
    <t>Textiles &amp; fabric goods</t>
  </si>
  <si>
    <t>F</t>
  </si>
  <si>
    <t>G</t>
  </si>
  <si>
    <t>H</t>
  </si>
  <si>
    <t>Rail transport</t>
  </si>
  <si>
    <t>Other services</t>
  </si>
  <si>
    <t>scope_cdp</t>
  </si>
  <si>
    <t>year_target_was_set</t>
  </si>
  <si>
    <t>target_coverage</t>
  </si>
  <si>
    <t>intensity_base_year</t>
  </si>
  <si>
    <t>base_year_emissions_covered_by_target</t>
  </si>
  <si>
    <t>base_year_emissions_covered_by_target%</t>
  </si>
  <si>
    <t>targeted_reduction_from_base_year</t>
  </si>
  <si>
    <t>intensity_target_year</t>
  </si>
  <si>
    <t>covered_emissions_in_target_year_auto</t>
  </si>
  <si>
    <t>covered_emissions_in_reporting_year</t>
  </si>
  <si>
    <t>intensity_reporting_year</t>
  </si>
  <si>
    <t>target_achieved%_auto</t>
  </si>
  <si>
    <t>target_status</t>
  </si>
  <si>
    <t>sbti_target</t>
  </si>
  <si>
    <t>Comments</t>
  </si>
  <si>
    <t>Scope 1+2 (location-based)</t>
  </si>
  <si>
    <t>Company-wide</t>
  </si>
  <si>
    <t>Underway</t>
  </si>
  <si>
    <t>No, but we anticipate setting one in the next 2 years</t>
  </si>
  <si>
    <t>As a science-based company, 3M bases our business, goals, and commitments on verified scientific data and projections — including those related to climate.  We  use the World Resources Institute (WRI)/World Business Council for Sustainable Development (WBCSD) GHG Protocol Corporate Accounting and Reporting Standard to set GHG emission reduction targets, we've participated as part of the Intergovernmental Panel on Climate Change (IPCC) in establishing the processes, and we're committed to continuous improvement across our operations, supply chain, and products.  For this reason, we are incorporating the findings of the Special Report on Global Warming of 1.5°C, published by IPCC, in setting our goals and actions. Even though we have seen global emissions decrease temporarily as a result of the unprecedented global COVID-19 pandemic, climate change remains an existential threat. Its impacts are widespread, and its risks are not limited by continent, industry, or even species. Our Strategic Sustainability Framework directs our efforts to areas where we can make the biggest impact. Within the Science for Climate pillar of this framework, we will continue to focus on innovating to decarbonize industry, accelerating global climate solutions, and improving our environmental footprint. We'll continue to drive climate solutions in our operations, in our products, and in communities around the world.3M is in a GHG leadership position due to our early actions to reduce our GHG emissions, which started in 2000. We are committed to continuing that leadership even as we grow the company in order to help our customers address the issue of climate change.  We are committed to ensure GHG emissions at least 50% below our 2002 baseline, while growing our business by 2025.  Since 2002, we have achieved a 68.1% reduction in absolute Scope 1 and 2 location-based GHG emissions.In 2019, we raised the bar as part of our strategic focus on empowering Science for Climate. We increased our interim target from 25% to 50% renewable electricity by 2025, toward our ultimate goal of 100% renewable electricity by 2050.</t>
  </si>
  <si>
    <t>Scope 1+2 (market-based)</t>
  </si>
  <si>
    <t>In 2016 AbbVie decided to take a leadership approach to climate change by setting new aggressive targets to reduce emissions.  Our GHG reduction target is to reduce emissions 25% absolute, by 2025 with a 2015 baseline.  All GHG targets are combined scope 1 and 2 market based.  All quantities reported in this section are in Metric Tons of CO2e.  It should be noted that the CO2e emissions associated with the acquisition of Stemcentrx and Pharmacyclics as well as a new R&amp;D center in Cambridge, MA are not included in the target calculation because they were not included in the 2015 baseline.  The CO2 emissions from these three businesses account for less than 1% of the total AbbVie CO2e emissions. In early 2020 AbbVie initiated the process of setting a science-based carbon target.  We anticipate setting a science-based target within two years.</t>
  </si>
  <si>
    <t>In 2016 AbbVie decided to take a leadership approach to climate change by setting new aggressive targets to reduce emissions.  Our GHG reduction target is to reduce emissions 50% absolute, by 2035 with a 2015 baseline.  All GHG targets are combined scope 1 and 2 market based.  All quantities reported in this section are in Metric Tons of CO2e.  It should be noted that the CO2e emissions associated with the acquisition of Stemcentrx and Pharmacyclics as well as a new R&amp;D center in Cambridge, MA are not included in the target calculation because they were not included in the 2015 baseline.  The CO2 emissions from these three businesses account for less than 1% of the total AbbVie CO2e emissions. In early 2020 AbbVie initiated the process of setting a science-based carbon target.  We anticipate setting a science-based target within two years.</t>
  </si>
  <si>
    <t>Scope 1+2 (market-based) +3 (upstream)</t>
  </si>
  <si>
    <t>Yes, this target has been approved as science-based by the Science-Based Targets initiative</t>
  </si>
  <si>
    <t>By the end of fiscal 2025, we will reduce our absolute greenhouse gas emissions by 11% from our fiscal 2016 base year, which represents a 65% absolute reduction in scope 1 and 2 emissions, and represents a 40% per unit of revenue intensity reduction for scope 1, 2 and 3 GHG emissions over the same time period. This target relates to company-wide scope 1+2 (market-based) + scope 3 (upstream) emissions.</t>
  </si>
  <si>
    <t>Abs1 is the short- to mid-term goal with Abs2, below, being the long term goal.  Both include renewable energy.  It includes Adobe commits to reduce absolute global scope 1 and 2 emissions 25% by 2025 from 2015 levels.  We have to point out that, Adobe has experienced substantial growth in business since 2015: +133% (revenues), FTE +64%; and in 2019 (w/ two multi-billion US$ acquisitions in 2018 (Magento &amp; Marketo) and Allgorithmic SAS in 2019) we DECREASED our absolute emissions approximately -4% (location-based), -11% (market-based) and DECREASED our CO2e/FTE (carbon intensity) by -39% (location) and -48% (market) YoY from FY2018.  Adobe achieved an absolute reduction of -1% (location) and -14% (market) of Scope 1+2 emissions from our 2015 baseline.  This is not by luck or ''happenstance”:  Adobe is committed to operational excellence and a focus on energy efficiency throughout our workspaces as well as throughout our digital supply chain with progress on consolidation (ex. Moving server labs to CoLos that commit to run on RE), virtualization (ex. From many CoLos to clouds the commit to run on RE), and regular technology refreshes (entire supply chain).  Additionally, through directly renewable energy and efficiency policy advocacy, with our NGO partners (ex. Ceres) and our peers, we are collaboratively working to decarbonize the grids we live and work on.  Essentially, we are managing our carbon footprint despite major business growth and we anticipate progress on both short- and long-term SBTs and our ambitious RE100 goals that do not rely on offsets but instead depend on true renewable energy additionality.   And, since we are ONLY using true grid-scale RE as an offset to absolute emissions, projects such as our open-access Bangalore solar PPA launched 2017, our aggregation with Facebook in a virtual PPA for 10MW of a wind farm in Nebraska in 2018, and Community Choice Aggregations (CCAs, "SJ Clean Energy" and "CleanPower SF"), 2019 green tariffs in Lehi, UT and Hillsboro, OR, 2019 on-site solar in Lehi, and other tools to deploy RE are up-and-running and are intended to meet our goals.  It is important to note that in 2019 Adobe began the process of raising the ambition on our SBTs (Scope 1+2 from 25% to 35%) and this will be reported on in 2020.</t>
  </si>
  <si>
    <t>Abs2 is our long-term SBTi goal.  Adobe commits to reduce absolute global scope 1 and 2 emissions by 80% by 2040 from 2015 levels.  As above, in 2019, we DECREASED our absolute emissions approximately -4% (location-based), -11% (market-based) and DECREASED our CO2e/FTE (carbon intensity) by -39% (location) and -48% (market) YoY from FY2018.  Adobe achieved an absolute reduction of -1% (location) and -14% (market) of Scope 1+2 emissions from our 2015 baseline.   Essentially, we are managing our carbon footprint despite major business growth but we anticipate progress on both short- and long-term SBTs in the coming years.   Important note:  in 2019 Adobe raised the ambition on our SBTs from "greater than 2C ambition" to "greater than 1.5C ambition":  Scope 1+2 from 25% to 35% by 2025.  These new, raised ambition targets will be verified, and progress reported against it in CDP,  in 2020.  We will be reviewing this goal (Abs 2) in 2020 to determine if 80% by 2035 is at the right level of ambition given Adobe does not purchase offsets or unbundled RECs and our RE100 goal is set to 2035.</t>
  </si>
  <si>
    <t>Scope 3 (downstream)</t>
  </si>
  <si>
    <t>Achieved</t>
  </si>
  <si>
    <t>No, but we are reporting another target that is science-based</t>
  </si>
  <si>
    <t>Abs3 is our target is SBTi goal 1 of 2 for Scope 3 emissions from downstream supply chain operations:  elimination of emissions (and resource consumption) in moving from a physical to 100% digital supply chain.  In 2012 Adobe adopted a cloud strategy for all products which not only made it easier and more efficient for customers to use Adobe products, but it also dematerialized our entire physical supply chain, eliminated all downstream waste and emissions from the businesses, all material waste and emissions from transportation and logistics throughout each product's lifecycle, and decreased the environmental impact of the customers by a minimum of 70% (at that time), with an average greater than 90% reduction, and greater than 95% when customers use Adobe products from a mobile device. The goal has been to achieve 100% digital download of products by 2020 -- this goal was achieved in early 2019 with 100% of all Adobe products delivered digitally and zero emissions from all previous physical supply chains.  An added benefit of putting this upstream purchased goods &amp; services goal in place has been to engage with suppliers throughout the value chain to help them set and meet RE100 and SBT goals.  Because of this, in 2019 Adobe set a brand new Scope 3 emissions SBT of committing that 55% of suppliers (by spend) will set SBTs by 2025 (this is equivalent to 66% of purchased goods &amp; services and capital goods emissions for approximately 52 suppliers).  This SBT was put into place in late 2019 and will be verified by the SBTi in 2020.</t>
  </si>
  <si>
    <t>No, and we do not anticipate setting one in the next 2 years</t>
  </si>
  <si>
    <t>Every year, we have a goal of being carbon neutral. As of December 31, 2019, we reached carbon neutrality for 100% of our FY2019 operational emissions, which represent Scope 1 + Scope 2 (market-based) + Scope 3 (business travel, candidate travel, and employee commuting).Abs1 covers Scope 1 + Scope 2 (market-based) + Scope 3 (business travel, candidate travel, and employee commuting). We committed to being carbon neutral in 2007 and we have achieved this goal each year since then. We maintain our commitment to carbon neutrality of our operational footprint first through energy efficiency, second, by signing long-term contracts for renewable energy directly from our utility providers and from renewable energy facilities in the same grid regions as our data centers, and lastly, by investing in high-quality carbon offset projects.We understand that CDP does not acknowledge carbon offsets as a way to reduce emissions, however, we do recognize offsets as a viable and important approach for mitigating our carbon emissions impact, as well as a critical component of our three-tiered carbon neutrality strategy.</t>
  </si>
  <si>
    <t>Abs2 includes Scope 1 emissions, and is our interim target for Abs3. On July 27, 2015, Google committed to tripling our purchases of renewables (then 1.1GW) by 2025 (see: https://www.whitehouse.gov/the-press-office/2015/07/27/fact-sheet-white-house-launches-american-business-act-climate-pledge). This was expected to result in installed production capacity of 3.4GW of renewable power and an annual GHG emissions reduction of approximately 2.7 million tCO2 by 2025, of which an increase of 1.8 million tCO2 in our annual GHG emissions reduction (from 0.9 million tCO2/year to 2.7 million tCO2/year) will be achieved by 2025.We exceeded this target in 2018, seven years early. From 2010 to 2019, we've signed 52 agreements totaling nearly 5.5 gigawatts of renewable energy. As of the end of 2019, our annual greenhouse gas emissions reductions from our renewable energy projects were 4.3 million metric tons, which puts us 238% of the way towards this goal from an emissions reduction perspective, and 191% of the way towards this goal from a renewable energy perspective. Our calculations assume that the grid emissions factors in the target year remain the same.Our overall energy usage from base year to target year is expected to increase, so this target is expected to result in an equivalent annual reduction of emissions from base year to target year of 124% by 2025, though we have written 100% as that is the maximum value possible for this field. Our % reduction from base year represents annual emissions reductions in our target year due to additional purchases of renewables (1.8 million tCO2), as compared to our annual base year emissions covered by this target (1.5 million tCO2). [(1.8 million tCO2/1.5 million tCO2) x 100 = 124%]. Our market-based Scope 2 emissions represented 92.2% of our combined Scope 1 and market-based Scope 2 emissions in 2019.</t>
  </si>
  <si>
    <t>Abs3 includes Low1, as well as Scope 1 emissions. In 2012, we set a long-term goal to purchase enough renewable energy to match all the electricity we consume globally on an annual basis. For the past three years (2017-2019) we achieved it: Google's total purchase of energy from sources like wind and solar exceeded the amount of electricity used by our operations around the world, including offices, data centers, and networking infrastructure. While we're still drawing power from the grid, some of which is from fossil fuel resources, we're purchasing enough wind and solar energy to match every megawatt-hour (MWh) of electricity our data center and office operations consume annually. In 2019, our annual GHG reductions from our renewable energy projects were 4.3 million metric tons. This puts us 191% of the way towards this goal from an emissions reduction perspective. Google is the largest cumulative corporate purchaser of renewable energy in the world. From 2010 to 2019, we've signed 52 agreements totaling nearly 5.5 gigawatts of renewable energy. Reaching our 100% renewable purchasing goal means that Google buys on an annual basis the same amount of MWh of renewable energy—both the physical energy and its corresponding renewable energy certificates (RECs)—as the amount of MWh of electricity that we consume for our operations around the world. Where possible, we buy this energy directly from our utility providers and from renewable energy facilities in the same grid regions as our data centers.Since we're using Abs2 as our interim target for Abs3 and it would be difficult to predict our emissions in 2040, we used most of the same data here for Abs3 as we did for Abs2. We know we'll increase our annual GHG emissions reduction by at least 1.8 million tCO2 of emissions (our Abs2 target) sometime before 2040. The actual reduction in tCO2 will likely be greater as we believe our Scope 2 emissions will grow between our base year and 2040. Matching 100% renewable energy is just the beginning. We'll continue to buy renewable energy to match our growing electricity load. And in those regions where we can't yet buy renewables, we'll keep working on ways to help open the market. At the same time, we're pursuing a longer-term ambition: to match every hour of our electricity consumption at every data center location with carbon-free electricity on the same grid.</t>
  </si>
  <si>
    <t>This target is company-wide; set at the Altria-level and includes all subsidiaries. The target was achieved in 2019 and replaced with a new 2030 target, which was validated by the Science Based Targets initiative.</t>
  </si>
  <si>
    <t>Scope 3 (upstream &amp; downstream)</t>
  </si>
  <si>
    <t>Revised</t>
  </si>
  <si>
    <t>This target is company-wide and includes all relevant Scope 3 categories. The target was revised in 2019 to include the investments category, changing base year inventories. The revised target was validated by the Science Based Targets initiative.</t>
  </si>
  <si>
    <t>New</t>
  </si>
  <si>
    <t>This target is company-wide; set at the Altria-level and includes all subsidiaries. This target was officially validated by the Science Based Targets initiative as consistent with reductions required to keep warming to 1.5°C.</t>
  </si>
  <si>
    <t>This target is company-wide and includes all relevant Scope 3 categories and was officially validated by the Science Based Targets initiative.</t>
  </si>
  <si>
    <t>Other, please specify: Scope 1+2 (market-based)+Scope 3 (business travel)</t>
  </si>
  <si>
    <t>Yes, we consider this a science-based target, but this target has not been approved as science-based by the Science-Based Targets initiative</t>
  </si>
  <si>
    <t>We are committing to achieve carbon neutrality for our operations Scope 1 and 2 (market-based) and 3 (business travel) (employee business travel, including third-party air, rail and rental cars) by 2025. Operations include all our managed facilities, field sites and data centers. To help us achieve this GHG goal, we are implementing energy efficiency projects and procuring renewable energy at our facilities. We also have an operational goal to reduce energy use by 35% across our global managed portfolio from 2011 to 2025. For unavoidable emissions we invest in certified carbon offsets to achieve the carbon neutrality commitment.</t>
  </si>
  <si>
    <t>We are committing to maintaining carbon neutrality for our operations Scope 1 and 2 (market-based) and 3 (business travel) (employee business travel, including third-party air, rail and rental cars) through at least 2040. Operations include all our managed facilities, field sites and data centers. To help us achieve this GHG goal, we are implementing energy efficiency projects and procuring renewable energy at our facilities. We also have an operational goal to reduce energy use by 35% across our global managed portfolio from 2011 to 2025. For unavoidable emissions we invest in certified carbon offsets to achieve the carbon neutrality commitment.</t>
  </si>
  <si>
    <t>Country/region</t>
  </si>
  <si>
    <t>AIG is a supporter of the UK Carbon Reduction Commitment (CRC) in the UK, and has committed to reducing the Carbon emissions associated with its UK business operations by 20% by the year 2020.  AIG's UK operations have exceeded the target commitment, reducing overall Scope 1 and Scope 2 emissions by 69 percent, more than three times the target. The CRC expired on 2020, so there won't be future reporting.</t>
  </si>
  <si>
    <t>Scope 1</t>
  </si>
  <si>
    <t>As a result of the significant efforts detailed in our 2019 Corporate Sustainability Report, the Company reduced actual annual diesel consumption by approximately 34 million liters from our 2017 baseline and by approximately 65 million liters after normalizing 2019 consumption for site acquisitions and new builds in 2018 and 2019 (normalization calculations make certain assumptions and estimates for newly acquired or built sites based on applying the average 2017 diesel usage per site). This normalized reduction represents the equivalent of 163,000 avoided metric tons of carbon dioxide equivalent (MTCO2e) and moves us 46% of the way to fulfilling our 10-year goal. The 65 million liter reduction is the equivalent of taking more than 35,000 cars off the road for a year or helping to preserve more than 65,000 acres of forest. Recognizing the significant positive environmental impact, American Tower will build on this early success and continue our methodical approach to decreasing fossil fuel consumption in all areas.  See the Energy section of our report below:https://www.americantower.com/corporate-responsibility/index.htmlORhttps://bit.ly/30BKrE2</t>
  </si>
  <si>
    <t>We set a 2020 target to reduce carbon emissions from our facilities (on-site combustion (scope 1) and purchased energy (scope 2) by 10% of baseline year 2012.  These sources accounted for 94% of our total Scope 1 and Scope 2 emissions in baseline year 2012. We have achieved our 2020 target ahead of schedule and we are currently in the process of setting our next iteration of carbon reduction targets. In the interim, we have set internal reduction targets to continue progress in reducing greenhouse gas emissions from our operations.</t>
  </si>
  <si>
    <t>Using the sectoral decarbonization approach (SDA) methodology, a medium term science-based reduction target would require Apple to reduce its Scope 1 and 2 emissions by 7 percent by 2020, relative to 2012 baseline emissions. We have reduced our Scope 1 and Scope 2 emissions by 68 percent since 2012, well surpassing what science-based targets call for. While we recognize we have already reached these science-based targets, we continue to drive down our emissions.  As of April 2020, we are carbon neutral for scope 1, 2, and scope 3 emissions relating to Apple's operations (employee commute and business travel) beginning in fiscal year 2021. And we also set an ambitious target to be carbon neutral by 2030 and reduce emissions by 75 percent, including our entire product life cycle scope 3 emissions.</t>
  </si>
  <si>
    <t>Using the sectoral decarbonization approach (SDA) methodology, a long-term science-based reduction target would require Apple to reduce its Scope 1 and 2 emissions by 52% by 2036, relative to 2012 baseline emissions. We have reduced our Scope 1 and Scope 2 emissions by 68 percent since 2012, surpassing the science-based target 17 years faster than what the approach dictates. While we recognize we have already reached these science-based targets, we continue to make yearly progress further reducing emissions within relevant boundaries.  As of April 2020, we are carbon neutral for scope 1, 2, and scope 3 emissions relating to Apple's operations (employee commute and business travel) beginning in fiscal year 2021. And we also set an ambitious target to be carbon neutral by 2030 and reduce emissions by 75 percent, including our entire product life cycle scope 3 emissions.</t>
  </si>
  <si>
    <t>Scope 2 (market-based)</t>
  </si>
  <si>
    <t>This target of reducing 100 percent of Scope 2 emissions for all of our worldwide facilities (by powering our facilities worldwide with 100 percent renewable energy) applies to all Apple corporate facilities, data centers, and retail stores worldwide. All reductions to be achieved primarily by energy efficiency projects and new Apple-created renewable generation projects and the direct procurement of bundled renewable energy. We achieved our 100 percent Scope 2 emissions reduction target for all of our worldwide facilities in January 2018, and have maintained it through fiscal year 2019.</t>
  </si>
  <si>
    <t>Scope 1+2 (market-based) +3 (upstream &amp; downstream)</t>
  </si>
  <si>
    <t>In 2020, we set a new goal to become carbon neutral for our entire carbon footprint by 2030. We plan to reduce emissions by 75 percent by 2030, compared to 2015 levels, through product design and engineering, energy efficiency and renewable energy, and direct emissions abatement. A science-based target aligned with 1.5 C trajectory calls for a 4.2% annual linear reduction. Since this equates to a 47% reduction over our target period, we consider our target to well-exceed the requirements for a science-based target.</t>
  </si>
  <si>
    <t>We have set an absolute Scope 1 GHG emissions reduction goal to reduce our emissions by 20% by EOY 2020, using an adjusted 2008 Scope 1 baseline of 1,354,054.  The adjusted baseline accounts for DIRECTV historical baseline Scope 1 emissions, and estimates for previously missing refrigerant emissions data.  We surpassed this goal, realizing a 26.8% reduction. AT&amp;T now has an SBTi-approved goal for Scope 1 emissions.  See below.</t>
  </si>
  <si>
    <t>AT&amp;T originally set a target to increase its Alternative Fuel Vehicle fleet. As time passed our traditional vehicle fleet became more efficient making our AFV goal less relevant in regards to emissions. AT&amp;T has set a new goal that is technology agnostic but focused on the end goal of reduced emissions. AT&amp;T has established a goal of a 30% emissions reduction for Domestic Fleet by the end of 2020. We surpassed this goal, realizing a 31% reduction.</t>
  </si>
  <si>
    <t>Approved by SBTi in 2020</t>
  </si>
  <si>
    <t>In 2019, we reached our goal of becoming carbon neutral for Scope 1 and 2 emissions, one year ahead of our plan. To reach this goal, we started by reducing our location-based emissions by 56% since 2010. Second, we have focused on purchasing renewable electricity in a way that supports new solar and wind. This is being done through installing onsite solar and long-term agreements for tax equity investments and small projects in underserved communities as well as signing power purchase agreements. Finally, for unavoidable emissions we purchased superior carbon offsets in each region in which we operate.</t>
  </si>
  <si>
    <t>We are committing to maintain carbon neutrality through at least 2040.</t>
  </si>
  <si>
    <t>In tandem with the carbon neutrality goal, we are committing to reduce our location-based emissions by 50%.</t>
  </si>
  <si>
    <t>For more information, see our target on sciencebasedtargets.org.  Full wording of our target is as follows: ''Biogen commits to a 35% reduction of absolute emissions across its entire value chain (scopes 1, 2 and 3) by 2030 from a 2013 base-year.Biogen adjusted its approach to engaging suppliers in 2017 to align with standard best practices. Scope 3 emissions are noticeably higher as they are no longer 100% matched with renewable energy certificates. Consequently, Biogen is evaluating its strategy towards achieving its 35% Absolute Reduction by 2030 target.</t>
  </si>
  <si>
    <t>BlackRock committed to reducing facility location-based GHG emissions by 30% by 2020. Due to the growth and acquisition of several companies since 2014, our base year, while we have continuously reduced our emissions YOY, and our square footage footprint has increased by 15% and headcount by 40.1%, we achieved 73% of our target with a 22% emissions reduction in 2019 compared with the base year.</t>
  </si>
  <si>
    <t>Historically, BNY Mellon had a Scope 1 and 2 target of 40% for globally owned or controlled locations excluding data centers by 2020 relative to 2008. On track to meet and exceed that goal, in 2018 emissions had been reduced by 55%. In 2019 BNY Mellon undertook the initiative of setting a new SBTi-based target that aligns with a well-below 2C scenario. The new target is inclusive of all global Scope 1 and 2 emissions, as well as those at data centers.Regarding the Target status as of 2019, it is both new since last year, and also underway in the sense that 2019 is the first year of data toward the new goal.</t>
  </si>
  <si>
    <t>As part of the company's carbon neutral commitment, BNY Mellon has plans to procure renewable energy for all Scope 2 electricity use through until 2020. In 2014, emissions from electricity made up 96% of BNY Mellon's total Scope 2 market-based emissions; therefore, procuring renewable electricity for all of the company's electricity needs would represent a 96% reduction in emissions compared to 2014 when no renewable electricity was purchased.In 2015 and 2016, BNY Mellon purchased 290,000,000 MkWh of Green-e Certified Renewable Energy Credits (RECs), 31,000,000 kMWh of Guarantees of Origin (GO) and 45,000,000 MkWh of PowerPlus Green Power to match the company's entire Scope 2 electricity use. In 2017, the company purchased 257,000 MWh of RECs, 34,000 MWh of GOs, 5,899 MWh of International Renewable Electricity Credits (I-RECs) and 35,919 MWh of PowerPlus Instruments to match BNY Mellon's entire Scope 2 electricity use. In 2018, BNY Mellon purchased 264,000 MWh of RECs, 28,500 MWh of Renewable Energy Guarantees of Origin (REGOs), 3,779 MWh of I-RECs, and 39,863 MWh of PowerPlus Instruments to match the company's entire Scope 2 electricity use. In 2019, BNY Mellon purchased 268,000 MWh of RECs, 28,185 MWh of Renewable Energy Guarantees of Origin (REGOs), 5,593 MWh of I-RECs, and 36,972 MWh of PowerPlus Instruments to match the company's entire Scope 2 electricity use.Rebaselined 2014 emissions include a change in methodology for emissions from steam.</t>
  </si>
  <si>
    <t>As part of the company's carbon neutral commitment, BNY Mellon has plans to procure renewable energy for all Scope 2 electricity use until 2020. BNY Mellon will consider continuing this program into 2040 and beyond. In 2014, emissions from electricity made up 92% of the company's total Scope 1 and 2 market-based emissions; therefore procuring renewable electricity for all of BNY Mellon's electricity needs would represent a 92% reduction in emissions compared to 2014 when no renewable electricity was purchased.In 2015 and 2016, BNY Mellon purchased 290,000 MWh of Green-e Certified Renewable Energy Credits (RECs), 31,000 MWh of Guarantees of Origin (GO) and 45,000 MWh of PowerPlus Green Power to match the company's entire Scope 2 electricity use. In 2017, the company purchased 257,000 MWh of RECs, 34,000 MWh of GOs, 5,899 MWh of International Renewable Electricity Credits (I-RECs) and 35,919 MWh of PowerPlus Instruments to match BNY Mellon's entire Scope 2 electricity use. In 2018, BNY Mellon purchased 264,000 MWh of RECs, 28,500 MWh of Renewable Energy Guarantees of Origin (REGOs), 3,779 MWh of I-RECs, and 39,863 MWh of PowerPlus Instruments to match the company's entire Scope 2 electricity use. In 2019, BNY Mellon purchased 268,000 MWh of RECs, 28,185 MWh of Renewable Energy Guarantees of Origin (REGOs), 5,593 MWh of I-RECs, and 36,972 MWh of PowerPlus Instruments to match the company's entire Scope 2 electricity use.Rebaselined 2014 emissions include a change in methodology for emissions from steam.</t>
  </si>
  <si>
    <t>The 25 percent GHG target is set for the large majority of Boeing's manufacturing facility operations, accounting for roughly 70 percent of Boeing's global Scope 1 and 2 GHG emissions inventory.  This target was developed using SBTi Sector-based approach.</t>
  </si>
  <si>
    <t>We have a 2020 Target to reduce our absolute scope 1 and 2 greenhouse gas emissions by 5% from a 2015 baseline. In 2019, BMS increased the reduction compared to the baseline for a total 21% reduction.</t>
  </si>
  <si>
    <t>Capital One has a year over year goal to be carbon neutral for Scope 1, 2 (market based) emissions. 11,719 MT of base year 2017 Scope 1 emissions where 0 due to purchased carbon offsets. The majority of 2017 Base year Scope 2 (market based) emissions were neutralized through REC purchases  as part of our 100 % renewable energy goal. The remaining 150 MT was from steam which equaled 1% of  the total Scope 1 and Scope 2 (market based)  emissions for 2017. In 2019 all Scope 1 was neutralized through carbon offsets. Scope 2 market based electricity was 0 due to REC purchases. Scope 2 steam was 0 due to carbon offsets</t>
  </si>
  <si>
    <t>Scope 3: Business travel</t>
  </si>
  <si>
    <t>Capital One has a year over year goal to be carbon neutral for Scope 3 business travel emissions.  Base year 2017 business travel emissions were 62,340 MT of CO2e and were neutralized through purchased carbon offsets. 34,539 MT of 2018 Business travel emissions were neutralized through carbon offsets</t>
  </si>
  <si>
    <t>These goals were set at the end of FY2017 following on the completion of our previous 5 year goals. These 5-year goals cover 100% of our Scope 1 and 2 emissions and exceeds the recommended 2.1% year-on-year emissions reduction. By 2019 we had reduced our Scope 1 and Scope 2 emissions by 49% absolute compared to our 2007 baseline. Our organization submitted this target to SBTi in April 2018 and it was successfully approved.</t>
  </si>
  <si>
    <t>Scope 3: Use of sold products</t>
  </si>
  <si>
    <t>Product-level</t>
  </si>
  <si>
    <t>Our Scope 3 product energy use goal is: Improve system power efficiency—as measured from the input from the facility to the board-mounted ASICs, memory and other chip devices—from 77 to 87% by FY2022 for large, rack-mounted equipment. This efficiency target will result in 13% absolute reductions in GHG emissions from network and facilities equipment operations by FY2022 from a FY2016 base-year.See question C6.5 for new methodology on calculation for Use of Sold products. Although our GHG emissions have decreased from 2016 to the most recent submission, we believe that may be have more to do with the new methodology and estimates that we're made going back further into the past.</t>
  </si>
  <si>
    <t>As part of our Operations goals, we have emission goals for Citi's global footprint. Our 2020 goal is to reduce carbon emissions by 35% and energy consumption by 30%, with an annual carbon reduction rate of 2.33%. As of 2019, we have surpassed this goal and achieved a 43.5% reduction. This is a science-based interim goal proportioned out so that the firm is on track to meet its long term science-based goal in 2050 of an 80% absolute reduction in emissions. Our 2020 goal is a medium term goal of 15 years and our long term goal is 45 years, both with a base year of 2005 and start year of 2006. Since Citi is part of the global initiative RE100 and committed to source 100% renewable electricity by 2020, the carbon reduction rate increases significantly, surpassing 2.1%.</t>
  </si>
  <si>
    <t>As part of our Operations goals, we have long term emission goals for Citi's global footprint. Our 2050 science-based goal is based upon our portfolio mix and is created to maintain reductions needed to cap global temperature increase at 2 degrees Celsius, taking into account the latest IPCC assessment. Though our long term science-based goal of an 80% reduction by the year 2050 gave an annual carbon reduction of 1.78%,  as Citi is part of the global initiative RE100 and committed to source 100% renewable electricity by 2020, the carbon reduction rate increases significantly, surpassing 2.1%.</t>
  </si>
  <si>
    <t>Through 2018, we achieved a 29.7% reduction in our Scope 1 (without fugitive emissions) + Scope 2 (Market Based) emissions versus our 2020 goal of 25% reduction. By 2019 we reached a 31% reduction from the 2002 baseline, continuing to surpass our target.Fugitive emissions are not included in our 2020 goal as they are a small fraction of our Scope 1 + Scope 2 market-based emissions (1.4%) and are not included in the approved Science-Based targets. However, fugitive emissions are measured, third party reviewed and reported.It is noted that approximately 95% of our Scope 1 + Scope 2 (Market Based) emissions are included in this target. The emission sources that are not covered by this target include fugitive emissions, a number of Colgate owned offices, warehouses and mobile sources (cars and trucks). In an effort to improve our reporting methodologies this year we reviewed those emission sources during our third-party verifications and will be included in our new commitment with the Science Based Targets and future reports.Our climate strategy is anchored in setting and achieving science-based goals to reduce greenhouse gases. As part of our 2015 to 2020 Sustainability Strategy, Colgate developed the 2020 and 2050 science-based goals to reduce absolute greenhouse gas emissions by 25% and 50%, respectively, compared to 2002. Colgate collaborated with CDP to develop these goals. Early on, CDP reviewed these goals and indicated that the 2020 and 2050 targets exceeded the requirements of the ''Linear Approach” to a science-based goal, which is based on the Intergovernmental Panel on Climate Change's ''RCP 2.6 Carbon Pathway,” one of the climate trajectories used for modeling and research. Our 2020 target also exceeds the requirements of the ''Sectoral Decarbonization Approach” to a science-based goal, which is based on the 2°C change in global average temperature scenario developed by the International Energy Agency (IEA). This target was officially approved by SBTi in 2017.  Now, Colgate is joining the Science Based Targets initiative, UN Global Compact and the We Mean Business Coalition's Business Ambition for 1.5°C campaign and has received approval for a new SBTs including Scope 1, 2 and 3 targets for 2025 and 2030, using 2018 as baseline that are aligned with limiting global temperature rise to 1.5°C above pre-industrial levels.</t>
  </si>
  <si>
    <t>Our climate strategy is anchored in setting and achieving science-based goals to reduce greenhouse gases. As part of our 2015 to 2020 Sustainability Strategy, Colgate developed 2020 and 2050 science-based goals to reduce absolute greenhouse gas emissions by 25% and 50%, respectively, compared to 2002. Colgate collaborated with CDP to develop these goals. Early on, CDP reviewed these goals and indicated that the 2020 and 2050 targets exceeded the requirements of the ''Linear Approach” to a science-based goal, which is based on the Intergovernmental Panel on Climate Change's ''RCP 2.6 Carbon Pathway,” one of the climate trajectories used for modeling and research. Our 2020 target also exceeds the requirements of the ''Sectoral Decarbonization Approach” to a science-based goal, which is based on the 2°C change in global average temperature scenario developed by the International Energy Agency (IEA).  This target was officially approved by SBTi in 2017.To meet the 50% reduction goal of Scope 1 + Scope 2 emissions by 2050 with 2002 base year, we should have achieved the percent reduction of Scope1 + Scope 2 emissions that we attained through 2019 by 2028 indicating that we are ahead of schedule to accomplish that goal.Now, Colgate is joining the Science Based Targets initiative, UN Global Compact and the We Mean Business Coalition's Business Ambition for 1.5°C campaign and has received approval for a new SBTs including Scope 1, 2 and 3 targets for 2025 and 2030, using 2018 as baseline that are aligned with limiting global temperature rise to 1.5°C above pre-industrial levels.</t>
  </si>
  <si>
    <t>In 2017, the SBTi approved Colgate's science based target which included a Scope 3 aspect related to consumer use of our products: ''Colgate-Palmolive Company commits to reduce absolute Scope 1 and 2 greenhouse gas emissions from manufacturing by 25% from 2002 to 2020, with a longer term goal of a 50% reduction by 2050. Colgate also commits, as a way to reduce our most significant Scope 3 greenhouse gas emissions, to promote water conservation awareness to 100% of our global consumers and reduce emissions associated with consumer behaviour by up to 5% from 2016 to 2022, and increase the recycled content of our packaging to 50% by 2020.”We achieved a median value of 5% reduction in emissions associated with consumer behaviour, relative to a 2016 baseline and based on consumer survey results from 2019. Reduction estimates range from 3-7% due to inherent variability in consumer behaviours.</t>
  </si>
  <si>
    <t>Scope 1+2 (location-based) +3 (upstream &amp; downstream)</t>
  </si>
  <si>
    <t>Business division</t>
  </si>
  <si>
    <t>SkyZero is a 2030 Zero Carbon goal that applies only to the Sky business unit.  This target covers Sky's Scope 1, 2, and 3 emissions and is in line with a 1.5 degree C trajectory.</t>
  </si>
  <si>
    <t>Comcast has established an aspirational goal to have zero emissions. This goal is not time-bound, nor is it measured to a static base year; rather, this goal is evaluated at a point in time. For this response, we have assessed our progress for calendar year 2019. 388,377 metric tons CO2e represents the Comcast Cable fleet (not including Sky or NBCUniversal) at the close of 2017 and will serve as the base for this evaluation.</t>
  </si>
  <si>
    <t>Comcast has established an aspirational goal to source 100% renewable energy. This goal is not time-bound, nor is it measured to a static base year; rather, this goal is evaluated at a point in time. For this response, we have assessed our progress for calendar year 2019. 1,925,233 metric tons CO2e represents only Comcast Cable and NBCUniversal at the close of 2017 and will serve as the base for this evaluation.</t>
  </si>
  <si>
    <t>During 2019, we continued our aggressive emissions reduction measures in order to meet the science-based target we set forth in 2017 to reduce our combined Scope 1 and 2 market-based emissions 36 percent by 2030 over the 2010 baseline and we achieved it. This target has been approved by the Science-Based Targets initiative (SBTi). Through 2019 we achieved a 37 percent absolute reduction in market-based Scope 1 and 2 emissions over the 2010 baseline.</t>
  </si>
  <si>
    <t>During 2019, we continued our aggressive emissions reduction measures in order to meet the science-based target we set forth in 2017 to reduce our combined Scope 1 and 2 market-based emissions 56 percent by 2050 over the 2010 baseline. This target has been approved by the SBTi. Through 2019 we achieved a 37 percent absolute reduction in market-based Scope 1 and 2 emissions over the 2010 baseline.</t>
  </si>
  <si>
    <t>Duke Energy's current plan to achieve a 50% reduction in our Scope 1 CO2 emissions from electricity generation by 2030 is consistent with a pathway to achieve a science-based two-degree target.  See our 2020 Climate Report for more details.This target equates to a reduction from 138 million metric tons of CO2 in 2005 to 69 million metric tons of CO2 in 2030.  As of 2019, our generation fleet emitted 84.4 million metric tons of CO2. This reduction (138 - 84.4 = 53.6) is 78.4% of our target reduction of 69 million metric tons.</t>
  </si>
  <si>
    <t>In 2019, Duke Energy established this target of net-zero Scope 1 CO2 emissions from the company's electricity generation by 2050.  As of 2019, our generation fleet emitted 84.4 million metric tons of CO2. This reduction (138 - 84 = 53.5) is approximately 39% of our target reduction of 138.8 million metric tons. Duke Energy's current plan to achieve net-zero Scope 1 CO2 emissions from electricity generation by 2050 is consistent with a pathway to achieve a science-based two-degree target.  See our 2020 Climate Report for more details.</t>
  </si>
  <si>
    <t>Scope 1+2 (location-based) +3 (upstream)</t>
  </si>
  <si>
    <t>We have committed to reduce our greenhouse Gas (GHGs) emissions 30% including sourcing 60% of electricity from renewable energy. Our emissions target covers all Scope 1 and Scope 2 greenhouse gas emissions as well as mobile fuels (Scope 3, Category 3). In the future we may consider market-based Scope 2 emissions in addition to/instead of location-based Scope 2 emissions covered in this target.The impact of climate change is widespread across both human populations and natural ecosystems. Addressing climate change, and the greenhouse gas (GHG) emissions that contribute to it, requires urgent action and long-term commitments by every segment of society. With this commitment, we will act to drive down our GHG emissions at a pace that is aligned with climate science. We will procure our electricity from more renewable sources, ramp up our work on energy efficiency projects that deliver the most value and advocate for consistent, predictable policy and regulatory environments that foster innovation, investment and economic growth.</t>
  </si>
  <si>
    <t>We have committed to delivering carbon neutral operations by 2050. Our emissions target covers all Scope 1 and Scope 2 greenhouse gas emissions as well as mobile fuels (Scope 3, Category 3). In the future we may consider market-based Scope 2 emissions in addition to/instead of location-based Scope 2 emissions covered in this target.The impact of climate change is widespread across both human populations and natural ecosystems. Addressing climate change, and the greenhouse gas (GHG) emissions that contribute to it, requires urgent action and long-term commitments by every segment of society. With this commitment, we will act to drive down our GHG emissions at a pace that is aligned with climate science. We will procure our electricity from more renewable sources, ramp up our work on energy efficiency projects that deliver the most value and advocate for consistent, predictable policy and regulatory environments that foster innovation, investment and economic growth.</t>
  </si>
  <si>
    <t>Other, please specify: Scope 1 &amp; 2 Controllable Operations</t>
  </si>
  <si>
    <t>Exelon established this third generation GHG goal in 2017 to reduce 100% of its emissions from internal operations (emissions controllable by our employees and processes) 15% from a 2015 baseline by 2022 (2.2% reduction per year).   At the time, a 2.2% reduction was recommended by the EPA to be in line with the Paris Accord. Our goal was intended to be achieved be despite new equipment coming online due to business growth expected in 2018.  The actual public facing goal is on Market-driven emissions, allowing for use of clean energy purchases to be part of performance, but per CDP requirements, the goal is being reported here based on absolute location-based emissions.  Emissions sources covered by this goal include all building and support equipment electricity uses, emergency and auxiliary stationary combustion sources, fleet vehicles, natural gas distribution systems, SF6 electrical insulated equipment, and refrigerant sources.  Emissions not included under this goal are those we own but do not have direct control over and which are measured and managed under different GHG emissions programs.  These emission sources include our Scope 1 emissions from electric generation since the level of operation for these units is determined by grid demand for electricity and resulting plant dispatch as determined by the grid balancing authority (outside of our full operational control since we have a commitment to the grid to be available as needed to meet demand); and Scope 2 emissions associated with transmission and distribution line losses since these emissions are primarily driven by the volume of electricity required to be delivered to utility customers (similarly outside of our full day-to-day operational control since we have a commitment to the public utility commissions to deliver power as needed). It should be noted, that for these other sources, Exelon does maintain performance management indicators such as lbs/MWh generated and % loss of MWh delivered are used to ensure a continued focus on GHG emission reduction efforts being implemented.  Looking across these three performance programs ensures ongoing management of emissions across 100% of our corporate-wide GHG inventory.</t>
  </si>
  <si>
    <t>An original goal was set in 2010, aiming to reduce the company's global carbon dioxide emissions from manufacturing operations by 30 percent per vehicle produced by 2025. Ford achieved that goal in 2017, eight years ahead of schedule. A new goal has been developed using science-based methodology and 2DS.  With 2017 as the baseline year, an absolute target has been set for an absolute tCO2e reduction of 16.2% by 2023.  (SBTi). We plan on submitting targets for Scope 1, 2, and 3 (use of sold products) for SBTi approval within 2 years.Progress: ABSOLUTE TARGET 1 is a 16.2% reduction in Scope 1+Scope 2(location-based) between 2017 and 2023.  The 2017 base year emissions are 4168442 t CO2e. 16.2% of 4168442 is 675287.6 tCO2e reduction required by 2023.In 2019 our S1+S2(loc) emissions are 3636301 t CO2e, which is 4,168,442-3,636,301=532,141 t CO2e lower than 2017.  We have reduced 532,141 t out of the 675,287.6 t needed to meet the reduction target.  532,141 /675,287.6=0.788=78.8% of the reduction target has been achieved.</t>
  </si>
  <si>
    <t>An original goal was set in 2010, aiming to reduce the company's global carbon dioxide emissions from manufacturing operations by 30 percent per vehicle produced by 2025. Ford achieved that goal in 2017, eight years ahead of schedule. A new goal has been developed using science-based methodology and 2DS.  With 2017 as the baseline year, our goal of 100% renewable scope 2 energy at manufacturing locations gives us 75% reduction in scope 1+scope 2 absolute tCO2e by 2035.  We plan on submitting targets for Scope 1, 2, and 3 (use of sold products) for SBTi approval within 2 years.  Ford intends to establish targets and metrics for select suppliers starting in early 2021. Progress: ABSOLUTE TARGET 2 is a 75% reduction in Scope 1+Scope 2(location-based) between 2017 and 2035.  The 2017 base year emissions are 4,168,442 t CO2e. 75% of 4,168,442 is 3,126,332 tCO2e reduction required by 2035.In 2019 our S1+S2(loc) emissions are 3,636,301 t CO2e, which is 4,168,442-3,636,301=532,141 t CO2e lower than 2017.  We have reduced 532,141 t out of the 3,126,332  t needed to meet the reduction target.  532,141/3,126,332 = 0.17=17% of the reduction target has been achieved.</t>
  </si>
  <si>
    <t>GE's goal for GHG reductions is a 20% absolute reduction from a 2011 baseline of operational GHG emissions by 2020 and was developed in concert with ''The 3% Solution,” a science-based methodology from the World Wildlife Fund (WWF) and CDP.</t>
  </si>
  <si>
    <t>GM met our Scope 1 and 2 GHG 2020 goal in 2017 and developed an absolute goal to 2010-2030, based on science, to limit global temperature rise to below 2 degrees Celsius above pre-industrial levels. Energy efficiency in our operations and RE100 provide the methods to meet our goal in the future.  The model used is from Ecofys and is consistent with Science Based Initiative ("SBTi") 2DS for general industry for Scope 1 and 2 and is based on market-based emissions.  As we are working on scope 3 SBTi, along with other OEMs, we will apply for SBTi when scope 3 goals are finalized and update this goal using a well below 2-degree model.  In 2019, GM's Scope 1 and 2 emissions are 5.3 Million tons and pathway of 6.2 Million tons, so we are ahead of pathway.</t>
  </si>
  <si>
    <t>GM is implementing a short-term goal to reduce vehicle emissions with advanced technologies: Stop-Start, Downsized Turbo, and Advanced Transmissions for GM vehicles in use by our customers.  The goal will be met with aggressive penetration into vehicle markets by 2021.  It is based on reducing GHG emissions during the use phase of sold vehicles starting at annual US GHG emissions in 2016 and reducing an absolute amount of 390,290 metric tons on GHG by 2021.   With 259,493 metric tons GHG reduced by 2019 with advanced technologies, we are at 81% or our goal.</t>
  </si>
  <si>
    <t>This Scope 1+2 absolute reduction target aligns with/exceeds SBTi's April 2019 criteria for the well below 2 degrees Celsius pathway of ~2.5% linear reduction per year.</t>
  </si>
  <si>
    <t>We have a commitment to remain carbon neutral (i.e. net zero carbon emissions) from 2015 onward. This carbon neutrality commitment includes all global facilities within our operational control (i.e. offices, data centers) and business travel emissions within our supply chain.  To achieve this commitment, we follow our Carbon Reduction Framework, which includes ambitious targets to implement energy efficiency and procure renewable energy at our facilities.  The energy efficiency (10% absolute energy reduction from 2013 to 2020) and renewable energy (100% renewable electricity by 2020) targets are further detailed in C4.2 of this CDP response.  Recognizing that these activities alone will not achieve net zero carbon emissions, we invest in certified carbon offsets to achieve the carbon neutrality commitment.  It is instructive to note that the 2019 base year emissions provided for Abs1 are the gross market-based emissions (before offsets) within the defined target boundary and consequently the certified offsets purchased are equivalent to these gross emissions. To maximize our transparency to CDP stakeholders, we have reported Abs1 with the understanding that CDP guidance requests that carbon offsets are not reported in C4.1. We have taken this approach as we believe it is an important component of disclosing our progress.  Furthermore, we are confident that our reporting of Abs2, Abs3, and energy and renewable energy targets in C4.2 provides CDP with targets that satisfy the reporting guidance as they do not include carbon offsets.We have achieved our carbon neutrality commitment in 2019 through a combination of energy efficient operations and the purchase of renewable electricity and the purchase of carbon offsets.</t>
  </si>
  <si>
    <t>Abs2 is the result of two operational commitments, detailed in C4.2 in this CDP response, and includes 100 percent of our Scope 1 and Scope 2 (market-based) emissions.  To achieve this commitment, we follow our Carbon Reduction Framework, which includes ambitious targets to implement energy efficiency and renewable energy at our facilities. The reduction during this target period will be achieved through the combination of our energy efficiency (10% absolute energy reduction from 2013 to 2020) and renewable energy (100% renewable electricity by 2020) targets which are further detailed in C4.2 of this CDP response.  Achievement of these commitments will far outpace the CDP leadership requirement of 2.1% year-on-year emissions reductions between base year (2013) and target year (2020).We have achieved an 91% reduction in 2019 compared to 2013. This performance is significantly ahead of the 2.1% year-to-year reduction requirement and already exceeds the 15% reduction target by 2020.  We are committed to maintaining and exceeding this level of performance in the years to come.</t>
  </si>
  <si>
    <t>Abs3 is the result of two operational commitments, detailed in C4.2 in this CDP response, and includes 100 percent of our Scope 1 and Scope 2 (market-based) emissions. To achieve this commitment, we follow our Carbon Reduction Framework, which includes ambitious targets to implement energy efficiency and renewable energy at our facilities. The reduction during this target period will be achieved through the combination of our energy efficiency (10% absolute energy reduction from 2013 to 2020) and renewable energy (100% renewable electricity by 2036) targets which are further detailed in C4.2 of this CDP response.  Achievement of these commitments will far outpace the CDP leadership requirement of 2.1% year-on-year emissions reductions between base year (2013) and target year (2036).We have achieved an 91% reduction in 2019 compared to 2013. This performance is significantly ahead of the 2.1% year-to-year reduction requirement and already exceeds the 50% reduction target by 2036.  We are committed to maintaining and exceeding this level of performance in the years to come.</t>
  </si>
  <si>
    <t>Other, please specify: Target includes Scope 1 (stationary fuel combustion) emissions, Scope 2 emissions (market-based) and Scope 3 (co-location data centers) emissions.</t>
  </si>
  <si>
    <t>IBM's target is developed based on science and in-line with IPCC assessments and recommendations. However, we did not pursue, nor do we believe necessary to seeking "approval" by the Science-Basted Targets initiative.IBM's fourth-generation GHG emissions reduction goal is to reduce emissions associated with IBM's energy consumption 40% by 2025 against the 2005 baseline, adjusted for divestitures and acquisitions. The target covers IBM's Scope 1 and Scope 2 emissions (market-based) associated with IBM's operational use of energy, and emissions associated with the electricity IBM consumes at its data centers located in third party managed facilities, categorized as Scope 3 emissions of "Purchased goods and services".Achieving the IBM goal requires a 2 % per year absolute reduction in GHG emissions over the period of the goal. This is in line with the generally referenced target of an annualized reduction rate of 2% or higher to meet the goal of maintaining global temperature increases to 2 degrees Celsius or less.</t>
  </si>
  <si>
    <t>This target was set in 2010 as a long-term goal.  In 2015 it was evaluated to determine if it was in alignment with science-based targets.  The evaluation concluded that our original goal was consistent with a 2-degree pathway and also provided us with additional information for setting a long-term 2050 goal.  Additionally, our next generation goal (scopes 1, 2 and 3) has been pre-approved by the Science-based Targets Initiative and will be launched in the next year.  While we do not currently have a quantitative CO2 reduction goal for Scope 3 emissions, we continue to drive improvement across our supply base through our Sustainable Procurement Program.  Our Health for Humanity 2020 Goal is to enroll suppliers covering 80% of spend in our Sustainable Procurement Program by 2020. To achieve this, we set incremental annual targets for percentage of spend with suppliers enrolled in our Sustainable Procurement Program.  In 2019 the top 71% of suppliers within the annual percentage spend target participated. Participating suppliers must conform to our Responsibility Standards for Suppliers and fulfil one or more of four requirements listed below, determined for each supplier category by category leadership: 1) Transparency: publicly reporting two or more sustainability goals and tracking progress over time;  2) Disclosure to Action: annual participation in CDP Supply Chain disclosure;  3) Sustainability Excellence: achieving a high performers assessment score (using industry standard methods); 4) Leadership: implementing category-specific goals that support relevant industry trends, practices or innovative ideas to which suppliers and others may contribute.  We then use this data to identify opportunities to collaborate with our suppliers on emission reduction activities.</t>
  </si>
  <si>
    <t>In addition to our 2020 Goal, we have a goal to reduce absolute carbon emissions 80% by 2050.  This target was evaluated in 2015 and found to be in alignment with the 2-degree pathway science-based targets using the Sectoral Decarbonization Approach (SDA) model.</t>
  </si>
  <si>
    <t>Replaced</t>
  </si>
  <si>
    <t>This target was achieved/exceeded in 2017 and replaced with a 100% renewable energy consumption target. Net emissions reductions (using market-based Scope 2) over the 2005 baseline totalled 54% through 2019. [(637,798-1,392,704) / 1,392,704 = 54% This reduction represents a 108% completion of our goal to reduce emissions 50% by 2020 over the 2005 baseline. (54% / 50%=108%).</t>
  </si>
  <si>
    <t>Lockheed Martin's absolute target includes Scope 1 and 2 emissions of CO2, CH4, N2O, and HFC from the following sources: electricity generation, natural gas, chilled water, jet fuel, gasoline, diesel, propane, #2 fuel oil, and refrigerants.  We define our Go Green year as a twelve-month period from November 1 through October 30 to align with our internal reporting requirements while taking into account time for utility company invoicing. Lockheed Martin takes a comprehensive approach to energy reduction and GHG management. When establishing our reduction targets, we consider past performance, the goals of our primary customers, projected business growth and the material issues of our key stakeholders. We have also evaluated our performance through tools for science-based goal setting approaches including: 1) ''Science-Based GHG Performance Model” developed by the Center for Sustainable Organizations (CSO); 2) ''Sectoral Decarbonization Approach (SDA) published by the Science Based Targets Initiative (SBTI), Ecofys, CDP, World Wildlife Fund (WWF) and World Resources Institute (WRI); and 3) ''The 3% Solution Calculator” developed by CDP, WWF and McKinsey &amp; Company. The outcomes projected by these tools reflect that our targets and performance to date produce stronger results and are more aggressive than the science-based method.</t>
  </si>
  <si>
    <t>This target encompasses all Scope 1 and Scope 2 emissions produced by Lowe's and our subsidiaries. Emissions reduced can be attributed to significant improvements in energy efficiency from the LED retrofitting.  The scope of work of these projects has increased since the first installations. Also, EPA grid factors within the US has helped reduce our Scope 2 emissions as well. Additional efforts with our supply chain route optimization and investments in additional bulk distribution centers have reduced our emission impact around delivering products to stores/consumers.</t>
  </si>
  <si>
    <t>Even before the formal approval of our Science Based Targets, Mastercard implemented a cohesive strategy to achieve our 2025 emission reduction goals.  In 2019, Mastercard expanded their sustainability department by creating a Sustainability Analyst role who is responsible for data tracking, greenhouse reduction project tracking and support for various scope 3 activities. This individual will be fully integrated into our Real Estate Services division.  For example, we are currently exploring monitoring-based commissioning and advanced energy analytics, low-carbon technology and onsite renewable generation projects at our larger campuses. Please note that the base year was updated in accordance with Mastercard's Inventory Management Plan.</t>
  </si>
  <si>
    <t>In preparation for our commitment to Science Based Targets, Mastercard implemented a cohesive strategy to achieve our 2025 emission reduction goals.  This included the creation of a Global Sustainability Supply Chain Specialist position, who is responsible for quantifying, targeting, and reducing carbon emissions throughout our supply chain.  Starting by identifying our top emitters by spend, we are now working directly with these suppliers to calculate actual emissions resulting from our purchase of goods and services.  We increased our CDP Supply Chain requested participation from 12 suppliers in 2016, to a service provider base that constituted 60% of our global spend in 2017.  Our goal for 2019 is 75% of global spend.  This specialist is working hand in hand with first time CDP reporters to help guide them through the process and create more accurate emission calculation methodologies. Please note that the base year was updated in accordance with Mastercard's Inventory Management Plan.</t>
  </si>
  <si>
    <t>Other, please specify: Other, please specify: Scope 1+2 (market-based) +3 (waste generated in operations)</t>
  </si>
  <si>
    <t>The Company will partner with Franchisees to reduce greenhouse gas emissions related to McDonald's restaurants and offices by 36% by 2030 from a 2015 base year.The target includes all Company-wide Scope 1 &amp; 2 emissions, as well as operational waste (upstream Scope 3) for all restaurants (Company-owned and franchised) and Scope 1&amp;2 emissions for Franchisee restaurants (downstream Scope 3).We continue to be on track to meet the restaurant and offices portion of our Science-Based Target. Absolute emissions related to restaurants and offices have reduced from our 2015 base year despite an increase in total restaurants worldwide through 2019. Beyond the progress reported here, once online, the US VPPA deals referenced in section C4.3b are expected to contribute an additional 16% reduction from the 2015 baseline (or 43% of the restaurants and offices portion of our global Science-Based Target).These figures reflect the latest enhancements to our 2015 base year emissions and 2018 emissions estimates, which have been updated based on best practice guidance on leveraging the latest methodology and data available. Having recalculated the 2018 emissions data with updated methodology, we have seen a lower reduction than previously reported and have adjusted our progress reporting accordingly.As we continue to enhance our methodology and data quality in future years, we can expect the baseline and annual progress figures to further adjust in future reporting cycles.</t>
  </si>
  <si>
    <t>Our goal is a 40% absolute reduction in GHG emissions from 2015 to 2025. We used the "Sectoral Decarbonization Approach" to calculate and set this goal as allowed by the SBTi.  The base year emissions have been adjusted in accordance with the Greenhouse Gas Protocol: A Corporate Accounting and Reporting Standard (Revised Edition) to include changes in our operating boundary and any new information that allows us to quantify emissions more accurately.  The most significant contributors to decreasing our GHG emissions were demand reduction and conservation, energy-efficiency projects, consolidation of our office, lab and manufacturing spaces; and the shift of some of our power supply from purchased electricity to on-site-generated electricity through combined heat and power systems, as well as a large increase in utilization of renewable energy.</t>
  </si>
  <si>
    <t>In late 2015, MetLife established a 10% location-based GHG reduction target by 2020 (2012 baseline year). This reduction target applies to MetLife's global owned and leased offices, the Auto &amp; Home business automobile fleet, and business travel.  This target was reported for the past few years through the CDP. This reduction target is part of a broader carbon neutrality commitment (also announced in 2015) to achieve and maintain carbon neutrality for all Scope 1 and 2 GHG emissions from MetLife's owned and leased office facilities around the world, from the Auto and Home Vehicle Fleet, and from Scope 3 business travel by the end of 2016. In conjunction with this goal, MetLife set a 10% global energy reduction target by 2020 (2012 baseline) and a goal to require 100 of our suppliers to disclose their GHG emissions data and emission-reduction activities.  Currently the 2019 emissions indicate that MetLife has achieved and exceed the 10% emission reduction goal.  The 2019 emissions are 129,852 metric tons CO2e.  As a financial services company, the methodology for setting science-based targets is still evolving. A commitment to carbon neutrality aligns with forward-looking scenarios to limit average global temperature increases to 2°C and demonstrates MetLife's immediate and long-term concern for providing a healthy environment for our customers. Our additional 10% energy reduction target, 10% location-based GHG reduction target, and supply chain engagement goal by 2020 further show our commitment to making actual reductions in the short-term and are aligned with climate science. MetLife looks forward to seeing how the Science-Based Target (SBT) initiative for financial service companies will evolve in coming years, so that we can set science-based targets in alignment with approved methodology. Emissions reductions reflected to date have been achieved through various emissions reduction strategies, including energy efficiency capital projects, integration of sustainability practices into new workspaces, office space consolidation in metropolitan markets to reduce bottom line expenses and maximize operational and environmental performance, and increased use of collaboration tools, such as telepresence, videoconferencing, web-ex, and more, to offset employee travel.</t>
  </si>
  <si>
    <t>In late 2015, MetLife set a goal to achieve and maintain carbon neutrality for all Scope 1 and 2 GHG emissions from MetLife's owned and leased office facilities around the world, the Auto and Home Vehicle Fleet, and Scope 3 business travel by the end of 2016.  In conjunction with this goal, MetLife set a 10% global energy reduction target by 2020 (2012 baseline) and a goal to require 100 of our suppliers to disclose their GHG emissions data and emission-reduction activities. MetLife first achieved this carbon neutrality goal in December of 2016, achieved again in 2017, 2018, 2019 and intends to maintain this status moving forward. For the purpose of this report, we are reporting carbon neutrality as a year over year 100% reduction in Scope 1 +2 market-based emissions and Scope 3 business travel. The base year emissions are MetLife's 2019 location-based emission figures, which as a result of purchasing renewable energy credits and third-party certified carbon credits in MetLife's markets of operation become neutralized. As a financial services company, the methodology for setting SBTs is still evolving. A commitment to carbon neutrality by 2016 aligns with forward-looking scenarios to limit average global temperature increases to 2°C and demonstrates MetLife's immediate and long-term concern for providing a healthy environment for our customers. Our additional 10% energy reduction target, 10% location-based GHG reduction target, and supply chain engagement goal by 2020 further show our commitment to making actual reductions in the short-term and are aligned with climate science. MetLife looks forward to seeing how the SBT initiative will evolve in coming years, so that we can set science-based targets in alignment with approved methodology. Emissions reductions reflected to date have been achieved through various emissions reduction strategies, including energy efficiency capital projects, integration of sustainability best practices into new workspaces, office space consolidation in metropolitan markets to reduce bottom line expenses and maximize operational and environmental performance, and increased use of collaboration tools, such as telepresence, videoconferencing, web-ex, and more, to offset employee travel. MetLife continues to evaluate the progress of our 2020 target by collaborating with business partners to collect and aggregate data.</t>
  </si>
  <si>
    <t>Other, please specify: Scope 1 + Scope 2 (market-based) + Scope 3 (upstream business air travel only)</t>
  </si>
  <si>
    <t>Starting in July 2012, Microsoft had a target to be carbon neutral every year from fiscal year (FY) 2013 onward. We achieved carbon neutrality in FY19 (the reporting period) through a combination of onsite renewable electricity generation, internal energy efficiency projects, and purchases of renewable electricity and carbon offsets. We understand that CDP guidance requests that companies not consider carbon offsets when reporting targets in C4.1. However, we have elected to report offsets in order to communicate these GHG emissions management activities; we have also reported additional targets that do not use offsets (see Abs2 and Abs3). Note that the start, base, and target years reported are based on the Microsoft fiscal year. Our start year for this commitment is FY13—the first year in which we achieved carbon neutrality—and we committed to achieving carbon neutrality in all subsequent years. Because our commitment is ongoing and achieved annually, the base year (FY18) is the year prior to the target year (FY19, the reporting year). The FY18 base year emissions reported here are zero because we achieved our carbon neutral target in FY18. In FY20, Microsoft committed to shift our carbon-offsetting activity to accredited carbon removals, consistent with an emerging non-governmental organization (NGO) definition of net-zero emissions. Additionally, in January 2020, Microsoft announced that, by 2030, we will become carbon negative, annually removing more emissions from the atmosphere than our total scope 1, 2, and 3 emissions combined, and by 2050, we will remove all the carbon the company has emitted either directly or by electrical consumption since it was founded in 1975. This will be achieved through both reductions in our scope 1, 2 and 3 emissions and a portfolio of negative emission technologies (NET), potentially including afforestation and reforestation, soil carbon sequestration, bioenergy with carbon capture and storage (BECCs), and direct air capture (DAC).</t>
  </si>
  <si>
    <t>In 2017, Microsoft committed to reducing absolute scope 1 + scope 2 (market-based) emissions by 75 percent by 2030, against a 2013 baseline. This would help avoid more than 10 million metrics tons of carbon emissions by 2030. This puts Microsoft on a path, as a company, to meet the goals set in the Paris climate agreement, which is a level of decarbonization that many scientists believe is necessary to keep global temperature increase below 2 degrees Celsius. Additionally, in September 2019, the Science Based Targets Initiative (SBTI) certified Microsoft's target to reduce scope 3 GHG emissions intensity per unit of revenue 30 percent by 2030 from a 2017 base year and to avoid growth in absolute scope 3 emissions. And in January 2020, we announced a bolder goal of reducing our scope 1 and 2 emissions to near zero by 2025, which we will achieve through energy efficiency, energy decarbonization (100 percent renewable energy by 2025), and fleet electrification. We also announced that we will take our scope 3 ambitions a step even further, reducing our total scope 3 emissions by 55 percent by 2030.</t>
  </si>
  <si>
    <t>Abs3 is not a standalone target but rather the outcome of our carbon neutral (now net-zero) (Abs1) and renewable electricity commitments; it is an extension of Abs2. As a result of our indefinite commitment to renewable electricity and our new commitment to reduce our scope 1 and 2 emissions to near zero by 2025, we will maintain or exceed a 75 percent scope 1 and scope 2 (market-based) decrease from our FY13 base year beyond the 2030 target year in Abs2.</t>
  </si>
  <si>
    <t>In 2015, we established new 2020 sustainability goals that placed us at the forefront of the fight against climate change and support our 2020 ambition to be the leader in well-being snacks while driving down costs and creating efficiencies to accelerate our growth. We used the science-based targets methodology to set absolute CO2 from energy emissions reduction goals from manufacturing by 15% from base year 2013 as part of our ambitious end-to-end approach. We consulted with the science-based target setting organisations at the time and supported the We Mean Business coalition in 2015. However, this goal is not validated by the current SBT Initiative and does not cover Scope 3 emissions.  In our Snaking Made Right 2019 Progress Report, we report our 2020 CO2 reduction goal as 'achieved' on the basis that the reduction reported above is 15% when rounded to the nearest percentage point.</t>
  </si>
  <si>
    <t>Our Science-Based Target is to reduce absolute Full Scope GHG emissions 10 % by 2025 from a 2018 base year, with a scope 3 focus on the main source of impacts, purchased goods and services, including emissions from land-use change.The combined scope 3 target(s) cover 79% of total scope 1, 2 and 3 emissions, corresponding to the following categories: Purchased Goods and Services and Waste Generated in Operations. Purchased goods and services represent on their own 78% of our scope 3 emissions, together with waste generation in operations, our scope 3 targets cover 79% of scope 3 emissions, significantly above the 2/3 threshold required by the SBTi criteria. We defined a focused scope 3 strategy aiming at significantly reducing  food impact, through actions to reduce emissions from agricultural production and deforestation in key raw material supply chains, as well as food waste. Since integrating the impacts of land-use change into our GHG reporting in our 2019 CDP Climate submission, we also include land-use change in the scope of our Science-Based Target. We do not report performance for 2019 in this question. Changes in 2019 scope 3 emissions from the prior year are mainly driven by data improvements and methodological changes.  A better year-over-year comparison will be available next year following our baseline re-evaluation.</t>
  </si>
  <si>
    <t>Other, please specify: S1+2 (market-based)+3 (Business Travel)</t>
  </si>
  <si>
    <t>In September 2017, Morgan Stanley announced a new goal of carbon neutrality for global operations by 2022. The goal (Abs1) covers 100 percent of global Scope 1, Scope 2 market-based, and Scope 3 business travel emissions. Morgan Stanley recognizes this target is not eligible for CDP consideration because it will involve the purchase of carbon offsets, but we are reporting it here to communicate the goal publicly and to our investors. Our additional absolute targets (Abs2 and Abs3) reported below do not involve carbon offsets and will help us achieve our broader goal of carbon neutrality.</t>
  </si>
  <si>
    <t>Abs2 results from two public targets associated with our commitment to achieve carbon neutrality for global operations by 2022. These public targets are (1) our commitment to source 100 percent of global electricity needs from renewable electricity by 2022 (See "Renewable Energy Consumption" in C4.2) and (2) our aim to achieve 20 percent reduction in energy usage by 2022 from a 2012 baseline, on an absolute basis (See "Energy Usage" in C4.2). Translated into carbon terms, these commitments cover 100 percent of our Scope 1 + 2 (market-based) emissions, and they will result in an absolute reduction of more than 90% from our base year 2012 emissions. We consider this a science-based target because it exceeds the 2.1% year-on-year emissions reductions required by CDP as well as the high-end projection of 72% absolute emissions reduction by 2050 from 2010 levels required to stay under 2 degrees Celsius outlined in IPCC Fifth Assessment Report RCP2.6.</t>
  </si>
  <si>
    <t>Abs3 results from two public targets associated with our commitment to achieve carbon neutrality for global operations by 2022. These public targets are (1) our commitment to source 100 percent of global electricity needs from renewable electricity by 2022 (See "Renewable Energy Consumption" in C4.2) and (2) our aim to achieve 20 percent reduction in energy usage by 2022 from a 2012 baseline, on an absolute basis (See "Energy Usage" in C4.2). Translated into carbon terms, these commitments cover 100 percent of our Scope 1 + 2 (market-based) emissions, and they will result in an absolute reduction of more than 90% from our base year 2012 emissions. We consider this a science-based target because it exceeds the 2.1% year-on-year emissions reductions required by CDP as well as the high-end projection of 72% absolute emissions reduction by 2050 from 2010 levels required to stay under 2 degrees Celsius outlined in IPCC Fifth Assessment Report RCP2.6. We are committed to this target over the medium-term (Abs2) and long-term (Abs3).</t>
  </si>
  <si>
    <t>This target covers facilities and vehicles in our scope 1 and 2 footprint. In our owned or operated facilities, we aim to use 100% renewable electricity by the end of FY25 as part of our effort to control absolute emissions. These goals are aligned with the level of mitigation needed to limit average global temperature to a rise of no more than 2°C above the pre-Industrial Revolution average. Linear progress is not expected on this target. Nike committed to SBTs in 2017 and set the scope 1 and 2 SBT in 2019.</t>
  </si>
  <si>
    <t>The target was based off historic chemicals production-related performance over six years to establish a baseline. The target was determined by using a percentage of OxyChem's best performance, using a weighted average.</t>
  </si>
  <si>
    <t>Oracle self-assessed this target to be a mid-term science-based target.</t>
  </si>
  <si>
    <t>Oracle self-assessed this target to be a long-term science-based target. Oracle would achieve a 2.95% average reduction year-over-year in our absolute scope 1 and 2 emissions.</t>
  </si>
  <si>
    <t>Oracle has a goal in place to achieve a 20% reduction in absolute Scope 1 + Scope 2 emissions by 2020 for its real estate and facilities operations, which accounted for 81% of total emissions in the base year (2015). As of 2018, we had achieved this goal.</t>
  </si>
  <si>
    <t>Oracle self-assessed this target to be a medium-term target, the coverage includes Oracle's Scope 3 business travel emissions.</t>
  </si>
  <si>
    <t>PepsiCo announced in 2016 our goal to reduce our absolute emissions across our entire value chain by 20% by 2030 (against a 2015 baseline). This goal has been approved by the Science Based Targets Initiative (SBTi) and is aligned to a 2C pathway. In April 2020, we signed the Business Ambition for 1.5C pledge committing to raise our ambition towards a long-term net zero goal. We are currently actively working on our new target.</t>
  </si>
  <si>
    <t>We have achieved a &gt;20% reduction, however since energy use and GHG emissions were projected to increase slightly in 2020 as a result of production increases, we have decided not to claim goal achievement until the end of the goal period.  Driving operational improvements through capital projects, operational efficiency improvements and transformative efforts (e.g., new manufacturing technology) remains the cornerstone of our focus.</t>
  </si>
  <si>
    <t>Pfizer has an aspirational goal of reducing our GHG footprint 60-80% by 2050 from a 2000 base year.  To achieve this Pfizer sets shorter term goals and has previously achieved two GHG reduction goals (2000-2007 and 2007-2012).  It is our intention to continue this process of setting interim goals that help drive towards this larger goal that aligns with the level of ambition needed to limit global temperature rise.</t>
  </si>
  <si>
    <t>This target covers scope 1 and 2 emissions from owned and operated buildings, factories and fleet. In 2016 we submitted this target and it was approved by the Science Based Target initiative (SBTi) in 2017.In 2019 we achieved 39% reduction versus our 2010 baseline and thus 98% achieved (39%/40%*100=98%). This achievement has been possible thanks to increased energy efficiency in our factories, on-site renewable investments, sourcing power from renewable resources and a program to reduce emissions in our vehicles fleet.</t>
  </si>
  <si>
    <t>This target covers scope 1 and 2 emissions from owned and operated buildings, factories and fleet. In 2016 we submitted this target and it was approved by the Science Based Target initiative (SBTi) in 2017.In 2019 we achieved a 39% reduction versus our 2010 baseline and thus 60% achieved (39%/60%*100=65%). This achievement has been possible thanks to increased energy efficiency in our factories, on-site renewable investments, sourcing power from renewable resources and a program to reduce emissions in our vehicles fleet.</t>
  </si>
  <si>
    <t>This target covers scope 1, 2 and 3 emissions from all operations and our entire value chain. In 2016 we submitted the target that was approved by the Science Based Target initiative in 2017 (SBTi).In 2019 we achieved a 42% reduction versus our 2010 baseline and thus 105% achieved (42%/40%*100=105%). This achievement has been possible thanks to progress in reducing our environmental impact across our value chain: in our factories and fleet where our carbon footprint is relatively small compared to other industries, as well as beyond the factory gates. That includes looking at both our upstream supply chain activities (currently focusing on tobacco farming and direct materials) and downstream, following our product and packaging environmental impacts to end-of-use.</t>
  </si>
  <si>
    <t>The data reflects what was reported in 2019 Sustainability report which reflects fiscal year ended June 30, 2019.    Starting July 1, 2019 we began using 100% renewable electricity in all facilities in the U.S., Canada and Europe.   This allow us to achieve the goal in calendar year 2019.</t>
  </si>
  <si>
    <t>This new goal was announced as part of the company's Ambition 2030 sustainability goals.</t>
  </si>
  <si>
    <t>Qualcomm's base year inventory was calculated prior to The Climate Registry's guidance on market- vs location-based Scope 2 reporting. During the base year Qualcomm did not haveany electricity purchases that would have been considered low carbon but did use supplier specific emission factors where available. Therefore, we consider our 2014 inventory reflective of a Scope 1+2 (market-based) base year.</t>
  </si>
  <si>
    <t>In early FY18, we achieved our target of net-zero Scope 1+2 (market-based) emissions through a combination of internal energy efficiency projects and purchases of renewable energy and carbon offsets. We took this further to deliver our customers a carbon neutral cloud by including indirect emissions (Scope 3) within our data center supply chain, such as the manufacture of servers, production and distribution of energy use at our data centers, and the impact of our customers using Salesforce on their personal devices. We aim to maintain this goal and commitment every year moving forward. Although CDP guidance indicates that this question requests gross emissions which excludes carbon offsets, we have chosen to include offsets as we have met our net-zero target. Although our total Scope 1 + 2 (market based) emissions totaled 140,062 in the reporting year, after reconciliation with our high quality carbon offset purchases the total is 0 emissions.  Therefore we consider this target to be 100% achieved, as reflected in our verification statements (note due to the auto calculate cells, the 100% will not be reflected).Targets Abs2 and Abs3 below are targets that exclude offsets. All years listed are our fiscal years (e.g. FY20 was Feb 1, 2019 – Jan 31, 2020). We feel strongly that carbon credits are a viable way to mitigate our impacts on the climate as we prioritize emissions reductions and avoidance. In FY20 we also set an SBTi-approved science-based target that aligns with 1.5 degree emission reduction trajectory for Scope 1+2 (market-based emissions), reported in Abs 4. We will, however, continue to purchase high quality carbon credits to continually achieve our net-zero goal.</t>
  </si>
  <si>
    <t>Retired</t>
  </si>
  <si>
    <t>This target is a result of our net-zero Scope 1 + 2 target and public commitment to 100% renewable energy, which is to procure electricity from renewable energy resources equivalent to 100% of what we use globally. Although we met our net-zero target in FY19, the growth of our business resulted in an increase in gross emissions and we did not achieve a reduction for this 52% Scope 1 + 2 absolute target when calculated in line with CDP guidance of not factoring in offsets. (To note, the 52% reduction target aligns with the average 2.1% annual reduction requirement by CDP to align with climate science.) All years listed are our fiscal years (e.g. FY19 was Feb 1, 2018 – Jan 31, 2019). In FY20 we set an SBTi-approved science-based target for Scope 1+2 (market-based emissions), which replaced Abs 2, and have therefore retired this goal.</t>
  </si>
  <si>
    <t>This target is a result of our net-zero Scope 1 + 2 target and public commitment to RE100 (100% renewable electricity). Although we met our net-zero target in FY19, the growth of our business resulted in an increase in gross emissions and we did not achieve a reduction for this 27% Scope 1 + 2 absolute target when calculated in line with CDP guidance of not factoring in offsets. (To note, the 27% reduction target aligns with the average 2.1% annual reduction requirement by CDP to align with climate science.) All years listed are our fiscal years (e.g. FY19 was Feb 1, 2018 – Jan 31, 2019). In FY20 we set an SBTi-approved science-based target for Scope 1+2 (market-based emissions), which replaced Abs 3, and have therefore retired this goal.</t>
  </si>
  <si>
    <t>In FY20, we committed to set 1.5°C science-based emissions reduction targets aligned with a zero carbon future.  This is the first year we are reporting our progress against this target. All years listed are our fiscal years (e.g. FY20 was Feb 1, 2019 – Jan 31, 2020). We have retired the CDP-aligned targets Abs2 and Abs3 as they are now addressed by this new and more ambitious SBTi-approved target.</t>
  </si>
  <si>
    <t>Scope 3: Fuel and energy-related activities (not included in Scopes 1 or 2)</t>
  </si>
  <si>
    <t>This is a new target, FY21 will be the first year where we report progress towards this goal.  We are reporting on location-based fuel and energy related activities (FERA) for this year's target reporting. However, moving forward, we may change our approach to reflect market-based results to track progress against our target (similar to using Scope 2 MB to track against targets). This year, we start reporting market based FERA emissions in Section C6.5 to reflect the emission reduction impact of our procured renewable energy.</t>
  </si>
  <si>
    <t>Simon Property Group commits to reduce absolute Scope 1 &amp; 2 GHG emissions 68% by 2035 from a 2019 base year.</t>
  </si>
  <si>
    <t>Simon has reached the target that was established and is currently working on setting a new target.</t>
  </si>
  <si>
    <t>By 2030, Target will reduce its absolute Scope 1 and 2 greenhouse gas emissions by 30% percent below 2017 levels.  In 2017, Target's Scope 1 and 2 GHG emissions were 2,567,880 mt CO2e (market-based).  Target restated the 2017 baseline Scope 1 and 2 inventory in 2020 due to a corrected chilled water and steam billing error. Target received approval of our Scope 1, 2, and 3 Climate goals by SBTi in January of 2019.</t>
  </si>
  <si>
    <t>Other, please specify: Scope 3: Retail Purchased goods &amp; services</t>
  </si>
  <si>
    <t>By 2030, Target will reduce its absolute Scope 3 Retail Purchased goods &amp; services greenhouse gas emissions by 30% percent below 2017 levels.   Target also commits that 80% of its suppliers by spend covering all purchased goods and services will set science-based scope 1 and scope 2 targets by 2023. Target received approval of our Scope 1, 2, and 3 Climate goals by SBTi in January of 2019.</t>
  </si>
  <si>
    <t>TI has implemented several planned projects throughout the last 5 years, designed to achieve the absolute target by the end of 2020. Most of these projects are capital expenditure intensive and require some time to implement, and therefore it has taken some time to see the effects of the planned GHG reductions. The impact of these projects has become more evident as the project implementations have come to a close. Due to the capital expenditure involved, equipment was installed on a planned implementation schedule per quarter over the last 4 years. In 2019, we realized a significant decrease in absolute emissions due to our emissions reduction strategies. When normalizing our emissions on a per chip basis we were able to achieve close to 5.8% GHG emission reductions in 2019, which is indicative of  the effectiveness our GHG management and energy efficiency programs.</t>
  </si>
  <si>
    <t>Reduce energy use at owned facilities 20% by 2020. Percentages are calculated based on changes in energy consumption (btu) over time and therefore differ from changes in emissions over time. Note, base year emissions have been adjusted to reflect structural changes. This target was achieved in 2014 and is maintained each year. We anticipate a continued reduction in our real estate footprint as our remote workforce increases.As we explore setting new targets for our Scope 1 and 2 emissions, we are considering options for developing targets based on climate science, with guidance from the Science-Based Targets Initiative (SBTi). This process is underway and is expected to continue through the remainder of 2020.</t>
  </si>
  <si>
    <t>We continue to evaluate and make changes in our operations and throughout the Coca-Cola system value chain to reduce our climate impact. This target is a Coca-Cola System level target, including The Coca-Cola Company and its bottling partners. The target brings our diverse sustainability initiatives under one goal to reduce the carbon footprint across the Coca-Cola system's full value chain by 25% by 2030, in absolute terms. Progress toward reducing the greenhouse gas emissions across our manufacturing processes, packaging formats, delivery fleet, refrigeration equipment and ingredient sourcing has been measured under an intensity target (target Int 1) from 2010 to 2020. This target, recently made public in 2019, is a Science-Based Target, and an absolute reduction target in line with a well-below 2C global average temperature rise scenario. Due to the nature of our franchise bottling system, in this CDP response, our manufacturing emissions are normally split between Scopes 1 and 2 for company-owned facilities and Scope 3 for bottling partner facilities. However, in our ''drink in your hand” (intensity target) calculations, as well as this absolute reduction target, we consider the full Coca-Cola system (including franchise bottling partners) in the calculation of our manufacturing, distribution and refrigeration emissions.</t>
  </si>
  <si>
    <t>The current absolute target is to maintain emissions of all GHGs below 2006 level through 2025. Dow has remained below this target. Though we will grow globally over the next 10 years, Dow's absolute greenhouse gas emissions will not exceed our 2006 baseline.  Dow's greenhouse gas intensity (lbs of CO2 per lb of product) has reduced by 17% since 2006.Though not set in the reporting year, Dow recently announced a new set of carbon reduction targets that will be included in next year's report:o	By 2030, Dow will reduce our net annual carbon emissions by 5 million metric tons versus our 2020 baseline (15% reduction).  By 2050, Dow intends to be carbon neutral (Scopes 1 + 2 + 3 plus product benefits).With respect to the question as to whether or not our existing target is science-based, we have selected ‘No, but we anticipate setting one in the next two years', as the reduction of 5 million metric tons by 2030 meets the absolute reduction target for a 2°C pathway.</t>
  </si>
  <si>
    <t>This reflects a store total energy use reduction of 20% by 2020.  The Home Depot has reduced our absolute Scope 1 + Scope 2 (location-based) emissions by 37%, exceeding our goal of a 20% reduction from 2010 to 2020.</t>
  </si>
  <si>
    <t>This reflects an annual 2.1% emissions reduction from our base year, with a medium-term timeframe for the target of 12 years (from our start year) in accordance with CDP criteria. The Home Depot has reduced our absolute Scope 1 + Scope 2 (location-based) emissions by 36% between 2011 and 2019 (4.4% annual reduction), exceeding the necessary 2.1% annual reduction. We consider this to be a science-based target as when the target was set, SBTi's guidance notes that per IPCC AR5 RCP 2.6, the minimum reduction required is 49% absolute emissions reduction from 2010 to 2050. This translates to a linear 1.23% reduction per year on average, which The Home Depot target exceeds.  We will continue to explore targets that are in alignment with SBTi's new criteria that the minimum reduction required for targets in line with well-below 2°C scenarios is 2.5% in annual linear terms.</t>
  </si>
  <si>
    <t>This reflects an annual 2.1% emissions reduction from our base year, with a long-term timeframe for the target of 17 years (from the start year) in accordance with CDP criteria. The Home Depot has reduced our absolute Scope 1 + Scope 2 (location-based) emissions by 36% between 2011 and 2019 (4.4% annual reduction), exceeding the necessary 2.1% annual reduction. We consider this to be a science-based target as when the target was set, SBTi's guidance notes that per IPCC AR5 RCP 2.6, the minimum reduction required is 49% absolute emissions reduction from 2010 to 2050. This translates to a linear 1.23% reduction per year on average, which The Home Depot target exceeds.  We will continue to explore targets that are in alignment with SBTi's new criteria that the minimum reduction required for targets in line with well-below 2°C scenarios is 2.5% in annual linear terms.</t>
  </si>
  <si>
    <t>Business activity</t>
  </si>
  <si>
    <t>In 2018, we set emission reduction goals that were aligned with strategies designed to address the long-term reduction of carbon emissions and our commitment to a leadership role in developing solutions that make technological and economic sense. The goals established in 2018 were to reduce GHG emissions by 50% (from 2007 levels) by 2030 and to achieve low-to-no GHG emissions by 2050. These are enterprise-wide goals that encompass the Scope 1 emissions from our electric and natural gas operations. In 2020, we revised our long-term goal to achieve  net zero GHG emissions by 2050.The goals are informed by the results of our integrated resource plans, which are designed to plan for an appropriate mix of generation resources to meet energy and capacity needs at a reasonable cost for our customers.  These goals are also consistent with actions needed to potentially limit the global average temperature rise to less than 1.5 degrees Celsius above pre-industrial times--see EPRI's ''Grounding Decisions: A scientific foundation for companies considering global climate scenarios and greenhouse gas goals” and ''Review of 1.5°C and Other Newer Global Emissions Scenarios: Insights for Company and Financial Climate Low-Carbon Transition Risk Assessment and Greenhouse Goal Setting” reports. Southern Company will continue to use a portfolio approach as we seek to decarbonize.  We expect our path to net zero to be comprised of several key elements: continued coal transition, utilization of natural gas to enable the fleet transition, further growth in our portfolio of zero-carbon resources, negative carbon solutions, enhanced energy efficiency initiatives and continued investment in R&amp;D focused on clean energy technologies. Our approach is driven by thoughtful scenario planning, long-term integrated resources plans, and constructive regulatory decisions-making.  We are also engaging with policymakers, customers and other stakeholders to support outcomes that lead to a net zero future.</t>
  </si>
  <si>
    <t>We followed CDP recommendations to set two targets, one pre-2035 and one post-2035.  We also followed the CDP guidance for targets to align with the science-based target framework since our industry does not qualify for science-based target certification.</t>
  </si>
  <si>
    <t>Other, please specify: U.S. Administrative Portfolio, U.S. Large Pharmaceutical Sites and directly managed international sites</t>
  </si>
  <si>
    <t>In 2019, a new multi-year goal to reduce 2017 Scope 1 and Scope 2 (Market-Based) GHG emission by 3% by the end of 2023 (for our U.S. Administrative Portfolio, U.S. Large Pharmaceutical Sites and directly managed international sites) has been established.</t>
  </si>
  <si>
    <t>We have established a goal to reduce absolute GHG emissions 12 percent by 2025 throughout our global ground operations. This goal builds on our ongoing efforts to achieve a 20 percent reduction in GHG intensity by 2020, which we will continue to measure and report. The use of renewable energy will be critical to reaching this absolute emissions reduction target. We engaged with leading environmental organizations and other stakeholders to establish a meaningful target using the science-based methodology most appropriate for our business. This  goal will advance our commitment to alternative fuels and technologies. This goal currently does not include our airline fuel usage because of the economic and commercial availability limitations of aviation bio-fuel.</t>
  </si>
  <si>
    <t>Verizon has committed to going carbon neutral for our scope 1 and 2 operational emissions by 2035.</t>
  </si>
  <si>
    <t>Scope 2 (location-based)</t>
  </si>
  <si>
    <t>By 2025, Verizon will source or generate renewable energy equivalent to 50% of our total electricity usage.</t>
  </si>
  <si>
    <t>Approved by the Science Based Targets initiative in October and announced publicly in November 2016. Approved goal language is as follows: Walmart commits to reduce its absolute scope 1 and 2 emissions 18% by 2025, from 2015 levels. Walmart will also work to reduce CO2e emissions from upstream and downstream scope 3 sources by one billion metric tons between 2015 and 2030. On an adjusted basis, between 2015 calendar year baseline and 2019, Walmart reduced its absolute Scope 1 and 2 emissions by 10.15%, equivalent to 1.98 million metric tons of CO2e.  Several factors contributed to this reduction. These include, but are not limited to, reductions in electricity and transport fuel related emissions as a result of investments in energy efficiency projects, renewable energy sourcing and fleet efficiency strategies.</t>
  </si>
  <si>
    <t>Approved by the Science Based Targets initiative in October and announced publicly in November 2016. Approved goal language is as follows: Walmart commits to reduce its absolute scope 1 and 2 emissions 18% by 2025, from 2015 levels. Walmart will also work to reduce CO2e emissions from upstream and downstream scope 3 sources by one billion metric tons between 2015 and 2030. This target is often referred to our Walmart's Gigaton Goal. Walmart launched Project Gigaton in April of 2017 to engage suppliers to commit to emissions reductions across pillars including energy, waste, packaging, deforestation and product use. Collectively, these actions can help us to achieve our science-based emissions target and to reduce or avoid emissions throughout our value chain by 1 billion metric tons by 2030. Since its launch three years ago, over 2,300 Walmart suppliers from 40 countries have signed up to participate in Project Gigaton.  Suppliers reported cumulative avoided emissions of over 230 million metric tons of GHG emissions (calculated in accordance with Walmart's Project Gigaton Methodology.</t>
  </si>
  <si>
    <t>Our greenhouse gas target is by 2020, reduce net emissions by 50% compared to total gross emissions in 2012. In 2019, Disney reduced its GHG emissions by 47% below 2012 gross emissions levels. Covered emissions in base year are gross emissions (business as usual). Covered emissions in reporting year are net emissions inclusive of all investments in emissions reductions, including third party carbon credits.  Emissions are measured and reported based on the company's fiscal year.</t>
  </si>
  <si>
    <t>Note that the Scope 3 component of our goal only includes air travel from Scope 3: Business travel. We surpassed our 2020 goal in 2019 by reducing our emissions 51.8% compared to the base year.</t>
  </si>
  <si>
    <t>Energy efficiency improvements help address rising energy use, costs, and climate impacts.  3M reviews its Strategic Energy Management Plan annually to prioritize programs and meet global goals. The plan uses input from stakeholders, including manufacturing directors, plant managers, operations employees, and executive management. Goals of the plan include: continuously improve results, leverage engineering expertise and advances, drive facility-level efficiency improvements, maintain top management support and protect 3M's reputation.3M has taken a broad approach to managing our energy footprint, which includes evaluating the impact of our products, manufacturing processes, equipment, and sites as well as reducing the energy footprint of our existing manufacturing and administrative sites. In addition, we actively share information about our energy management program with external stakeholders, such as suppliers, customers, and other interested organizations.Since 2005, 3M has reduced our total energy usage, indexed to net sales, by 31.3%.</t>
  </si>
  <si>
    <t>All environmental data have been adjusted to account for acquisitions and divestitures, in accordance with the methodology prescribed in the World Resources Institute/World Business Council for Sustainable Development (WRI/WBCSD) Greenhouse Gas Protocol (GHGP). We report data from acquisitions as soon as practical. To that end, these data include the acquisitions of Glomed, St. Jude Medical and Alere, Inc. Furthermore, these data reflect the divestiture of Abbott Medical Optics.Our 2020 carbon emission reduction target to reduce our Scope 1 and 2 emissions by 40 percent against 2010 levels, adjusted for sales, is evidence of our commitment to address and reduce emissions. Abbott has tracked progress towards our 2020 carbon goal utilizing the World Resources Institute/World Business Council for Sustainable Development (WRI/WBCSD) Greenhouse Gas Protocol (GHGP) since the goals implementation in 2012. In 2019, we achieved a 43 percent reduction, adjusted for sales since 2010. Scope 1 and 2 emissions were calculated using the World Resources Council (WRI) Greenhouse Gas Protocol (GHGP). To calculate our Scope 2 emissions, we use the GHGP market-based methodology. Where market-based information is not available, location-based results have been used as proxy. We have reported the results of the location- and market-based methodologies in both the text and metrics sections of our Global Sustainability Reports since 2015. In our 2019 Global Sustainability Report, these metrics can be found on pages 103 to 124.</t>
  </si>
  <si>
    <t>Yes, this target has been approved as science-based by the Science Based Targets initiative</t>
  </si>
  <si>
    <t>Int1 is our verified SBTi goal for reducing Scope 3 emissions business travel.  Adobe will strive to reduce scope 3 business travel emissions per employee by 5% by 2025 from 2015 levels. Regarding our scope 3 business travel to reduce emissions per employee by 5% from 2015 to 2025, Adobe has experienced strong business growth since 2015 (+133% Revenues, +64% FTE) and therefore travel growth. As a result, our emissions per employee intensity goal would allow us to focus on reducing travel per employee while still allowing for business growth. Looking at our growth projection, we determined that a 5% reduction in normalized emissions per passenger was an aggressive target that over the long term would be challenging to achieve.  Although IEA models predict that per-mile air travel emission factors will decrease due to reduced carbon intensity, we are not relying on emission factor reductions to achieve our goal. Rather, the way we worked to achieve this goal is to focus on reducing business travel and the resulting airline miles traveled per employee.   Important to note:  in 2019 we are using new methodologies for calculating our business air travel to account for "Radiative Forcing".  In doing so, we believe we are much more accurately attempting to address true emissions from air travel, report it more transparently, and reduce it more aggressively.  This has, however, raised our 2019 numbers to ~2.5x what they were 2015-2018, and given a "% of target" outcome this is a meaningful comparison.  For 2019, we met and exceeded our Scope 3 Science-Based Target but it is important to note that in 2019 we worked to raise the ambition and in 2020 our new goal will be an absolute 30% reduction in Business Travel emissions by 2025.  Since the existing verified SBT is an intensity goal and the new one will be absolute and verified by the SBTi, this goal will be retired and replaced with the new verified target in 2020.</t>
  </si>
  <si>
    <t>Int2 is our verified SBTi goal for reducing Scope 3 emissions from FERA sources.  Adobe's science-based target to reduce greenhouse gas emissions includes a goal to reduce our Scope 3 Fuel and Energy-Related Emissions per square foot by 15% by 2025 from our 2015 baseline:  year-to-year change = (0.003026-0.003574)/0.003574 = .15, or 15%. During FY19, Adobe made significant progress against this goal as we have achieved 102% of our 15% targeted reduction.  While this is an SBTi verified Scope 3 emissions goal, we do not believe it is a useful goal in addressing climate change, Adobe's commitment to becoming a zero-carbon business, or in pushing ourselves and others in taking meaningful action -- FERA emissions are approximately 3% of our total Scope 3 emissions. We chose this goal as we were an early adopter in addressing Science-Based Targets. In 2020 this goal will be retired and replaced with a Scope 3 Purchased Goods &amp; Services (PG&amp;S) goal that will better address over 66% of our Scope 3 emissions.</t>
  </si>
  <si>
    <t>As an original participant in the 2013 NYC Carbon Challenge, AIG committed to reduce the carbon emissions associated with its NYC operations by 30 percent from 2011 levels within 10 years, or by 2023. As of December 31, 2019, AIG met and exceeded the target commitment four years early by reducing scope 2 emissions by 40%, ten percentage points above the target.</t>
  </si>
  <si>
    <t>Other, please specify: Other: Estimated customer-related carbon emissions reductions as a result of AT&amp;T connectivity</t>
  </si>
  <si>
    <t>We have set a goal to enable customer carbon savings 10x the carbon footprint of our operations. This goal demonstrates our commitment to addressing climate change. It combines our efforts to reduce our operational emissions (Scopes 1 and 2) with our efforts to develop  technology solutions that can help our customers reduce their emissions. This goal compares our scope 1 &amp; 2 GHG inventory to the technology-enabled GHG reductions realized by our customers each year. This goal was set in 2015 and we compare these emissions numbers each year as we progress toward the target year of 2025. We reported progress in 2018 and plan to do so again in 2020.</t>
  </si>
  <si>
    <t>Site/facility</t>
  </si>
  <si>
    <t>To date we have exceeded the goal. We achieved this reduction by 2015 by relocating our data centers, however, we have committed to staying in the Mayor's Carbon Challenge through 2023 understanding that our headcount and building needs might change as market positions and business growth strategy evolves. We also continue to find ways to reduce energy, including the implementation of Nantum sensor technology to reduce electricity, re-organization of seating and LED lighting retrofits. We have reduced Scope 2 emissions per employee in NYC by 73% as of 2019.</t>
  </si>
  <si>
    <t>BlackRock has committed to reducing facility location-based GHG emissions (electricity, stationary combustion, and refrigerants) per FTE employee 45% by 2020.</t>
  </si>
  <si>
    <t>BlackRock has committed to reducing air travel GHG emissions per FTE employee 20% by 2020.  We exceeded that target by reducing air travel emissions per FTE by 32%.</t>
  </si>
  <si>
    <t>We have a long-term target to reduce our GHG emissions intensity from five to 15% by 2030 from a Jan. 1, 2017 baseline. The target will support innovation on efficiency and emissions reduction, GHG regulatory risk mitigation and climate-related risk management throughout the lifecycles of our assets.The target informs climate goals at the business level. Our performance will be based on gross operated GHG emissions, stated in carbon dioxide-equivalent terms, divided by our gross operated production, stated in barrels of oil equivalent. The target is set in relation to our scope 1 emissions and scope 2 gross operated emissions as these are the emissions over which we have the most control. The target covers all GHGs, but in practice will likely apply to carbon dioxide and methane emissions as our emissions of other greenhouse gases are a small fraction of the total. For comparability purposes we exclude exploration and transportation services (i.e. Polar Tankers and Global Aviation) which are not directly related to oil or gas production, from our emissions totals. This may give rise to small differences between the intensity we report for our GHG target purposes and the intensity we report in our annual Sustainability Report. Our current metrics also do not include the use of carbon offsets. We report our progress against the target on an annual, calendar-year basis.  We intend to review and adjust our performance target at least every five years.Science-Based Targets require us to include Scope 3 emissions. For E&amp;P companies, the emissions from use of sold products is not in the scope of our control and leads tosignificant double-counting.</t>
  </si>
  <si>
    <t>Other, please specify: Facility energy scope 1 + 2 (location-based) emissions</t>
  </si>
  <si>
    <t>Our goal is a 20% reduction of facility energy GHG emissions (Scope 1 onsite fuel combustion and location-based Scope 2) per square foot by the end of 2020, with 2012 as the base year. Our 2019 performance was 34.8 metric tonnes CO2e per 1000 square feet. This is a 16% reduction from base year performance (or 80% progress toward the 20% reduction target).  The base year emissions and area are adjusted to account for acquisitions, divestitures, updated factors, reporting boundary changes, and changes in estimation methodology. Any significant changes to the calculation methods or the factors must be agreed to by the Lilly Corporate Energy Management Team before implementation.</t>
  </si>
  <si>
    <t>Other, please specify: Pounds of CO2 per available-ton-mile</t>
  </si>
  <si>
    <t>We have been working to reduce aircraft emissions since 2005, our baseline year, and announced our first reduction goal of 20% by 2020 in 2008. Three years later, in 2011, we revised this target upwards to 30%.This target was reported to CDP in 2017 and its progress is being reported again against the same target in 2019.Since 2005, our aircraft emissions intensity has decreased by more than 24 percent. However, as we have previously reported, our progress is falling short of the overall improvements needed to meet our revised 30% reduction goal. Continued higher e-commerce and other shipping volumes, and the need to maintain older aircraft marked for retirement while we await production of more efficient replacements, have presented ongoing challenges toward our goal.</t>
  </si>
  <si>
    <t>Grams CO2e per revenue passenger kilometer</t>
  </si>
  <si>
    <t>We previously had an internal 2°C planning target for light-duty vehicles sold in the U.S., EU.  We consider this a science-based target, but it was not approved as science-based by the Science Based Targets initiative.   As part of our regular 5-year review cadence, we are updating to a well-below 2°C target, to align with recent climate science recommendations.  We plan to set targets using the Science Based Targets Initiative guidance and submit for SBTi approval.</t>
  </si>
  <si>
    <t>Overall, Honeywell's sustainability program has reduced greenhouse gas intensity by more than 90%. In 2019, the Company set its fourth goal, a new five-year ''10-10-10” target to reduce global greenhouse gas emissions by an additional 10%, indexed to revenue, from 2018 levels; to deploy on at least 10 renewable energy opportunities; and to achieve certification to ISO's 50001 Energy Management Standard at 10 facilities, all by 2024.</t>
  </si>
  <si>
    <t>Metric tons CO2e per unit of production</t>
  </si>
  <si>
    <t>Our target has been focused on reducing direct GHG emissions by 10% on a per production unit basis by 2020 from 2010 levels. Through the end of 2019, we reduced our direct GHG emissions by 39% on a per unit, or ''intensity” basis from 2010 levels, significantly exceeding our 2020 target. The intensity metric is a normalized production index based on the number of die produced and made available for sale. Although this target is not an approved science-based target, through the achievement of this direct GHG intensity-based target, along with Scope 2 emissions reductions achieved through our renewable energy and energy conservation programs, we have maintained combined Scope 1 and 2 emissions below the science-based 2 degrees Celsius pathway through 2019 based on a year 2000 baseline. We have tracked our Scope 1 and 2 emissions against science-based carbon targets from a baseline year of 2000 for many years, as reported annually in our Corporate Responsibility report.The anticipated change in Scope 1 &amp; 2 emissions is based on comparison of combined Scope 1 &amp; 2 emissions in the reporting year against that in the base year because the target was based fully on an intensity metric, without a specified absolute target, and the reporting year represents the close-out/target year for this goal. While absolute Scope 1 and 2 emissions increased 19% between 2010 and the end of 2019, Intel experienced significant growth over this time (&gt;100% increase in manufacturing output), illustrating that this target facilitated substantial increases in efficiencyWe have set a new 2030 target to drive an additional 10% reduction in our absolute Scope 1 and 2 carbon emissions as we grow. We track our carbon emissions against science-based carbon targets and our new climate goals are informed by climate science. However, due to our (and our industry's) early actions to reduce absolute emissions and the continued growth of demand for semiconductors, it remains challenging to gain formal approval for a target under the existing methodology of the Science-Based Targets Initiative. We see an opportunity to work with our industry and stakeholders to identify innovative approaches to reduce emissions. The ultimate goal is to expand the number of companies in our sector (as well as other manufacturing industries) setting approved science-based targets.</t>
  </si>
  <si>
    <t>Other, please specify: Other, please specify: All emissions from purchased beef, dairy, cheese, chicken and packaging products and transportation/distribution</t>
  </si>
  <si>
    <t>Through collaboration and partnership with our suppliers and producers, the Company also commits to a 31% reduction in emissions intensity (per metric ton of food and packaging) across our supply chain by 2030 from 2015 levels. Our target includes all emissions from purchased food, beverage and packaging products sold to customers.We have developed a system to take the best available data sources across the range of commodities and markets in which McDonald's operates and sources from worldwide.We are pleased to report our supply chain emissions intensity has reduced between our baseline in 2015 and the 2019 reporting year.We continue to communicate the importance of taking positive action on climate to our suppliers and we are confident that the Company has the right strategy in place in partnership with our suppliers to accelerate progress in the years ahead. We are seeing an increase in the number of our suppliers setting climate targets and implementing strategies to reduce emissions intensity that are tailored to and relevant for their own supply chains. We work with CDP to encourage over 100 of our key global suppliers across our largest categories of emissions to set targets, measure emissions, make reductions, and report progress to CDP.These figures reflect our current 2015 and 2019 emissions estimates, which have been calculated based on best practice guidance on leveraging the latest methodology and data available. As we continue to enhance our methodology and data quality in future years, we can expect the baseline and annual progress figures to further adjust in future reporting cycles.</t>
  </si>
  <si>
    <t>The GHG reduction goal of 15% normalized to revenue is set for 2020. Medtronic is planning it's new set of long term environmental goals and will be communicated externally in the FY20 Medtronic Integrated Performance Report that should be published by November of 2020% change anticipated in  absolute scope 1&amp;2 emissions from FY13 base year to FY2020 is stated above. Although no scope 3 emission targets have been established, the direction and % change anticipated in absolute scope 3 emissions is estimated to be approximately the same as that identified for scope 1&amp;2 emissions.</t>
  </si>
  <si>
    <t>Other, please specify: Key operations represent finished goods manufacturing, inbound and outbound logistics, DCs, HQs, and NIKE-owned retail.</t>
  </si>
  <si>
    <t>This target covers key operations (finished goods manufacturing, inbound and outbound logistics, distribution centers, headquarter locations, and NIKE-owned retail).</t>
  </si>
  <si>
    <t>Scope 3 (upstream)</t>
  </si>
  <si>
    <t>Other, please specify: metric tonnes CO2e/kg in materials dyeing/finishing</t>
  </si>
  <si>
    <t>Other, please specify: Tier 2 focus suppliers only (Textile Dyeing and Finishing)</t>
  </si>
  <si>
    <t>Measure includes focus suppliers only. Focus suppliers represent key suppliers involved in the dyeing and/or finishing of materials which directly support finished product assembly.</t>
  </si>
  <si>
    <t>Other, please specify: Metric tonnes CO2e per Headcount</t>
  </si>
  <si>
    <t>The target was set during our fiscal year 2015. The baseline for our goal is our fiscal year 2014 (Jan 28, 2013 to Jan 26, 2014). Our target year aligns with our fiscal year 2020. Our intensity target is based on headcount, which includes seated contractors rather than just full time employees (FTE), as we feel that it better represents the number of people using our operational sites.</t>
  </si>
  <si>
    <t>As a member company of the Oil and Gas Climate Initiative (OGCI), Occidental is committed to reducing our upstream oil and gas production related GHG emissions (CO2 + methane). The target represents a reduction of between 36 and 52 million tonnes of CO2e per year by 2025. This carbon intensity target is intended to reduce the collective average carbon intensity of OGCI member companies' aggregated upstream oil and gas operations to between 20 kg and 21 kg CO2e/boe by 2025, from a collective baseline of 23 kg CO2e/boe in 2017. The range is consistent with the reduction needed across the oil and gas industry by 2025 to support the Paris Agreement goals.</t>
  </si>
  <si>
    <t>As a member company of the OGCI, Occidental is committed to reducing our methane emissions. This methane intensity target is intended to reduce by 2025 the collective average methane intensity of its aggregated upstream gas and oil operations by one-fifth to below 0.25%, with the ambition to achieve 0.2%. Achieving the intensity target of 0.25% by the end of 2025 would reduce collective emissions by 350,000 tonnes/year of methane, compared with the baseline of 0.32% in 2017. The target aims to be consistent with the reduction needed to support the Paris Agreement goals.</t>
  </si>
  <si>
    <t>This target was established using historical production-related data to set the baseline.  The target was determined by using a percentage of our best performance, using a weighted average.  The data is from emission factors from scientific, peer-reviewed sources. However, we do not follow the Science-based Target Initiative.</t>
  </si>
  <si>
    <t>Oracle has a goal to achieve a 55% reduction in emissions per unit of energy consumed by 2025 (base year 2015).</t>
  </si>
  <si>
    <t>Scope 1+2 (market-based) + 3 (upstream and downstream)</t>
  </si>
  <si>
    <t>Other, please specify: kg CO2e per million cigarette equivalent sold</t>
  </si>
  <si>
    <t>This target covers scope 1, 2 and 3 emissions from all operations and our full value chain per million of cigarette equivalent sold. From 2018 onwards we are reporting energy intensity based on sold units of equivalent cigarettes (versus produced units of cigarettes equivalent previously).In 2019 we achieved a 32% reduction versus our 2010 baseline (8,706 kg CO2 per million of equivalent cigarettes sold) and thus 106% achieved (32%/30%*100=106%). This achievement has been possible due to progress in reducing our environmental impact across our value chain: in our factories and fleet where our carbon footprint is relatively small compared to other industries, as well asbeyond the factory gates. That includes looking at both our upstream supply chain activities (currently focusing on tobacco farming and direct materials) and downstream, following our product and packaging environmental impacts to end-of-use.% change anticipated in absolute scope 1+2 and scope 3 emissions are dependent on 2020 production volumes and ratio between conventional cigarettes vs smoke-free products, that is rapidly changing due to the growth of our smoke-free products. The % anticipated change in emissions in scopes 1, 2 and 3 have been calculated based on achieved reductions in 2019, which exceeds the original 2020 intensity target, and we expect to further improve this reduction by 2020.</t>
  </si>
  <si>
    <t>Other, please specify: Grams CO2e per liter of beverage sold</t>
  </si>
  <si>
    <t>We continue to evaluate and make changes in our operations and throughout the Coca-Cola system value chain to reduce our climate impact. This target is a Coca-Cola System level target, including The Coca-Cola Company and its bottling partners. The target brings our diverse sustainability initiatives under one goal to reduce the carbon footprint of the "drink in your hand” by 25 percent by 2020. Progress toward reducing the greenhouse gas emissions across our manufacturing processes, packaging formats, delivery fleet, refrigeration equipment and ingredient sourcing is now being measured toward the ''drink in your hand” goal.The calculation of progress toward our ''drink in your hand” goal has been internally vetted using accepted and relevant scientific and technical methodologies, which are aligned with GHG Protocol scopes 1, 2 and 3. Due to the nature of our franchise bottling system, in this CDP response, our manufacturing emissions are normally split between Scopes 1 and 2 for company-owned facilities and Scope 3 for bottling partner facilities. However, in our ''drink in your hand” calculations, we consider the full Coca-Cola system (including franchise bottling partners) in the calculation of our manufacturing, distribution and refrigeration emissions.</t>
  </si>
  <si>
    <t>We are currently going through the process of re-evaluating our base year data and that of other years. We will  communicate any changes to our previously reported normalized base year emission values in next year's Climate survey disclosure cycle.</t>
  </si>
  <si>
    <t>Other, please specify: Mass MTCO2e per 1000 gross ton mile</t>
  </si>
  <si>
    <t>Union Pacific is committed to reducing  locomotive fuel consumption by 1.5% between 2018 and 2020, as measured on a gross ton-miles basis, which would result in a greenhouse gas emissions reduction of 0.5% for locomotive emissions annually. In 2019, Union Pacific decreased its fuel consumption rate, measured in gallons of fuel per thousand gross ton miles, by 2% as compared to 2018. While this intensity has decreased since 2018, it has increased slightly over 2017, meaning progress from the base year has not yet been made. In 2019, Union Pacific increased fuel combustion by 3% from 2017 due to heavy congestion across the system for much of the year. Normalized base year target emissions are locomotive emissions per thousand gross ton-miles. These include emissions from Alton &amp; Southern Railway, a wholly owned subsidiary of Union Pacific. The fuel initiatives group will continue to evaluate Union Pacific's fuel consumption goal while adjusting to changing market conditions. Union Pacific has committed to setting science-based targets within the next two years that will help the company determine what further actions are necessary to reduce GHG emissions to support the goals outlined by the Paris Agreement.</t>
  </si>
  <si>
    <t>Other, please specify: Lbs of CO2e per unit of service provided</t>
  </si>
  <si>
    <t>The UPS Transportation Intensity Index (TII) combines three separate carbon intensity ratios from our largest business operations: U.S. Package Operations, UPS Airlines and U.S. Supply Chain &amp; Freight.  We assign each ratio a percentage weight within the Transportation Intensity Index, to make them proportional to the emissions their respective components actually generate.  UPS's goal is a 20% reduction in the TII from the baseline by 2020.</t>
  </si>
  <si>
    <t>Other, please specify: Lbs. of CO2 per Available Ton-mile</t>
  </si>
  <si>
    <t>Base year CO2/ATM = 1.54 (as measured in nautical miles) Target year CO2/ATM = 1.24.   The base year emissions (6,044,000) is calculated in CO2e for the purpose of the CDP.  The  actual metric as measured by UPS is pounds of CO2.</t>
  </si>
  <si>
    <t>Other, please specify: MT CO2e per Terabyte of Data</t>
  </si>
  <si>
    <t>During 2016 we reached our goal by achieving a 54% reduction to our baseline intensity.As demand for data continues to grow, so do the energy demands upon our network, while we are continuing to drive energy and carbon efficiencies throughout our organization, we expect our ability to reduce our absolute carbon emissions to be more challenging year on year.</t>
  </si>
  <si>
    <t>During 2019, we achieved our 2025 carbon intensity goal with a 53% reduction in CO2e per terabyte of data. After 2019, we will be retiring our intensity target in favor of operational carbon neutrality and 50% renewable energy goals.</t>
  </si>
  <si>
    <t>Walgreens is supporting this commitment through improved heating, ventilation, air conditioning and refrigeration efficiency, conversions to LED lighting and using data to pinpoint areas for improvement. The Walgreens Intensity Target 1 has been calibrated to conform to the energy intensity reduction goal, which was disclosed as part of Walgreens commitment to the U.S. Department of Energy Better Buildings Challenge. As of August 31, 2019, Walgreens intensity metric improved by 16 percent, which is equivalent to a 81 percent completion of the emissions metric objective of the goal. Considering the 10-year time frame of the intensity goal in the Better Buildings Challenge commitment, Walgreens anticipates that the net effects of energy management initiatives will drive emissions to decline, or otherwise approximate the magnitude of base year emissions. The goal expresses that normalized emissions will decline relative to the organic growth of Walgreens through construction of new facilities and acquisitions. The target covers less than 100 percent of emissions, as it applies only to Walgreens, the largest business unit of WBA.</t>
  </si>
  <si>
    <t>company_id
Scope3 targets
Criteria 7</t>
  </si>
  <si>
    <t>company_id
Scope3 targets
Criteria 8</t>
  </si>
  <si>
    <t>Period</t>
  </si>
  <si>
    <t>Net earnings</t>
  </si>
  <si>
    <t>gross_total_scope1</t>
  </si>
  <si>
    <t>gross_loc_scope2</t>
  </si>
  <si>
    <t>gross_mkt_scope2</t>
  </si>
  <si>
    <t>gross_purchgs_scope3</t>
  </si>
  <si>
    <t>gross_capgoods_scope3</t>
  </si>
  <si>
    <t>gross_fuelener_scope3</t>
  </si>
  <si>
    <t>gross_uptransdis_scope3</t>
  </si>
  <si>
    <t>gross_waste_scope3</t>
  </si>
  <si>
    <t>gross_bustravel_scope3</t>
  </si>
  <si>
    <t>gross_empcommut_scope3</t>
  </si>
  <si>
    <t>gross_upleasedassets_scope3</t>
  </si>
  <si>
    <t>gross_downtransdis_scope3</t>
  </si>
  <si>
    <t>gross_procsoldprod_scope3</t>
  </si>
  <si>
    <t>gross_usesoldprod_scope3</t>
  </si>
  <si>
    <t>gross_eoltreat_scope3</t>
  </si>
  <si>
    <t>gross_downleasedassets_scope3</t>
  </si>
  <si>
    <t>gross_franch_scope3</t>
  </si>
  <si>
    <t>gross_inv_scope3</t>
  </si>
  <si>
    <t>gross_upother_scope3</t>
  </si>
  <si>
    <t>gross_downother_scope3</t>
  </si>
  <si>
    <t>gross_total_scope3</t>
  </si>
  <si>
    <t>gross_scope2_calc</t>
  </si>
  <si>
    <t>total_scope</t>
  </si>
  <si>
    <t>scope1_start_date</t>
  </si>
  <si>
    <t>scope_1_end_date</t>
  </si>
  <si>
    <t>gross_scope_1_yale</t>
  </si>
  <si>
    <t>difference_cdp_yale_scope_1</t>
  </si>
  <si>
    <t>difference_cdp_yale_scope_1%</t>
  </si>
  <si>
    <t>start_date</t>
  </si>
  <si>
    <t>end_date</t>
  </si>
  <si>
    <t>gross_scope_2_yale</t>
  </si>
  <si>
    <t>difference_cdp_yale</t>
  </si>
  <si>
    <t>difference_cdp_yale%</t>
  </si>
  <si>
    <t>gross_scope_3_yale</t>
  </si>
  <si>
    <t>cdp_account</t>
  </si>
  <si>
    <t>Reporting year</t>
  </si>
  <si>
    <t>2019-01-01</t>
  </si>
  <si>
    <t>2019-12-31</t>
  </si>
  <si>
    <t>2018-12-01</t>
  </si>
  <si>
    <t>2019-11-30</t>
  </si>
  <si>
    <t>10820</t>
  </si>
  <si>
    <t>2018-06-01</t>
  </si>
  <si>
    <t>2019-05-31</t>
  </si>
  <si>
    <t>NF</t>
  </si>
  <si>
    <t>GHG2019</t>
  </si>
  <si>
    <t>https://www.bms.com/about-us/sustainability/goals-and-key-indicators/key-performance-indicators.html</t>
  </si>
  <si>
    <t>PNG</t>
  </si>
  <si>
    <t>Sector1</t>
  </si>
  <si>
    <t>Industry</t>
  </si>
  <si>
    <t>Country</t>
  </si>
  <si>
    <t>Activities</t>
  </si>
  <si>
    <t>Sectors</t>
  </si>
  <si>
    <t>Industries</t>
  </si>
  <si>
    <t>Primary activity</t>
  </si>
  <si>
    <t>Primary sector</t>
  </si>
  <si>
    <t>Primary industry</t>
  </si>
  <si>
    <t>benchmark</t>
  </si>
  <si>
    <t>Industrials</t>
  </si>
  <si>
    <t>United States of America</t>
  </si>
  <si>
    <t xml:space="preserve"> Electronic components, Fabricated metal components, Health care supplies, Paper products, Specialty chemicals</t>
  </si>
  <si>
    <t xml:space="preserve"> Chemicals, Electrical &amp; electronic equipment, Medical equipment &amp; supplies, Metal products manufacturing, Paper products &amp; packaging</t>
  </si>
  <si>
    <t xml:space="preserve"> Biotech, health care &amp; pharma, Manufacturing, Materials</t>
  </si>
  <si>
    <t>Specialty chemicals</t>
  </si>
  <si>
    <t xml:space="preserve"> Benchmark, CCGR1800, Continuity Climate Change, Environmental, FTSE All-World, Global 500, MSCI ACWI, S&amp;P 500</t>
  </si>
  <si>
    <t>Healthcare</t>
  </si>
  <si>
    <t xml:space="preserve"> Health care facilities, Health care services, Health care supplies, Medical equipment, Other food processing, Pharmaceuticals</t>
  </si>
  <si>
    <t xml:space="preserve"> Biotech &amp; pharma, Food &amp; beverage processing, Health care provision, Medical equipment &amp; supplies, Other services</t>
  </si>
  <si>
    <t>Medical equipment</t>
  </si>
  <si>
    <t xml:space="preserve"> Benchmark, CCGR1800, Continuity Climate Change, FTSE All-World, Global 500, MSCI ACWI, S&amp;P 500</t>
  </si>
  <si>
    <t xml:space="preserve"> Pharmaceuticals</t>
  </si>
  <si>
    <t xml:space="preserve"> Biotech &amp; pharma</t>
  </si>
  <si>
    <t>Pharmaceuticals</t>
  </si>
  <si>
    <t>Technology</t>
  </si>
  <si>
    <t xml:space="preserve"> IT services, Other professional services</t>
  </si>
  <si>
    <t xml:space="preserve"> IT &amp; software development, Specialized professional services</t>
  </si>
  <si>
    <t>IT services</t>
  </si>
  <si>
    <t xml:space="preserve"> Software</t>
  </si>
  <si>
    <t xml:space="preserve"> IT &amp; software development</t>
  </si>
  <si>
    <t>Software</t>
  </si>
  <si>
    <t>Financial Services</t>
  </si>
  <si>
    <t xml:space="preserve"> Insurance</t>
  </si>
  <si>
    <t xml:space="preserve"> Financial services</t>
  </si>
  <si>
    <t>Insurance</t>
  </si>
  <si>
    <t>Communication Services</t>
  </si>
  <si>
    <t xml:space="preserve"> Marketing, Software, Web-based services</t>
  </si>
  <si>
    <t xml:space="preserve"> IT &amp; software development, Web &amp; marketing services</t>
  </si>
  <si>
    <t>Web-based services</t>
  </si>
  <si>
    <t>Consumer Staples</t>
  </si>
  <si>
    <t xml:space="preserve"> Alcoholic beverages, Tobacco products</t>
  </si>
  <si>
    <t xml:space="preserve"> Food &amp; beverage processing, Tobacco</t>
  </si>
  <si>
    <t>Tobacco products</t>
  </si>
  <si>
    <t xml:space="preserve"> Banks, Other financial</t>
  </si>
  <si>
    <t xml:space="preserve"> Financial services, Specialized professional services</t>
  </si>
  <si>
    <t>Banks</t>
  </si>
  <si>
    <t xml:space="preserve"> Construction, Electrical &amp; electronic equipment</t>
  </si>
  <si>
    <t>Real Estate</t>
  </si>
  <si>
    <t xml:space="preserve"> Communications equipment, Utility line construction</t>
  </si>
  <si>
    <t>Utility line construction</t>
  </si>
  <si>
    <t xml:space="preserve"> Benchmark, CCGR1800, Continuity Climate Change, Fixed Income, FTSE All-World, Global 500, MSCI ACWI, S&amp;P 500</t>
  </si>
  <si>
    <t xml:space="preserve"> Biotechnology</t>
  </si>
  <si>
    <t xml:space="preserve"> Discretionary retail, Electrical &amp; electronic equipment</t>
  </si>
  <si>
    <t>Biotechnology</t>
  </si>
  <si>
    <t xml:space="preserve"> Communications equipment, Computer hardware, Discretionary delivery retail, Electronic equipment</t>
  </si>
  <si>
    <t xml:space="preserve"> Electrical &amp; electronic equipment, Media, telecommunications &amp; data center services, Web &amp; marketing services</t>
  </si>
  <si>
    <t>Communications equipment</t>
  </si>
  <si>
    <t xml:space="preserve"> Communications equipment, Marketing, Media, Telecommunications services</t>
  </si>
  <si>
    <t>Telecommunications services</t>
  </si>
  <si>
    <t xml:space="preserve"> Asset managers, Banks, Insurance</t>
  </si>
  <si>
    <t xml:space="preserve"> Benchmark, CCGR1800, Continuity Climate Change, Environmental, Fixed Income, FTSE All-World, Global 500, MSCI ACWI, S&amp;P 500</t>
  </si>
  <si>
    <t xml:space="preserve"> Financial services, Industrial support services, Transportation equipment</t>
  </si>
  <si>
    <t xml:space="preserve"> Asset managers</t>
  </si>
  <si>
    <t>Asset managers</t>
  </si>
  <si>
    <t xml:space="preserve"> Aerospace, Banks, Transportation support services</t>
  </si>
  <si>
    <t>Aerospace</t>
  </si>
  <si>
    <t xml:space="preserve"> Banks</t>
  </si>
  <si>
    <t xml:space="preserve"> Food &amp; beverage processing</t>
  </si>
  <si>
    <t xml:space="preserve"> Communications equipment, IT services, Other professional services, Software</t>
  </si>
  <si>
    <t xml:space="preserve"> Electrical &amp; electronic equipment, IT &amp; software development, Specialized professional services</t>
  </si>
  <si>
    <t xml:space="preserve"> Convenience retail</t>
  </si>
  <si>
    <t xml:space="preserve"> Convenience retail, Financial services, Medical equipment &amp; supplies, Other services</t>
  </si>
  <si>
    <t xml:space="preserve"> Non-alcoholic beverages</t>
  </si>
  <si>
    <t xml:space="preserve"> Biotech &amp; pharma, Chemicals</t>
  </si>
  <si>
    <t>Non-alcoholic beverages</t>
  </si>
  <si>
    <t xml:space="preserve"> Animal processing, Personal care &amp; household products</t>
  </si>
  <si>
    <t xml:space="preserve"> Chemicals, Food &amp; beverage processing</t>
  </si>
  <si>
    <t xml:space="preserve"> Renewable power generation, Thermal power generation</t>
  </si>
  <si>
    <t>Personal care &amp; household products</t>
  </si>
  <si>
    <t xml:space="preserve"> Marketing, Media, Recreation &amp; entertainment facilities</t>
  </si>
  <si>
    <t xml:space="preserve"> Entertainment facilities, Media, telecommunications &amp; data center services, Web &amp; marketing services</t>
  </si>
  <si>
    <t xml:space="preserve"> Chemicals, Oil &amp; gas extraction &amp; production, Thermal power generation</t>
  </si>
  <si>
    <t>Media</t>
  </si>
  <si>
    <t>Energy</t>
  </si>
  <si>
    <t xml:space="preserve"> Natural gas extraction, Oil &amp; gas extraction</t>
  </si>
  <si>
    <t xml:space="preserve"> Oil &amp; gas extraction &amp; production</t>
  </si>
  <si>
    <t>Oil &amp; gas extraction</t>
  </si>
  <si>
    <t xml:space="preserve"> Hypermarkets &amp; superstores, Supermarkets, food &amp; drugstores</t>
  </si>
  <si>
    <t xml:space="preserve"> Energy utility networks, Nuclear power generation, Thermal power generation</t>
  </si>
  <si>
    <t>Hypermarkets &amp; superstores</t>
  </si>
  <si>
    <t xml:space="preserve"> Benchmark, CCGR1800, Continuity Climate Change, Environmental, FAIRR, FTSE All-World, Global 500, MSCI ACWI, S&amp;P 500</t>
  </si>
  <si>
    <t xml:space="preserve"> Health care services, Health care supplies, Insurance, Supermarkets, food &amp; drugstores</t>
  </si>
  <si>
    <t xml:space="preserve"> Air transport, Industrial support services, Intermodal transport &amp; logistics, Road transport</t>
  </si>
  <si>
    <t>Health care supplies</t>
  </si>
  <si>
    <t xml:space="preserve"> Biotechnology, Other base chemicals, Specialty chemicals</t>
  </si>
  <si>
    <t xml:space="preserve"> Electrical &amp; electronic equipment, Industrial support services, Light manufacturing, Specialized professional services, Transportation equipment</t>
  </si>
  <si>
    <t>Other base chemicals</t>
  </si>
  <si>
    <t>Utilities</t>
  </si>
  <si>
    <t xml:space="preserve"> CCGT generation, Coal generation, Hydro generation</t>
  </si>
  <si>
    <t xml:space="preserve"> Electrical &amp; electronic equipment, Financial services, Industrial support services, Medical equipment &amp; supplies, Powered machinery, Renewable energy equipment, Transportation equipment</t>
  </si>
  <si>
    <t>CCGT generation</t>
  </si>
  <si>
    <t xml:space="preserve"> Coal generation, Oil &amp; gas extraction, Other base chemicals, Specialty chemicals</t>
  </si>
  <si>
    <t xml:space="preserve"> Financial services, Transportation equipment</t>
  </si>
  <si>
    <t xml:space="preserve"> CCGT generation, Electricity networks, Gas utilities, Nuclear generation</t>
  </si>
  <si>
    <t xml:space="preserve"> Discretionary retail</t>
  </si>
  <si>
    <t>Nuclear generation</t>
  </si>
  <si>
    <t xml:space="preserve"> Air freight, Logistics - 3rd party, Logistics - transport, Road freight, Transportation support services</t>
  </si>
  <si>
    <t xml:space="preserve"> Electrical &amp; electronic equipment, IT &amp; software development</t>
  </si>
  <si>
    <t>Logistics - transport</t>
  </si>
  <si>
    <t>Consumer Discretionary</t>
  </si>
  <si>
    <t xml:space="preserve"> Automobiles, Banks</t>
  </si>
  <si>
    <t xml:space="preserve"> Biotech &amp; pharma, Chemicals, Medical equipment &amp; supplies, Other services</t>
  </si>
  <si>
    <t>Automobiles</t>
  </si>
  <si>
    <t xml:space="preserve"> Aerospace, Electrical equipment, Heavy vehicles, Munitions, Other professional services, Shipbuilding, Transportation support services</t>
  </si>
  <si>
    <t>Electrical equipment</t>
  </si>
  <si>
    <t xml:space="preserve"> Banks, Electrical equipment, Energy services &amp; equipment, Engines &amp; motors, Industrial machinery, Medical equipment, Other renewable energy equipment, Railroad rolling stock</t>
  </si>
  <si>
    <t>Engines &amp; motors</t>
  </si>
  <si>
    <t xml:space="preserve"> Electrical &amp; electronic equipment, Light manufacturing, Transportation equipment</t>
  </si>
  <si>
    <t xml:space="preserve"> Specialized professional services</t>
  </si>
  <si>
    <t xml:space="preserve"> Specialist retail</t>
  </si>
  <si>
    <t xml:space="preserve"> Bars, hotels &amp; restaurants</t>
  </si>
  <si>
    <t>Specialist retail</t>
  </si>
  <si>
    <t xml:space="preserve"> Dealers, wholesalers &amp; distributors, Electrical equipment, Engines &amp; motors, Other vehicle equipment &amp; systems, Specialty chemicals</t>
  </si>
  <si>
    <t xml:space="preserve"> Chemicals, Electrical &amp; electronic equipment, Powered machinery, Trading, wholesale, distribution, rental &amp; leasing</t>
  </si>
  <si>
    <t xml:space="preserve"> Medical equipment &amp; supplies, Other services</t>
  </si>
  <si>
    <t xml:space="preserve"> Banks, Computer hardware, IT services, Other professional services, Software</t>
  </si>
  <si>
    <t xml:space="preserve"> Electrical &amp; electronic equipment, Financial services, IT &amp; software development, Specialized professional services</t>
  </si>
  <si>
    <t xml:space="preserve"> Electronic components, Software</t>
  </si>
  <si>
    <t>Electronic components</t>
  </si>
  <si>
    <t xml:space="preserve"> Health care services, Health care supplies, Medical equipment, Personal care &amp; household products, Pharmaceuticals</t>
  </si>
  <si>
    <t xml:space="preserve"> Other food processing</t>
  </si>
  <si>
    <t xml:space="preserve"> Accessories, Textiles &amp; fabric goods</t>
  </si>
  <si>
    <t>Other food processing</t>
  </si>
  <si>
    <t xml:space="preserve"> Aerospace, Electrical equipment, Munitions</t>
  </si>
  <si>
    <t xml:space="preserve"> Electrical &amp; electronic equipment</t>
  </si>
  <si>
    <t xml:space="preserve"> Chemicals, Oil &amp; gas extraction &amp; production, Oil &amp; gas storage &amp; transportation</t>
  </si>
  <si>
    <t xml:space="preserve"> Other financial, Other professional services</t>
  </si>
  <si>
    <t xml:space="preserve"> IT &amp; software development, Media, telecommunications &amp; data center services, Specialized professional services</t>
  </si>
  <si>
    <t>Other financial</t>
  </si>
  <si>
    <t xml:space="preserve"> Fast food</t>
  </si>
  <si>
    <t>Fast food</t>
  </si>
  <si>
    <t xml:space="preserve"> Health care services, Health care supplies, Medical equipment</t>
  </si>
  <si>
    <t xml:space="preserve"> Tobacco</t>
  </si>
  <si>
    <t xml:space="preserve"> Chemicals, Metal products manufacturing, Paper products &amp; packaging</t>
  </si>
  <si>
    <t xml:space="preserve"> Chocolate confection, Coffee, Dairy &amp; egg products, Non-chocolate confection, Other food processing</t>
  </si>
  <si>
    <t xml:space="preserve"> Electrical &amp; electronic equipment, Specialized professional services</t>
  </si>
  <si>
    <t xml:space="preserve"> Benchmark, CCGR1800, Continuity Climate Change, FAIRR, FTSE All-World, Global 500, MSCI ACWI, S&amp;P 500</t>
  </si>
  <si>
    <t xml:space="preserve"> Accessories manufacture, Apparel &amp; footwear, Clothing manufacture</t>
  </si>
  <si>
    <t xml:space="preserve"> Bars, hotels &amp; restaurants, Trading, wholesale, distribution, rental &amp; leasing</t>
  </si>
  <si>
    <t>Apparel &amp; footwear</t>
  </si>
  <si>
    <t xml:space="preserve"> Electronic components</t>
  </si>
  <si>
    <t xml:space="preserve"> Natural gas extraction, Oil &amp; gas extraction, Oil &amp; gas pipelines &amp; storage, Other base chemicals</t>
  </si>
  <si>
    <t xml:space="preserve"> IT services, Other professional services, Servers &amp; data centers, Software</t>
  </si>
  <si>
    <t xml:space="preserve"> Baked goods &amp; cereals, Non-alcoholic beverages, Other food processing</t>
  </si>
  <si>
    <t xml:space="preserve"> Industrial support services, Rail transport</t>
  </si>
  <si>
    <t xml:space="preserve"> Financial services, Other services</t>
  </si>
  <si>
    <t xml:space="preserve"> Tobacco products</t>
  </si>
  <si>
    <t xml:space="preserve"> Fabricated metal components, Paper products, Personal care &amp; household products</t>
  </si>
  <si>
    <t xml:space="preserve"> Electronic components, Other professional services</t>
  </si>
  <si>
    <t xml:space="preserve"> Electrical &amp; electronic equipment, Media, telecommunications &amp; data center services</t>
  </si>
  <si>
    <t xml:space="preserve"> Other professional services, Software</t>
  </si>
  <si>
    <t xml:space="preserve"> Convenience retail, Trading, wholesale, distribution, rental &amp; leasing</t>
  </si>
  <si>
    <t xml:space="preserve"> REIT</t>
  </si>
  <si>
    <t>REIT</t>
  </si>
  <si>
    <t xml:space="preserve"> CCGT generation, Coal generation, Gas utilities</t>
  </si>
  <si>
    <t xml:space="preserve"> Energy utility networks, Thermal power generation</t>
  </si>
  <si>
    <t xml:space="preserve"> Food &amp; beverage amenities, Food &amp; beverage wholesale</t>
  </si>
  <si>
    <t>Food &amp; beverage amenities</t>
  </si>
  <si>
    <t xml:space="preserve"> Asset managers, Banks</t>
  </si>
  <si>
    <t xml:space="preserve"> Rail freight, Transportation support services</t>
  </si>
  <si>
    <t>Rail freight</t>
  </si>
  <si>
    <t xml:space="preserve"> Health care services, Insurance</t>
  </si>
  <si>
    <t>Health care services</t>
  </si>
  <si>
    <t xml:space="preserve"> Communications equipment, Telecommunications services</t>
  </si>
  <si>
    <t xml:space="preserve"> Dealers, wholesalers &amp; distributors, Supermarkets, food &amp; drugstores</t>
  </si>
  <si>
    <t>Supermarkets, food &amp; drugstores</t>
  </si>
  <si>
    <t>Company Name</t>
  </si>
  <si>
    <t>Shorthand Company Name</t>
  </si>
  <si>
    <t>Sector</t>
  </si>
  <si>
    <t>Size (2019 Revenue)</t>
  </si>
  <si>
    <t>Net earnings post carbon price @85/t</t>
  </si>
  <si>
    <t>Carbon costs in % revenue</t>
  </si>
  <si>
    <t>Under_Performance</t>
  </si>
  <si>
    <t>Net Earnings/Income (2019)</t>
  </si>
  <si>
    <t>IPO Year</t>
  </si>
  <si>
    <t>S&amp;P 100? (Y/N)</t>
  </si>
  <si>
    <t>Carbon Neutral Goal? (Y/N)</t>
  </si>
  <si>
    <t>Science-Based Target? (Y/N)</t>
  </si>
  <si>
    <t>Carbon Neutral by.... (year)</t>
  </si>
  <si>
    <t>Carbon Neutral Announcement (year)</t>
  </si>
  <si>
    <t>Carbon Goal (if non-zero)</t>
  </si>
  <si>
    <t>Reliance on Offsets? (Y/N)</t>
  </si>
  <si>
    <t>RE100 Commitment? (Y/N)</t>
  </si>
  <si>
    <t>100% Renewable Energy by... (year)</t>
  </si>
  <si>
    <t>Evolution vs. LY</t>
  </si>
  <si>
    <t>2019 Scope 1 (MeT Co2)</t>
  </si>
  <si>
    <t xml:space="preserve">2019 Scope 2 </t>
  </si>
  <si>
    <t>2019 Offsets Purchased</t>
  </si>
  <si>
    <t>2019 Net Scope 1 + 2 Emissions</t>
  </si>
  <si>
    <t xml:space="preserve">2019 Scope 3 </t>
  </si>
  <si>
    <t>2019 Total Scope 1, 2 + 3</t>
  </si>
  <si>
    <t>2018 Scope 1</t>
  </si>
  <si>
    <t>2018 Scope 2</t>
  </si>
  <si>
    <t>2018 Offsets Purchased</t>
  </si>
  <si>
    <t>2018 Net Scope 1 + 2 Emissions</t>
  </si>
  <si>
    <t>2018 Scope 3</t>
  </si>
  <si>
    <t>2018 Total Scope 1, 2 + Scope 3</t>
  </si>
  <si>
    <t>2017 Scope 1</t>
  </si>
  <si>
    <t>2017 Scope 2</t>
  </si>
  <si>
    <t>2017 Offsets Purchased</t>
  </si>
  <si>
    <t>2017 Net Scope 1 + 2 Emissions</t>
  </si>
  <si>
    <t>2017 Scope 3</t>
  </si>
  <si>
    <t>2017 Total Scope 1, 2 + 3</t>
  </si>
  <si>
    <t>2016 Scope 1</t>
  </si>
  <si>
    <t>2016 Scope 2</t>
  </si>
  <si>
    <t>2016 Offsets Purchased</t>
  </si>
  <si>
    <t>2016 Net Scope 1 + 2 Emissions</t>
  </si>
  <si>
    <t>2016 Scope 3</t>
  </si>
  <si>
    <t>2016 Total Scope 1, 2 + 3</t>
  </si>
  <si>
    <t>2015 Scope 1</t>
  </si>
  <si>
    <t>2015 Scope 2</t>
  </si>
  <si>
    <t>2015 Offsets Purchased</t>
  </si>
  <si>
    <t>2015 Net Scope 1 + 2 Emissions</t>
  </si>
  <si>
    <t>2015 Scope 3</t>
  </si>
  <si>
    <t>2015 Total Scope 1, 2 + 3</t>
  </si>
  <si>
    <t>Policy Arm?</t>
  </si>
  <si>
    <t>Initiatives for Carbon Neutrality</t>
  </si>
  <si>
    <t>Notes</t>
  </si>
  <si>
    <t>Sources</t>
  </si>
  <si>
    <t>Modifications</t>
  </si>
  <si>
    <t>Specialty Industrials</t>
  </si>
  <si>
    <t>Y</t>
  </si>
  <si>
    <t>N</t>
  </si>
  <si>
    <t>-Policy engagement through lobbying and employee PAC specific to climate change and energy conservation</t>
  </si>
  <si>
    <t>Medical Devices</t>
  </si>
  <si>
    <t>- 40% reduction from base year (2010- 1237)</t>
  </si>
  <si>
    <t>Drug Manufacturers</t>
  </si>
  <si>
    <t>- 50% RE in 2025
'- 50% GHG reduction by 2035 from 2015 baseline</t>
  </si>
  <si>
    <t>Information Technology Services</t>
  </si>
  <si>
    <t>-reduce scope 1 and 2 emissions 65% by 2025 from our 2016 baseline (20% of total emissions 1257636). To date, we have cut these emissions by more than 19%.
- Currently at 26% RE</t>
  </si>
  <si>
    <t>- Scope 3 only includes business travel for 2016 and 2015</t>
  </si>
  <si>
    <t>Added Adbobe scope 3 - 574034 in 2018</t>
  </si>
  <si>
    <t>-location based scope 2 only
-In 2010, Allstate set a goal to achieve a 20% absolute
energy-use reduction within our owned portfolio (approximately
39% of all locations at the time) against our 2007 baseline by
2020. Thanks to efforts across the enterprise, we surpassed that
2020 goal in 2014.</t>
  </si>
  <si>
    <t>Internet Content</t>
  </si>
  <si>
    <t>- All GHG emissions neutralized by carbon offset projects (40 carbon offset projects since 2007)
- In 2018, matched 100% of the electricity consumption of global operations with renewable energy for the second consecutive year (Since 2011, reduced cumulative Scope 1 and 2 GHG emissions by 52% by procuring renewable energy)
- Since 2011, carbon intensity per unit of revenue has decreased by 86%</t>
  </si>
  <si>
    <t>Reduce absolute Scope 1 &amp;2 greenhouse gas emissions by 55% by 2030 vs. 2017
Reduce absolute Scope 3 greenhouse gas emissions by 18% by 2030 vs. 2017 
Achieve 100% renewable electricity by 2030 (currently at 2.3%)
Reduce waste sent to landfill by 25% by 2030 vs. 2017
 Achieve 100% water neutrality annually</t>
  </si>
  <si>
    <t>- $2 Billion Climate Pledge Fund to Invest in Companies Building Products, Services, and Technologies to Decarbonize the Economy and Protect the Planet
- $100 million Right Now Climate Fund that is investing in nature-based solutions and reforestation projects around the world, including a reforestation project in the Appalachians in the U.S. and an urban greening initiative in Berlin, Germany
- To date, Amazon has 91 renewable energy projects, including 31 utility-scale wind and solar projects and 60 solar rooftops on fulfillment centers and sort centers around the globe. Together, these projects totaling over 2,900 MW of capacity will deliver more than 7.6 million MWh of renewable energy annually, enough to power 680,000 U.S. homes
- Since 2015, has lowered the weight of outbound packaging by 33% and eliminated more than 880,000 tons of packaging material, the equivalent of 1.5 billion shipping boxes
- Making all Amazon shipments net zero carbon through Shipment Zero, with 50% of all shipments net zero carbon by 2030
- Deploying 100,000 electric delivery vehicles starting in 2021</t>
  </si>
  <si>
    <t>- https://news.theceomagazine.com/environment/amazon-pollution/
- https://press.aboutamazon.com/news-releases/news-release-details/amazon-announces-2-billion-climate-pledge-fund-invest-companies
- https://sustainability.aboutamazon.com/
- https://sustainability.aboutamazon.com/environment/sustainable-operations/carbon-footprint
- https://d39w7f4ix9f5s9.cloudfront.net/26/7f/e1693ffc45db88d839a4734b46e7/amazon-2018-carbon-footprint.pdf</t>
  </si>
  <si>
    <t>Credit Services</t>
  </si>
  <si>
    <t>- No initiatives worth mentioning- just nonspecific "investments" and "frameworks" for clients</t>
  </si>
  <si>
    <t>- Scope 1 is omitted for 2015-2018 because the figures were reported for UK operations only</t>
  </si>
  <si>
    <t>- Science based targets IN DEVELOPMENT
- Carbon neutral only for US, not global
- Investing over $100 million in energy-efficient technologies at the site level (e.g., transitioning to new lithium-ion batteries [LIBs] and LED lighting) and site-based green energy solutions (e.g., solar photovoltaic power generation)</t>
  </si>
  <si>
    <t>No Net 0 goal found</t>
  </si>
  <si>
    <t>-10% reduction in scope 1 emissions from base year (2012) by 2020- 119968
-20% reduction in scope 2 emissions form base year - 286679</t>
  </si>
  <si>
    <t>Electronics</t>
  </si>
  <si>
    <t>https://www.apple.com/environment/pdf/Apple_Environmental_Responsibility_Report_2019.pdf</t>
  </si>
  <si>
    <t>Telecom Services</t>
  </si>
  <si>
    <t>-Reducing absolute Scope 1 and Scope 2 greenhouse gas (GHG) emissions 26% by 2030, from a 2015 base year
- Virtualization of many network functions
- Transitioning to a low-emissions fleet
- Accelerating energy efficiency and network optimization efforts
- Expanding sustainable feature film and TV production
- Supporting the renewable energy marketplace through PPAs with renewable energy providers
- Investing in carbon offsets</t>
  </si>
  <si>
    <t>- https://about.att.com/csr/home/reporting/issue-brief/greenhouse-gas-emissions.html
-https://about.att.com/story/2020/att_carbon_neutral.html#:~:text=AT%26T%20has%20committed%20to%20be,30%20years%20into%20the%20future.</t>
  </si>
  <si>
    <t>- Reduced market-based emissions by 89% from 2010 to 2020, primarily by consolidating space, implementing energy-efficient projects, and puchasing renewable energy
- Purchased 1.8 million mWh of renewable electricity in 2018, which amounts to 91% of global energy use
- Installed on-site solar on offices, financial centers, and ATMs
- Reduced energy use by 40% from 2010 to 2020
- Reduced location-based emissions by 52% from 2010 to 2020, primarily as a result of the energy reductions achieved
- Maintain LEED certification for 25% of buildings globally</t>
  </si>
  <si>
    <t>Per third source, BofA does not calculate the Scope 3 emissions of its investments, which is a notable omission of their culpability in bankrolling the fossil fuel industry
"Carbon neutral" refers to their Scope 1 and 2 emissions</t>
  </si>
  <si>
    <t>- https://about.bankofamerica.com/en-us/global-impact/env-operations-detail.html#fbid=4M45J4eZdUh
- https://newsroom.bankofamerica.com/press-releases/environment/bank-america-achieves-carbon-neutrality
- https://about.bankofamerica.com/assets/pdf/Bank-of-America-2018-ESG-Performance-Data-Summary.pdf
- https://www.environmentalleader.com/2020/01/bank-of-america-announces-carbon-neutrality-one-year-ahead-of-schedule/</t>
  </si>
  <si>
    <t>No RE100 commitent</t>
  </si>
  <si>
    <t>Asset Management</t>
  </si>
  <si>
    <t>Target to reduce emissions per employee by 45% by 2020, reduced 33% as of 2018</t>
  </si>
  <si>
    <t>Aerospace </t>
  </si>
  <si>
    <t>-Boeing is working to achieve its environmental goals by 2025, which include reducing greenhouse gas emissions by 25%
- data available for relative decline in emissions, but not actual GHG emissions '
- partnership with suppliers for sustainable manufacture, but no concrete targets for what that means
- Reduce carbon emissions by 50% from 2017 by 2050</t>
  </si>
  <si>
    <t>Scope 3 includes business travel only</t>
  </si>
  <si>
    <t>-5% (absolute) or greater reduction of water and
greenhouse gas (GHG) emissions from
2015 baseline.</t>
  </si>
  <si>
    <t>- Green energy offsets, not emissions offsets</t>
  </si>
  <si>
    <t>Scope 3 emissions are non-exhaustive</t>
  </si>
  <si>
    <t>https://ir-capitalone.gcs-web.com/news-releases/news-release-details/capital-one-reports-fourth-quarter-2019-net-income-12-billion-or</t>
  </si>
  <si>
    <t>Machinery</t>
  </si>
  <si>
    <t>-GHG emissions intensity reduction goal is based on our
combined Scope 1 (direct) and Scope 2 (indirect, marketbased) GHG emissions using a 2006 baseline year. Likewise,
total absolute GHG emissions are a sum of Scope 1 and
Scope 2 (market-based) emissions.
-Targets based on GHG/Energy intensity</t>
  </si>
  <si>
    <t>Entertainment</t>
  </si>
  <si>
    <t>Oil and Gas</t>
  </si>
  <si>
    <t>-Significant player in trade associations that influence policy</t>
  </si>
  <si>
    <t>-Goal: Reduce total Cisco Scope 1 and 2 GHG
emissions worldwide by 60 percent absolute by
FY22 (FY07 baseline)
- Use electricity from renewable sources for 85% of electricity by FY22 (KPI tracked not clear/available)
-Date announced 2017</t>
  </si>
  <si>
    <t>Majority of Scope 3 emissions come from 'use of sold products'</t>
  </si>
  <si>
    <t>-Use policy arm to champion climate-poistive acitivies more broadly</t>
  </si>
  <si>
    <t>Calculates Scope 3 emissions from investments in select years</t>
  </si>
  <si>
    <t>Food &amp; Beverage</t>
  </si>
  <si>
    <t>-And this goal has proven a worthy ambition as we
managed to cut our carbon footprint by 24%
toward our target of a 25% reduction by the
end of 2020, against a 2010 baseline.
-Targets include plastic recycling</t>
  </si>
  <si>
    <t>Household &amp; Personal Products</t>
  </si>
  <si>
    <t>-Purhcase of renewable energy certificates/ offsets
-Currently at 28% renewable energy</t>
  </si>
  <si>
    <t>-Vague infomration about sustainability targets around renewables use and fleet emissions. No scope 1/2/3 information available or SBT</t>
  </si>
  <si>
    <t>- Scope 2 emissions are location-based for 2017 and 2016 because market-based data was not provided</t>
  </si>
  <si>
    <t>-Work with Climate leadership council and API climate working group to develop and implement US carbon tax design
- report includes ESG ratings from Sustainalytics, DJSI, Bloomberg, MSCI, and CDP</t>
  </si>
  <si>
    <t>- Net Zero includes Scopes 1 and 2</t>
  </si>
  <si>
    <t xml:space="preserve">-Vague </t>
  </si>
  <si>
    <t>- All Scope 2 figures are location-based because market-based data was not provided</t>
  </si>
  <si>
    <t>- Reduce aboslute scope 1 and 2 GHG by 36% from 2010 base by 2030</t>
  </si>
  <si>
    <t>Diagnostics</t>
  </si>
  <si>
    <t>- Country specific targets, not global effort for carbon neutrality
- Reports GHG emissions for Scope 1 and 2 but normalized by sales figures. Does not report absolute emissions</t>
  </si>
  <si>
    <t xml:space="preserve">-Incorporate carbon pricing into business planning and prioritizing capital projects
-Maintain scope 1 &amp;2 emissions below 2006 baseline (42.6 Million tonnes)
- Advocating for a circular economy
-Participate in world economic forum low carbon tech   </t>
  </si>
  <si>
    <t>- Scope 2 emissions are location-based</t>
  </si>
  <si>
    <t>- Enables participants of RE100 by providing RE sources
- 50% CO2 emissions by 2030
- Reports include methane and SF6 emissions in CO2 equivalents</t>
  </si>
  <si>
    <t>- Scope 3 emissions are non-exhaustive</t>
  </si>
  <si>
    <t>- The Grindsted, Denmark plant is 100% carbon neutral
- Reduce greenhouse gas (GHGs) emissions 30%,
including sourcing 60% of electricity from renewable energy
by 2030, and deliver carbon neutral operations by 2050
- Positions in various associations (i.e US chamber of commerce climate change task force, World business council for sustainable development, etc)</t>
  </si>
  <si>
    <t>- goals are vague but progress is being measured and communicated</t>
  </si>
  <si>
    <t>- Developed a universal integrated resouce efficiency metric based on thermodynamics to help policymakers measure efficiency raw materials/energy are used in production of product or service</t>
  </si>
  <si>
    <t>-Policy engagement through trade associations like American Gas association, Energy Storage Association</t>
  </si>
  <si>
    <t>-Targets around flaring, but not total GHG reduction targets
- Policy engagement through trade associations, lobbying, and employee political contributions (PAC)
- Large emphasis on development of algae biofuels and carbon capture technology but no measures on emissions offsets as a result of tech development</t>
  </si>
  <si>
    <t>-Policy engagement through coalitions like "We are Still In" and "Greenpeace's Clicking clean Initiative"
-No offset or Scope 3 data available- data difficult to find</t>
  </si>
  <si>
    <t>Logistics</t>
  </si>
  <si>
    <t>-Target reductions focus on intensity, not overall emissions (30% reduction in aircraft emissions intenisity by 2020 from 2005 baseline)
- Participants in renewable energy buyers alliance, electrification coalition, and other alliances to engage in policy</t>
  </si>
  <si>
    <t>Scope 3 is non-exhaustive
Scope 2 is location-based</t>
  </si>
  <si>
    <t>Automotive</t>
  </si>
  <si>
    <t xml:space="preserve">Y </t>
  </si>
  <si>
    <t>-- working with California on Clean Car standards starting in 2019</t>
  </si>
  <si>
    <t xml:space="preserve">- No clear informationon goals or emissions data available </t>
  </si>
  <si>
    <t>- Carbon neutral targets not company wide, only for wind, solar division operations. Now targeting carbon neutrality for all operations
- Engaged in policy, but vague on how or through what channels</t>
  </si>
  <si>
    <t>Scope 3 is non-exhaustive</t>
  </si>
  <si>
    <t>-Practicing green chemistry principles
- No policy arm specific to climate change/ carbon neutrality</t>
  </si>
  <si>
    <t>- founding member of Climate Leadership Council (CLC), advocating for a revenue-neutral carbon fee and dividend plan
- $2 billion in green operational investments to drive energy efficiency
- Aiming to reduce energy intensity by 20% by 2025 (from 2015 baseline)
- Certified 70 percent of offices to a green-building standard
- Committed all new construction to be LEED Gold-certified or equivalent
- Extend the green building certification of ISO 20121 standards to off-site events
-scope 3 just business travel</t>
  </si>
  <si>
    <t>- https://www.goldmansachs.com/what-we-do/sustainable-finance/documents/carbon-emissions-verification.pdf
- https://www.goldmansachs.com/what-we-do/sustainable-finance/documents/reports/2019-sustainability-report.pdf
- https://www.goldmansachs.com/citizenship/sustainability-reporting/esg-content/esg-report-2017.pdf
- https://www.goldmansachs.com/what-we-do/sustainable-finance/our-sustainability-journey/#:~:text=2009%3A%20Committing%20to%20Carbon%20Neutrality,neutral%20starting%20from%202015%20onwards.</t>
  </si>
  <si>
    <t>From 2018 baseline, 40% reduction by 2030 and 50% reduction by 2035</t>
  </si>
  <si>
    <t>- Investing in on-site solar
- Previous projects in energy efficiency (lighting, air conditioning) and supply and demand balancing on the grid</t>
  </si>
  <si>
    <t>- https://corporate.homedepot.com/responsibility/protecting-the-climate
- https://live-home-depot-corporate.pantheonsite.io/sites/default/files/2019_Responsibility%20Report_FINAL_Master_Update.png_.pdf
- https://corporate.homedepot.com/sites/default/files/pdfs/2018_ResponsibilityReport_FINAL_LRS.PDF
- https://corporate.homedepot.com/sites/default/files/image_gallery/PDFs/THD_Responsibility%20Report%202017.pdf
- https://corporate.homedepot.com/sites/default/files/THD_0039_2015_Sustainability_Report_Online_Nov_10.pdf</t>
  </si>
  <si>
    <t>Reduce emissions by an additional 10% per dollar of revenue from 2018 levels (no target date specified)</t>
  </si>
  <si>
    <t>- In 2019, Honeywell set a new five-year “10-10-10” target to reduce global greenhouse gas emissions by an additional 10% per dollar of revenue from 2018 levels, to deploy on at least 10 renewable energy opportunities, and to achieve certification to ISO’s 50001 Energy Management Standard at 10 facilities, all by 2024
- Systematically replacing lighting at our sites with LED technologies - over 800 LED lighting projects for an annualized savings of $7.5 million, 37,000 metric tons CO2e and 250 BBTU
- Over 400 projects to systematically address air leaks, optimize compressed air usage, and upgrade equipment, saving an annualized $9.2 million, 45,500 metric tons CO2e and 300 BBTU
- Energy awareness and kaizen events to engage employees in the identification of sustainability-related savings opportunities. For example, our Safety and Productivity Solutions business targeted its top 20 sites and generated over 200 energy savings ideas with 25% costing little or nothing to implement and potential annualized savings of $500,000
- Largest sites are required to identify their significant energy use in line with ISO 50001, obtain an energy audit on an established cycle, train personnel on energy management, and track identified projects via our standard database</t>
  </si>
  <si>
    <t>- https://www.honeywell.com/content/dam/honeywell/files/Corporate_Citizenship_Report.pdf
- https://www.honeywell.com/content/dam/honeywell/files/Honeywell%20Greenhouse%20Gas%20Reporting%20Data-apr19.pdf</t>
  </si>
  <si>
    <t>Reduce emissions 40% from 2005 to 2025</t>
  </si>
  <si>
    <t>55% by 2025</t>
  </si>
  <si>
    <t>- Virtualized and decommissioned over 152,000 servers from 2015 to 2017, saving 245 gigawatthours of electricity and $32.1 million
- Optimizing the use of energy across our operations (implemented approximately 1,900 energy conservation projects at nearly 300 locations in 2018)
- Purchasing renewable electricity where it makes both business and environmental sense
- Designing energy-efficient products
- Providing services and solutions that support our clients’ efforts to improve their operational efficiency
and reduce their climate impacts</t>
  </si>
  <si>
    <t>- https://www.ibm.com/ibm/environment/annual/IBMEnvReport_2018.pdf
- https://www.ibm.com/ibm/environment/climate/ghg.shtml
- https://www.ibm.com/ibm/environment/annual/IBMEnvReport_2017.pdf
- https://www.ibm.com/ibm/environment/annual/IBMEnvReport_2016.pdf</t>
  </si>
  <si>
    <t>~1,400,000 Scope 1 + 2 by 2040 (in line with IPCC Reduction Target)</t>
  </si>
  <si>
    <t>2030 goals:
• Achieve 100% renewable energy use across our global manufacturing operations
• Conserve an additional 4 billion kWh of energy
• Drive an additional 10% reduction in our absolute Scope 1 and 2 carbon
emissions as we grow, informed by climate science
• Increase product energy efficiency 10x for Intel client and server microprocessors
to reduce our Scope 3 emissions
- Invested more than $145 million in energy-conservation projects (saving an estimated 3.19 billion kWh of energy)
- Installed more than 40 on-site projects that use solar, wind, fuel cell, and other alternative energy sources worldwide
- Remained the largest voluntary purchaser of green power in the United States
- Sustainability metrics tied to executive and employee performance since 2008
- Working on creating a carbon neutral PC / carbon neutral computing
- Policy engagement-collaborated with technology industry and EPA to influence  energy consumption targets for notebooks and desktop PCs</t>
  </si>
  <si>
    <t>- https://csrreportbuilder.intel.com/pdfbuilder/pdfs/CSR-2019-20-Full-Report.pdf
- http://csrreportbuilder.intel.com/pdfbuilder/pdfs/CSR-2018-Full-Report.pdf
- https://csrreportbuilder.intel.com/PDFfiles/CSR-2017_Full-Report.pdf
- https://csrreportbuilder.intel.com/PDFfiles/CSR-2016_Full-Report.pdf
- http://csrreportbuilder.intel.com/PDFfiles/CSR-2015_Full-Report.pdf</t>
  </si>
  <si>
    <t>Reduce Scope 1 + 2 emissions by 80% by 2050, from 2010 baseline
2010 Scope 1: 358,000
Scope 2: 898,000</t>
  </si>
  <si>
    <t>- Investing in energy efficiency programs through our CO2 Capital Relief Program
- Reduced Scope 1 and Scope 2 GHG emissions by 32% since 2010 (in 2019), exceeding 2020 target
- 13% of all built space is LEED certified
- Became founding members of the Renewable Energy Buyers Alliance (REBA) to advance a zero-carbon energy and secured four new PPAs totaling over 370,000 megawatt-hours (MWh) per year, and installed a 3.4 MW capacity windmill at Belgium chemical plant
- Aiming for 35% renewable energy by 2020</t>
  </si>
  <si>
    <t>Seems like somewhat of a laggard in terms of carbon reduction (not very ambitious goals or initiatives) but CDP has them on their A list (maybe that's just for their diclosure)
Scope 2 is location-based</t>
  </si>
  <si>
    <t>- https://healthforhumanityreport.jnj.com/environmental-health/climate-resilience
- https://www.jnj.com/_document/2017-health-for-humanity-report-johnson-johnson?id=0000016c-4ece-dd15-a37d-6feeda030000
- https://healthforhumanityreport.jnj.com/_document/health-for-humanity-2020-goals-scorecard?id=00000172-5b7e-d027-a1fa-fb7e9b460000</t>
  </si>
  <si>
    <t>- 100% renewable energy by 2020 through on-site renewable energy, PPAs, and RECs
- Created a dedicated risk team focused on climate
- Integrated climate-related risks into the processes the firm uses to identify, assess and review the most material risks to our business
- Evaluating stress testing approaches to deepen understanding of the relationship between climate change and financial impact to the firm
- Offset 100% of employee air and rail travel emissions in 2019
-joined Climate Leadership Council, which promotes a bipartisan roadmap for a revenue neutral carbon tax-and-dividend in the US
- Scope 3: + (just employee air travel)</t>
  </si>
  <si>
    <t>Scope 3 non-exhaustive</t>
  </si>
  <si>
    <t>- https://institute.jpmorganchase.com/content/dam/jpmc/jpmorgan-chase-and-co/documents/jpmc-cr-climate-report-2019.pdf
- https://www.jpmorganchase.com/corporate/news/pr/jpmorgan-chase-expands-commitment-to-low-carbon-economy-and-clean-energy.htm
- https://impact.jpmorganchase.com/content/dam/jpmc/jpmorgan-chase-and-co/documents/jpmc-cr-esg-report-2016.pdf
- https://about.jpmorganchase.com/content/dam/jpmc/jpmorgan-chase-and-co/documents/jpmc-cr-esg-report-2019.pdf</t>
  </si>
  <si>
    <t>- ONE Future: Working with the EPA to identify the most effective means of implementing methane emission reductions at natural gas transmission and storage operations. Through ONE Future, we committed to achieving a methane emission intensity target of 0.31% across our natural gas transmission and storage operations by 2025</t>
  </si>
  <si>
    <t>Planning to start measuring Scope 1 and 2 emissions starting in 2021</t>
  </si>
  <si>
    <t>- https://www.kindermorgan.com/WWWKM/media/Documents/2018_ESG_Report_1.pdf</t>
  </si>
  <si>
    <t>- 15% reduction in GHG emissions by 2020 from 2015 baseline
- Energy reduction initiatives
- Investing in renewable energy technology for our manufacturing plants
- Conducting a mapping of our direct supply chain of palm oil and soy to assess deforestation risks and develop action plans
- Having Kraft Heinz agronomists directly engage growers and farmers of key raw materials to enact best practices for environmental efficiencies, such as increased yields, optimization of fertilizer application, water conservation and an overall increase in crop resilience
- Joining the Science Based Targets Initiative to set science-based greenhouse gas emissions reduction goals in its supply chain
- Aiming to make 100 percent of our packaging globally recyclable, reusable or compostable by 2025</t>
  </si>
  <si>
    <t>2018 Scope 1 + 2 were not measured so 2019 data was used as a proxy</t>
  </si>
  <si>
    <t>- https://www.cdp.net/en/formatted_responses/responses?campaign_id=62255737&amp;discloser_id=729753&amp;locale=en&amp;organization_name=The+Kraft+Heinz+Company&amp;organization_number=58857&amp;program=Investor&amp;project_year=2018&amp;redirect=https%3A%2F%2Fcdp.credit360.com%2Fsurveys%2Fft9rgfbw%2F29892&amp;survey_id=58150509
- https://www.cdp.net/en/formatted_responses/pages?locale=en&amp;organization_name=The+Kraft+Heinz+Company&amp;organization_number=58857&amp;program=Investor&amp;project_year=2017&amp;redirect=https%3A%2F%2Fwww.cdp.net%2Fsites%2F2017%2F57%2F58857%2FClimate+Change+2017%2FPages%2FDisclosureView.aspx</t>
  </si>
  <si>
    <t>~1995</t>
  </si>
  <si>
    <t>35% Scope 1 + 2 reduction from 2010 to 2020 (2010 Scope 1 + 2 emissions: 1,271,358)
70% reduction in emissions per $ gross profit from 2015 to 2030</t>
  </si>
  <si>
    <t>- Energy efficiency programs (25% reduction from 2010 to 2020), lighting upgrades, and other emissions reduction strategies
- Developing a state-of-the-art Geostationary Carbon Observatory, or GeoCarb, with the University of Oklahoma and NASA’s Jet Propulsion Laboratory. GeoCarb aims to advance our collective understanding of the global carbon cycle by mapping key carbon gases from geostationary orbit. Over time, this technology can contribute much-needed data to support climate adaptation and resiliency efforts</t>
  </si>
  <si>
    <t>Goals are mostly qualitative without many hard targets set
Goals were difficult to find</t>
  </si>
  <si>
    <t>- https://sustainability.lockheedmartin.com/sustainability/downloads/Lockheed_Martin_Sustainability_Report_Full_2019.pdf
- https://www.lockheedmartin.com/content/dam/lockheed-martin/eo/photo/sustainability/CDP%20CC%202019.pdf
- https://www.lockheedmartin.com/content/dam/lockheed-martin/eo/documents/sustainability/2018%20Lockheed%20Martin%20Sustainability%20Report%20and%20GHG%20Verification%20Assurance_Final_4.18.19.pdf
- https://www.lockheedmartin.com/content/dam/lockheed-martin/eo/documents/sustainability/Lockheed_Martin_Sustainability_Report_Full_2018.pdf
- https://www.lockheedmartin.com/content/dam/lockheed-martin/eo/documents/sustainability/Lockheed_Martin_Sustainability_Report_Full_2017.pdf
- https://www.lockheedmartin.com/content/dam/lockheed-martin/eo/documents/sustainability/sustainability-report-2016-web.pdf
- https://lockheedmartin.com/content/dam/lockheed-martin/eo/documents/sustainability/verification-2019.pdf
- Letters of assurance
- https://app.one-report.com/report/qgri_index.html?categoryid=1475&amp;qid=3861&amp;rid=ODQwMDMyNjU3&amp;arid=NDc0ODgwMTAx&amp;companyid=924&amp;year=2020
- https://www.lockheedmartin.com/content/dam/lockheed-martin/eo/photo/sustainability/CDP%20CC%202019.pdf</t>
  </si>
  <si>
    <t>40% reduction in Scope 1 + 2 from 2016 to 2030</t>
  </si>
  <si>
    <t>- Offered $34 million in discounts to customers who purchased energy efficient products
- Aim for 100% of our strategic suppliers to have sustainability goals by 2025
- By 2030, increase share of energy that is renewable
- Use a building management system (BMS) to maximize the efficiency of assets, such as lighting, HVAC and generators; leverage internal and third-party resources to calculate the performance of assets, inform retrofitting projects and improve energy use (99% of stores have BMS installed)
- LED lighting retrofit program
- Collaboration between vendors, stores and DCs via our Intermodal, Reverse Logistics and Backhaul programs to reduce empty truck miles, emissions and environmental impact. In the U.S., we monitor and audit provider fleets and use a transportation management system to optimize routes, combining loads to make deliveries more efficient</t>
  </si>
  <si>
    <t>- https://corporate.lowes.com/sites/lowes-corp/files/2020-07/Lowes_2019_FINAL_optimized.pdf
- https://corporate.lowes.com/sites/lowes-corp/files/CSR-reports/lowes-2018cr-report.pdf
- https://corporate.lowes.com/sites/lowes-corp/files/CSR-reports/Lowes_2017CRReport_FramingOurFuture.pdf</t>
  </si>
  <si>
    <t>20% reduction in Scope 1, 2 + 3 from 2016 to 2025</t>
  </si>
  <si>
    <t>- 100% renewable energy (currently 2% on-site solar, 11% directly procured renewable energy, and 87% RECs - working on installing on-site renewable energy to reduce reliance on RECs)
- 79% green-certified buildings
- Working directly with suppliers on climate initiatives to reduce Scope 3 emissions
- Launched the Priceless Planet Coalition, which encourage corporates to invest in energy-efficient workplaces and operations, source renewable energy and maintain sustainable supply chains to reduce carbon footprints</t>
  </si>
  <si>
    <t>First payments company to set an approved Science Based Target</t>
  </si>
  <si>
    <t>- https://www.mastercard.us/content/dam/mccom/global/aboutus/Sustainability/mastercard-sustainability-report-2018.pdf
- https://www.smart-energy.com/industry-sectors/policy-regulation/mastercard-unveils-priceless-planet-coalition-to-combat-climate-change/</t>
  </si>
  <si>
    <t>36% reduction from 2015 to 2030</t>
  </si>
  <si>
    <t>- Work across its supply chain, offices and restaurants to be more innovative and efficient through improvements such as investing in renewable energy, LED lighting, energy efficient kitchen equipment, sustainable packaging, restaurant recycling, and by elevating and supporting sustainable agriculture practices
- In collaboration with thousands of franchisees, suppliers and producers, McDonald’s will prioritize action on the largest segments of its carbon footprint: beef production, restaurant energy usage and sourcing, packaging and waste
- Goal of 31% reduction in emissions intensity (per metric ton of food and packaging) across our supply chain by 2030 from 2015 levels
- Working with farmers, ranchers, beef suppliers, and industry leaders to identify, magnify and share best practices on farming, grazing, and conservation, in ways that empower more producers to adopt sustainability practices
- Innovations and programs to promote energy efficiency and renewable energy. This includes equipment and building design innovation, energy monitoring, and crew training programs</t>
  </si>
  <si>
    <t>Beef, energy, and packaging are biggest drivers of environmental footprint</t>
  </si>
  <si>
    <t>- https://corporate.mcdonalds.com/corpmcd/scale-for-good/esg-reporting/progress-and-performance.html#3
- https://corporate.mcdonalds.com/corpmcd/scale-for-good/climate-action.html
- https://corporate.mcdonalds.com/content/dam/gwscorp/nfl/scale-for-good/McDonalds_CDP_Climate_Change_2018.pdf
- https://corporate.mcdonalds.com/content/dam/gwscorp/nfl/scale-for-good/CDP%20Climate%20Change_2017_McDonald%27s.pdf</t>
  </si>
  <si>
    <t>15% reduction in Scope 1 + 2 emissions from 2013 to 2020</t>
  </si>
  <si>
    <t>- Manufacturing facilities account for most of our energy consumption, water use, and waste generation. At those siteswe use management systems, based on the ISO 14001 and OHSAS 18001 standards, to track EHS performance
- Program to convert all Medtronic lighting to LED bulbs
- Optimization initiative focused on global building automation, HVAC, and compressed air systems
- Sourcing renewable grid electricity has been part of our energy strategy since 2007. In FY19, we sourced 22,000 MWh of renewable energy</t>
  </si>
  <si>
    <t>- https://www.medtronic.com/content/dam/medtronic-com/global/Corporate/citizenship/documents/2019-integrated-performance-report.pdf
- https://www.medtronic.com/content/dam/medtronic-com/global/Corporate/Documents/2018-integrated-performance-report.pdf
- https://www.medtronic.com/content/dam/medtronic-com/global/Corporate/Documents/integrated-performance-report.pdf
- https://www.medtronic.com/content/dam/medtronic-com/us-en/corporate/documents/17267.MED.Sustainability.Report_4_FINAL%20NOV%208.pdf</t>
  </si>
  <si>
    <t>40% Scope 1 + 2 reduction from 2015 to 2025</t>
  </si>
  <si>
    <t>2040 (not a RE100 signatory)</t>
  </si>
  <si>
    <t>- By 2025, we will reduce global Scope 1 and market-based Scope 2 GHG emissions by at least 40% from 2015 levels
- By 2025, at least 50% of our purchased electricity will come from renewable sources. By 2040, 100% of our purchased electricity will come from renewable sources
- Established an Energy Capital Fund of up to $12 million per year in order to transition to more energy-efficient technology
- Converted US Sales fleet vehicles to more fuel-efficient versions to increase average mpg from 22 to 28 from 2008 to 2018
- All new buildings are designed to be LEED Silver or higher
- Long-standing partnership with the U.S. EPA's ENERGY STAR® program, which provides a broad energy-management strategy</t>
  </si>
  <si>
    <t>- https://www.msdresponsibility.com/environmental-sustainability/
- https://www.msdresponsibility.com/environmental-sustainability/climate-change-energy-use/</t>
  </si>
  <si>
    <t>- Required all 103 suppliers to disclose their GHG emissions and emissions reduction activities publicly in 2019
- Supports third-party certified carbon reduction projects in markets where we operate around the world (reforestation in Mississippi, replacement of coal-fired stoves in China, conservation of Colombia rainforest)
- Capital improvement projects and facility upgrades for building efficiency, including lighting retrofits, chiller and boiler replacements, LED lighting systems, demand metering, and occupancy-sensor installations
- 25% of buildings are LEED certified
- Invested $18.3 billion in green investments such as renewable energy projectsa and RECs in 2019
-Policy- membership in environmental associations but not talking about active policy lobbying
- Scope 3 is business air travel only</t>
  </si>
  <si>
    <t>- first U.S. insurer to achieve carbon neutrality (2016)</t>
  </si>
  <si>
    <t>- https://www.metlife.com/sustainability/MetLife-sustainability/climate/energy-emissions/
- https://sustainabilityreport.metlife.com/content/dam/metlifecom/us/sustainability/pdf/report/2019/2019-sustainability-report.pdf</t>
  </si>
  <si>
    <t>- Implemented an internal carbon fee in 2012 to charge direct emissions and those of suppliers -- helps fund carbon emission reductions ($15/metric ton for Scope 3)
- Launching an initiative to use Microsoft technology to help our suppliers and customers around the world reduce their own carbon footprints
- Created a new $1 billion climate innovation fund to accelerate the global development of carbon reduction, capture, and removal technologies (portfolio of negative emission technologies (NET) potentially including afforestation and reforestation, soil carbon sequestration, bioenergy with carbon capture and storage (BECCs), and direct air capture (DAC))
- Will now make carbon reduction an explicit aspect of our procurement processes for supply chain
- Uses voice and advocacy supporting public policy that will accelerate carbon reduction and removal opportunities
- By 2050 Microsoft will remove from the environment all the carbon the company has emitted either directly or by electrical consumption since it was founded in 1975
-support policy for accelerating carbon reduction and removal</t>
  </si>
  <si>
    <t>- https://blogs.microsoft.com/blog/2020/01/16/microsoft-will-be-carbon-negative-by-2030/
- file:///C:/Users/pfedm/Downloads/Microsoft_2017_Environmental_Data_Factsheet.pdf
- https://query.prod.cms.rt.microsoft.com/cms/api/am/binary/RE3455q</t>
  </si>
  <si>
    <t>Reduce Scope 1, 2 + 3 emissions by 10% from 2018 to 2025</t>
  </si>
  <si>
    <t>- Reduced energy consumption by improving energy management systems and investing in energy efficient technologies in our factories
- Using low-carbon renewable energy sources
- In late 2015, our chocolate factory in Upplands Väsby, Sweden converted heavy oil burners to use waste vegetable oil instead, significantly reducing CO2 emissions while saving operating costs</t>
  </si>
  <si>
    <t>Poor reporting -- only links to CDP Disclosures</t>
  </si>
  <si>
    <t>- https://www.mondelezinternational.com/-/media/Mondelez/Snacking-Made-Right/Impact-Reporting/Measuring-Our-Progress/Additional-Resources-2/CDP-ClimateChange2019_Final.pdf
- https://www.mondelezinternational.com/-/media/Mondelez/PDFs/Mdlz-CDP-C_2018submission.pdf
- https://www.mondelezinternational.com/-/media/Mondelez/Snacking-Made-Right/Impact-Reporting/Measuring-Our-Progress/Additional-Resources-2/cdpclimate20162125.pdf
- https://www.mondelezinternational.com/~/media/MondelezCorporate/uploads/downloads/cdpClimate2017.pdf</t>
  </si>
  <si>
    <t>- Appointed a Chief Sustainability Officer for the first time in 2017</t>
  </si>
  <si>
    <t>- https://www.morganstanley.com/pub/content/dam/msdotcom/about-us/giving-back/sustainability-at-morgan-stanley/Morgan_Stanley_2018_CDP_Climate_Change_Response.pdf
- https://www.morganstanley.com/pub/content/dam/msdotcom/about-us/giving-back/sustainability-at-morgan-stanley/Morgan_Stanley_2019_CDP_Climate_Change_Response.pdf</t>
  </si>
  <si>
    <t>~50,000 MT CO2e is best guess for annual emissions. No reporting except to say that emissions were 300g / customer in 2014 and they have182.8 million subscribers today
Claim to use 100% renewable energy through the end of RECs</t>
  </si>
  <si>
    <t>- https://netflixtechblog.com/netflix-streaming-more-energy-efficient-than-breathing-57658d47b9fd
- https://b8f65cb373b1b7b15feb-c70d8ead6ced550b4d987d7c03fcdd1d.ssl.cf3.rackcdn.com/cms/reports/documents/000/002/891/original/CDP-US-Report-2017.pdf?1512668320</t>
  </si>
  <si>
    <t>-NextEra Energy conducts business under regulatory regimes that require CO2 rather than CO2e reporting. The SASB metric reported here is CO2e which includes emissions from power generation as well as auxiliary equipment, while other areas of our sustainability reporting convey CO2 from power generation only</t>
  </si>
  <si>
    <t>Used CO2e multipliers to convert CO2 and NO2 metrics into total CO2e</t>
  </si>
  <si>
    <t>- http://www.nexteraenergy.com/sustainability/overview/about-this-report/by-the-numbers.html</t>
  </si>
  <si>
    <t>Clothing</t>
  </si>
  <si>
    <t>25% Scope 1 + 2 reduction from 2015 to 2020 in key operations</t>
  </si>
  <si>
    <t>Yes - member of Oregon Business Alliance for Climate, which supports climate policy and a carbon price while investing in Oregon’s clean economy</t>
  </si>
  <si>
    <t>- Innovating and sourcing innovative, lower-impact materials
- Driving more energy efficiency in our operations and within our supply chain
- Increasing renewable energy use throughout our operations and encouraging broader adoption throughout our supply chain
- Collaborating with other organizations (corporate peers, government and NGOs) to scale impact and create better market conditions for clean energy
- Decrease energy use and CO2e emissions 25% per unit in key operations (inbound and outbound logistics, distribution centers, headquarter locations, finished goods manufacturing, and NIKE-owned retail) from FY15 to FY20</t>
  </si>
  <si>
    <t>- https://news.nike.com/news/nike-inc-reports-fiscal-2019-fourth-quarter-and-full-year-results
- https://s3-us-west-2.amazonaws.com/purpose-cms-production01/wp-content/uploads/2019/05/15172335/FY18-Nike-Impact-Report_Final.pdf
- https://purpose.nike.com/carbon-energy
- https://s3-us-west-2.amazonaws.com/purpose-cms-preprod01/wp-content/uploads/2020/04/10225416/FY19-Nike-Inc.-Impact-Report.pdf</t>
  </si>
  <si>
    <t>A 15 percent greenhouse gas reduction—normalized per employee—by FY20 from baseline year FY14</t>
  </si>
  <si>
    <t>65% by end of FY 2025</t>
  </si>
  <si>
    <t>- Planning to implement an energy management system, certified to ISO 50001, in FY21
- LEED Gold certification for our new Silicon Valley headquarters building
- Focus on siting expansions strategically, managing our operations efficiently, and sourcing low-carbon and renewable forms of energy
- Deployed state-of-the-art cooling technology designed for NVIDIA server products
- Data centers have also been deployed with white surfaces to optimize reflective lighting
- Controllable, high-efficiency LED lighting is installed where artificial lighting is needed</t>
  </si>
  <si>
    <t>- https://www.nvidia.com/content/dam/en-zz/Solutions/documents/FY2020-NVIDIA-CSR-Social-Responsibility.pdf
- https://images.nvidia.com/content/crr/2017/sustainability/pdf/2017-NVIDIA-Sustainability-Report-Final.pdf</t>
  </si>
  <si>
    <t>Planning to set 2030 GHG intensity targets later in 2020</t>
  </si>
  <si>
    <t>Y - through their own carbon capture</t>
  </si>
  <si>
    <t>- Pursuing projects to obtain CO2 through direct air capture and by capturing emissions from third-party sources. In the near-term, the focus will be safe sequestration of CO2 while growing our EOR business. In the longerterm, we expect to expand the commercial use cases for CO2 within our portfolio
- A sensitivity analysis using a carbon price of $50 per metric ton is done for all projects above $5 million (increased from $40 per metric ton in 2018)
- Added an executive compensation metric related to the advancement of CCUS
- Aiming to end routine gas flaring by 2030</t>
  </si>
  <si>
    <t>- https://www.oxy.com/SocialResponsibility/overview/SiteAssets/Pages/Social-Responsibility-at-Oxy/Assets/Occidental-Climate-Report-2019.pdf
- https://www.oxy.com/SocialResponsibility/overview/SiteAssets/Pages/Social-Responsibility-at-Oxy/Assets/Oxy%202018%20CDP%20survey%20response.pdf
- https://www.oxy.com/SocialResponsibility/overview/SiteAssets/Pages/Social-Responsibility-at-Oxy/Assets/Occidental-CDP_Climate_Change_Questionnaire_2019.pdf
- https://www.oxy.com/SocialResponsibility/overview/SiteAssets/Pages/Social-Responsibility-at-Oxy/HTML/performance%20-%20Copy.html#climateChange1
- https://www.oxy.com/SocialResponsibility/overview/SiteAssets/Pages/Social-Responsibility-at-Oxy/Assets/CDP%202017%20Climate%20Programme%20Report-Occidental.pdf
- https://www.oxy.com/SocialResponsibility/overview/Pages/Performance.aspx#climateChange1</t>
  </si>
  <si>
    <t>26% reduction in Scope 1 + 2 from 2015 to 2025 (from 370,414 to 340,041 MTCO2e)
65% reduction by 2050</t>
  </si>
  <si>
    <t>- Increased renewable energy use and improved energy effciency
- Goal of 55% reduction in emissions per unit of energy consumed by 2025
- Investments in offering a 'Clean Cloud' for customers through energy efficiency and renewable energy</t>
  </si>
  <si>
    <t>- http://www.oracle.com/us/corporate/citizenship/cdp-climate-change-response-5181041.pdf
- https://www.oracle.com/corporate/citizenship/sustainability/operations.html
- http://www.oracle.com/us/corporate/citizenship/cdp-investor-survey-response-2017-3809919.pdf
- https://www.oracle.com/us/assets/oracle-corp-citizenship-report-3941904.pdf
- https://www.oracle.com/a/ocom/docs/sustainability-at-oracle.pdf</t>
  </si>
  <si>
    <t>Sort of -  joined the Renewable Energy Buyers Alliance (REBA) as a founding member to share best practices, build relationships, and gather insights into the latest corporate renewable energy procurement trends</t>
  </si>
  <si>
    <t>- Cross-functional environmental working group is identifying potential cost-effective emissions reductions activities and building an indirect emissions management strategy for our global supply chain
- Continue to transition to LED lighting around the globe, which has reduced energy use and operational costs across many of our offices worldwide
- Joined the United for the Paris Agreement coalition to reinforce our support for meeting the goals set forth in the global Agreement
- Made substantial progress advancing our environmental management system in alignment with global standards, including ISO 14001. We enhanced our data management systems, refined reporting processes, and empowered teams to better manage performance</t>
  </si>
  <si>
    <t>No reporting for 2016 and earlier
2017 and 2018 GHG emissions figures were revied in the 2019 report so the 2019 figures were used</t>
  </si>
  <si>
    <t>- https://www.paypalobjects.com/marketing/web/us/globalimpact/PayPal_2019_Global_Impact_Report_FINAL.pdf</t>
  </si>
  <si>
    <t>Scope 1 &amp; 2: Reduce absolute GHG emissions by at least 20% by 2030 from 2015 baseline</t>
  </si>
  <si>
    <t>- Scope 1 &amp; 2: Reduce absolute greenhouse gas (GHG) emissions by at least 20% by 2030 from 2015 baseline
- Scope 3: Reduce absolute greenhouse gas (GHG) emissions by at least 20% by 2030 from 2015 baseline
- Sustainable from the Start program helps our product development teams project and consider the environmental impact, carbon and water footprint, and packaging recyclability of a product</t>
  </si>
  <si>
    <t>- https://www.pepsico.com/docs/album/esg-topics-policies/cdp_climate_change_2017_information_request_pepsico_final_submission-2.pdf?sfvrsn=d0608346_6
- https://www.pepsico.com/docs/album/esg-topics-policies/2019-cdp-climate-response.pdf?sfvrsn=feb57a1a_4
- https://www.pepsico.com/docs/album/esg-topics-policies/2018-cdp-climate-response.pdf?sfvrsn=3d7c9d36_6
- https://www.pepsico.com/docs/album/sustainability-report/2019-csr/2019_sustainability_report_summary.pdf</t>
  </si>
  <si>
    <t>20% GHG reduction from 2012 to 2020; 60-80% (75%) reduction from 2000 to 2050
2012 Scope 1 + 2: 2,131,885
2000 Scope 1 + 2: 3,597,487</t>
  </si>
  <si>
    <t>- Reduce greenhouse gas (GHG) emissions by 20% by 2020 compared to a 2012 baseline, which keeps us on the trajectory to reduce our GHG footprint by 60%-80% by 2050 from a 2000 base year</t>
  </si>
  <si>
    <t>- https://pfe-pfizercom-prod.s3.amazonaws.com/responsibility/protecting_environment/Pfizer_2019_Climate_Change.pdf
- https://www.pfizer.com/sites/default/files/investors/financial_reports/annual_reports/2019/our-performance/key-performance-indicators/index.html
- https://www.pfizer.com/sites/default/files/investors/financial_reports/annual_reports/2019/assets/pfizer-2019-annual-review.pdf
- https://pfe-pfizercom-d8-prod.s3.amazonaws.com/2018_Pfizer_KPI_Dashboard.pdf
- https://www.cdp.net/en/formatted_responses/responses?campaign_id=66216852&amp;discloser_id=825472&amp;locale=en&amp;organization_name=Pfizer+Inc.&amp;organization_number=14683&amp;program=Investor&amp;project_year=2019&amp;redirect=https%3A%2F%2Fcdp.credit360.com%2Fsurveys%2F9hz110bc%2F50007&amp;survey_id=65670419</t>
  </si>
  <si>
    <t>From 2010 baseline, 30% reduction by 2020, 40% reduction by 2030, and 60% reduction by 2040
2010: Scope 1 - 443,186; Scope 2 - 470,864; Scope 3 - 7,435,000
Carbon neutral by 2030 for Scope 1 + 2 and by 2050 for Scopes 1, 2 + 3</t>
  </si>
  <si>
    <t>- Projects focused on energy-efficient buildings, fuel control in manufacturing, and LED lighting
- Internal carbon price of USD 17 per ton of CO2e in order to allocate capital for the best return in terms of carbon reduction and cost-effectiveness
- Vehicle maintenance, ongoing switch to hybrid and more fuel-effi cient vehicles, and eco-driving behavior
- Work with tobacco farmers to help them reduce their emissions through (1) Supporting the implementation by our suppliers to plant trees in farmers’ communities, and commercial wood lots which are managed sustainably; (2) Improving the fuel effi ciency of flue-curing barns; and (3) Switching from high-carbon or unsustainable fuels, such as coal, to sustainable wood sources and a range of biomass products (wood pellets, agro-pellets, or other agricultural waste products.) 
- Investments in more efficient curing and curing fuel</t>
  </si>
  <si>
    <t>- https://www.pmi.com/resources/docs/default-source/pmi-sustainability/pmi-sustainability-report-2018-low-res.pdf?sfvrsn=cada91b5_4
- https://www.pmi.com/docs/default-source/pmi-sustainability/pmi-sustainability-report-2017.pdf
- https://www.pmi.com/resources/docs/default-source/sustainability-reports-and-publications/pmi-sustainability-report-2018-highlights.pdf?sfvrsn=d4ef95b5_4</t>
  </si>
  <si>
    <t>30% Scope 1 + 2 reduction from 2010 to 2020
50% Scope 1 + 2 reduction from 2010 to 2030
2010 Scope 1 + 2: 5422275</t>
  </si>
  <si>
    <t>Yes -  joined the Climate Leadership Council (CLC), which advocates for a Carbon Dividends Program in the US</t>
  </si>
  <si>
    <t>- Reducing the intensity of greenhouse gas emissions (GHG) from our own operations through:
Driving energy efficiency measures throughout our facilities
Transitioning energy sources toward lower/zero carbon alternatives
Driving more energy-efficient modes of transporting finished products
- We will help consumers to reduce their own GHG emissions through the use of our products via:
Product and packaging innovations that enable more efficient consumer product use and energy consumption
Consumer education to reduce GHG emissions such as the benefits of using cold water for machine washing
- Work with partners across our value chain to ensure responsible sourcing of agricultural commodities that are known to be associated with deforestation risks (e.g. palm oil, wood pulp).
- Work with our suppliers to identify meaningful opportunities to reduce our Scope 3 emissions
- Internal Climate Council and Sustainability Leadership Council that meet quarterly to review sustainability initiatives
- Aim to reduce energy by 20% per unit of production by 2020</t>
  </si>
  <si>
    <t>- https://us.pg.com/policies-and-practices/environmental-policies-and-practices/
- https://assets.ctfassets.net/oggad6svuzkv/6mGPEJVwbe0cIe8ywg2IcA/986dee6a8445a56cfdd30f40f99afd02/Climate_change_perspective.pdf
- https://assets.ctfassets.net/oggad6svuzkv/4v6eZmhIcES0Ei4YKI0yWy/3f80032b9b6e9307752fa4b217d85e22/FY_17-18_P_G_Assurance_Statement-ASR_authorized.pdf
- https://downloads.ctfassets.net/oggad6svuzkv/5AXke1Str22EYkYkIyO8QE/c876f5bb05e568aa71e7c1819059c37c/citizenship_report_2019.pdf
- https://downloads.ctfassets.net/oggad6svuzkv/5AXke1Str22EYkYkIyO8QE/c876f5bb05e568aa71e7c1819059c37c/citizenship_report_2019.pdf
- https://downloads.ctfassets.net/oggad6svuzkv/325tJmPxGEWQOgc6eGskKy/b69cb86ada52cfe97e468daadf20b741/2017_Full_Citizenship_Report.pdf
- https://downloads.ctfassets.net/oggad6svuzkv/325tJmPxGEWQOgc6eGskKy/b69cb86ada52cfe97e468daadf20b741/2017_Full_Citizenship_Report.pdf
- https://www.cdp.net/en/formatted_responses/responses?campaign_id=66216852&amp;discloser_id=831392&amp;locale=en&amp;organization_name=Procter+%26+Gamble+Company&amp;organization_number=15132&amp;program=Investor&amp;project_year=2019&amp;redirect=https%3A%2F%2Fcdp.credit360.com%2Fsurveys%2F9hz110bc%2F50695&amp;survey_id=65670419</t>
  </si>
  <si>
    <t>30% reduction in Scope 1 + 2 from 2014 to 2025
2014 Scope 1 + 2: 230637</t>
  </si>
  <si>
    <t>- To date, we've reduced our GHG emissions by 17.9 percent, of which 5.8 percent is attributed to the purchase of renewable energy certificates (AP81RECs) and carbon offsets (do offsets and RECs through Natural Capital Partners)
- Own and operate several on-site solar generating systems in San Diego and Bangalore
- Promote the use of electric vehicles (EVs) by installing dozens of new EV charging stations at our campuses in San
Diego and Santa Clara, and give employees discounted electric rates at our owned Level 2 EV charging stations and free charging at Level 1 outlets in our garages
- Combined heat and power plants enable us to self-generate electricity to meet our site needs, while efficiently utilizing the waste heat to provide cooling to our headquarters’ buildings
-Scope 3: employee business air travel, business car rental and employee commuting)</t>
  </si>
  <si>
    <t>- https://www.qualcomm.com/media/documents/files/2019-qualcomm-sustainability-report.pdf
- https://www.qualcomm.com/media/documents/files/2017-qualcomm-sustainability-report.pdf
- https://www.cdp.net/en/formatted_responses/responses?campaign_id=66216852&amp;discloser_id=832614&amp;locale=en&amp;organization_name=QUALCOMM+Inc.&amp;organization_number=15419&amp;program=Investor&amp;project_year=2019&amp;redirect=https%3A%2F%2Fcdp.credit360.com%2Fsurveys%2F9hz110bc%2F49086&amp;survey_id=65670419</t>
  </si>
  <si>
    <t>None beyond 2020 goal of reducing Scope 1 + 2 emissions by 12% from 2015 baseline</t>
  </si>
  <si>
    <t>- Upgraded/optimized HVAC systems, installed energy-effi cient measures in our data centers and server rooms, and installed LED lighting while making other changes to building infrastructure and equipment
- We also monitor and track developments in alternative energy technologies, low-carbon energy solutions and other techniques for reducing greenhouse gas emissions</t>
  </si>
  <si>
    <t>Poor reporting, no carbon emissions reduction goals, and minimal initiatives beyond some basic energy efficiency projects</t>
  </si>
  <si>
    <t>- https://investors.rtx.com/static-files/f8a4c491-7745-4e82-be4e-807d6b0e995f
- https://www.raytheon.com/sites/default/files/2019-05/raytheon-crr-2018.pdf
- https://sdd-pdf.s3.amazonaws.com/report-pdfs/2017/60b417e473a9ae1f103146ff1b3954a9.pdf?AWSAccessKeyId=AKIAJZQ4KYD2D35QKCDA&amp;Expires=1594924661&amp;Signature=SguKZk1%2FdQ3x1HRRJy0UTofONhs%3D</t>
  </si>
  <si>
    <t>Reduce absolute Scope 1 and Scope 2 emissions by 50% from 2018 to 2030, and reduce Scope 3 emissions from fuel and energy related activities by 50% from 2018 to 2030</t>
  </si>
  <si>
    <t>- Avoid emissions by siting facilities on clean energy grids.
- Reduce ongoing projects throughout our operations with investments in green office spaces and improvements to data center efficiency.
- Mitigate and offset electricity consumption for years to come by signing virtual power purchase agreements.
- Commits that suppliers representing 60% of its scope 3 emissions, covering all upstream emission categories, will set science-based targets by 2024</t>
  </si>
  <si>
    <t>Net zero as of FY18 through carbon offsets (including Scope 3)
Scope 3 only includes business travel and employee commuting</t>
  </si>
  <si>
    <t>- https://www.salesforce.com/content/dam/web/en_us/www/documents/white-papers/sustainability-FY20-stakeholder-impact-report.pdf
- https://www.salesforce.com/content/dam/web/en_us/www/documents/reports/sustainability-FY19-stakeholder-impact-report.pdf
- https://www.salesforce.com/content/dam/web/en_us/www/documents/reports/sustainability-FY18-stakeholder-impact-report.pdf
- https://www.salesforce.com/content/dam/web/en_us/www/documents/datasheets/sfdc-fy17-stakeholder-impact.pdf</t>
  </si>
  <si>
    <t>- Sells CCUS services to clients</t>
  </si>
  <si>
    <t>- https://investorcenter.slb.com/news-releases/news-release-details/schlumberger-announces-full-year-and-fourth-quarter-2019-results#:~:text=Schlumberger%20CEO%20Olivier%20Le%20Peuch,achievement%20under%20these%20market%20conditions.
- https://www.slb.com/globalstewardship/pdf/Schlumberger_GlobalStewardship_2018.pdf
- https://www.slb.com/globalstewardship/pdf/Schlumberger_GlobalStewardship_2016.pdf
- https://www.slb.com/newsroom/press-release/2019/pr-2019-1219-slb-gs-sbti</t>
  </si>
  <si>
    <t>None stated</t>
  </si>
  <si>
    <t>-  Proprietary sustainability benchmarking tool for enclosed centers that allow us to better compare properties to improve the shopping center’s overall energy use
- Upgraded conventional lighting such as fluorescent and metal halide to energy-efficient LED lighting at over 200 properties over the last few years
- Investing in intelligent energy pilots of sensor-enabled LEDs in partnership with industry-leading companies such as GE and Acuity. Simon will further explore opportunities to install smart networks and sensors to optimize LED lighting both indoors and out
- Continuously assesses our portfolio to upgrade to more efficient equipment, such as Central Plant, Energy Management Systems, and HVAC replacements. Energy audits and retrocommissioning are the foundation of our energy efficiency programs
- Installing 3MW solar photovoltaic arrays at three regional malls and three Premium Outlets; completed roof-top solar and battery storage installations
- Expanding electric vehicle charging stations</t>
  </si>
  <si>
    <t>- https://simon-malls.cld.bz/Simon-Sustainability-Report-2019
- https://simon-malls.cld.bz/Simon-Sustainability-Report-2018
- https://simon-malls.cld.bz/Simon-Sustainability-Report-2016
- https://investors.simon.com/news-releases/news-release-details/simon-launches-bold-new-vision-sustainability</t>
  </si>
  <si>
    <t>50% emissions reduction from 2007 to 2030 (intermediary goal on path to net zero in 2050)
2007 Scopes 1 + 2: 156650362.8</t>
  </si>
  <si>
    <t>- Growing our investment in renewable energy, modernizing the grid to optimize technology advancements, increasing the use of natural gas, building new nuclear generating units, continuing our industry-leading, robust research and development (R&amp;D) efforts, and investing in energy efficiency for savings on both sides of the meter
- Invests in the research, development and deployment of new technologies, such as carbon capture, utilization and storage
- Policy engagement but focus on environmental policy unclear</t>
  </si>
  <si>
    <t>- https://s2.q4cdn.com/471677839/files/doc_financials/2019/annual/SO_2019_AR_Final.pdf
- https://www.southerncompany.com/content/dam/southern-company/pdf/corpresponsibility/The-Southern-Company-2018-CDP-Climate-Change-response.pdf
- https://www.southerncompany.com/content/dam/southern-company/pdf/corpresponsibility/CDP-Climate-Disclosure-2019.pdf
- https://www.southerncompany.com/corporate-responsibility/environment/air-and-climate.html
- https://www.southerncompany.com/content/dam/southern-company/pdf/corpresponsibility/2017_Corporate_Responsibility_Report.pdf
- https://www.southerncompany.com/content/dam/southern-company/pdf/reports/CarbonDisclosureReport2016.pdf
- https://www.cdp.net/en/formatted_responses/responses?campaign_id=66216852&amp;discloser_id=831071&amp;locale=en&amp;organization_name=The+Southern+Company&amp;organization_number=18951&amp;program=Investor&amp;project_year=2019&amp;redirect=https%3A%2F%2Fcdp.credit360.com%2Fsurveys%2F9hz110bc%2F54074&amp;survey_id=65670419
- https://www.southerncompany.com/content/dam/southern-company/pdf/corpresponsibility/CDP-Climate-Disclosure-2020.pdf</t>
  </si>
  <si>
    <t>50% reduction in Scope 1, 2 + 3 from 2020 to 2030</t>
  </si>
  <si>
    <t>No target date</t>
  </si>
  <si>
    <t>- At the farm level, we have worked with Conservation International to include climate-smart agricultural practices as part of Coffee and Farmer Equity (C.A.F.E.) practices, our ethical Coffee buying guidelines
- Through the purchase of Renewable Energy Credits (RECs) we are able to offset 62% of our store emissions globally
- Expanding plant-based and environmentally friendly menu options (shifting consumers away from dairy to alternative milks)
- Shifting from single-use to reusable packaging
- Investing in innovative agricultural, water conservation and reforestation practices
- Looking for ways to better manage waste (including food waste) in stores and in communities
- Developing more eco-friendly operations, from stores to supply chain to manufacturing</t>
  </si>
  <si>
    <t>- https://www.starbucks.com/responsibility/environment/climate-change
- https://stories.starbucks.com/uploads/2020/01/Starbucks-Environmental-Baseline-Report.pdf
- https://stories.starbucks.com/stories/2020/5-things-to-know-about-starbucks-new-environmental-sustainability-commitment/
- https://fortune.com/2020/01/21/starbucks-carbon-footprint-dairy/</t>
  </si>
  <si>
    <t>30% reduction in Scope 1, 2 + 3 emissions from 2017 to 2030</t>
  </si>
  <si>
    <t>2030
60% by 2025</t>
  </si>
  <si>
    <t>- Committing 80 percent of our suppliers by spend to set science-based reduction targets on their Scope 1 and 2 emissions by 2023
- Partnership with the Apparel Impact Institute’s Clean by Design program, which is reducing the environmental impact of textile mills
- Plan to leverage the Vietnam Improvement Program in partnership with the International Finance Corporation as it increases factories’ energy and water efficiency
- Launching an electric vehicle programs
- Converting to LED lights
- Adopting renewable energy onsite and through PPAs</t>
  </si>
  <si>
    <t>- https://corporate.target.com/annual-reports/2019
- https://corporate.target.com/_media/TargetCorp/csr/pdf/2019_corporate_responsibility_report.pdf
- https://corporate.target.com/_media/targetcorp/csr/pdf/2016-corporate-social-responsibility-report.pdf
- https://corporate.target.com/_media/TargetCorp/csr/pdf/2018_corporate_responsibility_report.pdf
- https://corporate.target.com/_media/TargetCorp/csr/pdf/2015-Corporate-Social-Responsibility-Report.pdf</t>
  </si>
  <si>
    <t>None beyond 15% Scope 1 + 2 reduction from 2015 to 2020</t>
  </si>
  <si>
    <t>- Reducing energy use through improved building energy efficiency
- Reducing PFCs by using alternative gases and reusing chemicals
- Encouraging employees to use alternative forms of transportation to commute to work
- - but to PACs that support their "competitiveness," not environmental causes</t>
  </si>
  <si>
    <t>- https://www.ti.com/lit/ml/sszo049/sszo049.pdf?ts=1594900881760&amp;ref_url=https%253A%252F%252Fwww.google.com%252F
- https://www.ti.com/lit/ml/sszo011/sszo011.pdf?ts=1594900884309&amp;ref_url=https%253A%252F%252Fwww.google.com%252F</t>
  </si>
  <si>
    <t>-Reduce GHG emissions by 20% by 2025 from a 2018 base year
- maintain carbon neutrality commitment through 2025
-Offsets purchased for Scope 3 emissions
-Purchase of Renewable energy certifcates to offset non-renewable energy use</t>
  </si>
  <si>
    <t>By 2020, reduce net emissions by 50% compared to a 2012 baseline
2012 Scope 1 + 2: 1742927</t>
  </si>
  <si>
    <t>- In 2019, we brought online a new 270-acre, 50 megawatt solar facility at Walt Disney World, built in collaboration with the Reedy Creek Improvement District and Origis Energy USA. This facility is anticipated to generate enough power from the sun to operate two of our four theme parks in Orlando annually
- Operate our bus fleet at Walt Disney World using 50% renewable diesel fuel, while our film and TV productions are piloting electric generators on set
- Commuter assistance program for employees
- The Grand Central Creative Campus expansion in Glendale, CA received a Leadership in Energy and Environmental Design (LEED) Platinum certification. The 460-kilowatt solar photovoltaic installation on the parking garage provides 12% of the energy use for the new building</t>
  </si>
  <si>
    <t>- https://thewaltdisneycompany.com/environmental-sustainability/
- https://www.cdp.net/en/responses?page=2&amp;per_page=5&amp;queries%5Bname%5D=disney&amp;sort_by=project_year&amp;sort_dir=desc&amp;utf8=%E2%9C%93
- https://www.cdp.net/en/formatted_responses/responses?campaign_id=66216852&amp;discloser_id=827642&amp;locale=en&amp;organization_name=Walt+Disney+Company&amp;organization_number=20384&amp;program=Investor&amp;project_year=2019&amp;redirect=https%3A%2F%2Fcdp.credit360.com%2Fsurveys%2F9hz110bc%2F55701&amp;survey_id=65670419</t>
  </si>
  <si>
    <t>- Some investments in renewable energy projects like solar
- Some investments to make products that can be reused to reduce single use plastics</t>
  </si>
  <si>
    <t>- https://www.thermofisher.com/content/dam/LifeTech/global/CSR/2018%20CSR%20Report.pdf
- https://www.thermofisher.com/us/en/home/about-us/corporate-social-responsibility/environment/performance.html
- https://www.thermofisher.com/content/dam/LifeTech/Documents/PDFs/2018_Thermo_Fisher_Scientific_CDP_Report_2017reportingperiod.pdf</t>
  </si>
  <si>
    <t>N - partnered with environmnetal NGOs who lobby but not actively engaged in policy work</t>
  </si>
  <si>
    <t>- Committed to investing in technology that helps us identify fuel saving opportunities and increase locomotive productivity. For example, new software helps us predict potential locomotive failures
- Building longer trains, meaning fewer locomotives haul the same amount of freight, thus reducing emissions
- Purchased nearly 14,000 square yards of carbon neutral flooring, resulting in the retirement of 120 metric tons of carbon dioxide
- Scope 3 business travel</t>
  </si>
  <si>
    <t>- https://www.up.com/cs/groups/public/@uprr/@corprel/documents/up_pdf_nativedocs/pdf_up_2019_building_america_r.pdf
- https://www.up.com/cs/groups/public/@uprr/documents/up_pdf_nativedocs/pdf_up_build_america_rep_2017.pdf</t>
  </si>
  <si>
    <t>Healthcare Plans</t>
  </si>
  <si>
    <t>From 2017 baseline, 3% Scope 1 + 2 reduction by 2023</t>
  </si>
  <si>
    <t xml:space="preserve">- Goal is to decrease our environmental impact through energy conservation and renewable energy; incorporate energy efficiency and high-performance design during construction practices; and invest annually in energy efficiency projects to reduce carbon emissions
- Completed 20 funded sustainability projects including interior and exterior lighting upgrades and water reduction projects
- Maintained business operations in LEED-certified facilities (Leadership in Energy &amp; Environmental Design) totaling 2.1 million square feet
</t>
  </si>
  <si>
    <t>- https://www.unitedhealthgroup.com/viewer.html?file=%2Fcontent%2Fdam%2FUHG%2FPDF%2FAbout%2FUNH-Environmental-Impact-Statement.pdf
- https://www.unitedhealthgroup.com/what-we-do/performance-tables.html</t>
  </si>
  <si>
    <t>From 2015 baseline, 12% reduction in Scope 1 + 2 by 2025</t>
  </si>
  <si>
    <t>Y - participate in public policy forums, where we advocate for prudent innovation and investment
in new technologies and infrastructure development</t>
  </si>
  <si>
    <t>- Utilizing operational improvements through technology to create overall network and delivery efficiencies beyond reducing miles/fuel, (e.g., higher trailer utilization, decreased sortation time, increased safety, reduced errors/duplication of work, higher asset utilization/less waste, etc.) that reduce GHG footprint;
- Expanding our fleet of alternative fuel and advanced technology vehicles, known as our rolling laboratory, in order to reduce the proportion of conventional fuels we use;
- Reducing conventional energy use and increasing the use of renewable energy in our facilities and alternative fuel in our fleet;
- Providing customers with services that help them reduce their environmental impact; and
- Helping increase supplier awareness about GHG emissions and how to reduce them</t>
  </si>
  <si>
    <t>- https://sustainability.ups.com/media/2018-gri-index.pdf
- https://sustainability.ups.com/media/GRI-Index-2017.pdf</t>
  </si>
  <si>
    <t>1968?</t>
  </si>
  <si>
    <t>From 2014 baseline, 40% reduction by 2029 and 60% reduction by 2044
2014 Scope 1 + 2: 415211</t>
  </si>
  <si>
    <t>- In 2019 alone, U.S. Bank committed more than $1.2 billion to finance over 2.2 gigawatts of renewable energy projects throughout the U.S.
- To date, we have 26 LEED certified branches and are continuing to follow sustainable principles in the design of our new facilities with plans to maintain this focus in the future
- Partnerships with CERES, GRID Alternatives, and Earthwatch Ignite Program -- environmental NGOs -- to better understand environmental issues and identify solutions
- We will continue to evaluate opportunities to invest in products and practices that reduce our dependence on energy in areas such as facilities, equipment, operations and business travel</t>
  </si>
  <si>
    <t>- https://www.usbank.com/about-us-bank/community/sustainability.html
- https://www.usbank.com/about-us-bank/community/sustainability/environment-initiatives.html
- https://www.usbank.com/dam/documents/pdf/about-us-bank/community/sustainability/USBank-2019-CDP.pdf
- https://www.usbank.com/dam/documents/pdf/about-us-bank/community/sustainability/USBank-2017-CDP-Report_v2.pdf
- https://www.usbank.com/dam/documents/pdf/about-us-bank/community/sustainability/Environmental-Responsibility-Policy-2019.pdf
- https://www.cdp.net/en/formatted_responses/responses?campaign_id=66216852&amp;discloser_id=824883&amp;locale=en&amp;organization_name=U.S.+Bancorp&amp;organization_number=19593&amp;program=Investor&amp;project_year=2019&amp;redirect=https%3A%2F%2Fcdp.credit360.com%2Fsurveys%2F9hz110bc%2F54190&amp;survey_id=65670419</t>
  </si>
  <si>
    <t>Updated scope3 in 2018</t>
  </si>
  <si>
    <t>50% by 2025</t>
  </si>
  <si>
    <t>- A 28% Carbon Intensity reduction since 2016 with the goal set for a 50% carbon intensity reduction by 2025
- A green energy initiative which has offset 20,000 metric tons of CO2
- A 2025 commitment to source renewable energy equivalent to 50% of Verizon's total electricity usage
- Carbon abatement will enable customers to also reduce their carbon footprint
- 278 ENERGY STAR-certified buildings and 22 onsite renewable energy installations
- 28,000 Green Team employees in 44 countries
- Two million trees planted by 2030 with more than 700,000 planted already</t>
  </si>
  <si>
    <t>Scope 1 and 2 emissions</t>
  </si>
  <si>
    <t>- https://www.verizon.com/about/news/verizon-goes-carbon-neutral-2035
- https://www.verizon.com/about/sites/default/files/corporate-responsibility-report/2018/environment/emissions.html
- https://www.verizon.com/about/sites/default/files/esg-report/2019/environmental/our-emissions-by-scope.html</t>
  </si>
  <si>
    <t>- Green building design (64% LEED certified)
- Energy efficiency (lighting upgrades and motion sensors)
- Efficient electronics policy that mandates at least 90 percent of new electronics in our largest corporate campus offices meet either ENERGY STAR or EPACT certification standards
- Progress towards our commitment to purchase 100 percent renewable electricity
- Use mechanical cooling
- Reduce refrigerant use
- Decomission underutilized servers
- Commuter benefits and other incentives to encourage sustainable employee behavior</t>
  </si>
  <si>
    <t>Included purchased goods and services and employee commuting for first time in 2018 Scope 3 reporting</t>
  </si>
  <si>
    <t>- https://s1.q4cdn.com/050606653/files/doc_financials/2019/q4/Visa-Inc.-Q4-2019-Financial-Results.pdf
- https://usa.visa.com/dam/VCOM/download/corporate-responsibility/visa-2018-corporate-responsibility-report.pdf
- https://usa.visa.com/dam/VCOM/download/corporate-responsibility/visa-2017-corporate-responsibility-report.pdf</t>
  </si>
  <si>
    <t xml:space="preserve"> </t>
  </si>
  <si>
    <t>- Invest in energy efficient lighting, heating, ventilation and air conditioning (HVAC) units and refrigerators, engage and educate employees around energy consumption, Invest in photovoltaic systems, source electricity from low-carbon generation sources, use alternative energy management programs, contract to purchase electricity generated from renewable origins in the UK and the Republic of Ireland and interact with utilities toward programmed demand-response curtailment of energy use</t>
  </si>
  <si>
    <t>- https://www.walgreensbootsalliance.com/corporate-social-responsibility/resource-library
- https://www.walgreensbootsalliance.com/corporate-social-responsibility/csr-report-archive</t>
  </si>
  <si>
    <t>18% reduction from 2015 to 2025</t>
  </si>
  <si>
    <t>Membership and participation but seemingly little advocacy - Renewable Energy Buyers Alliance, Paris and Bonn Negotiations, We Are Still In</t>
  </si>
  <si>
    <t>- Under Project GigatonTM, aim to work with suppliers to avoid 1 billion metric tons of greenhouse gases from the global value chain by 2030 (Scope 3) (1,000 suppliers had signed on by 2019) - engages suppliers in setting targets and pursuing initiatives to avoid emissions in any of six areas where there are opportunities to do so: energy use, sustainable agriculture, waste, deforestation, packaging and product use
- 50% renewable energy by 2025
- In FY2017, Walmart and the Walmart Foundation pledged $25 million in cash and in-kind donations to support disaster preparedness and relief through 2020
- Improving the performance of our refrigeration systems
- Maximizing the sustainability of our fleet</t>
  </si>
  <si>
    <t>First retailer to announce a science-based target to reduce greenhouse gases in alignment with the Paris Agreement
Has not reported emissions for 2018 or 2019</t>
  </si>
  <si>
    <t>- https://corporate.walmart.com/media-library/document/2019-environmental-social-governance-report/_proxyDocument?id=0000016c-20b5-d46a-afff-f5bdafd30000
- https://ilsr.org/wp-content/uploads/2012/04/topten-walmartsustainability.pdf</t>
  </si>
  <si>
    <t>45% + reduction from 2008 Scope 1, 2 + business air travel emissions (2008 total: 1,953,466)</t>
  </si>
  <si>
    <t>N - renewable energy RECs though</t>
  </si>
  <si>
    <t>- Continue to purchase renewable electricity to meet 100% of our global operations needs (purchased RECs)
- Transition to long-term agreements that fund new sources of green power by 2020
- Sustain or increase our 45% reduction in greenhouse gas emissions from 2008 levels
- Reduce energy consumption 40% (2008 to 2020)
- Achieve LEED® status for 35% of buildings (by square footage in leased and owned buildings)
- Provide $200 billion in financing to sustainable businesses and projects (2018-2030) with more than 50 percent focused on clean technology and renewable energy transactions that directly support the transition to a low-carbon economy</t>
  </si>
  <si>
    <t>- https://www08.wellsfargomedia.com/assets/pdf/about/corporate-responsibility/gri-environmental-indicators.pdf
- https://www08.wellsfargomedia.com/assets/pdf/about/corporate-responsibility/verification-statement.pdf
- https://www08.wellsfargomedia.com/assets/pdf/about/corporate-responsibility/climate-change-issue-brief.pdf
- https://www08.wellsfargomedia.com/assets/pdf/about/corporate-responsibility/climate-change-information-request.pdf
- https://www08.wellsfargomedia.com/assets/pdf/about/corporate-responsibility/2015-social-responsibility-report.pdf</t>
  </si>
  <si>
    <t>mid_scores = sorted_df.loc[(sorted_df['time_frame']==ETimeFrames.MID) &amp; (sorted_df['scope']==EScope.S1S2)][cols].head(27)</t>
  </si>
  <si>
    <t>long_scores = sorted_df.loc[(sorted_df['time_frame']==ETimeFrames.LONG)&amp;(sorted_df['scope']==EScope.S1S2)][cols].head(14)</t>
  </si>
  <si>
    <t>temperature_score</t>
  </si>
  <si>
    <t>no_scope3</t>
  </si>
  <si>
    <t>scope_3</t>
  </si>
  <si>
    <t>no_net_0</t>
  </si>
  <si>
    <t>net_0</t>
  </si>
  <si>
    <t>no_science_based</t>
  </si>
  <si>
    <t>science_based</t>
  </si>
  <si>
    <t>no_re100</t>
  </si>
  <si>
    <t>re100</t>
  </si>
  <si>
    <t>under_perf</t>
  </si>
  <si>
    <t>over_perf</t>
  </si>
  <si>
    <t>%under_perf</t>
  </si>
  <si>
    <t>Ctrl1</t>
  </si>
  <si>
    <t>Ctrl2</t>
  </si>
  <si>
    <t>Ctrl3</t>
  </si>
</sst>
</file>

<file path=xl/styles.xml><?xml version="1.0" encoding="utf-8"?>
<styleSheet xmlns="http://schemas.openxmlformats.org/spreadsheetml/2006/main" xmlns:x14ac="http://schemas.microsoft.com/office/spreadsheetml/2009/9/ac" xmlns:mc="http://schemas.openxmlformats.org/markup-compatibility/2006">
  <numFmts count="11">
    <numFmt numFmtId="164" formatCode="d.m"/>
    <numFmt numFmtId="165" formatCode="d/m/yyyy"/>
    <numFmt numFmtId="166" formatCode="0.0%"/>
    <numFmt numFmtId="167" formatCode="dd/mm/yyyy"/>
    <numFmt numFmtId="168" formatCode="_(* #,##0_);_(* \(#,##0\);_(* &quot;-&quot;??_);_(@_)"/>
    <numFmt numFmtId="169" formatCode="_(* #,##0.00_);_(* \(#,##0.00\);_(* &quot;-&quot;??_);_(@_)"/>
    <numFmt numFmtId="170" formatCode="0.0000%"/>
    <numFmt numFmtId="171" formatCode="0.0"/>
    <numFmt numFmtId="172" formatCode="_(* #,##0.000000_);_(* \(#,##0.000000\);_(* &quot;-&quot;??_);_(@_)"/>
    <numFmt numFmtId="173" formatCode="&quot;$&quot;#,##0"/>
    <numFmt numFmtId="174" formatCode="&quot;$&quot;#,##0_);[Red]\(&quot;$&quot;#,##0\)"/>
  </numFmts>
  <fonts count="32">
    <font>
      <sz val="10.0"/>
      <color rgb="FF000000"/>
      <name val="Arial"/>
    </font>
    <font>
      <color theme="1"/>
      <name val="Arial"/>
    </font>
    <font>
      <sz val="7.0"/>
      <color rgb="FF000000"/>
      <name val="Arial"/>
    </font>
    <font>
      <u/>
      <sz val="7.0"/>
      <color rgb="FF000000"/>
      <name val="Arial"/>
    </font>
    <font>
      <sz val="11.0"/>
      <color rgb="FF000000"/>
      <name val="Arial"/>
    </font>
    <font>
      <sz val="11.0"/>
      <color theme="1"/>
      <name val="Arial"/>
    </font>
    <font>
      <sz val="12.0"/>
      <color rgb="FF000000"/>
      <name val="Arial"/>
    </font>
    <font>
      <sz val="12.0"/>
      <color theme="1"/>
      <name val="Arial"/>
    </font>
    <font>
      <sz val="12.0"/>
      <color rgb="FFFFFFFF"/>
      <name val="Arial"/>
    </font>
    <font>
      <b/>
      <color theme="1"/>
      <name val="Arial"/>
    </font>
    <font>
      <b/>
      <sz val="10.0"/>
      <color rgb="FF000000"/>
      <name val="Arial"/>
    </font>
    <font>
      <color rgb="FFFFFFFF"/>
      <name val="Arial"/>
    </font>
    <font>
      <sz val="11.0"/>
      <color rgb="FF434343"/>
      <name val="Arial"/>
    </font>
    <font>
      <sz val="11.0"/>
      <color rgb="FFFF0000"/>
      <name val="Arial"/>
    </font>
    <font>
      <sz val="8.0"/>
      <color rgb="FF000000"/>
      <name val="&quot;3MCircularTTBook&quot;"/>
    </font>
    <font>
      <sz val="8.0"/>
      <color rgb="FF474747"/>
      <name val="Helvetica"/>
    </font>
    <font>
      <color rgb="FF000000"/>
      <name val="Arial"/>
    </font>
    <font>
      <sz val="6.0"/>
      <color rgb="FF3C3C3B"/>
      <name val="SFHello"/>
    </font>
    <font>
      <color rgb="FF000000"/>
      <name val="Roboto"/>
    </font>
    <font>
      <i/>
      <color rgb="FFCC0000"/>
      <name val="Arial"/>
    </font>
    <font>
      <sz val="7.0"/>
      <color theme="1"/>
      <name val="Arial"/>
    </font>
    <font>
      <sz val="11.0"/>
      <color rgb="FFD4D4D4"/>
      <name val="Quattrocento Sans"/>
    </font>
    <font>
      <sz val="10.0"/>
      <color theme="1"/>
      <name val="Arimo"/>
    </font>
    <font>
      <i/>
      <sz val="10.0"/>
      <color rgb="FF000000"/>
      <name val="Arial"/>
    </font>
    <font>
      <u/>
      <sz val="10.0"/>
      <color theme="10"/>
      <name val="Arial"/>
    </font>
    <font>
      <sz val="10.0"/>
      <color rgb="FFFF0000"/>
      <name val="Arial"/>
    </font>
    <font>
      <sz val="11.0"/>
      <color rgb="FF000000"/>
      <name val="Quattrocento Sans"/>
    </font>
    <font>
      <b/>
      <sz val="10.0"/>
      <color theme="1"/>
      <name val="Arial"/>
    </font>
    <font>
      <sz val="24.0"/>
      <color rgb="FF000000"/>
      <name val="Calibri"/>
    </font>
    <font>
      <sz val="24.0"/>
      <color rgb="FF000000"/>
      <name val="Arial"/>
    </font>
    <font>
      <sz val="24.0"/>
      <color rgb="FF4D5156"/>
      <name val="Arial"/>
    </font>
    <font>
      <sz val="24.0"/>
      <color rgb="FF333333"/>
      <name val="Arial"/>
    </font>
  </fonts>
  <fills count="35">
    <fill>
      <patternFill patternType="none"/>
    </fill>
    <fill>
      <patternFill patternType="lightGray"/>
    </fill>
    <fill>
      <patternFill patternType="solid">
        <fgColor rgb="FFD9F1F3"/>
        <bgColor rgb="FFD9F1F3"/>
      </patternFill>
    </fill>
    <fill>
      <patternFill patternType="solid">
        <fgColor rgb="FFFDE49A"/>
        <bgColor rgb="FFFDE49A"/>
      </patternFill>
    </fill>
    <fill>
      <patternFill patternType="solid">
        <fgColor rgb="FF92D050"/>
        <bgColor rgb="FF92D050"/>
      </patternFill>
    </fill>
    <fill>
      <patternFill patternType="solid">
        <fgColor rgb="FF9FC5E8"/>
        <bgColor rgb="FF9FC5E8"/>
      </patternFill>
    </fill>
    <fill>
      <patternFill patternType="solid">
        <fgColor rgb="FFB6D7A8"/>
        <bgColor rgb="FFB6D7A8"/>
      </patternFill>
    </fill>
    <fill>
      <patternFill patternType="solid">
        <fgColor rgb="FFEAD1DC"/>
        <bgColor rgb="FFEAD1DC"/>
      </patternFill>
    </fill>
    <fill>
      <patternFill patternType="solid">
        <fgColor rgb="FFC27BA0"/>
        <bgColor rgb="FFC27BA0"/>
      </patternFill>
    </fill>
    <fill>
      <patternFill patternType="solid">
        <fgColor rgb="FF1155CC"/>
        <bgColor rgb="FF1155CC"/>
      </patternFill>
    </fill>
    <fill>
      <patternFill patternType="solid">
        <fgColor rgb="FFD9D9D9"/>
        <bgColor rgb="FFD9D9D9"/>
      </patternFill>
    </fill>
    <fill>
      <patternFill patternType="solid">
        <fgColor rgb="FFFFF2CC"/>
        <bgColor rgb="FFFFF2CC"/>
      </patternFill>
    </fill>
    <fill>
      <patternFill patternType="solid">
        <fgColor rgb="FFFF0000"/>
        <bgColor rgb="FFFF0000"/>
      </patternFill>
    </fill>
    <fill>
      <patternFill patternType="solid">
        <fgColor rgb="FF0B5394"/>
        <bgColor rgb="FF0B5394"/>
      </patternFill>
    </fill>
    <fill>
      <patternFill patternType="solid">
        <fgColor rgb="FFFFE599"/>
        <bgColor rgb="FFFFE599"/>
      </patternFill>
    </fill>
    <fill>
      <patternFill patternType="solid">
        <fgColor rgb="FFFF9900"/>
        <bgColor rgb="FFFF9900"/>
      </patternFill>
    </fill>
    <fill>
      <patternFill patternType="solid">
        <fgColor rgb="FFF6B26B"/>
        <bgColor rgb="FFF6B26B"/>
      </patternFill>
    </fill>
    <fill>
      <patternFill patternType="solid">
        <fgColor rgb="FFD9E6FC"/>
        <bgColor rgb="FFD9E6FC"/>
      </patternFill>
    </fill>
    <fill>
      <patternFill patternType="solid">
        <fgColor rgb="FFBF9000"/>
        <bgColor rgb="FFBF9000"/>
      </patternFill>
    </fill>
    <fill>
      <patternFill patternType="solid">
        <fgColor rgb="FFB45F06"/>
        <bgColor rgb="FFB45F06"/>
      </patternFill>
    </fill>
    <fill>
      <patternFill patternType="solid">
        <fgColor rgb="FFCFE2F3"/>
        <bgColor rgb="FFCFE2F3"/>
      </patternFill>
    </fill>
    <fill>
      <patternFill patternType="solid">
        <fgColor rgb="FF3C78D8"/>
        <bgColor rgb="FF3C78D8"/>
      </patternFill>
    </fill>
    <fill>
      <patternFill patternType="solid">
        <fgColor rgb="FFFFFFFF"/>
        <bgColor rgb="FFFFFFFF"/>
      </patternFill>
    </fill>
    <fill>
      <patternFill patternType="solid">
        <fgColor rgb="FFB7B7B7"/>
        <bgColor rgb="FFB7B7B7"/>
      </patternFill>
    </fill>
    <fill>
      <patternFill patternType="solid">
        <fgColor rgb="FFFFFF00"/>
        <bgColor rgb="FFFFFF00"/>
      </patternFill>
    </fill>
    <fill>
      <patternFill patternType="solid">
        <fgColor rgb="FFEBEBEB"/>
        <bgColor rgb="FFEBEBEB"/>
      </patternFill>
    </fill>
    <fill>
      <patternFill patternType="solid">
        <fgColor rgb="FFE06666"/>
        <bgColor rgb="FFE06666"/>
      </patternFill>
    </fill>
    <fill>
      <patternFill patternType="solid">
        <fgColor rgb="FFD6DCE4"/>
        <bgColor rgb="FFD6DCE4"/>
      </patternFill>
    </fill>
    <fill>
      <patternFill patternType="solid">
        <fgColor rgb="FFFCD668"/>
        <bgColor rgb="FFFCD668"/>
      </patternFill>
    </fill>
    <fill>
      <patternFill patternType="solid">
        <fgColor rgb="FFDDEBF7"/>
        <bgColor rgb="FFDDEBF7"/>
      </patternFill>
    </fill>
    <fill>
      <patternFill patternType="solid">
        <fgColor rgb="FFE2EFDA"/>
        <bgColor rgb="FFE2EFDA"/>
      </patternFill>
    </fill>
    <fill>
      <patternFill patternType="solid">
        <fgColor rgb="FFFCE4D6"/>
        <bgColor rgb="FFFCE4D6"/>
      </patternFill>
    </fill>
    <fill>
      <patternFill patternType="solid">
        <fgColor rgb="FF8FD7DC"/>
        <bgColor rgb="FF8FD7DC"/>
      </patternFill>
    </fill>
    <fill>
      <patternFill patternType="solid">
        <fgColor rgb="FFF2F2F2"/>
        <bgColor rgb="FFF2F2F2"/>
      </patternFill>
    </fill>
    <fill>
      <patternFill patternType="solid">
        <fgColor rgb="FFBC8D03"/>
        <bgColor rgb="FFBC8D03"/>
      </patternFill>
    </fill>
  </fills>
  <borders count="15">
    <border/>
    <border>
      <left/>
      <right/>
      <top/>
      <bottom/>
    </border>
    <border>
      <left/>
      <right/>
      <top/>
    </border>
    <border>
      <left style="dotted">
        <color rgb="FF274E13"/>
      </left>
      <right style="dotted">
        <color rgb="FF274E13"/>
      </right>
      <top style="dotted">
        <color rgb="FF274E13"/>
      </top>
      <bottom style="dotted">
        <color rgb="FF274E13"/>
      </bottom>
    </border>
    <border>
      <right style="dotted">
        <color rgb="FF274E13"/>
      </right>
      <top style="dotted">
        <color rgb="FF274E13"/>
      </top>
      <bottom style="dotted">
        <color rgb="FF274E13"/>
      </bottom>
    </border>
    <border>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right/>
      <top style="thin">
        <color rgb="FF8DB5F8"/>
      </top>
      <bottom style="thin">
        <color rgb="FF8DB5F8"/>
      </bottom>
    </border>
    <border>
      <left/>
      <right/>
      <top style="thin">
        <color rgb="FF8DB5F8"/>
      </top>
      <bottom/>
    </border>
  </borders>
  <cellStyleXfs count="1">
    <xf borderId="0" fillId="0" fontId="0" numFmtId="0" applyAlignment="1" applyFont="1"/>
  </cellStyleXfs>
  <cellXfs count="267">
    <xf borderId="0" fillId="0" fontId="0" numFmtId="0" xfId="0" applyAlignment="1" applyFont="1">
      <alignment readingOrder="0" shrinkToFit="0" vertical="bottom" wrapText="0"/>
    </xf>
    <xf borderId="0" fillId="0" fontId="1" numFmtId="0" xfId="0" applyFont="1"/>
    <xf borderId="0" fillId="0" fontId="0" numFmtId="9" xfId="0" applyFont="1" applyNumberFormat="1"/>
    <xf borderId="1" fillId="2" fontId="2" numFmtId="0" xfId="0" applyBorder="1" applyFill="1" applyFont="1"/>
    <xf borderId="0" fillId="0" fontId="2" numFmtId="0" xfId="0" applyFont="1"/>
    <xf borderId="1" fillId="3" fontId="2" numFmtId="0" xfId="0" applyAlignment="1" applyBorder="1" applyFill="1" applyFont="1">
      <alignment horizontal="center"/>
    </xf>
    <xf borderId="0" fillId="0" fontId="3" numFmtId="0" xfId="0" applyAlignment="1" applyFont="1">
      <alignment readingOrder="0"/>
    </xf>
    <xf borderId="1" fillId="2" fontId="2" numFmtId="0" xfId="0" applyAlignment="1" applyBorder="1" applyFont="1">
      <alignment readingOrder="0"/>
    </xf>
    <xf borderId="0" fillId="0" fontId="2" numFmtId="164" xfId="0" applyAlignment="1" applyFont="1" applyNumberFormat="1">
      <alignment readingOrder="0"/>
    </xf>
    <xf borderId="0" fillId="0" fontId="2" numFmtId="0" xfId="0" applyFont="1"/>
    <xf borderId="2" fillId="2" fontId="4" numFmtId="0" xfId="0" applyAlignment="1" applyBorder="1" applyFont="1">
      <alignment horizontal="center" vertical="center"/>
    </xf>
    <xf borderId="2" fillId="2" fontId="4" numFmtId="0" xfId="0" applyAlignment="1" applyBorder="1" applyFont="1">
      <alignment horizontal="center" shrinkToFit="0" vertical="center" wrapText="0"/>
    </xf>
    <xf borderId="2" fillId="2" fontId="4" numFmtId="0" xfId="0" applyAlignment="1" applyBorder="1" applyFont="1">
      <alignment horizontal="center" readingOrder="0" shrinkToFit="0" vertical="center" wrapText="0"/>
    </xf>
    <xf borderId="3" fillId="0" fontId="1" numFmtId="0" xfId="0" applyAlignment="1" applyBorder="1" applyFont="1">
      <alignment horizontal="center" readingOrder="0" vertical="center"/>
    </xf>
    <xf borderId="3" fillId="0" fontId="4" numFmtId="0" xfId="0" applyAlignment="1" applyBorder="1" applyFont="1">
      <alignment horizontal="center" vertical="center"/>
    </xf>
    <xf borderId="3" fillId="0" fontId="5" numFmtId="0" xfId="0" applyAlignment="1" applyBorder="1" applyFont="1">
      <alignment horizontal="center" readingOrder="0" vertical="center"/>
    </xf>
    <xf borderId="3" fillId="0" fontId="5" numFmtId="165" xfId="0" applyAlignment="1" applyBorder="1" applyFont="1" applyNumberFormat="1">
      <alignment horizontal="center" readingOrder="0" vertical="center"/>
    </xf>
    <xf borderId="1" fillId="2" fontId="6" numFmtId="0" xfId="0" applyBorder="1" applyFont="1"/>
    <xf borderId="1" fillId="4" fontId="6" numFmtId="0" xfId="0" applyAlignment="1" applyBorder="1" applyFill="1" applyFont="1">
      <alignment readingOrder="0"/>
    </xf>
    <xf borderId="0" fillId="0" fontId="6" numFmtId="0" xfId="0" applyAlignment="1" applyFont="1">
      <alignment horizontal="center" readingOrder="0"/>
    </xf>
    <xf borderId="0" fillId="5" fontId="6" numFmtId="0" xfId="0" applyAlignment="1" applyFill="1" applyFont="1">
      <alignment horizontal="center" readingOrder="0"/>
    </xf>
    <xf borderId="0" fillId="0" fontId="7" numFmtId="0" xfId="0" applyAlignment="1" applyFont="1">
      <alignment readingOrder="0"/>
    </xf>
    <xf borderId="0" fillId="6" fontId="6" numFmtId="0" xfId="0" applyAlignment="1" applyFill="1" applyFont="1">
      <alignment horizontal="center" readingOrder="0"/>
    </xf>
    <xf borderId="1" fillId="3" fontId="6" numFmtId="0" xfId="0" applyAlignment="1" applyBorder="1" applyFont="1">
      <alignment horizontal="center"/>
    </xf>
    <xf borderId="3" fillId="0" fontId="1" numFmtId="0" xfId="0" applyAlignment="1" applyBorder="1" applyFont="1">
      <alignment horizontal="center" readingOrder="0" shrinkToFit="0" vertical="center" wrapText="0"/>
    </xf>
    <xf borderId="0" fillId="0" fontId="6" numFmtId="10" xfId="0" applyAlignment="1" applyFont="1" applyNumberFormat="1">
      <alignment horizontal="center" readingOrder="0"/>
    </xf>
    <xf borderId="0" fillId="0" fontId="0" numFmtId="0" xfId="0" applyAlignment="1" applyFont="1">
      <alignment horizontal="center"/>
    </xf>
    <xf borderId="0" fillId="0" fontId="6" numFmtId="0" xfId="0" applyAlignment="1" applyFont="1">
      <alignment horizontal="center"/>
    </xf>
    <xf borderId="0" fillId="5" fontId="6" numFmtId="0" xfId="0" applyAlignment="1" applyFont="1">
      <alignment horizontal="center"/>
    </xf>
    <xf borderId="0" fillId="6" fontId="6" numFmtId="0" xfId="0" applyAlignment="1" applyFont="1">
      <alignment horizontal="center"/>
    </xf>
    <xf borderId="0" fillId="5" fontId="6" numFmtId="166" xfId="0" applyAlignment="1" applyFont="1" applyNumberFormat="1">
      <alignment horizontal="center"/>
    </xf>
    <xf borderId="1" fillId="3" fontId="6" numFmtId="0" xfId="0" applyAlignment="1" applyBorder="1" applyFont="1">
      <alignment horizontal="center" readingOrder="0"/>
    </xf>
    <xf borderId="3" fillId="7" fontId="1" numFmtId="0" xfId="0" applyAlignment="1" applyBorder="1" applyFill="1" applyFont="1">
      <alignment horizontal="center" readingOrder="0" shrinkToFit="0" vertical="center" wrapText="0"/>
    </xf>
    <xf borderId="0" fillId="0" fontId="6" numFmtId="9" xfId="0" applyAlignment="1" applyFont="1" applyNumberFormat="1">
      <alignment horizontal="center" readingOrder="0"/>
    </xf>
    <xf borderId="0" fillId="8" fontId="6" numFmtId="9" xfId="0" applyAlignment="1" applyFill="1" applyFont="1" applyNumberFormat="1">
      <alignment horizontal="center"/>
    </xf>
    <xf borderId="0" fillId="7" fontId="6" numFmtId="9" xfId="0" applyAlignment="1" applyFont="1" applyNumberFormat="1">
      <alignment horizontal="center"/>
    </xf>
    <xf borderId="0" fillId="0" fontId="1" numFmtId="0" xfId="0" applyAlignment="1" applyFont="1">
      <alignment readingOrder="0"/>
    </xf>
    <xf borderId="0" fillId="0" fontId="1" numFmtId="0" xfId="0" applyAlignment="1" applyFont="1">
      <alignment horizontal="center" readingOrder="0"/>
    </xf>
    <xf borderId="0" fillId="0" fontId="1" numFmtId="9" xfId="0" applyAlignment="1" applyFont="1" applyNumberFormat="1">
      <alignment horizontal="center" readingOrder="0"/>
    </xf>
    <xf borderId="0" fillId="0" fontId="0" numFmtId="0" xfId="0" applyAlignment="1" applyFont="1">
      <alignment horizontal="center" readingOrder="0"/>
    </xf>
    <xf borderId="0" fillId="0" fontId="0" numFmtId="166" xfId="0" applyAlignment="1" applyFont="1" applyNumberFormat="1">
      <alignment horizontal="center" readingOrder="0"/>
    </xf>
    <xf borderId="0" fillId="0" fontId="0" numFmtId="9" xfId="0" applyAlignment="1" applyFont="1" applyNumberFormat="1">
      <alignment horizontal="center" readingOrder="0"/>
    </xf>
    <xf borderId="0" fillId="8" fontId="6" numFmtId="0" xfId="0" applyAlignment="1" applyFont="1">
      <alignment horizontal="center" readingOrder="0"/>
    </xf>
    <xf borderId="0" fillId="9" fontId="8" numFmtId="0" xfId="0" applyAlignment="1" applyFill="1" applyFont="1">
      <alignment horizontal="center" readingOrder="0"/>
    </xf>
    <xf borderId="0" fillId="8" fontId="6" numFmtId="4" xfId="0" applyAlignment="1" applyFont="1" applyNumberFormat="1">
      <alignment horizontal="center"/>
    </xf>
    <xf borderId="0" fillId="8" fontId="6" numFmtId="4" xfId="0" applyAlignment="1" applyFont="1" applyNumberFormat="1">
      <alignment horizontal="center" readingOrder="0"/>
    </xf>
    <xf borderId="0" fillId="10" fontId="6" numFmtId="0" xfId="0" applyAlignment="1" applyFill="1" applyFont="1">
      <alignment horizontal="center" readingOrder="0"/>
    </xf>
    <xf borderId="0" fillId="10" fontId="1" numFmtId="0" xfId="0" applyAlignment="1" applyFont="1">
      <alignment horizontal="center" readingOrder="0" shrinkToFit="0" vertical="center" wrapText="0"/>
    </xf>
    <xf borderId="4" fillId="0" fontId="1" numFmtId="0" xfId="0" applyAlignment="1" applyBorder="1" applyFont="1">
      <alignment horizontal="center" readingOrder="0" shrinkToFit="0" vertical="center" wrapText="0"/>
    </xf>
    <xf borderId="0" fillId="10" fontId="6" numFmtId="0" xfId="0" applyAlignment="1" applyFont="1">
      <alignment horizontal="center"/>
    </xf>
    <xf borderId="0" fillId="8" fontId="6" numFmtId="49" xfId="0" applyAlignment="1" applyFont="1" applyNumberFormat="1">
      <alignment horizontal="center"/>
    </xf>
    <xf borderId="4" fillId="0" fontId="1" numFmtId="9" xfId="0" applyAlignment="1" applyBorder="1" applyFont="1" applyNumberFormat="1">
      <alignment horizontal="center" readingOrder="0" shrinkToFit="0" vertical="center" wrapText="0"/>
    </xf>
    <xf borderId="3" fillId="0" fontId="1" numFmtId="9" xfId="0" applyAlignment="1" applyBorder="1" applyFont="1" applyNumberFormat="1">
      <alignment horizontal="center" readingOrder="0" shrinkToFit="0" vertical="center" wrapText="0"/>
    </xf>
    <xf borderId="0" fillId="0" fontId="6" numFmtId="9" xfId="0" applyAlignment="1" applyFont="1" applyNumberFormat="1">
      <alignment horizontal="center"/>
    </xf>
    <xf borderId="0" fillId="0" fontId="6" numFmtId="166" xfId="0" applyAlignment="1" applyFont="1" applyNumberFormat="1">
      <alignment horizontal="center"/>
    </xf>
    <xf borderId="0" fillId="11" fontId="6" numFmtId="0" xfId="0" applyAlignment="1" applyFill="1" applyFont="1">
      <alignment horizontal="center"/>
    </xf>
    <xf borderId="0" fillId="12" fontId="6" numFmtId="166" xfId="0" applyAlignment="1" applyFill="1" applyFont="1" applyNumberFormat="1">
      <alignment horizontal="center"/>
    </xf>
    <xf borderId="0" fillId="0" fontId="1" numFmtId="0" xfId="0" applyAlignment="1" applyFont="1">
      <alignment horizontal="center"/>
    </xf>
    <xf borderId="0" fillId="0" fontId="0" numFmtId="0" xfId="0" applyAlignment="1" applyFont="1">
      <alignment horizontal="center"/>
    </xf>
    <xf borderId="0" fillId="0" fontId="1" numFmtId="166" xfId="0" applyFont="1" applyNumberFormat="1"/>
    <xf borderId="0" fillId="0" fontId="1" numFmtId="0" xfId="0" applyAlignment="1" applyFont="1">
      <alignment horizontal="center" readingOrder="0" shrinkToFit="0" vertical="center" wrapText="0"/>
    </xf>
    <xf borderId="0" fillId="0" fontId="6" numFmtId="49" xfId="0" applyAlignment="1" applyFont="1" applyNumberFormat="1">
      <alignment horizontal="center"/>
    </xf>
    <xf borderId="0" fillId="0" fontId="6" numFmtId="10" xfId="0" applyAlignment="1" applyFont="1" applyNumberFormat="1">
      <alignment horizontal="center"/>
    </xf>
    <xf borderId="0" fillId="0" fontId="0" numFmtId="166" xfId="0" applyAlignment="1" applyFont="1" applyNumberFormat="1">
      <alignment horizontal="center"/>
    </xf>
    <xf borderId="5" fillId="0" fontId="1" numFmtId="0" xfId="0" applyAlignment="1" applyBorder="1" applyFont="1">
      <alignment horizontal="center" readingOrder="0"/>
    </xf>
    <xf borderId="5" fillId="0" fontId="9" numFmtId="0" xfId="0" applyAlignment="1" applyBorder="1" applyFont="1">
      <alignment horizontal="center" readingOrder="0"/>
    </xf>
    <xf borderId="0" fillId="0" fontId="10" numFmtId="166" xfId="0" applyAlignment="1" applyFont="1" applyNumberFormat="1">
      <alignment horizontal="center"/>
    </xf>
    <xf borderId="0" fillId="0" fontId="10" numFmtId="0" xfId="0" applyAlignment="1" applyFont="1">
      <alignment horizontal="center"/>
    </xf>
    <xf borderId="0" fillId="0" fontId="0" numFmtId="10" xfId="0" applyAlignment="1" applyFont="1" applyNumberFormat="1">
      <alignment horizontal="center"/>
    </xf>
    <xf borderId="6" fillId="13" fontId="11" numFmtId="0" xfId="0" applyAlignment="1" applyBorder="1" applyFill="1" applyFont="1">
      <alignment readingOrder="0"/>
    </xf>
    <xf borderId="7" fillId="13" fontId="11" numFmtId="0" xfId="0" applyBorder="1" applyFont="1"/>
    <xf borderId="8" fillId="13" fontId="11" numFmtId="0" xfId="0" applyBorder="1" applyFont="1"/>
    <xf borderId="8" fillId="13" fontId="11" numFmtId="0" xfId="0" applyAlignment="1" applyBorder="1" applyFont="1">
      <alignment readingOrder="0"/>
    </xf>
    <xf borderId="6" fillId="0" fontId="1" numFmtId="0" xfId="0" applyAlignment="1" applyBorder="1" applyFont="1">
      <alignment horizontal="center" readingOrder="0"/>
    </xf>
    <xf borderId="7" fillId="0" fontId="1" numFmtId="0" xfId="0" applyBorder="1" applyFont="1"/>
    <xf borderId="8" fillId="0" fontId="1" numFmtId="0" xfId="0" applyBorder="1" applyFont="1"/>
    <xf borderId="8" fillId="0" fontId="1" numFmtId="166" xfId="0" applyBorder="1" applyFont="1" applyNumberFormat="1"/>
    <xf borderId="9" fillId="0" fontId="1" numFmtId="0" xfId="0" applyAlignment="1" applyBorder="1" applyFont="1">
      <alignment horizontal="center"/>
    </xf>
    <xf borderId="10" fillId="0" fontId="1" numFmtId="0" xfId="0" applyBorder="1" applyFont="1"/>
    <xf borderId="10" fillId="0" fontId="1" numFmtId="166" xfId="0" applyBorder="1" applyFont="1" applyNumberFormat="1"/>
    <xf borderId="0" fillId="0" fontId="1" numFmtId="9" xfId="0" applyAlignment="1" applyFont="1" applyNumberFormat="1">
      <alignment readingOrder="0"/>
    </xf>
    <xf borderId="0" fillId="0" fontId="1" numFmtId="9" xfId="0" applyFont="1" applyNumberFormat="1"/>
    <xf borderId="11" fillId="0" fontId="1" numFmtId="0" xfId="0" applyAlignment="1" applyBorder="1" applyFont="1">
      <alignment horizontal="center"/>
    </xf>
    <xf borderId="5" fillId="0" fontId="1" numFmtId="0" xfId="0" applyBorder="1" applyFont="1"/>
    <xf borderId="12" fillId="0" fontId="1" numFmtId="0" xfId="0" applyBorder="1" applyFont="1"/>
    <xf borderId="12" fillId="0" fontId="1" numFmtId="166" xfId="0" applyBorder="1" applyFont="1" applyNumberFormat="1"/>
    <xf borderId="2" fillId="2" fontId="4" numFmtId="0" xfId="0" applyAlignment="1" applyBorder="1" applyFont="1">
      <alignment horizontal="center" readingOrder="0" vertical="center"/>
    </xf>
    <xf borderId="3" fillId="14" fontId="4" numFmtId="0" xfId="0" applyAlignment="1" applyBorder="1" applyFill="1" applyFont="1">
      <alignment horizontal="center" readingOrder="0" shrinkToFit="0" vertical="center" wrapText="0"/>
    </xf>
    <xf borderId="3" fillId="2" fontId="4" numFmtId="0" xfId="0" applyAlignment="1" applyBorder="1" applyFont="1">
      <alignment horizontal="center" readingOrder="0" shrinkToFit="0" vertical="center" wrapText="0"/>
    </xf>
    <xf borderId="3" fillId="2" fontId="4" numFmtId="9" xfId="0" applyAlignment="1" applyBorder="1" applyFont="1" applyNumberFormat="1">
      <alignment horizontal="center" readingOrder="0" shrinkToFit="0" vertical="center" wrapText="0"/>
    </xf>
    <xf borderId="0" fillId="2" fontId="4" numFmtId="0" xfId="0" applyAlignment="1" applyFont="1">
      <alignment horizontal="center" readingOrder="0" shrinkToFit="0" vertical="center" wrapText="0"/>
    </xf>
    <xf borderId="3" fillId="15" fontId="1" numFmtId="0" xfId="0" applyAlignment="1" applyBorder="1" applyFill="1" applyFont="1">
      <alignment horizontal="center" readingOrder="0" vertical="center"/>
    </xf>
    <xf borderId="3" fillId="15" fontId="4" numFmtId="0" xfId="0" applyAlignment="1" applyBorder="1" applyFont="1">
      <alignment horizontal="center" readingOrder="0" vertical="center"/>
    </xf>
    <xf borderId="3" fillId="15" fontId="5" numFmtId="0" xfId="0" applyAlignment="1" applyBorder="1" applyFont="1">
      <alignment horizontal="center" readingOrder="0" vertical="center"/>
    </xf>
    <xf borderId="3" fillId="15" fontId="4" numFmtId="0" xfId="0" applyAlignment="1" applyBorder="1" applyFont="1">
      <alignment horizontal="center" readingOrder="0" shrinkToFit="0" vertical="center" wrapText="0"/>
    </xf>
    <xf borderId="3" fillId="15" fontId="4" numFmtId="9" xfId="0" applyAlignment="1" applyBorder="1" applyFont="1" applyNumberFormat="1">
      <alignment horizontal="center" readingOrder="0" shrinkToFit="0" vertical="center" wrapText="0"/>
    </xf>
    <xf borderId="0" fillId="15" fontId="1" numFmtId="0" xfId="0" applyFont="1"/>
    <xf borderId="3" fillId="0" fontId="5" numFmtId="167" xfId="0" applyAlignment="1" applyBorder="1" applyFont="1" applyNumberFormat="1">
      <alignment horizontal="center" readingOrder="0" vertical="center"/>
    </xf>
    <xf borderId="3" fillId="16" fontId="5" numFmtId="0" xfId="0" applyAlignment="1" applyBorder="1" applyFill="1" applyFont="1">
      <alignment horizontal="center" readingOrder="0" vertical="center"/>
    </xf>
    <xf borderId="3" fillId="16" fontId="4" numFmtId="0" xfId="0" applyAlignment="1" applyBorder="1" applyFont="1">
      <alignment horizontal="center" readingOrder="0" shrinkToFit="0" vertical="center" wrapText="0"/>
    </xf>
    <xf borderId="3" fillId="0" fontId="1" numFmtId="0" xfId="0" applyAlignment="1" applyBorder="1" applyFont="1">
      <alignment horizontal="center"/>
    </xf>
    <xf borderId="4" fillId="0" fontId="5" numFmtId="0" xfId="0" applyAlignment="1" applyBorder="1" applyFont="1">
      <alignment horizontal="center"/>
    </xf>
    <xf borderId="4" fillId="17" fontId="4" numFmtId="0" xfId="0" applyAlignment="1" applyBorder="1" applyFill="1" applyFont="1">
      <alignment horizontal="center" shrinkToFit="0" wrapText="0"/>
    </xf>
    <xf borderId="4" fillId="2" fontId="4" numFmtId="9" xfId="0" applyAlignment="1" applyBorder="1" applyFont="1" applyNumberFormat="1">
      <alignment horizontal="center" shrinkToFit="0" wrapText="0"/>
    </xf>
    <xf borderId="3" fillId="17" fontId="4" numFmtId="0" xfId="0" applyAlignment="1" applyBorder="1" applyFont="1">
      <alignment horizontal="center" readingOrder="0" shrinkToFit="0" vertical="center" wrapText="0"/>
    </xf>
    <xf borderId="3" fillId="18" fontId="1" numFmtId="0" xfId="0" applyAlignment="1" applyBorder="1" applyFill="1" applyFont="1">
      <alignment horizontal="center" readingOrder="0" vertical="center"/>
    </xf>
    <xf borderId="3" fillId="18" fontId="4" numFmtId="0" xfId="0" applyAlignment="1" applyBorder="1" applyFont="1">
      <alignment horizontal="center" vertical="center"/>
    </xf>
    <xf borderId="3" fillId="18" fontId="5" numFmtId="0" xfId="0" applyAlignment="1" applyBorder="1" applyFont="1">
      <alignment horizontal="center" readingOrder="0" vertical="center"/>
    </xf>
    <xf borderId="3" fillId="18" fontId="4" numFmtId="0" xfId="0" applyAlignment="1" applyBorder="1" applyFont="1">
      <alignment horizontal="center" readingOrder="0" shrinkToFit="0" vertical="center" wrapText="0"/>
    </xf>
    <xf borderId="3" fillId="18" fontId="4" numFmtId="9" xfId="0" applyAlignment="1" applyBorder="1" applyFont="1" applyNumberFormat="1">
      <alignment horizontal="center" readingOrder="0" shrinkToFit="0" vertical="center" wrapText="0"/>
    </xf>
    <xf borderId="3" fillId="14" fontId="1" numFmtId="0" xfId="0" applyAlignment="1" applyBorder="1" applyFont="1">
      <alignment horizontal="center" readingOrder="0" vertical="center"/>
    </xf>
    <xf borderId="3" fillId="14" fontId="4" numFmtId="0" xfId="0" applyAlignment="1" applyBorder="1" applyFont="1">
      <alignment horizontal="center" vertical="center"/>
    </xf>
    <xf borderId="3" fillId="14" fontId="5" numFmtId="165" xfId="0" applyAlignment="1" applyBorder="1" applyFont="1" applyNumberFormat="1">
      <alignment horizontal="center" readingOrder="0" vertical="center"/>
    </xf>
    <xf borderId="3" fillId="14" fontId="5" numFmtId="0" xfId="0" applyAlignment="1" applyBorder="1" applyFont="1">
      <alignment horizontal="center" readingOrder="0" vertical="center"/>
    </xf>
    <xf borderId="3" fillId="14" fontId="4" numFmtId="9" xfId="0" applyAlignment="1" applyBorder="1" applyFont="1" applyNumberFormat="1">
      <alignment horizontal="center" readingOrder="0" shrinkToFit="0" vertical="center" wrapText="0"/>
    </xf>
    <xf borderId="3" fillId="19" fontId="1" numFmtId="0" xfId="0" applyAlignment="1" applyBorder="1" applyFill="1" applyFont="1">
      <alignment horizontal="center" readingOrder="0" vertical="center"/>
    </xf>
    <xf borderId="3" fillId="19" fontId="4" numFmtId="0" xfId="0" applyAlignment="1" applyBorder="1" applyFont="1">
      <alignment horizontal="center" vertical="center"/>
    </xf>
    <xf borderId="3" fillId="19" fontId="5" numFmtId="165" xfId="0" applyAlignment="1" applyBorder="1" applyFont="1" applyNumberFormat="1">
      <alignment horizontal="center" readingOrder="0" vertical="center"/>
    </xf>
    <xf borderId="3" fillId="19" fontId="5" numFmtId="0" xfId="0" applyAlignment="1" applyBorder="1" applyFont="1">
      <alignment horizontal="center" readingOrder="0" vertical="center"/>
    </xf>
    <xf borderId="3" fillId="19" fontId="4" numFmtId="0" xfId="0" applyAlignment="1" applyBorder="1" applyFont="1">
      <alignment horizontal="center" readingOrder="0" shrinkToFit="0" vertical="center" wrapText="0"/>
    </xf>
    <xf borderId="3" fillId="19" fontId="4" numFmtId="9" xfId="0" applyAlignment="1" applyBorder="1" applyFont="1" applyNumberFormat="1">
      <alignment horizontal="center" readingOrder="0" shrinkToFit="0" vertical="center" wrapText="0"/>
    </xf>
    <xf borderId="2" fillId="20" fontId="4" numFmtId="0" xfId="0" applyAlignment="1" applyBorder="1" applyFill="1" applyFont="1">
      <alignment horizontal="center" shrinkToFit="0" vertical="center" wrapText="1"/>
    </xf>
    <xf borderId="2" fillId="20" fontId="4" numFmtId="0" xfId="0" applyAlignment="1" applyBorder="1" applyFont="1">
      <alignment horizontal="center" readingOrder="0" shrinkToFit="0" vertical="center" wrapText="1"/>
    </xf>
    <xf borderId="1" fillId="2" fontId="0" numFmtId="168" xfId="0" applyAlignment="1" applyBorder="1" applyFont="1" applyNumberFormat="1">
      <alignment horizontal="center" readingOrder="0" shrinkToFit="0" wrapText="1"/>
    </xf>
    <xf borderId="2" fillId="15" fontId="4" numFmtId="0" xfId="0" applyAlignment="1" applyBorder="1" applyFont="1">
      <alignment horizontal="center" readingOrder="0" shrinkToFit="0" vertical="center" wrapText="1"/>
    </xf>
    <xf borderId="2" fillId="21" fontId="4" numFmtId="0" xfId="0" applyAlignment="1" applyBorder="1" applyFill="1" applyFont="1">
      <alignment horizontal="center" readingOrder="0" shrinkToFit="0" vertical="center" wrapText="1"/>
    </xf>
    <xf borderId="3" fillId="0" fontId="5" numFmtId="0" xfId="0" applyAlignment="1" applyBorder="1" applyFont="1">
      <alignment horizontal="center" vertical="center"/>
    </xf>
    <xf borderId="3" fillId="0" fontId="1" numFmtId="0" xfId="0" applyAlignment="1" applyBorder="1" applyFont="1">
      <alignment horizontal="center" vertical="center"/>
    </xf>
    <xf borderId="3" fillId="0" fontId="1" numFmtId="9" xfId="0" applyAlignment="1" applyBorder="1" applyFont="1" applyNumberFormat="1">
      <alignment horizontal="center" readingOrder="0" vertical="center"/>
    </xf>
    <xf borderId="3" fillId="0" fontId="12" numFmtId="0" xfId="0" applyAlignment="1" applyBorder="1" applyFont="1">
      <alignment horizontal="center" readingOrder="0" vertical="center"/>
    </xf>
    <xf borderId="3" fillId="0" fontId="5" numFmtId="0" xfId="0" applyAlignment="1" applyBorder="1" applyFont="1">
      <alignment horizontal="center" vertical="center"/>
    </xf>
    <xf borderId="3" fillId="0" fontId="1" numFmtId="0" xfId="0" applyAlignment="1" applyBorder="1" applyFont="1">
      <alignment horizontal="center" readingOrder="0" vertical="center"/>
    </xf>
    <xf borderId="3" fillId="22" fontId="5" numFmtId="0" xfId="0" applyAlignment="1" applyBorder="1" applyFill="1" applyFont="1">
      <alignment horizontal="center" readingOrder="0" vertical="center"/>
    </xf>
    <xf borderId="3" fillId="11" fontId="1" numFmtId="9" xfId="0" applyAlignment="1" applyBorder="1" applyFont="1" applyNumberFormat="1">
      <alignment horizontal="center" readingOrder="0" vertical="center"/>
    </xf>
    <xf borderId="3" fillId="11" fontId="1" numFmtId="0" xfId="0" applyAlignment="1" applyBorder="1" applyFont="1">
      <alignment horizontal="center" readingOrder="0" vertical="center"/>
    </xf>
    <xf borderId="3" fillId="11" fontId="4" numFmtId="0" xfId="0" applyAlignment="1" applyBorder="1" applyFont="1">
      <alignment horizontal="center" vertical="center"/>
    </xf>
    <xf borderId="3" fillId="11" fontId="5" numFmtId="0" xfId="0" applyAlignment="1" applyBorder="1" applyFont="1">
      <alignment horizontal="center" readingOrder="0" vertical="center"/>
    </xf>
    <xf borderId="3" fillId="11" fontId="5" numFmtId="0" xfId="0" applyAlignment="1" applyBorder="1" applyFont="1">
      <alignment horizontal="center" vertical="center"/>
    </xf>
    <xf borderId="3" fillId="11" fontId="1" numFmtId="0" xfId="0" applyAlignment="1" applyBorder="1" applyFont="1">
      <alignment horizontal="center" readingOrder="0" vertical="center"/>
    </xf>
    <xf borderId="3" fillId="11" fontId="1" numFmtId="0" xfId="0" applyAlignment="1" applyBorder="1" applyFont="1">
      <alignment horizontal="center" readingOrder="0" shrinkToFit="0" vertical="center" wrapText="0"/>
    </xf>
    <xf borderId="0" fillId="11" fontId="1" numFmtId="0" xfId="0" applyAlignment="1" applyFont="1">
      <alignment readingOrder="0"/>
    </xf>
    <xf borderId="3" fillId="11" fontId="1" numFmtId="0" xfId="0" applyAlignment="1" applyBorder="1" applyFont="1">
      <alignment horizontal="center" vertical="center"/>
    </xf>
    <xf borderId="3" fillId="0" fontId="13" numFmtId="0" xfId="0" applyAlignment="1" applyBorder="1" applyFont="1">
      <alignment horizontal="center" readingOrder="0" vertical="center"/>
    </xf>
    <xf borderId="0" fillId="23" fontId="1" numFmtId="0" xfId="0" applyFill="1" applyFont="1"/>
    <xf borderId="3" fillId="0" fontId="5" numFmtId="169" xfId="0" applyAlignment="1" applyBorder="1" applyFont="1" applyNumberFormat="1">
      <alignment horizontal="center" readingOrder="0" vertical="center"/>
    </xf>
    <xf borderId="3" fillId="14" fontId="1" numFmtId="9" xfId="0" applyAlignment="1" applyBorder="1" applyFont="1" applyNumberFormat="1">
      <alignment horizontal="center" readingOrder="0" vertical="center"/>
    </xf>
    <xf borderId="3" fillId="0" fontId="5" numFmtId="0" xfId="0" applyAlignment="1" applyBorder="1" applyFont="1">
      <alignment horizontal="center"/>
    </xf>
    <xf borderId="3" fillId="0" fontId="1" numFmtId="166" xfId="0" applyAlignment="1" applyBorder="1" applyFont="1" applyNumberFormat="1">
      <alignment horizontal="center" readingOrder="0" shrinkToFit="0" vertical="center" wrapText="0"/>
    </xf>
    <xf borderId="0" fillId="0" fontId="5" numFmtId="0" xfId="0" applyAlignment="1" applyFont="1">
      <alignment readingOrder="0"/>
    </xf>
    <xf borderId="0" fillId="0" fontId="5" numFmtId="0" xfId="0" applyFont="1"/>
    <xf borderId="0" fillId="0" fontId="1" numFmtId="0" xfId="0" applyAlignment="1" applyFont="1">
      <alignment readingOrder="0"/>
    </xf>
    <xf borderId="0" fillId="0" fontId="1" numFmtId="170" xfId="0" applyFont="1" applyNumberFormat="1"/>
    <xf borderId="0" fillId="0" fontId="5" numFmtId="0" xfId="0" applyAlignment="1" applyFont="1">
      <alignment readingOrder="0"/>
    </xf>
    <xf borderId="3" fillId="24" fontId="1" numFmtId="0" xfId="0" applyAlignment="1" applyBorder="1" applyFill="1" applyFont="1">
      <alignment horizontal="center" readingOrder="0" vertical="center"/>
    </xf>
    <xf borderId="3" fillId="0" fontId="4" numFmtId="0" xfId="0" applyAlignment="1" applyBorder="1" applyFont="1">
      <alignment horizontal="center" readingOrder="0" vertical="center"/>
    </xf>
    <xf borderId="1" fillId="3" fontId="4" numFmtId="0" xfId="0" applyAlignment="1" applyBorder="1" applyFont="1">
      <alignment horizontal="center" readingOrder="0"/>
    </xf>
    <xf borderId="0" fillId="0" fontId="4" numFmtId="0" xfId="0" applyFont="1"/>
    <xf borderId="1" fillId="3" fontId="4" numFmtId="0" xfId="0" applyAlignment="1" applyBorder="1" applyFont="1">
      <alignment horizontal="center"/>
    </xf>
    <xf borderId="0" fillId="25" fontId="14" numFmtId="0" xfId="0" applyAlignment="1" applyFill="1" applyFont="1">
      <alignment readingOrder="0"/>
    </xf>
    <xf borderId="0" fillId="22" fontId="15" numFmtId="0" xfId="0" applyAlignment="1" applyFont="1">
      <alignment horizontal="right" readingOrder="0" vertical="bottom"/>
    </xf>
    <xf borderId="0" fillId="22" fontId="16" numFmtId="0" xfId="0" applyAlignment="1" applyFont="1">
      <alignment readingOrder="0" vertical="bottom"/>
    </xf>
    <xf borderId="0" fillId="16" fontId="1" numFmtId="0" xfId="0" applyAlignment="1" applyFont="1">
      <alignment horizontal="center" readingOrder="0" shrinkToFit="0" vertical="center" wrapText="1"/>
    </xf>
    <xf borderId="3" fillId="0" fontId="1" numFmtId="167" xfId="0" applyAlignment="1" applyBorder="1" applyFont="1" applyNumberFormat="1">
      <alignment horizontal="center" readingOrder="0" shrinkToFit="0" vertical="center" wrapText="0"/>
    </xf>
    <xf borderId="3" fillId="26" fontId="1" numFmtId="0" xfId="0" applyAlignment="1" applyBorder="1" applyFill="1" applyFont="1">
      <alignment horizontal="center" readingOrder="0" shrinkToFit="0" vertical="center" wrapText="0"/>
    </xf>
    <xf borderId="3" fillId="0" fontId="1" numFmtId="165" xfId="0" applyAlignment="1" applyBorder="1" applyFont="1" applyNumberFormat="1">
      <alignment horizontal="center" readingOrder="0" shrinkToFit="0" vertical="center" wrapText="0"/>
    </xf>
    <xf borderId="0" fillId="0" fontId="17" numFmtId="0" xfId="0" applyAlignment="1" applyFont="1">
      <alignment readingOrder="0"/>
    </xf>
    <xf borderId="0" fillId="2" fontId="4" numFmtId="0" xfId="0" applyAlignment="1" applyFont="1">
      <alignment horizontal="center" readingOrder="0" shrinkToFit="0" vertical="center" wrapText="0"/>
    </xf>
    <xf borderId="0" fillId="2" fontId="4" numFmtId="0" xfId="0" applyAlignment="1" applyFont="1">
      <alignment horizontal="center" readingOrder="0" shrinkToFit="0" vertical="center" wrapText="0"/>
    </xf>
    <xf borderId="3" fillId="15" fontId="4" numFmtId="0" xfId="0" applyAlignment="1" applyBorder="1" applyFont="1">
      <alignment horizontal="center" vertical="center"/>
    </xf>
    <xf borderId="0" fillId="15" fontId="4" numFmtId="0" xfId="0" applyAlignment="1" applyFont="1">
      <alignment horizontal="center" readingOrder="0" shrinkToFit="0" vertical="center" wrapText="0"/>
    </xf>
    <xf borderId="0" fillId="22" fontId="18" numFmtId="0" xfId="0" applyAlignment="1" applyFont="1">
      <alignment readingOrder="0"/>
    </xf>
    <xf borderId="3" fillId="0" fontId="4" numFmtId="0" xfId="0" applyAlignment="1" applyBorder="1" applyFont="1">
      <alignment horizontal="center" vertical="center"/>
    </xf>
    <xf borderId="0" fillId="13" fontId="11" numFmtId="0" xfId="0" applyAlignment="1" applyFont="1">
      <alignment horizontal="center" readingOrder="0"/>
    </xf>
    <xf borderId="0" fillId="0" fontId="1" numFmtId="0" xfId="0" applyAlignment="1" applyFont="1">
      <alignment horizontal="center" readingOrder="0" vertical="center"/>
    </xf>
    <xf borderId="3" fillId="13" fontId="11" numFmtId="9" xfId="0" applyAlignment="1" applyBorder="1" applyFont="1" applyNumberFormat="1">
      <alignment horizontal="center" readingOrder="0" vertical="center"/>
    </xf>
    <xf borderId="3" fillId="13" fontId="11" numFmtId="166" xfId="0" applyAlignment="1" applyBorder="1" applyFont="1" applyNumberFormat="1">
      <alignment horizontal="center" readingOrder="0" vertical="center"/>
    </xf>
    <xf borderId="3" fillId="0" fontId="1" numFmtId="166" xfId="0" applyAlignment="1" applyBorder="1" applyFont="1" applyNumberFormat="1">
      <alignment horizontal="center" readingOrder="0" vertical="center"/>
    </xf>
    <xf borderId="3" fillId="0" fontId="19" numFmtId="9" xfId="0" applyAlignment="1" applyBorder="1" applyFont="1" applyNumberFormat="1">
      <alignment horizontal="center" readingOrder="0" vertical="center"/>
    </xf>
    <xf borderId="0" fillId="0" fontId="1" numFmtId="9" xfId="0" applyAlignment="1" applyFont="1" applyNumberFormat="1">
      <alignment horizontal="center" readingOrder="0" vertical="center"/>
    </xf>
    <xf borderId="0" fillId="13" fontId="11" numFmtId="166" xfId="0" applyAlignment="1" applyFont="1" applyNumberFormat="1">
      <alignment horizontal="center" readingOrder="0" vertical="center"/>
    </xf>
    <xf borderId="0" fillId="0" fontId="5" numFmtId="0" xfId="0" applyFont="1"/>
    <xf borderId="0" fillId="0" fontId="5" numFmtId="0" xfId="0" applyFont="1"/>
    <xf borderId="0" fillId="0" fontId="2" numFmtId="0" xfId="0" applyAlignment="1" applyFont="1">
      <alignment horizontal="center"/>
    </xf>
    <xf borderId="0" fillId="0" fontId="2" numFmtId="0" xfId="0" applyFont="1"/>
    <xf borderId="0" fillId="0" fontId="2" numFmtId="1" xfId="0" applyAlignment="1" applyFont="1" applyNumberFormat="1">
      <alignment horizontal="center"/>
    </xf>
    <xf borderId="1" fillId="24" fontId="2" numFmtId="0" xfId="0" applyAlignment="1" applyBorder="1" applyFont="1">
      <alignment horizontal="center"/>
    </xf>
    <xf borderId="13" fillId="17" fontId="20" numFmtId="0" xfId="0" applyBorder="1" applyFont="1"/>
    <xf borderId="1" fillId="27" fontId="2" numFmtId="0" xfId="0" applyAlignment="1" applyBorder="1" applyFill="1" applyFont="1">
      <alignment horizontal="center"/>
    </xf>
    <xf borderId="1" fillId="27" fontId="2" numFmtId="1" xfId="0" applyAlignment="1" applyBorder="1" applyFont="1" applyNumberFormat="1">
      <alignment horizontal="center"/>
    </xf>
    <xf borderId="1" fillId="27" fontId="2" numFmtId="0" xfId="0" applyBorder="1" applyFont="1"/>
    <xf borderId="1" fillId="27" fontId="5" numFmtId="0" xfId="0" applyBorder="1" applyFont="1"/>
    <xf borderId="1" fillId="24" fontId="2" numFmtId="0" xfId="0" applyBorder="1" applyFont="1"/>
    <xf borderId="0" fillId="0" fontId="20" numFmtId="0" xfId="0" applyAlignment="1" applyFont="1">
      <alignment horizontal="center"/>
    </xf>
    <xf borderId="0" fillId="0" fontId="21" numFmtId="0" xfId="0" applyFont="1"/>
    <xf borderId="0" fillId="0" fontId="22" numFmtId="0" xfId="0" applyAlignment="1" applyFont="1">
      <alignment vertical="center"/>
    </xf>
    <xf borderId="0" fillId="0" fontId="2" numFmtId="169" xfId="0" applyFont="1" applyNumberFormat="1"/>
    <xf borderId="0" fillId="0" fontId="5" numFmtId="169" xfId="0" applyFont="1" applyNumberFormat="1"/>
    <xf borderId="1" fillId="24" fontId="2" numFmtId="171" xfId="0" applyBorder="1" applyFont="1" applyNumberFormat="1"/>
    <xf borderId="0" fillId="0" fontId="5" numFmtId="171" xfId="0" applyFont="1" applyNumberFormat="1"/>
    <xf borderId="1" fillId="2" fontId="2" numFmtId="0" xfId="0" applyAlignment="1" applyBorder="1" applyFont="1">
      <alignment horizontal="center"/>
    </xf>
    <xf borderId="0" fillId="0" fontId="2" numFmtId="0" xfId="0" applyAlignment="1" applyFont="1">
      <alignment horizontal="center"/>
    </xf>
    <xf borderId="0" fillId="0" fontId="2" numFmtId="1" xfId="0" applyAlignment="1" applyFont="1" applyNumberFormat="1">
      <alignment horizontal="center"/>
    </xf>
    <xf borderId="1" fillId="24" fontId="2" numFmtId="0" xfId="0" applyBorder="1" applyFont="1"/>
    <xf borderId="0" fillId="0" fontId="0" numFmtId="0" xfId="0" applyFont="1"/>
    <xf borderId="1" fillId="2" fontId="2" numFmtId="0" xfId="0" applyAlignment="1" applyBorder="1" applyFont="1">
      <alignment shrinkToFit="0" wrapText="1"/>
    </xf>
    <xf borderId="1" fillId="2" fontId="0" numFmtId="0" xfId="0" applyBorder="1" applyFont="1"/>
    <xf borderId="0" fillId="0" fontId="2" numFmtId="168" xfId="0" applyAlignment="1" applyFont="1" applyNumberFormat="1">
      <alignment horizontal="center"/>
    </xf>
    <xf borderId="1" fillId="2" fontId="0" numFmtId="0" xfId="0" applyAlignment="1" applyBorder="1" applyFont="1">
      <alignment shrinkToFit="0" wrapText="1"/>
    </xf>
    <xf borderId="1" fillId="2" fontId="0" numFmtId="168" xfId="0" applyAlignment="1" applyBorder="1" applyFont="1" applyNumberFormat="1">
      <alignment horizontal="center" shrinkToFit="0" wrapText="1"/>
    </xf>
    <xf borderId="1" fillId="2" fontId="0" numFmtId="168" xfId="0" applyAlignment="1" applyBorder="1" applyFont="1" applyNumberFormat="1">
      <alignment horizontal="center"/>
    </xf>
    <xf borderId="0" fillId="0" fontId="0" numFmtId="168" xfId="0" applyAlignment="1" applyFont="1" applyNumberFormat="1">
      <alignment horizontal="center"/>
    </xf>
    <xf borderId="1" fillId="11" fontId="2" numFmtId="0" xfId="0" applyAlignment="1" applyBorder="1" applyFont="1">
      <alignment horizontal="center"/>
    </xf>
    <xf borderId="1" fillId="11" fontId="2" numFmtId="169" xfId="0" applyAlignment="1" applyBorder="1" applyFont="1" applyNumberFormat="1">
      <alignment horizontal="center"/>
    </xf>
    <xf borderId="0" fillId="0" fontId="2" numFmtId="169" xfId="0" applyAlignment="1" applyFont="1" applyNumberFormat="1">
      <alignment horizontal="center"/>
    </xf>
    <xf borderId="0" fillId="0" fontId="2" numFmtId="168" xfId="0" applyFont="1" applyNumberFormat="1"/>
    <xf borderId="0" fillId="0" fontId="2" numFmtId="169" xfId="0" applyFont="1" applyNumberFormat="1"/>
    <xf borderId="0" fillId="0" fontId="2" numFmtId="166" xfId="0" applyFont="1" applyNumberFormat="1"/>
    <xf borderId="0" fillId="0" fontId="0" numFmtId="168" xfId="0" applyFont="1" applyNumberFormat="1"/>
    <xf borderId="0" fillId="0" fontId="0" numFmtId="169" xfId="0" applyFont="1" applyNumberFormat="1"/>
    <xf borderId="0" fillId="0" fontId="0" numFmtId="166" xfId="0" applyFont="1" applyNumberFormat="1"/>
    <xf borderId="1" fillId="28" fontId="2" numFmtId="166" xfId="0" applyBorder="1" applyFill="1" applyFont="1" applyNumberFormat="1"/>
    <xf borderId="0" fillId="0" fontId="0" numFmtId="172" xfId="0" applyAlignment="1" applyFont="1" applyNumberFormat="1">
      <alignment horizontal="center"/>
    </xf>
    <xf borderId="0" fillId="0" fontId="10" numFmtId="0" xfId="0" applyAlignment="1" applyFont="1">
      <alignment shrinkToFit="0" wrapText="1"/>
    </xf>
    <xf borderId="0" fillId="0" fontId="10" numFmtId="1" xfId="0" applyAlignment="1" applyFont="1" applyNumberFormat="1">
      <alignment shrinkToFit="0" wrapText="1"/>
    </xf>
    <xf borderId="1" fillId="29" fontId="10" numFmtId="0" xfId="0" applyAlignment="1" applyBorder="1" applyFill="1" applyFont="1">
      <alignment shrinkToFit="0" wrapText="1"/>
    </xf>
    <xf borderId="1" fillId="30" fontId="10" numFmtId="0" xfId="0" applyAlignment="1" applyBorder="1" applyFill="1" applyFont="1">
      <alignment shrinkToFit="0" wrapText="1"/>
    </xf>
    <xf borderId="1" fillId="11" fontId="10" numFmtId="0" xfId="0" applyAlignment="1" applyBorder="1" applyFont="1">
      <alignment shrinkToFit="0" wrapText="1"/>
    </xf>
    <xf borderId="1" fillId="27" fontId="10" numFmtId="0" xfId="0" applyAlignment="1" applyBorder="1" applyFont="1">
      <alignment shrinkToFit="0" wrapText="1"/>
    </xf>
    <xf borderId="1" fillId="31" fontId="10" numFmtId="0" xfId="0" applyAlignment="1" applyBorder="1" applyFill="1" applyFont="1">
      <alignment shrinkToFit="0" wrapText="1"/>
    </xf>
    <xf borderId="0" fillId="0" fontId="10" numFmtId="0" xfId="0" applyFont="1"/>
    <xf borderId="0" fillId="0" fontId="10" numFmtId="0" xfId="0" applyAlignment="1" applyFont="1">
      <alignment vertical="top"/>
    </xf>
    <xf borderId="0" fillId="0" fontId="0" numFmtId="173" xfId="0" applyFont="1" applyNumberFormat="1"/>
    <xf borderId="0" fillId="0" fontId="0" numFmtId="1" xfId="0" applyFont="1" applyNumberFormat="1"/>
    <xf borderId="0" fillId="0" fontId="0" numFmtId="3" xfId="0" applyAlignment="1" applyFont="1" applyNumberFormat="1">
      <alignment shrinkToFit="0" wrapText="1"/>
    </xf>
    <xf borderId="0" fillId="0" fontId="0" numFmtId="168" xfId="0" applyAlignment="1" applyFont="1" applyNumberFormat="1">
      <alignment shrinkToFit="0" wrapText="1"/>
    </xf>
    <xf quotePrefix="1" borderId="0" fillId="0" fontId="0" numFmtId="0" xfId="0" applyAlignment="1" applyFont="1">
      <alignment shrinkToFit="0" wrapText="1"/>
    </xf>
    <xf borderId="0" fillId="0" fontId="23" numFmtId="0" xfId="0" applyFont="1"/>
    <xf borderId="0" fillId="0" fontId="0" numFmtId="174" xfId="0" applyFont="1" applyNumberFormat="1"/>
    <xf quotePrefix="1" borderId="0" fillId="0" fontId="0" numFmtId="0" xfId="0" applyFont="1"/>
    <xf borderId="1" fillId="32" fontId="0" numFmtId="168" xfId="0" applyAlignment="1" applyBorder="1" applyFill="1" applyFont="1" applyNumberFormat="1">
      <alignment shrinkToFit="0" wrapText="1"/>
    </xf>
    <xf borderId="0" fillId="0" fontId="0" numFmtId="3" xfId="0" applyFont="1" applyNumberFormat="1"/>
    <xf borderId="0" fillId="0" fontId="0" numFmtId="0" xfId="0" applyAlignment="1" applyFont="1">
      <alignment shrinkToFit="0" wrapText="1"/>
    </xf>
    <xf borderId="1" fillId="32" fontId="0" numFmtId="0" xfId="0" applyBorder="1" applyFont="1"/>
    <xf borderId="0" fillId="0" fontId="24" numFmtId="0" xfId="0" applyAlignment="1" applyFont="1">
      <alignment shrinkToFit="0" wrapText="1"/>
    </xf>
    <xf borderId="0" fillId="0" fontId="0" numFmtId="49" xfId="0" applyFont="1" applyNumberFormat="1"/>
    <xf borderId="0" fillId="0" fontId="0" numFmtId="166" xfId="0" applyAlignment="1" applyFont="1" applyNumberFormat="1">
      <alignment shrinkToFit="0" wrapText="1"/>
    </xf>
    <xf borderId="0" fillId="0" fontId="25" numFmtId="0" xfId="0" applyFont="1"/>
    <xf borderId="10" fillId="0" fontId="26" numFmtId="0" xfId="0" applyAlignment="1" applyBorder="1" applyFont="1">
      <alignment horizontal="center" shrinkToFit="0" wrapText="1"/>
    </xf>
    <xf borderId="0" fillId="0" fontId="26" numFmtId="0" xfId="0" applyAlignment="1" applyFont="1">
      <alignment horizontal="center" shrinkToFit="0" wrapText="1"/>
    </xf>
    <xf borderId="8" fillId="0" fontId="0" numFmtId="0" xfId="0" applyBorder="1" applyFont="1"/>
    <xf borderId="10" fillId="0" fontId="21" numFmtId="0" xfId="0" applyAlignment="1" applyBorder="1" applyFont="1">
      <alignment shrinkToFit="0" wrapText="1"/>
    </xf>
    <xf borderId="5" fillId="0" fontId="21" numFmtId="0" xfId="0" applyAlignment="1" applyBorder="1" applyFont="1">
      <alignment shrinkToFit="0" wrapText="1"/>
    </xf>
    <xf borderId="12" fillId="0" fontId="21" numFmtId="0" xfId="0" applyAlignment="1" applyBorder="1" applyFont="1">
      <alignment shrinkToFit="0" wrapText="1"/>
    </xf>
    <xf borderId="12" fillId="0" fontId="26" numFmtId="0" xfId="0" applyAlignment="1" applyBorder="1" applyFont="1">
      <alignment horizontal="center" shrinkToFit="0" wrapText="1"/>
    </xf>
    <xf borderId="1" fillId="33" fontId="10" numFmtId="0" xfId="0" applyAlignment="1" applyBorder="1" applyFill="1" applyFont="1">
      <alignment horizontal="center"/>
    </xf>
    <xf borderId="1" fillId="33" fontId="10" numFmtId="0" xfId="0" applyBorder="1" applyFont="1"/>
    <xf borderId="1" fillId="33" fontId="10" numFmtId="166" xfId="0" applyAlignment="1" applyBorder="1" applyFont="1" applyNumberFormat="1">
      <alignment horizontal="center"/>
    </xf>
    <xf borderId="0" fillId="0" fontId="0" numFmtId="0" xfId="0" applyAlignment="1" applyFont="1">
      <alignment horizontal="left"/>
    </xf>
    <xf borderId="14" fillId="17" fontId="27" numFmtId="0" xfId="0" applyAlignment="1" applyBorder="1" applyFont="1">
      <alignment horizontal="left"/>
    </xf>
    <xf borderId="14" fillId="17" fontId="27" numFmtId="0" xfId="0" applyAlignment="1" applyBorder="1" applyFont="1">
      <alignment horizontal="center"/>
    </xf>
    <xf borderId="14" fillId="17" fontId="27" numFmtId="166" xfId="0" applyAlignment="1" applyBorder="1" applyFont="1" applyNumberFormat="1">
      <alignment horizontal="center"/>
    </xf>
    <xf borderId="0" fillId="0" fontId="28" numFmtId="0" xfId="0" applyFont="1"/>
    <xf borderId="0" fillId="0" fontId="29" numFmtId="0" xfId="0" applyFont="1"/>
    <xf borderId="0" fillId="0" fontId="30" numFmtId="0" xfId="0" applyFont="1"/>
    <xf borderId="1" fillId="34" fontId="31" numFmtId="0" xfId="0" applyBorder="1" applyFill="1" applyFont="1"/>
    <xf borderId="1" fillId="34" fontId="29" numFmtId="0" xfId="0" applyBorder="1" applyFont="1"/>
    <xf borderId="0" fillId="0" fontId="31" numFmtId="0" xfId="0" applyFont="1"/>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D9E6FC"/>
          <bgColor rgb="FFD9E6FC"/>
        </patternFill>
      </fill>
      <border/>
    </dxf>
    <dxf>
      <font/>
      <fill>
        <patternFill patternType="solid">
          <fgColor theme="0"/>
          <bgColor theme="0"/>
        </patternFill>
      </fill>
      <border/>
    </dxf>
  </dxfs>
  <tableStyles count="9">
    <tableStyle count="3" pivot="0" name="targets_quant-style">
      <tableStyleElement dxfId="1" type="headerRow"/>
      <tableStyleElement dxfId="2" type="firstRowStripe"/>
      <tableStyleElement dxfId="2" type="secondRowStripe"/>
    </tableStyle>
    <tableStyle count="3" pivot="0" name="targets_quant-style 2">
      <tableStyleElement dxfId="1" type="headerRow"/>
      <tableStyleElement dxfId="2" type="firstRowStripe"/>
      <tableStyleElement dxfId="2" type="secondRowStripe"/>
    </tableStyle>
    <tableStyle count="3" pivot="0" name="targets_quant-style 3">
      <tableStyleElement dxfId="1" type="headerRow"/>
      <tableStyleElement dxfId="2" type="firstRowStripe"/>
      <tableStyleElement dxfId="2" type="secondRowStripe"/>
    </tableStyle>
    <tableStyle count="3" pivot="0" name="targets_state-style">
      <tableStyleElement dxfId="1" type="headerRow"/>
      <tableStyleElement dxfId="2" type="firstRowStripe"/>
      <tableStyleElement dxfId="2" type="secondRowStripe"/>
    </tableStyle>
    <tableStyle count="3" pivot="0" name="ghg_forecast-style">
      <tableStyleElement dxfId="1" type="headerRow"/>
      <tableStyleElement dxfId="2" type="firstRowStripe"/>
      <tableStyleElement dxfId="2" type="secondRowStripe"/>
    </tableStyle>
    <tableStyle count="3" pivot="0" name="ghg_forecast-style 2">
      <tableStyleElement dxfId="1" type="headerRow"/>
      <tableStyleElement dxfId="2" type="firstRowStripe"/>
      <tableStyleElement dxfId="2" type="secondRowStripe"/>
    </tableStyle>
    <tableStyle count="3" pivot="0" name="progress-style">
      <tableStyleElement dxfId="1" type="headerRow"/>
      <tableStyleElement dxfId="2" type="firstRowStripe"/>
      <tableStyleElement dxfId="2" type="secondRowStripe"/>
    </tableStyle>
    <tableStyle count="4" pivot="0" name="target_data-style">
      <tableStyleElement dxfId="1" type="headerRow"/>
      <tableStyleElement dxfId="2" type="firstRowStripe"/>
      <tableStyleElement dxfId="2" type="secondRowStripe"/>
      <tableStyleElement dxfId="3" type="totalRow"/>
    </tableStyle>
    <tableStyle count="3" pivot="0" name="fundamental_data-style">
      <tableStyleElement dxfId="1" type="headerRow"/>
      <tableStyleElement dxfId="2" type="firstRowStripe"/>
      <tableStyleElement dxfId="2"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20" Type="http://schemas.openxmlformats.org/officeDocument/2006/relationships/worksheet" Target="worksheets/sheet17.xml"/><Relationship Id="rId42" Type="http://customschemas.google.com/relationships/workbookmetadata" Target="metadata"/><Relationship Id="rId41" Type="http://schemas.openxmlformats.org/officeDocument/2006/relationships/worksheet" Target="worksheets/sheet38.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total_scores!$O$32:$O$42</c:f>
            </c:strRef>
          </c:cat>
          <c:val>
            <c:numRef>
              <c:f>total_scores!$P$32:$P$42</c:f>
              <c:numCache/>
            </c:numRef>
          </c:val>
        </c:ser>
        <c:axId val="1441666478"/>
        <c:axId val="1435166667"/>
      </c:barChart>
      <c:catAx>
        <c:axId val="144166647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435166667"/>
      </c:catAx>
      <c:valAx>
        <c:axId val="143516666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41666478"/>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ghg_forecast!$W$6:$BA$6</c:f>
            </c:strRef>
          </c:cat>
          <c:val>
            <c:numRef>
              <c:f>ghg_forecast!$W$6:$BA$6</c:f>
              <c:numCache/>
            </c:numRef>
          </c:val>
        </c:ser>
        <c:axId val="1595155197"/>
        <c:axId val="733259969"/>
      </c:barChart>
      <c:lineChart>
        <c:varyColors val="0"/>
        <c:ser>
          <c:idx val="1"/>
          <c:order val="1"/>
          <c:spPr>
            <a:ln cmpd="sng">
              <a:solidFill>
                <a:srgbClr val="EA4335"/>
              </a:solidFill>
              <a:prstDash val="lgDash"/>
            </a:ln>
          </c:spPr>
          <c:marker>
            <c:symbol val="none"/>
          </c:marker>
          <c:cat>
            <c:strRef>
              <c:f>ghg_forecast!$W$6:$BA$6</c:f>
            </c:strRef>
          </c:cat>
          <c:val>
            <c:numRef>
              <c:f>ghg_forecast!$W$6:$BA$6</c:f>
              <c:numCache/>
            </c:numRef>
          </c:val>
          <c:smooth val="0"/>
        </c:ser>
        <c:axId val="1595155197"/>
        <c:axId val="733259969"/>
      </c:lineChart>
      <c:catAx>
        <c:axId val="159515519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733259969"/>
      </c:catAx>
      <c:valAx>
        <c:axId val="73325996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95155197"/>
      </c:valAx>
    </c:plotArea>
    <c:legend>
      <c:legendPos val="r"/>
      <c:overlay val="0"/>
      <c:txPr>
        <a:bodyPr/>
        <a:lstStyle/>
        <a:p>
          <a:pPr lvl="0">
            <a:defRPr b="0">
              <a:solidFill>
                <a:srgbClr val="1A1A1A"/>
              </a:solidFill>
              <a:latin typeface="+mn-lt"/>
            </a:defRPr>
          </a:pPr>
        </a:p>
      </c:txPr>
    </c:legend>
    <c:plotVisOnly val="1"/>
  </c:chart>
</c:chartSpace>
</file>

<file path=xl/drawings/_rels/drawing16.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866775</xdr:colOff>
      <xdr:row>27</xdr:row>
      <xdr:rowOff>0</xdr:rowOff>
    </xdr:from>
    <xdr:ext cx="6010275" cy="3533775"/>
    <xdr:graphicFrame>
      <xdr:nvGraphicFramePr>
        <xdr:cNvPr id="1879187956" name="Chart 1" title="Graphique"/>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21</xdr:col>
      <xdr:colOff>742950</xdr:colOff>
      <xdr:row>9</xdr:row>
      <xdr:rowOff>38100</xdr:rowOff>
    </xdr:from>
    <xdr:ext cx="10563225" cy="4143375"/>
    <xdr:graphicFrame>
      <xdr:nvGraphicFramePr>
        <xdr:cNvPr id="403626551" name="Chart 2" title="Graphique"/>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G1:J10" displayName="Table_1" id="1">
  <tableColumns count="4">
    <tableColumn name="offsets_inc" id="1"/>
    <tableColumn name="validator" id="2"/>
    <tableColumn name="intensity_metric" id="3"/>
    <tableColumn name="scope" id="4"/>
  </tableColumns>
  <tableStyleInfo name="targets_quant-style" showColumnStripes="0" showFirstColumn="1" showLastColumn="1" showRowStripes="1"/>
</table>
</file>

<file path=xl/tables/table2.xml><?xml version="1.0" encoding="utf-8"?>
<table xmlns="http://schemas.openxmlformats.org/spreadsheetml/2006/main" headerRowCount="0" ref="M1:Q1" displayName="Table_2" id="2">
  <tableColumns count="5">
    <tableColumn name="Column1" id="1"/>
    <tableColumn name="Column2" id="2"/>
    <tableColumn name="Column3" id="3"/>
    <tableColumn name="Column4" id="4"/>
    <tableColumn name="Column5" id="5"/>
  </tableColumns>
  <tableStyleInfo name="targets_quant-style 2"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ref="R1:S2" displayName="Table_3" id="3">
  <tableColumns count="2">
    <tableColumn name="reviewer_comment" id="1"/>
    <tableColumn name="warning" id="2"/>
  </tableColumns>
  <tableStyleInfo name="targets_quant-style 3" showColumnStripes="0" showFirstColumn="1" showLastColumn="1" showRowStripes="1"/>
</table>
</file>

<file path=xl/tables/table4.xml><?xml version="1.0" encoding="utf-8"?>
<table xmlns="http://schemas.openxmlformats.org/spreadsheetml/2006/main" headerRowCount="0" ref="F1:R1" displayName="Table_4" id="4">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targets_state-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L1:BB1" displayName="Table_5" id="5">
  <tableColumns count="4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s>
  <tableStyleInfo name="ghg_forecast-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ref="G1:I9" displayName="Table_6" id="6">
  <tableColumns count="3">
    <tableColumn name="validator" id="1"/>
    <tableColumn name="intensity_metric" id="2"/>
    <tableColumn name="scope" id="3"/>
  </tableColumns>
  <tableStyleInfo name="ghg_forecast-style 2" showColumnStripes="0" showFirstColumn="1" showLastColumn="1" showRowStripes="1"/>
</table>
</file>

<file path=xl/tables/table7.xml><?xml version="1.0" encoding="utf-8"?>
<table xmlns="http://schemas.openxmlformats.org/spreadsheetml/2006/main" headerRowCount="0" ref="F1" displayName="Table_7" id="7">
  <tableColumns count="1">
    <tableColumn name="Column1" id="1"/>
  </tableColumns>
  <tableStyleInfo name="progres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ref="A1:W103" displayName="Table_8" id="8">
  <tableColumns count="23">
    <tableColumn name="company_name" id="1"/>
    <tableColumn name="Column1" id="2"/>
    <tableColumn name="company_id" id="3"/>
    <tableColumn name="target_type" id="4"/>
    <tableColumn name="intensity_metric_original" id="5"/>
    <tableColumn name="intensity_metric" id="6"/>
    <tableColumn name="scope" id="7"/>
    <tableColumn name="coverate_original" id="8"/>
    <tableColumn name="coverage_s1" id="9"/>
    <tableColumn name="coverage_s2" id="10"/>
    <tableColumn name="coverage_s3" id="11"/>
    <tableColumn name="reduction_ambition_original" id="12"/>
    <tableColumn name="reduction_ambition" id="13"/>
    <tableColumn name="base_year" id="14"/>
    <tableColumn name="end_year" id="15"/>
    <tableColumn name="start_year" id="16"/>
    <tableColumn name="base_year_emissions_target" id="17"/>
    <tableColumn name="base_year_ghg_s1" id="18"/>
    <tableColumn name="base_year_ghg_s2" id="19"/>
    <tableColumn name="base_year_ghg_s3" id="20"/>
    <tableColumn name="achieved_reduction_original" id="21"/>
    <tableColumn name="achieved_reduction" id="22"/>
    <tableColumn name="Colonne1" id="23"/>
  </tableColumns>
  <tableStyleInfo name="target_data-style" showColumnStripes="0" showFirstColumn="1" showLastColumn="1" showRowStripes="1"/>
</table>
</file>

<file path=xl/tables/table9.xml><?xml version="1.0" encoding="utf-8"?>
<table xmlns="http://schemas.openxmlformats.org/spreadsheetml/2006/main" ref="A1:T101" displayName="Table_9" id="9">
  <tableColumns count="20">
    <tableColumn name="company_name" id="1"/>
    <tableColumn name="company_id" id="2"/>
    <tableColumn name="isic" id="3"/>
    <tableColumn name="country" id="4"/>
    <tableColumn name="region" id="5"/>
    <tableColumn name="industry_level_1" id="6"/>
    <tableColumn name="industry_level_2" id="7"/>
    <tableColumn name="industry_level_3" id="8"/>
    <tableColumn name="industry_level_4" id="9"/>
    <tableColumn name="sector" id="10"/>
    <tableColumn name="ghg_s1" id="11"/>
    <tableColumn name="ghg_s2_loc" id="12"/>
    <tableColumn name="ghg_s2_mkt" id="13"/>
    <tableColumn name="ghg_s1s2" id="14"/>
    <tableColumn name="ghg_s3" id="15"/>
    <tableColumn name="company_revenue" id="16"/>
    <tableColumn name="company_market_cap" id="17"/>
    <tableColumn name="company_enterprise_value" id="18"/>
    <tableColumn name="company_total_assets" id="19"/>
    <tableColumn name="company_cash_equivalents" id="20"/>
  </tableColumns>
  <tableStyleInfo name="fundamental_data-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adobe.com/corporate-responsibility/corporate-responsibility-reports.html" TargetMode="External"/><Relationship Id="rId2" Type="http://schemas.openxmlformats.org/officeDocument/2006/relationships/hyperlink" Target="https://sustainability.google/reports/" TargetMode="External"/><Relationship Id="rId3" Type="http://schemas.openxmlformats.org/officeDocument/2006/relationships/hyperlink" Target="https://www.altria.com/responsibility/protect-the-environment"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1.xml"/><Relationship Id="rId3" Type="http://schemas.openxmlformats.org/officeDocument/2006/relationships/vmlDrawing" Target="../drawings/vmlDrawing1.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 Id="rId5" Type="http://schemas.openxmlformats.org/officeDocument/2006/relationships/table" Target="../tables/table1.xml"/><Relationship Id="rId6" Type="http://schemas.openxmlformats.org/officeDocument/2006/relationships/table" Target="../tables/table2.xml"/><Relationship Id="rId7" Type="http://schemas.openxmlformats.org/officeDocument/2006/relationships/table" Target="../tables/table3.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 Id="rId3" Type="http://schemas.openxmlformats.org/officeDocument/2006/relationships/table" Target="../tables/table4.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 Id="rId4" Type="http://schemas.openxmlformats.org/officeDocument/2006/relationships/table" Target="../tables/table5.xml"/><Relationship Id="rId5" Type="http://schemas.openxmlformats.org/officeDocument/2006/relationships/table" Target="../tables/table6.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 Id="rId3" Type="http://schemas.openxmlformats.org/officeDocument/2006/relationships/table" Target="../tables/table7.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 Id="rId3" Type="http://schemas.openxmlformats.org/officeDocument/2006/relationships/table" Target="../tables/table8.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 Id="rId3" Type="http://schemas.openxmlformats.org/officeDocument/2006/relationships/table" Target="../tables/table9.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hyperlink" Target="https://ir-capitalone.gcs-web.com/news-releases/news-release-details/capital-one-reports-fourth-quarter-2019-net-income-12-billion-or" TargetMode="External"/><Relationship Id="rId2"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29"/>
    <col customWidth="1" min="2" max="26" width="8.71"/>
  </cols>
  <sheetData>
    <row r="1" ht="12.75" customHeight="1"/>
    <row r="2" ht="12.75" customHeight="1">
      <c r="A2" s="1" t="s">
        <v>0</v>
      </c>
      <c r="B2" s="1">
        <v>85.0</v>
      </c>
    </row>
    <row r="3" ht="12.75" customHeight="1">
      <c r="A3" s="1" t="s">
        <v>1</v>
      </c>
      <c r="B3" s="2">
        <v>0.05</v>
      </c>
    </row>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86"/>
    <col customWidth="1" min="2" max="2" width="29.57"/>
    <col customWidth="1" min="3" max="4" width="21.43"/>
    <col customWidth="1" min="5" max="6" width="13.86"/>
    <col customWidth="1" min="7" max="7" width="8.71"/>
    <col customWidth="1" min="8" max="8" width="49.0"/>
    <col customWidth="1" min="9" max="26" width="8.71"/>
  </cols>
  <sheetData>
    <row r="1" ht="9.0" customHeight="1">
      <c r="A1" s="3" t="s">
        <v>2</v>
      </c>
      <c r="B1" s="3" t="s">
        <v>3</v>
      </c>
      <c r="C1" s="3" t="s">
        <v>4</v>
      </c>
      <c r="D1" s="3" t="s">
        <v>5</v>
      </c>
      <c r="E1" s="3" t="s">
        <v>6</v>
      </c>
      <c r="F1" s="3" t="s">
        <v>7</v>
      </c>
      <c r="G1" s="3" t="s">
        <v>8</v>
      </c>
      <c r="H1" s="3" t="s">
        <v>9</v>
      </c>
      <c r="I1" s="4"/>
      <c r="J1" s="4"/>
      <c r="K1" s="4"/>
      <c r="L1" s="4"/>
      <c r="M1" s="4"/>
      <c r="N1" s="4"/>
      <c r="O1" s="4"/>
      <c r="P1" s="4"/>
      <c r="Q1" s="4"/>
      <c r="R1" s="4"/>
      <c r="S1" s="4"/>
      <c r="T1" s="4"/>
      <c r="U1" s="4"/>
      <c r="V1" s="4"/>
      <c r="W1" s="4"/>
      <c r="X1" s="4"/>
      <c r="Y1" s="4"/>
      <c r="Z1" s="4"/>
    </row>
    <row r="2" ht="9.0" customHeight="1">
      <c r="A2" s="5">
        <v>1.0</v>
      </c>
      <c r="B2" s="4" t="s">
        <v>10</v>
      </c>
      <c r="C2" s="4" t="s">
        <v>10</v>
      </c>
      <c r="D2" s="4" t="s">
        <v>11</v>
      </c>
      <c r="E2" s="4" t="s">
        <v>12</v>
      </c>
      <c r="F2" s="4" t="s">
        <v>13</v>
      </c>
      <c r="G2" s="4" t="s">
        <v>14</v>
      </c>
      <c r="H2" s="4"/>
      <c r="I2" s="4"/>
      <c r="J2" s="4"/>
      <c r="K2" s="4"/>
      <c r="L2" s="4"/>
      <c r="M2" s="4"/>
      <c r="N2" s="4"/>
      <c r="O2" s="4"/>
      <c r="P2" s="4"/>
      <c r="Q2" s="4"/>
      <c r="R2" s="4"/>
      <c r="S2" s="4"/>
      <c r="T2" s="4"/>
      <c r="U2" s="4"/>
      <c r="V2" s="4"/>
      <c r="W2" s="4"/>
      <c r="X2" s="4"/>
      <c r="Y2" s="4"/>
      <c r="Z2" s="4"/>
    </row>
    <row r="3" ht="9.0" customHeight="1">
      <c r="A3" s="5">
        <f t="shared" ref="A3:A101" si="1">A2+1</f>
        <v>2</v>
      </c>
      <c r="B3" s="4" t="s">
        <v>15</v>
      </c>
      <c r="C3" s="4" t="s">
        <v>15</v>
      </c>
      <c r="D3" s="4" t="s">
        <v>16</v>
      </c>
      <c r="E3" s="4" t="s">
        <v>17</v>
      </c>
      <c r="F3" s="4" t="s">
        <v>18</v>
      </c>
      <c r="G3" s="4" t="s">
        <v>19</v>
      </c>
      <c r="H3" s="4"/>
      <c r="I3" s="4"/>
      <c r="J3" s="4"/>
      <c r="K3" s="4"/>
      <c r="L3" s="4"/>
      <c r="M3" s="4"/>
      <c r="N3" s="4"/>
      <c r="O3" s="4"/>
      <c r="P3" s="4"/>
      <c r="Q3" s="4"/>
      <c r="R3" s="4"/>
      <c r="S3" s="4"/>
      <c r="T3" s="4"/>
      <c r="U3" s="4"/>
      <c r="V3" s="4"/>
      <c r="W3" s="4"/>
      <c r="X3" s="4"/>
      <c r="Y3" s="4"/>
      <c r="Z3" s="4"/>
    </row>
    <row r="4" ht="9.0" customHeight="1">
      <c r="A4" s="5">
        <f t="shared" si="1"/>
        <v>3</v>
      </c>
      <c r="B4" s="4" t="s">
        <v>20</v>
      </c>
      <c r="C4" s="4" t="s">
        <v>21</v>
      </c>
      <c r="D4" s="4" t="s">
        <v>22</v>
      </c>
      <c r="E4" s="4" t="s">
        <v>23</v>
      </c>
      <c r="F4" s="4" t="s">
        <v>24</v>
      </c>
      <c r="G4" s="4" t="s">
        <v>25</v>
      </c>
      <c r="H4" s="4"/>
      <c r="I4" s="4"/>
      <c r="J4" s="4"/>
      <c r="K4" s="4"/>
      <c r="L4" s="4"/>
      <c r="M4" s="4"/>
      <c r="N4" s="4"/>
      <c r="O4" s="4"/>
      <c r="P4" s="4"/>
      <c r="Q4" s="4"/>
      <c r="R4" s="4"/>
      <c r="S4" s="4"/>
      <c r="T4" s="4"/>
      <c r="U4" s="4"/>
      <c r="V4" s="4"/>
      <c r="W4" s="4"/>
      <c r="X4" s="4"/>
      <c r="Y4" s="4"/>
      <c r="Z4" s="4"/>
    </row>
    <row r="5" ht="9.0" customHeight="1">
      <c r="A5" s="5">
        <f t="shared" si="1"/>
        <v>4</v>
      </c>
      <c r="B5" s="4" t="s">
        <v>26</v>
      </c>
      <c r="C5" s="4" t="s">
        <v>26</v>
      </c>
      <c r="D5" s="4" t="s">
        <v>27</v>
      </c>
      <c r="E5" s="4" t="s">
        <v>28</v>
      </c>
      <c r="F5" s="4" t="s">
        <v>29</v>
      </c>
      <c r="G5" s="4" t="s">
        <v>30</v>
      </c>
      <c r="H5" s="4"/>
      <c r="I5" s="4"/>
      <c r="J5" s="4"/>
      <c r="K5" s="4"/>
      <c r="L5" s="4"/>
      <c r="M5" s="4"/>
      <c r="N5" s="4"/>
      <c r="O5" s="4"/>
      <c r="P5" s="4"/>
      <c r="Q5" s="4"/>
      <c r="R5" s="4"/>
      <c r="S5" s="4"/>
      <c r="T5" s="4"/>
      <c r="U5" s="4"/>
      <c r="V5" s="4"/>
      <c r="W5" s="4"/>
      <c r="X5" s="4"/>
      <c r="Y5" s="4"/>
      <c r="Z5" s="4"/>
    </row>
    <row r="6" ht="9.0" customHeight="1">
      <c r="A6" s="5">
        <f t="shared" si="1"/>
        <v>5</v>
      </c>
      <c r="B6" s="4" t="s">
        <v>31</v>
      </c>
      <c r="C6" s="4" t="s">
        <v>32</v>
      </c>
      <c r="D6" s="4" t="s">
        <v>33</v>
      </c>
      <c r="E6" s="4" t="s">
        <v>34</v>
      </c>
      <c r="F6" s="4" t="s">
        <v>35</v>
      </c>
      <c r="G6" s="4" t="s">
        <v>36</v>
      </c>
      <c r="H6" s="6" t="s">
        <v>37</v>
      </c>
      <c r="I6" s="4"/>
      <c r="J6" s="4"/>
      <c r="K6" s="4"/>
      <c r="L6" s="4"/>
      <c r="M6" s="4"/>
      <c r="N6" s="4"/>
      <c r="O6" s="4"/>
      <c r="P6" s="4"/>
      <c r="Q6" s="4"/>
      <c r="R6" s="4"/>
      <c r="S6" s="4"/>
      <c r="T6" s="4"/>
      <c r="U6" s="4"/>
      <c r="V6" s="4"/>
      <c r="W6" s="4"/>
      <c r="X6" s="4"/>
      <c r="Y6" s="4"/>
      <c r="Z6" s="4"/>
    </row>
    <row r="7" ht="9.0" customHeight="1">
      <c r="A7" s="5">
        <f t="shared" si="1"/>
        <v>6</v>
      </c>
      <c r="B7" s="4" t="s">
        <v>38</v>
      </c>
      <c r="C7" s="4" t="s">
        <v>39</v>
      </c>
      <c r="D7" s="4" t="s">
        <v>40</v>
      </c>
      <c r="E7" s="4" t="s">
        <v>41</v>
      </c>
      <c r="F7" s="4" t="s">
        <v>42</v>
      </c>
      <c r="G7" s="4" t="s">
        <v>43</v>
      </c>
      <c r="H7" s="4"/>
      <c r="I7" s="4"/>
      <c r="J7" s="4"/>
      <c r="K7" s="4"/>
      <c r="L7" s="4"/>
      <c r="M7" s="4"/>
      <c r="N7" s="4"/>
      <c r="O7" s="4"/>
      <c r="P7" s="4"/>
      <c r="Q7" s="4"/>
      <c r="R7" s="4"/>
      <c r="S7" s="4"/>
      <c r="T7" s="4"/>
      <c r="U7" s="4"/>
      <c r="V7" s="4"/>
      <c r="W7" s="4"/>
      <c r="X7" s="4"/>
      <c r="Y7" s="4"/>
      <c r="Z7" s="4"/>
    </row>
    <row r="8" ht="9.0" customHeight="1">
      <c r="A8" s="5">
        <f t="shared" si="1"/>
        <v>7</v>
      </c>
      <c r="B8" s="4" t="s">
        <v>44</v>
      </c>
      <c r="C8" s="4" t="s">
        <v>45</v>
      </c>
      <c r="D8" s="4" t="s">
        <v>46</v>
      </c>
      <c r="E8" s="4" t="s">
        <v>47</v>
      </c>
      <c r="F8" s="4" t="s">
        <v>48</v>
      </c>
      <c r="G8" s="4" t="s">
        <v>49</v>
      </c>
      <c r="H8" s="6" t="s">
        <v>50</v>
      </c>
      <c r="I8" s="4"/>
      <c r="J8" s="4"/>
      <c r="K8" s="4"/>
      <c r="L8" s="4"/>
      <c r="M8" s="4"/>
      <c r="N8" s="4"/>
      <c r="O8" s="4"/>
      <c r="P8" s="4"/>
      <c r="Q8" s="4"/>
      <c r="R8" s="4"/>
      <c r="S8" s="4"/>
      <c r="T8" s="4"/>
      <c r="U8" s="4"/>
      <c r="V8" s="4"/>
      <c r="W8" s="4"/>
      <c r="X8" s="4"/>
      <c r="Y8" s="4"/>
      <c r="Z8" s="4"/>
    </row>
    <row r="9" ht="9.0" customHeight="1">
      <c r="A9" s="5">
        <f t="shared" si="1"/>
        <v>8</v>
      </c>
      <c r="B9" s="4" t="s">
        <v>51</v>
      </c>
      <c r="C9" s="4" t="s">
        <v>52</v>
      </c>
      <c r="D9" s="4" t="s">
        <v>53</v>
      </c>
      <c r="E9" s="4" t="s">
        <v>54</v>
      </c>
      <c r="F9" s="4" t="s">
        <v>55</v>
      </c>
      <c r="G9" s="4" t="s">
        <v>56</v>
      </c>
      <c r="H9" s="6" t="s">
        <v>57</v>
      </c>
      <c r="I9" s="4"/>
      <c r="J9" s="4"/>
      <c r="K9" s="4"/>
      <c r="L9" s="4"/>
      <c r="M9" s="4"/>
      <c r="N9" s="4"/>
      <c r="O9" s="4"/>
      <c r="P9" s="4"/>
      <c r="Q9" s="4"/>
      <c r="R9" s="4"/>
      <c r="S9" s="4"/>
      <c r="T9" s="4"/>
      <c r="U9" s="4"/>
      <c r="V9" s="4"/>
      <c r="W9" s="4"/>
      <c r="X9" s="4"/>
      <c r="Y9" s="4"/>
      <c r="Z9" s="4"/>
    </row>
    <row r="10" ht="9.0" customHeight="1">
      <c r="A10" s="5">
        <f t="shared" si="1"/>
        <v>9</v>
      </c>
      <c r="B10" s="4" t="s">
        <v>58</v>
      </c>
      <c r="C10" s="4" t="s">
        <v>59</v>
      </c>
      <c r="D10" s="4" t="s">
        <v>60</v>
      </c>
      <c r="E10" s="4" t="s">
        <v>61</v>
      </c>
      <c r="F10" s="4" t="s">
        <v>60</v>
      </c>
      <c r="G10" s="4" t="s">
        <v>61</v>
      </c>
      <c r="H10" s="4"/>
      <c r="I10" s="4"/>
      <c r="J10" s="4"/>
      <c r="K10" s="4"/>
      <c r="L10" s="4"/>
      <c r="M10" s="4"/>
      <c r="N10" s="4"/>
      <c r="O10" s="4"/>
      <c r="P10" s="4"/>
      <c r="Q10" s="4"/>
      <c r="R10" s="4"/>
      <c r="S10" s="4"/>
      <c r="T10" s="4"/>
      <c r="U10" s="4"/>
      <c r="V10" s="4"/>
      <c r="W10" s="4"/>
      <c r="X10" s="4"/>
      <c r="Y10" s="4"/>
      <c r="Z10" s="4"/>
    </row>
    <row r="11" ht="9.0" customHeight="1">
      <c r="A11" s="5">
        <f t="shared" si="1"/>
        <v>10</v>
      </c>
      <c r="B11" s="4" t="s">
        <v>62</v>
      </c>
      <c r="C11" s="4" t="s">
        <v>62</v>
      </c>
      <c r="D11" s="4" t="s">
        <v>63</v>
      </c>
      <c r="E11" s="4" t="s">
        <v>64</v>
      </c>
      <c r="F11" s="4" t="s">
        <v>65</v>
      </c>
      <c r="G11" s="4" t="s">
        <v>66</v>
      </c>
      <c r="H11" s="4"/>
      <c r="I11" s="4"/>
      <c r="J11" s="4"/>
      <c r="K11" s="4"/>
      <c r="L11" s="4"/>
      <c r="M11" s="4"/>
      <c r="N11" s="4"/>
      <c r="O11" s="4"/>
      <c r="P11" s="4"/>
      <c r="Q11" s="4"/>
      <c r="R11" s="4"/>
      <c r="S11" s="4"/>
      <c r="T11" s="4"/>
      <c r="U11" s="4"/>
      <c r="V11" s="4"/>
      <c r="W11" s="4"/>
      <c r="X11" s="4"/>
      <c r="Y11" s="4"/>
      <c r="Z11" s="4"/>
    </row>
    <row r="12" ht="9.0" customHeight="1">
      <c r="A12" s="5">
        <f t="shared" si="1"/>
        <v>11</v>
      </c>
      <c r="B12" s="4" t="s">
        <v>67</v>
      </c>
      <c r="C12" s="4" t="s">
        <v>68</v>
      </c>
      <c r="D12" s="4" t="s">
        <v>69</v>
      </c>
      <c r="E12" s="4" t="s">
        <v>70</v>
      </c>
      <c r="F12" s="4" t="s">
        <v>71</v>
      </c>
      <c r="G12" s="4" t="s">
        <v>72</v>
      </c>
      <c r="H12" s="4"/>
      <c r="I12" s="4"/>
      <c r="J12" s="4"/>
      <c r="K12" s="4"/>
      <c r="L12" s="4"/>
      <c r="M12" s="4"/>
      <c r="N12" s="4"/>
      <c r="O12" s="4"/>
      <c r="P12" s="4"/>
      <c r="Q12" s="4"/>
      <c r="R12" s="4"/>
      <c r="S12" s="4"/>
      <c r="T12" s="4"/>
      <c r="U12" s="4"/>
      <c r="V12" s="4"/>
      <c r="W12" s="4"/>
      <c r="X12" s="4"/>
      <c r="Y12" s="4"/>
      <c r="Z12" s="4"/>
    </row>
    <row r="13" ht="9.0" customHeight="1">
      <c r="A13" s="5">
        <f t="shared" si="1"/>
        <v>12</v>
      </c>
      <c r="B13" s="4" t="s">
        <v>73</v>
      </c>
      <c r="C13" s="4" t="s">
        <v>73</v>
      </c>
      <c r="D13" s="4" t="s">
        <v>74</v>
      </c>
      <c r="E13" s="4" t="s">
        <v>75</v>
      </c>
      <c r="F13" s="4" t="s">
        <v>76</v>
      </c>
      <c r="G13" s="4" t="s">
        <v>77</v>
      </c>
      <c r="H13" s="4"/>
      <c r="I13" s="4"/>
      <c r="J13" s="4"/>
      <c r="K13" s="4"/>
      <c r="L13" s="4"/>
      <c r="M13" s="4"/>
      <c r="N13" s="4"/>
      <c r="O13" s="4"/>
      <c r="P13" s="4"/>
      <c r="Q13" s="4"/>
      <c r="R13" s="4"/>
      <c r="S13" s="4"/>
      <c r="T13" s="4"/>
      <c r="U13" s="4"/>
      <c r="V13" s="4"/>
      <c r="W13" s="4"/>
      <c r="X13" s="4"/>
      <c r="Y13" s="4"/>
      <c r="Z13" s="4"/>
    </row>
    <row r="14" ht="9.0" customHeight="1">
      <c r="A14" s="5">
        <f t="shared" si="1"/>
        <v>13</v>
      </c>
      <c r="B14" s="4" t="s">
        <v>78</v>
      </c>
      <c r="C14" s="4" t="s">
        <v>79</v>
      </c>
      <c r="D14" s="4" t="s">
        <v>80</v>
      </c>
      <c r="E14" s="4" t="s">
        <v>81</v>
      </c>
      <c r="F14" s="4" t="s">
        <v>82</v>
      </c>
      <c r="G14" s="4" t="s">
        <v>83</v>
      </c>
      <c r="H14" s="4"/>
      <c r="I14" s="4"/>
      <c r="J14" s="4"/>
      <c r="K14" s="4"/>
      <c r="L14" s="4"/>
      <c r="M14" s="4"/>
      <c r="N14" s="4"/>
      <c r="O14" s="4"/>
      <c r="P14" s="4"/>
      <c r="Q14" s="4"/>
      <c r="R14" s="4"/>
      <c r="S14" s="4"/>
      <c r="T14" s="4"/>
      <c r="U14" s="4"/>
      <c r="V14" s="4"/>
      <c r="W14" s="4"/>
      <c r="X14" s="4"/>
      <c r="Y14" s="4"/>
      <c r="Z14" s="4"/>
    </row>
    <row r="15" ht="9.0" customHeight="1">
      <c r="A15" s="5">
        <f t="shared" si="1"/>
        <v>14</v>
      </c>
      <c r="B15" s="4" t="s">
        <v>84</v>
      </c>
      <c r="C15" s="4" t="s">
        <v>85</v>
      </c>
      <c r="D15" s="4" t="s">
        <v>86</v>
      </c>
      <c r="E15" s="4" t="s">
        <v>87</v>
      </c>
      <c r="F15" s="4" t="s">
        <v>88</v>
      </c>
      <c r="G15" s="4" t="s">
        <v>89</v>
      </c>
      <c r="H15" s="4"/>
      <c r="I15" s="4"/>
      <c r="J15" s="4"/>
      <c r="K15" s="4"/>
      <c r="L15" s="4"/>
      <c r="M15" s="4"/>
      <c r="N15" s="4"/>
      <c r="O15" s="4"/>
      <c r="P15" s="4"/>
      <c r="Q15" s="4"/>
      <c r="R15" s="4"/>
      <c r="S15" s="4"/>
      <c r="T15" s="4"/>
      <c r="U15" s="4"/>
      <c r="V15" s="4"/>
      <c r="W15" s="4"/>
      <c r="X15" s="4"/>
      <c r="Y15" s="4"/>
      <c r="Z15" s="4"/>
    </row>
    <row r="16" ht="9.0" customHeight="1">
      <c r="A16" s="5">
        <f t="shared" si="1"/>
        <v>15</v>
      </c>
      <c r="B16" s="4" t="s">
        <v>90</v>
      </c>
      <c r="C16" s="4" t="s">
        <v>91</v>
      </c>
      <c r="D16" s="4" t="s">
        <v>92</v>
      </c>
      <c r="E16" s="4" t="s">
        <v>93</v>
      </c>
      <c r="F16" s="4" t="s">
        <v>94</v>
      </c>
      <c r="G16" s="4" t="s">
        <v>95</v>
      </c>
      <c r="H16" s="4"/>
      <c r="I16" s="4"/>
      <c r="J16" s="4"/>
      <c r="K16" s="4"/>
      <c r="L16" s="4"/>
      <c r="M16" s="4"/>
      <c r="N16" s="4"/>
      <c r="O16" s="4"/>
      <c r="P16" s="4"/>
      <c r="Q16" s="4"/>
      <c r="R16" s="4"/>
      <c r="S16" s="4"/>
      <c r="T16" s="4"/>
      <c r="U16" s="4"/>
      <c r="V16" s="4"/>
      <c r="W16" s="4"/>
      <c r="X16" s="4"/>
      <c r="Y16" s="4"/>
      <c r="Z16" s="4"/>
    </row>
    <row r="17" ht="9.0" customHeight="1">
      <c r="A17" s="5">
        <f t="shared" si="1"/>
        <v>16</v>
      </c>
      <c r="B17" s="4" t="s">
        <v>96</v>
      </c>
      <c r="C17" s="4" t="s">
        <v>96</v>
      </c>
      <c r="D17" s="4" t="s">
        <v>97</v>
      </c>
      <c r="E17" s="4" t="s">
        <v>98</v>
      </c>
      <c r="F17" s="4" t="s">
        <v>99</v>
      </c>
      <c r="G17" s="4" t="s">
        <v>100</v>
      </c>
      <c r="H17" s="4"/>
      <c r="I17" s="4"/>
      <c r="J17" s="4"/>
      <c r="K17" s="4"/>
      <c r="L17" s="4"/>
      <c r="M17" s="4"/>
      <c r="N17" s="4"/>
      <c r="O17" s="4"/>
      <c r="P17" s="4"/>
      <c r="Q17" s="4"/>
      <c r="R17" s="4"/>
      <c r="S17" s="4"/>
      <c r="T17" s="4"/>
      <c r="U17" s="4"/>
      <c r="V17" s="4"/>
      <c r="W17" s="4"/>
      <c r="X17" s="4"/>
      <c r="Y17" s="4"/>
      <c r="Z17" s="4"/>
    </row>
    <row r="18" ht="9.0" customHeight="1">
      <c r="A18" s="5">
        <f t="shared" si="1"/>
        <v>17</v>
      </c>
      <c r="B18" s="4" t="s">
        <v>101</v>
      </c>
      <c r="C18" s="4" t="s">
        <v>102</v>
      </c>
      <c r="D18" s="4" t="s">
        <v>103</v>
      </c>
      <c r="E18" s="4" t="s">
        <v>104</v>
      </c>
      <c r="F18" s="4" t="s">
        <v>103</v>
      </c>
      <c r="G18" s="4" t="s">
        <v>104</v>
      </c>
      <c r="H18" s="4"/>
      <c r="I18" s="4"/>
      <c r="J18" s="4"/>
      <c r="K18" s="4"/>
      <c r="L18" s="4"/>
      <c r="M18" s="4"/>
      <c r="N18" s="4"/>
      <c r="O18" s="4"/>
      <c r="P18" s="4"/>
      <c r="Q18" s="4"/>
      <c r="R18" s="4"/>
      <c r="S18" s="4"/>
      <c r="T18" s="4"/>
      <c r="U18" s="4"/>
      <c r="V18" s="4"/>
      <c r="W18" s="4"/>
      <c r="X18" s="4"/>
      <c r="Y18" s="4"/>
      <c r="Z18" s="4"/>
    </row>
    <row r="19" ht="9.0" customHeight="1">
      <c r="A19" s="5">
        <f t="shared" si="1"/>
        <v>18</v>
      </c>
      <c r="B19" s="4" t="s">
        <v>105</v>
      </c>
      <c r="C19" s="4" t="s">
        <v>106</v>
      </c>
      <c r="D19" s="4" t="s">
        <v>107</v>
      </c>
      <c r="E19" s="4" t="s">
        <v>108</v>
      </c>
      <c r="F19" s="4" t="s">
        <v>109</v>
      </c>
      <c r="G19" s="4" t="s">
        <v>110</v>
      </c>
      <c r="H19" s="4"/>
      <c r="I19" s="4"/>
      <c r="J19" s="4"/>
      <c r="K19" s="4"/>
      <c r="L19" s="4"/>
      <c r="M19" s="4"/>
      <c r="N19" s="4"/>
      <c r="O19" s="4"/>
      <c r="P19" s="4"/>
      <c r="Q19" s="4"/>
      <c r="R19" s="4"/>
      <c r="S19" s="4"/>
      <c r="T19" s="4"/>
      <c r="U19" s="4"/>
      <c r="V19" s="4"/>
      <c r="W19" s="4"/>
      <c r="X19" s="4"/>
      <c r="Y19" s="4"/>
      <c r="Z19" s="4"/>
    </row>
    <row r="20" ht="9.0" customHeight="1">
      <c r="A20" s="5">
        <f t="shared" si="1"/>
        <v>19</v>
      </c>
      <c r="B20" s="4" t="s">
        <v>111</v>
      </c>
      <c r="C20" s="4" t="s">
        <v>112</v>
      </c>
      <c r="D20" s="4" t="s">
        <v>113</v>
      </c>
      <c r="E20" s="4" t="s">
        <v>114</v>
      </c>
      <c r="F20" s="4" t="s">
        <v>115</v>
      </c>
      <c r="G20" s="4" t="s">
        <v>116</v>
      </c>
      <c r="H20" s="4"/>
      <c r="I20" s="4"/>
      <c r="J20" s="4"/>
      <c r="K20" s="4"/>
      <c r="L20" s="4"/>
      <c r="M20" s="4"/>
      <c r="N20" s="4"/>
      <c r="O20" s="4"/>
      <c r="P20" s="4"/>
      <c r="Q20" s="4"/>
      <c r="R20" s="4"/>
      <c r="S20" s="4"/>
      <c r="T20" s="4"/>
      <c r="U20" s="4"/>
      <c r="V20" s="4"/>
      <c r="W20" s="4"/>
      <c r="X20" s="4"/>
      <c r="Y20" s="4"/>
      <c r="Z20" s="4"/>
    </row>
    <row r="21" ht="9.0" customHeight="1">
      <c r="A21" s="5">
        <f t="shared" si="1"/>
        <v>20</v>
      </c>
      <c r="B21" s="4" t="s">
        <v>117</v>
      </c>
      <c r="C21" s="4" t="s">
        <v>117</v>
      </c>
      <c r="D21" s="4" t="s">
        <v>118</v>
      </c>
      <c r="E21" s="4" t="s">
        <v>119</v>
      </c>
      <c r="F21" s="4" t="s">
        <v>120</v>
      </c>
      <c r="G21" s="4" t="s">
        <v>121</v>
      </c>
      <c r="H21" s="4"/>
      <c r="I21" s="4"/>
      <c r="J21" s="4"/>
      <c r="K21" s="4"/>
      <c r="L21" s="4"/>
      <c r="M21" s="4"/>
      <c r="N21" s="4"/>
      <c r="O21" s="4"/>
      <c r="P21" s="4"/>
      <c r="Q21" s="4"/>
      <c r="R21" s="4"/>
      <c r="S21" s="4"/>
      <c r="T21" s="4"/>
      <c r="U21" s="4"/>
      <c r="V21" s="4"/>
      <c r="W21" s="4"/>
      <c r="X21" s="4"/>
      <c r="Y21" s="4"/>
      <c r="Z21" s="4"/>
    </row>
    <row r="22" ht="9.0" customHeight="1">
      <c r="A22" s="5">
        <f t="shared" si="1"/>
        <v>21</v>
      </c>
      <c r="B22" s="4" t="s">
        <v>122</v>
      </c>
      <c r="C22" s="4" t="s">
        <v>123</v>
      </c>
      <c r="D22" s="4" t="s">
        <v>124</v>
      </c>
      <c r="E22" s="4"/>
      <c r="F22" s="4" t="s">
        <v>124</v>
      </c>
      <c r="G22" s="4"/>
      <c r="H22" s="4"/>
      <c r="I22" s="4"/>
      <c r="J22" s="4"/>
      <c r="K22" s="4"/>
      <c r="L22" s="4"/>
      <c r="M22" s="4"/>
      <c r="N22" s="4"/>
      <c r="O22" s="4"/>
      <c r="P22" s="4"/>
      <c r="Q22" s="4"/>
      <c r="R22" s="4"/>
      <c r="S22" s="4"/>
      <c r="T22" s="4"/>
      <c r="U22" s="4"/>
      <c r="V22" s="4"/>
      <c r="W22" s="4"/>
      <c r="X22" s="4"/>
      <c r="Y22" s="4"/>
      <c r="Z22" s="4"/>
    </row>
    <row r="23" ht="9.0" customHeight="1">
      <c r="A23" s="5">
        <f t="shared" si="1"/>
        <v>22</v>
      </c>
      <c r="B23" s="4" t="s">
        <v>125</v>
      </c>
      <c r="C23" s="4" t="s">
        <v>125</v>
      </c>
      <c r="D23" s="4" t="s">
        <v>126</v>
      </c>
      <c r="E23" s="4" t="s">
        <v>127</v>
      </c>
      <c r="F23" s="4" t="s">
        <v>128</v>
      </c>
      <c r="G23" s="4" t="s">
        <v>129</v>
      </c>
      <c r="H23" s="4"/>
      <c r="I23" s="4"/>
      <c r="J23" s="4"/>
      <c r="K23" s="4"/>
      <c r="L23" s="4"/>
      <c r="M23" s="4"/>
      <c r="N23" s="4"/>
      <c r="O23" s="4"/>
      <c r="P23" s="4"/>
      <c r="Q23" s="4"/>
      <c r="R23" s="4"/>
      <c r="S23" s="4"/>
      <c r="T23" s="4"/>
      <c r="U23" s="4"/>
      <c r="V23" s="4"/>
      <c r="W23" s="4"/>
      <c r="X23" s="4"/>
      <c r="Y23" s="4"/>
      <c r="Z23" s="4"/>
    </row>
    <row r="24" ht="9.0" customHeight="1">
      <c r="A24" s="5">
        <f t="shared" si="1"/>
        <v>23</v>
      </c>
      <c r="B24" s="4" t="s">
        <v>130</v>
      </c>
      <c r="C24" s="4" t="s">
        <v>131</v>
      </c>
      <c r="D24" s="4" t="s">
        <v>132</v>
      </c>
      <c r="E24" s="4" t="s">
        <v>133</v>
      </c>
      <c r="F24" s="4" t="s">
        <v>134</v>
      </c>
      <c r="G24" s="4" t="s">
        <v>135</v>
      </c>
      <c r="H24" s="4"/>
      <c r="I24" s="4"/>
      <c r="J24" s="4"/>
      <c r="K24" s="4"/>
      <c r="L24" s="4"/>
      <c r="M24" s="4"/>
      <c r="N24" s="4"/>
      <c r="O24" s="4"/>
      <c r="P24" s="4"/>
      <c r="Q24" s="4"/>
      <c r="R24" s="4"/>
      <c r="S24" s="4"/>
      <c r="T24" s="4"/>
      <c r="U24" s="4"/>
      <c r="V24" s="4"/>
      <c r="W24" s="4"/>
      <c r="X24" s="4"/>
      <c r="Y24" s="4"/>
      <c r="Z24" s="4"/>
    </row>
    <row r="25" ht="9.0" customHeight="1">
      <c r="A25" s="5">
        <f t="shared" si="1"/>
        <v>24</v>
      </c>
      <c r="B25" s="4" t="s">
        <v>136</v>
      </c>
      <c r="C25" s="4" t="s">
        <v>137</v>
      </c>
      <c r="D25" s="4" t="s">
        <v>138</v>
      </c>
      <c r="E25" s="4"/>
      <c r="F25" s="4" t="s">
        <v>138</v>
      </c>
      <c r="G25" s="4"/>
      <c r="H25" s="4"/>
      <c r="I25" s="4"/>
      <c r="J25" s="4"/>
      <c r="K25" s="4"/>
      <c r="L25" s="4"/>
      <c r="M25" s="4"/>
      <c r="N25" s="4"/>
      <c r="O25" s="4"/>
      <c r="P25" s="4"/>
      <c r="Q25" s="4"/>
      <c r="R25" s="4"/>
      <c r="S25" s="4"/>
      <c r="T25" s="4"/>
      <c r="U25" s="4"/>
      <c r="V25" s="4"/>
      <c r="W25" s="4"/>
      <c r="X25" s="4"/>
      <c r="Y25" s="4"/>
      <c r="Z25" s="4"/>
    </row>
    <row r="26" ht="9.0" customHeight="1">
      <c r="A26" s="5">
        <f t="shared" si="1"/>
        <v>25</v>
      </c>
      <c r="B26" s="4" t="s">
        <v>139</v>
      </c>
      <c r="C26" s="4" t="s">
        <v>140</v>
      </c>
      <c r="D26" s="4" t="s">
        <v>141</v>
      </c>
      <c r="E26" s="4"/>
      <c r="F26" s="4" t="s">
        <v>141</v>
      </c>
      <c r="G26" s="4"/>
      <c r="H26" s="4"/>
      <c r="I26" s="4"/>
      <c r="J26" s="4"/>
      <c r="K26" s="4"/>
      <c r="L26" s="4"/>
      <c r="M26" s="4"/>
      <c r="N26" s="4"/>
      <c r="O26" s="4"/>
      <c r="P26" s="4"/>
      <c r="Q26" s="4"/>
      <c r="R26" s="4"/>
      <c r="S26" s="4"/>
      <c r="T26" s="4"/>
      <c r="U26" s="4"/>
      <c r="V26" s="4"/>
      <c r="W26" s="4"/>
      <c r="X26" s="4"/>
      <c r="Y26" s="4"/>
      <c r="Z26" s="4"/>
    </row>
    <row r="27" ht="9.0" customHeight="1">
      <c r="A27" s="5">
        <f t="shared" si="1"/>
        <v>26</v>
      </c>
      <c r="B27" s="4" t="s">
        <v>142</v>
      </c>
      <c r="C27" s="4" t="s">
        <v>142</v>
      </c>
      <c r="D27" s="4" t="s">
        <v>143</v>
      </c>
      <c r="E27" s="4"/>
      <c r="F27" s="4" t="s">
        <v>143</v>
      </c>
      <c r="G27" s="4"/>
      <c r="H27" s="4"/>
      <c r="I27" s="4"/>
      <c r="J27" s="4"/>
      <c r="K27" s="4"/>
      <c r="L27" s="4"/>
      <c r="M27" s="4"/>
      <c r="N27" s="4"/>
      <c r="O27" s="4"/>
      <c r="P27" s="4"/>
      <c r="Q27" s="4"/>
      <c r="R27" s="4"/>
      <c r="S27" s="4"/>
      <c r="T27" s="4"/>
      <c r="U27" s="4"/>
      <c r="V27" s="4"/>
      <c r="W27" s="4"/>
      <c r="X27" s="4"/>
      <c r="Y27" s="4"/>
      <c r="Z27" s="4"/>
    </row>
    <row r="28" ht="9.0" customHeight="1">
      <c r="A28" s="5">
        <f t="shared" si="1"/>
        <v>27</v>
      </c>
      <c r="B28" s="4" t="s">
        <v>144</v>
      </c>
      <c r="C28" s="4" t="s">
        <v>145</v>
      </c>
      <c r="D28" s="4" t="s">
        <v>146</v>
      </c>
      <c r="E28" s="4" t="s">
        <v>147</v>
      </c>
      <c r="F28" s="4" t="s">
        <v>148</v>
      </c>
      <c r="G28" s="4" t="s">
        <v>149</v>
      </c>
      <c r="H28" s="4"/>
      <c r="I28" s="4"/>
      <c r="J28" s="4"/>
      <c r="K28" s="4"/>
      <c r="L28" s="4"/>
      <c r="M28" s="4"/>
      <c r="N28" s="4"/>
      <c r="O28" s="4"/>
      <c r="P28" s="4"/>
      <c r="Q28" s="4"/>
      <c r="R28" s="4"/>
      <c r="S28" s="4"/>
      <c r="T28" s="4"/>
      <c r="U28" s="4"/>
      <c r="V28" s="4"/>
      <c r="W28" s="4"/>
      <c r="X28" s="4"/>
      <c r="Y28" s="4"/>
      <c r="Z28" s="4"/>
    </row>
    <row r="29" ht="9.0" customHeight="1">
      <c r="A29" s="5">
        <f t="shared" si="1"/>
        <v>28</v>
      </c>
      <c r="B29" s="4" t="s">
        <v>150</v>
      </c>
      <c r="C29" s="4" t="s">
        <v>151</v>
      </c>
      <c r="D29" s="4" t="s">
        <v>152</v>
      </c>
      <c r="E29" s="4" t="s">
        <v>153</v>
      </c>
      <c r="F29" s="4" t="s">
        <v>154</v>
      </c>
      <c r="G29" s="4" t="s">
        <v>155</v>
      </c>
      <c r="H29" s="4"/>
      <c r="I29" s="4"/>
      <c r="J29" s="4"/>
      <c r="K29" s="4"/>
      <c r="L29" s="4"/>
      <c r="M29" s="4"/>
      <c r="N29" s="4"/>
      <c r="O29" s="4"/>
      <c r="P29" s="4"/>
      <c r="Q29" s="4"/>
      <c r="R29" s="4"/>
      <c r="S29" s="4"/>
      <c r="T29" s="4"/>
      <c r="U29" s="4"/>
      <c r="V29" s="4"/>
      <c r="W29" s="4"/>
      <c r="X29" s="4"/>
      <c r="Y29" s="4"/>
      <c r="Z29" s="4"/>
    </row>
    <row r="30" ht="9.0" customHeight="1">
      <c r="A30" s="5">
        <f t="shared" si="1"/>
        <v>29</v>
      </c>
      <c r="B30" s="4" t="s">
        <v>156</v>
      </c>
      <c r="C30" s="4" t="s">
        <v>157</v>
      </c>
      <c r="D30" s="4" t="s">
        <v>158</v>
      </c>
      <c r="E30" s="4" t="s">
        <v>159</v>
      </c>
      <c r="F30" s="4" t="s">
        <v>160</v>
      </c>
      <c r="G30" s="4" t="s">
        <v>161</v>
      </c>
      <c r="H30" s="4"/>
      <c r="I30" s="4"/>
      <c r="J30" s="4"/>
      <c r="K30" s="4"/>
      <c r="L30" s="4"/>
      <c r="M30" s="4"/>
      <c r="N30" s="4"/>
      <c r="O30" s="4"/>
      <c r="P30" s="4"/>
      <c r="Q30" s="4"/>
      <c r="R30" s="4"/>
      <c r="S30" s="4"/>
      <c r="T30" s="4"/>
      <c r="U30" s="4"/>
      <c r="V30" s="4"/>
      <c r="W30" s="4"/>
      <c r="X30" s="4"/>
      <c r="Y30" s="4"/>
      <c r="Z30" s="4"/>
    </row>
    <row r="31" ht="9.0" customHeight="1">
      <c r="A31" s="5">
        <f t="shared" si="1"/>
        <v>30</v>
      </c>
      <c r="B31" s="4" t="s">
        <v>162</v>
      </c>
      <c r="C31" s="4" t="s">
        <v>162</v>
      </c>
      <c r="D31" s="4" t="s">
        <v>163</v>
      </c>
      <c r="E31" s="4" t="s">
        <v>164</v>
      </c>
      <c r="F31" s="4" t="s">
        <v>165</v>
      </c>
      <c r="G31" s="4" t="s">
        <v>166</v>
      </c>
      <c r="H31" s="4"/>
      <c r="I31" s="4"/>
      <c r="J31" s="4"/>
      <c r="K31" s="4"/>
      <c r="L31" s="4"/>
      <c r="M31" s="4"/>
      <c r="N31" s="4"/>
      <c r="O31" s="4"/>
      <c r="P31" s="4"/>
      <c r="Q31" s="4"/>
      <c r="R31" s="4"/>
      <c r="S31" s="4"/>
      <c r="T31" s="4"/>
      <c r="U31" s="4"/>
      <c r="V31" s="4"/>
      <c r="W31" s="4"/>
      <c r="X31" s="4"/>
      <c r="Y31" s="4"/>
      <c r="Z31" s="4"/>
    </row>
    <row r="32" ht="9.0" customHeight="1">
      <c r="A32" s="5">
        <f t="shared" si="1"/>
        <v>31</v>
      </c>
      <c r="B32" s="4" t="s">
        <v>167</v>
      </c>
      <c r="C32" s="4" t="s">
        <v>167</v>
      </c>
      <c r="D32" s="4" t="s">
        <v>168</v>
      </c>
      <c r="E32" s="4" t="s">
        <v>169</v>
      </c>
      <c r="F32" s="4" t="s">
        <v>170</v>
      </c>
      <c r="G32" s="4" t="s">
        <v>171</v>
      </c>
      <c r="H32" s="4"/>
      <c r="I32" s="4"/>
      <c r="J32" s="4"/>
      <c r="K32" s="4"/>
      <c r="L32" s="4"/>
      <c r="M32" s="4"/>
      <c r="N32" s="4"/>
      <c r="O32" s="4"/>
      <c r="P32" s="4"/>
      <c r="Q32" s="4"/>
      <c r="R32" s="4"/>
      <c r="S32" s="4"/>
      <c r="T32" s="4"/>
      <c r="U32" s="4"/>
      <c r="V32" s="4"/>
      <c r="W32" s="4"/>
      <c r="X32" s="4"/>
      <c r="Y32" s="4"/>
      <c r="Z32" s="4"/>
    </row>
    <row r="33" ht="9.0" customHeight="1">
      <c r="A33" s="5">
        <f t="shared" si="1"/>
        <v>32</v>
      </c>
      <c r="B33" s="4" t="s">
        <v>172</v>
      </c>
      <c r="C33" s="4" t="s">
        <v>172</v>
      </c>
      <c r="D33" s="4" t="s">
        <v>173</v>
      </c>
      <c r="E33" s="4" t="s">
        <v>174</v>
      </c>
      <c r="F33" s="4" t="s">
        <v>175</v>
      </c>
      <c r="G33" s="4" t="s">
        <v>176</v>
      </c>
      <c r="H33" s="4"/>
      <c r="I33" s="4"/>
      <c r="J33" s="4"/>
      <c r="K33" s="4"/>
      <c r="L33" s="4"/>
      <c r="M33" s="4"/>
      <c r="N33" s="4"/>
      <c r="O33" s="4"/>
      <c r="P33" s="4"/>
      <c r="Q33" s="4"/>
      <c r="R33" s="4"/>
      <c r="S33" s="4"/>
      <c r="T33" s="4"/>
      <c r="U33" s="4"/>
      <c r="V33" s="4"/>
      <c r="W33" s="4"/>
      <c r="X33" s="4"/>
      <c r="Y33" s="4"/>
      <c r="Z33" s="4"/>
    </row>
    <row r="34" ht="9.0" customHeight="1">
      <c r="A34" s="5">
        <f t="shared" si="1"/>
        <v>33</v>
      </c>
      <c r="B34" s="4" t="s">
        <v>177</v>
      </c>
      <c r="C34" s="4" t="s">
        <v>177</v>
      </c>
      <c r="D34" s="4" t="s">
        <v>178</v>
      </c>
      <c r="E34" s="4" t="s">
        <v>179</v>
      </c>
      <c r="F34" s="4" t="s">
        <v>180</v>
      </c>
      <c r="G34" s="4" t="s">
        <v>181</v>
      </c>
      <c r="H34" s="4"/>
      <c r="I34" s="4"/>
      <c r="J34" s="4"/>
      <c r="K34" s="4"/>
      <c r="L34" s="4"/>
      <c r="M34" s="4"/>
      <c r="N34" s="4"/>
      <c r="O34" s="4"/>
      <c r="P34" s="4"/>
      <c r="Q34" s="4"/>
      <c r="R34" s="4"/>
      <c r="S34" s="4"/>
      <c r="T34" s="4"/>
      <c r="U34" s="4"/>
      <c r="V34" s="4"/>
      <c r="W34" s="4"/>
      <c r="X34" s="4"/>
      <c r="Y34" s="4"/>
      <c r="Z34" s="4"/>
    </row>
    <row r="35" ht="9.0" customHeight="1">
      <c r="A35" s="5">
        <f t="shared" si="1"/>
        <v>34</v>
      </c>
      <c r="B35" s="4" t="s">
        <v>182</v>
      </c>
      <c r="C35" s="4" t="s">
        <v>183</v>
      </c>
      <c r="D35" s="4" t="s">
        <v>184</v>
      </c>
      <c r="E35" s="4" t="s">
        <v>185</v>
      </c>
      <c r="F35" s="4" t="s">
        <v>186</v>
      </c>
      <c r="G35" s="4" t="s">
        <v>187</v>
      </c>
      <c r="H35" s="4"/>
      <c r="I35" s="4"/>
      <c r="J35" s="4"/>
      <c r="K35" s="4"/>
      <c r="L35" s="4"/>
      <c r="M35" s="4"/>
      <c r="N35" s="4"/>
      <c r="O35" s="4"/>
      <c r="P35" s="4"/>
      <c r="Q35" s="4"/>
      <c r="R35" s="4"/>
      <c r="S35" s="4"/>
      <c r="T35" s="4"/>
      <c r="U35" s="4"/>
      <c r="V35" s="4"/>
      <c r="W35" s="4"/>
      <c r="X35" s="4"/>
      <c r="Y35" s="4"/>
      <c r="Z35" s="4"/>
    </row>
    <row r="36" ht="9.0" customHeight="1">
      <c r="A36" s="5">
        <f t="shared" si="1"/>
        <v>35</v>
      </c>
      <c r="B36" s="4" t="s">
        <v>188</v>
      </c>
      <c r="C36" s="4" t="s">
        <v>188</v>
      </c>
      <c r="D36" s="4" t="s">
        <v>189</v>
      </c>
      <c r="E36" s="4"/>
      <c r="F36" s="4" t="s">
        <v>189</v>
      </c>
      <c r="G36" s="4"/>
      <c r="H36" s="4"/>
      <c r="I36" s="4"/>
      <c r="J36" s="4"/>
      <c r="K36" s="4"/>
      <c r="L36" s="4"/>
      <c r="M36" s="4"/>
      <c r="N36" s="4"/>
      <c r="O36" s="4"/>
      <c r="P36" s="4"/>
      <c r="Q36" s="4"/>
      <c r="R36" s="4"/>
      <c r="S36" s="4"/>
      <c r="T36" s="4"/>
      <c r="U36" s="4"/>
      <c r="V36" s="4"/>
      <c r="W36" s="4"/>
      <c r="X36" s="4"/>
      <c r="Y36" s="4"/>
      <c r="Z36" s="4"/>
    </row>
    <row r="37" ht="9.0" customHeight="1">
      <c r="A37" s="5">
        <f t="shared" si="1"/>
        <v>36</v>
      </c>
      <c r="B37" s="4" t="s">
        <v>190</v>
      </c>
      <c r="C37" s="4" t="s">
        <v>191</v>
      </c>
      <c r="D37" s="4" t="s">
        <v>192</v>
      </c>
      <c r="E37" s="4"/>
      <c r="F37" s="4" t="s">
        <v>192</v>
      </c>
      <c r="G37" s="4"/>
      <c r="H37" s="4"/>
      <c r="I37" s="4"/>
      <c r="J37" s="4"/>
      <c r="K37" s="4"/>
      <c r="L37" s="4"/>
      <c r="M37" s="4"/>
      <c r="N37" s="4"/>
      <c r="O37" s="4"/>
      <c r="P37" s="4"/>
      <c r="Q37" s="4"/>
      <c r="R37" s="4"/>
      <c r="S37" s="4"/>
      <c r="T37" s="4"/>
      <c r="U37" s="4"/>
      <c r="V37" s="4"/>
      <c r="W37" s="4"/>
      <c r="X37" s="4"/>
      <c r="Y37" s="4"/>
      <c r="Z37" s="4"/>
    </row>
    <row r="38" ht="9.0" customHeight="1">
      <c r="A38" s="5">
        <f t="shared" si="1"/>
        <v>37</v>
      </c>
      <c r="B38" s="4" t="s">
        <v>193</v>
      </c>
      <c r="C38" s="4" t="s">
        <v>193</v>
      </c>
      <c r="D38" s="4" t="s">
        <v>194</v>
      </c>
      <c r="E38" s="4" t="s">
        <v>195</v>
      </c>
      <c r="F38" s="4" t="s">
        <v>196</v>
      </c>
      <c r="G38" s="4" t="s">
        <v>197</v>
      </c>
      <c r="H38" s="4"/>
      <c r="I38" s="4"/>
      <c r="J38" s="4"/>
      <c r="K38" s="4"/>
      <c r="L38" s="4"/>
      <c r="M38" s="4"/>
      <c r="N38" s="4"/>
      <c r="O38" s="4"/>
      <c r="P38" s="4"/>
      <c r="Q38" s="4"/>
      <c r="R38" s="4"/>
      <c r="S38" s="4"/>
      <c r="T38" s="4"/>
      <c r="U38" s="4"/>
      <c r="V38" s="4"/>
      <c r="W38" s="4"/>
      <c r="X38" s="4"/>
      <c r="Y38" s="4"/>
      <c r="Z38" s="4"/>
    </row>
    <row r="39" ht="9.0" customHeight="1">
      <c r="A39" s="5">
        <f t="shared" si="1"/>
        <v>38</v>
      </c>
      <c r="B39" s="4" t="s">
        <v>198</v>
      </c>
      <c r="C39" s="4" t="s">
        <v>198</v>
      </c>
      <c r="D39" s="4" t="s">
        <v>199</v>
      </c>
      <c r="E39" s="4" t="s">
        <v>200</v>
      </c>
      <c r="F39" s="4" t="s">
        <v>201</v>
      </c>
      <c r="G39" s="4" t="s">
        <v>202</v>
      </c>
      <c r="H39" s="4"/>
      <c r="I39" s="4"/>
      <c r="J39" s="4"/>
      <c r="K39" s="4"/>
      <c r="L39" s="4"/>
      <c r="M39" s="4"/>
      <c r="N39" s="4"/>
      <c r="O39" s="4"/>
      <c r="P39" s="4"/>
      <c r="Q39" s="4"/>
      <c r="R39" s="4"/>
      <c r="S39" s="4"/>
      <c r="T39" s="4"/>
      <c r="U39" s="4"/>
      <c r="V39" s="4"/>
      <c r="W39" s="4"/>
      <c r="X39" s="4"/>
      <c r="Y39" s="4"/>
      <c r="Z39" s="4"/>
    </row>
    <row r="40" ht="9.0" customHeight="1">
      <c r="A40" s="5">
        <f t="shared" si="1"/>
        <v>39</v>
      </c>
      <c r="B40" s="4" t="s">
        <v>203</v>
      </c>
      <c r="C40" s="4" t="s">
        <v>203</v>
      </c>
      <c r="D40" s="4" t="s">
        <v>204</v>
      </c>
      <c r="E40" s="4" t="s">
        <v>205</v>
      </c>
      <c r="F40" s="4" t="s">
        <v>206</v>
      </c>
      <c r="G40" s="4" t="s">
        <v>207</v>
      </c>
      <c r="H40" s="4"/>
      <c r="I40" s="4"/>
      <c r="J40" s="4"/>
      <c r="K40" s="4"/>
      <c r="L40" s="4"/>
      <c r="M40" s="4"/>
      <c r="N40" s="4"/>
      <c r="O40" s="4"/>
      <c r="P40" s="4"/>
      <c r="Q40" s="4"/>
      <c r="R40" s="4"/>
      <c r="S40" s="4"/>
      <c r="T40" s="4"/>
      <c r="U40" s="4"/>
      <c r="V40" s="4"/>
      <c r="W40" s="4"/>
      <c r="X40" s="4"/>
      <c r="Y40" s="4"/>
      <c r="Z40" s="4"/>
    </row>
    <row r="41" ht="9.0" customHeight="1">
      <c r="A41" s="5">
        <f t="shared" si="1"/>
        <v>40</v>
      </c>
      <c r="B41" s="4" t="s">
        <v>208</v>
      </c>
      <c r="C41" s="4" t="s">
        <v>208</v>
      </c>
      <c r="D41" s="4" t="s">
        <v>209</v>
      </c>
      <c r="E41" s="4"/>
      <c r="F41" s="4" t="s">
        <v>209</v>
      </c>
      <c r="G41" s="4"/>
      <c r="H41" s="4"/>
      <c r="I41" s="4"/>
      <c r="J41" s="4"/>
      <c r="K41" s="4"/>
      <c r="L41" s="4"/>
      <c r="M41" s="4"/>
      <c r="N41" s="4"/>
      <c r="O41" s="4"/>
      <c r="P41" s="4"/>
      <c r="Q41" s="4"/>
      <c r="R41" s="4"/>
      <c r="S41" s="4"/>
      <c r="T41" s="4"/>
      <c r="U41" s="4"/>
      <c r="V41" s="4"/>
      <c r="W41" s="4"/>
      <c r="X41" s="4"/>
      <c r="Y41" s="4"/>
      <c r="Z41" s="4"/>
    </row>
    <row r="42" ht="9.0" customHeight="1">
      <c r="A42" s="5">
        <f t="shared" si="1"/>
        <v>41</v>
      </c>
      <c r="B42" s="4" t="s">
        <v>210</v>
      </c>
      <c r="C42" s="4" t="s">
        <v>210</v>
      </c>
      <c r="D42" s="4" t="s">
        <v>211</v>
      </c>
      <c r="E42" s="4" t="s">
        <v>212</v>
      </c>
      <c r="F42" s="4" t="s">
        <v>213</v>
      </c>
      <c r="G42" s="4" t="s">
        <v>214</v>
      </c>
      <c r="H42" s="4"/>
      <c r="I42" s="4"/>
      <c r="J42" s="4"/>
      <c r="K42" s="4"/>
      <c r="L42" s="4"/>
      <c r="M42" s="4"/>
      <c r="N42" s="4"/>
      <c r="O42" s="4"/>
      <c r="P42" s="4"/>
      <c r="Q42" s="4"/>
      <c r="R42" s="4"/>
      <c r="S42" s="4"/>
      <c r="T42" s="4"/>
      <c r="U42" s="4"/>
      <c r="V42" s="4"/>
      <c r="W42" s="4"/>
      <c r="X42" s="4"/>
      <c r="Y42" s="4"/>
      <c r="Z42" s="4"/>
    </row>
    <row r="43" ht="9.0" customHeight="1">
      <c r="A43" s="5">
        <f t="shared" si="1"/>
        <v>42</v>
      </c>
      <c r="B43" s="4" t="s">
        <v>215</v>
      </c>
      <c r="C43" s="4" t="s">
        <v>215</v>
      </c>
      <c r="D43" s="4" t="s">
        <v>216</v>
      </c>
      <c r="E43" s="4"/>
      <c r="F43" s="4" t="s">
        <v>216</v>
      </c>
      <c r="G43" s="4"/>
      <c r="H43" s="4"/>
      <c r="I43" s="4"/>
      <c r="J43" s="4"/>
      <c r="K43" s="4"/>
      <c r="L43" s="4"/>
      <c r="M43" s="4"/>
      <c r="N43" s="4"/>
      <c r="O43" s="4"/>
      <c r="P43" s="4"/>
      <c r="Q43" s="4"/>
      <c r="R43" s="4"/>
      <c r="S43" s="4"/>
      <c r="T43" s="4"/>
      <c r="U43" s="4"/>
      <c r="V43" s="4"/>
      <c r="W43" s="4"/>
      <c r="X43" s="4"/>
      <c r="Y43" s="4"/>
      <c r="Z43" s="4"/>
    </row>
    <row r="44" ht="9.0" customHeight="1">
      <c r="A44" s="5">
        <f t="shared" si="1"/>
        <v>43</v>
      </c>
      <c r="B44" s="4" t="s">
        <v>217</v>
      </c>
      <c r="C44" s="4" t="s">
        <v>218</v>
      </c>
      <c r="D44" s="4" t="s">
        <v>219</v>
      </c>
      <c r="E44" s="4"/>
      <c r="F44" s="4" t="s">
        <v>219</v>
      </c>
      <c r="G44" s="4"/>
      <c r="H44" s="4"/>
      <c r="I44" s="4"/>
      <c r="J44" s="4"/>
      <c r="K44" s="4"/>
      <c r="L44" s="4"/>
      <c r="M44" s="4"/>
      <c r="N44" s="4"/>
      <c r="O44" s="4"/>
      <c r="P44" s="4"/>
      <c r="Q44" s="4"/>
      <c r="R44" s="4"/>
      <c r="S44" s="4"/>
      <c r="T44" s="4"/>
      <c r="U44" s="4"/>
      <c r="V44" s="4"/>
      <c r="W44" s="4"/>
      <c r="X44" s="4"/>
      <c r="Y44" s="4"/>
      <c r="Z44" s="4"/>
    </row>
    <row r="45" ht="9.0" customHeight="1">
      <c r="A45" s="5">
        <f t="shared" si="1"/>
        <v>44</v>
      </c>
      <c r="B45" s="4" t="s">
        <v>220</v>
      </c>
      <c r="C45" s="4" t="s">
        <v>220</v>
      </c>
      <c r="D45" s="4" t="s">
        <v>221</v>
      </c>
      <c r="E45" s="4" t="s">
        <v>222</v>
      </c>
      <c r="F45" s="4" t="s">
        <v>223</v>
      </c>
      <c r="G45" s="4" t="s">
        <v>224</v>
      </c>
      <c r="H45" s="4"/>
      <c r="I45" s="4"/>
      <c r="J45" s="4"/>
      <c r="K45" s="4"/>
      <c r="L45" s="4"/>
      <c r="M45" s="4"/>
      <c r="N45" s="4"/>
      <c r="O45" s="4"/>
      <c r="P45" s="4"/>
      <c r="Q45" s="4"/>
      <c r="R45" s="4"/>
      <c r="S45" s="4"/>
      <c r="T45" s="4"/>
      <c r="U45" s="4"/>
      <c r="V45" s="4"/>
      <c r="W45" s="4"/>
      <c r="X45" s="4"/>
      <c r="Y45" s="4"/>
      <c r="Z45" s="4"/>
    </row>
    <row r="46" ht="9.0" customHeight="1">
      <c r="A46" s="5">
        <f t="shared" si="1"/>
        <v>45</v>
      </c>
      <c r="B46" s="4" t="s">
        <v>225</v>
      </c>
      <c r="C46" s="4" t="s">
        <v>226</v>
      </c>
      <c r="D46" s="4" t="s">
        <v>227</v>
      </c>
      <c r="E46" s="4" t="s">
        <v>228</v>
      </c>
      <c r="F46" s="4" t="s">
        <v>229</v>
      </c>
      <c r="G46" s="4" t="s">
        <v>230</v>
      </c>
      <c r="H46" s="4"/>
      <c r="I46" s="4"/>
      <c r="J46" s="4"/>
      <c r="K46" s="4"/>
      <c r="L46" s="4"/>
      <c r="M46" s="4"/>
      <c r="N46" s="4"/>
      <c r="O46" s="4"/>
      <c r="P46" s="4"/>
      <c r="Q46" s="4"/>
      <c r="R46" s="4"/>
      <c r="S46" s="4"/>
      <c r="T46" s="4"/>
      <c r="U46" s="4"/>
      <c r="V46" s="4"/>
      <c r="W46" s="4"/>
      <c r="X46" s="4"/>
      <c r="Y46" s="4"/>
      <c r="Z46" s="4"/>
    </row>
    <row r="47" ht="9.0" customHeight="1">
      <c r="A47" s="5">
        <f t="shared" si="1"/>
        <v>46</v>
      </c>
      <c r="B47" s="4" t="s">
        <v>231</v>
      </c>
      <c r="C47" s="4" t="s">
        <v>231</v>
      </c>
      <c r="D47" s="4" t="s">
        <v>232</v>
      </c>
      <c r="E47" s="4" t="s">
        <v>233</v>
      </c>
      <c r="F47" s="4" t="s">
        <v>234</v>
      </c>
      <c r="G47" s="4" t="s">
        <v>235</v>
      </c>
      <c r="H47" s="4"/>
      <c r="I47" s="4"/>
      <c r="J47" s="4"/>
      <c r="K47" s="4"/>
      <c r="L47" s="4"/>
      <c r="M47" s="4"/>
      <c r="N47" s="4"/>
      <c r="O47" s="4"/>
      <c r="P47" s="4"/>
      <c r="Q47" s="4"/>
      <c r="R47" s="4"/>
      <c r="S47" s="4"/>
      <c r="T47" s="4"/>
      <c r="U47" s="4"/>
      <c r="V47" s="4"/>
      <c r="W47" s="4"/>
      <c r="X47" s="4"/>
      <c r="Y47" s="4"/>
      <c r="Z47" s="4"/>
    </row>
    <row r="48" ht="9.0" customHeight="1">
      <c r="A48" s="5">
        <f t="shared" si="1"/>
        <v>47</v>
      </c>
      <c r="B48" s="4" t="s">
        <v>236</v>
      </c>
      <c r="C48" s="4" t="s">
        <v>237</v>
      </c>
      <c r="D48" s="4" t="s">
        <v>238</v>
      </c>
      <c r="E48" s="4" t="s">
        <v>239</v>
      </c>
      <c r="F48" s="4" t="s">
        <v>240</v>
      </c>
      <c r="G48" s="4" t="s">
        <v>241</v>
      </c>
      <c r="H48" s="4"/>
      <c r="I48" s="4"/>
      <c r="J48" s="4"/>
      <c r="K48" s="4"/>
      <c r="L48" s="4"/>
      <c r="M48" s="4"/>
      <c r="N48" s="4"/>
      <c r="O48" s="4"/>
      <c r="P48" s="4"/>
      <c r="Q48" s="4"/>
      <c r="R48" s="4"/>
      <c r="S48" s="4"/>
      <c r="T48" s="4"/>
      <c r="U48" s="4"/>
      <c r="V48" s="4"/>
      <c r="W48" s="4"/>
      <c r="X48" s="4"/>
      <c r="Y48" s="4"/>
      <c r="Z48" s="4"/>
    </row>
    <row r="49" ht="9.0" customHeight="1">
      <c r="A49" s="5">
        <f t="shared" si="1"/>
        <v>48</v>
      </c>
      <c r="B49" s="4" t="s">
        <v>242</v>
      </c>
      <c r="C49" s="4" t="s">
        <v>243</v>
      </c>
      <c r="D49" s="4" t="s">
        <v>244</v>
      </c>
      <c r="E49" s="4" t="s">
        <v>245</v>
      </c>
      <c r="F49" s="4" t="s">
        <v>246</v>
      </c>
      <c r="G49" s="4" t="s">
        <v>247</v>
      </c>
      <c r="H49" s="4"/>
      <c r="I49" s="4"/>
      <c r="J49" s="4"/>
      <c r="K49" s="4"/>
      <c r="L49" s="4"/>
      <c r="M49" s="4"/>
      <c r="N49" s="4"/>
      <c r="O49" s="4"/>
      <c r="P49" s="4"/>
      <c r="Q49" s="4"/>
      <c r="R49" s="4"/>
      <c r="S49" s="4"/>
      <c r="T49" s="4"/>
      <c r="U49" s="4"/>
      <c r="V49" s="4"/>
      <c r="W49" s="4"/>
      <c r="X49" s="4"/>
      <c r="Y49" s="4"/>
      <c r="Z49" s="4"/>
    </row>
    <row r="50" ht="9.0" customHeight="1">
      <c r="A50" s="5">
        <f t="shared" si="1"/>
        <v>49</v>
      </c>
      <c r="B50" s="4" t="s">
        <v>248</v>
      </c>
      <c r="C50" s="4" t="s">
        <v>249</v>
      </c>
      <c r="D50" s="4" t="s">
        <v>250</v>
      </c>
      <c r="E50" s="4" t="s">
        <v>251</v>
      </c>
      <c r="F50" s="4" t="s">
        <v>252</v>
      </c>
      <c r="G50" s="4" t="s">
        <v>253</v>
      </c>
      <c r="H50" s="4"/>
      <c r="I50" s="4"/>
      <c r="J50" s="4"/>
      <c r="K50" s="4"/>
      <c r="L50" s="4"/>
      <c r="M50" s="4"/>
      <c r="N50" s="4"/>
      <c r="O50" s="4"/>
      <c r="P50" s="4"/>
      <c r="Q50" s="4"/>
      <c r="R50" s="4"/>
      <c r="S50" s="4"/>
      <c r="T50" s="4"/>
      <c r="U50" s="4"/>
      <c r="V50" s="4"/>
      <c r="W50" s="4"/>
      <c r="X50" s="4"/>
      <c r="Y50" s="4"/>
      <c r="Z50" s="4"/>
    </row>
    <row r="51" ht="9.0" customHeight="1">
      <c r="A51" s="5">
        <f t="shared" si="1"/>
        <v>50</v>
      </c>
      <c r="B51" s="4" t="s">
        <v>254</v>
      </c>
      <c r="C51" s="4" t="s">
        <v>255</v>
      </c>
      <c r="D51" s="4" t="s">
        <v>256</v>
      </c>
      <c r="E51" s="4" t="s">
        <v>257</v>
      </c>
      <c r="F51" s="4" t="s">
        <v>258</v>
      </c>
      <c r="G51" s="4" t="s">
        <v>259</v>
      </c>
      <c r="H51" s="4"/>
      <c r="I51" s="4"/>
      <c r="J51" s="4"/>
      <c r="K51" s="4"/>
      <c r="L51" s="4"/>
      <c r="M51" s="4"/>
      <c r="N51" s="4"/>
      <c r="O51" s="4"/>
      <c r="P51" s="4"/>
      <c r="Q51" s="4"/>
      <c r="R51" s="4"/>
      <c r="S51" s="4"/>
      <c r="T51" s="4"/>
      <c r="U51" s="4"/>
      <c r="V51" s="4"/>
      <c r="W51" s="4"/>
      <c r="X51" s="4"/>
      <c r="Y51" s="4"/>
      <c r="Z51" s="4"/>
    </row>
    <row r="52" ht="9.0" customHeight="1">
      <c r="A52" s="5">
        <f t="shared" si="1"/>
        <v>51</v>
      </c>
      <c r="B52" s="4" t="s">
        <v>260</v>
      </c>
      <c r="C52" s="4" t="s">
        <v>260</v>
      </c>
      <c r="D52" s="4" t="s">
        <v>261</v>
      </c>
      <c r="E52" s="4" t="s">
        <v>262</v>
      </c>
      <c r="F52" s="4" t="s">
        <v>263</v>
      </c>
      <c r="G52" s="4" t="s">
        <v>264</v>
      </c>
      <c r="H52" s="4"/>
      <c r="I52" s="4"/>
      <c r="J52" s="4"/>
      <c r="K52" s="4"/>
      <c r="L52" s="4"/>
      <c r="M52" s="4"/>
      <c r="N52" s="4"/>
      <c r="O52" s="4"/>
      <c r="P52" s="4"/>
      <c r="Q52" s="4"/>
      <c r="R52" s="4"/>
      <c r="S52" s="4"/>
      <c r="T52" s="4"/>
      <c r="U52" s="4"/>
      <c r="V52" s="4"/>
      <c r="W52" s="4"/>
      <c r="X52" s="4"/>
      <c r="Y52" s="4"/>
      <c r="Z52" s="4"/>
    </row>
    <row r="53" ht="9.0" customHeight="1">
      <c r="A53" s="5">
        <f t="shared" si="1"/>
        <v>52</v>
      </c>
      <c r="B53" s="4" t="s">
        <v>265</v>
      </c>
      <c r="C53" s="4" t="s">
        <v>266</v>
      </c>
      <c r="D53" s="4" t="s">
        <v>267</v>
      </c>
      <c r="E53" s="4" t="s">
        <v>268</v>
      </c>
      <c r="F53" s="4" t="s">
        <v>269</v>
      </c>
      <c r="G53" s="4" t="s">
        <v>270</v>
      </c>
      <c r="H53" s="4"/>
      <c r="I53" s="4"/>
      <c r="J53" s="4"/>
      <c r="K53" s="4"/>
      <c r="L53" s="4"/>
      <c r="M53" s="4"/>
      <c r="N53" s="4"/>
      <c r="O53" s="4"/>
      <c r="P53" s="4"/>
      <c r="Q53" s="4"/>
      <c r="R53" s="4"/>
      <c r="S53" s="4"/>
      <c r="T53" s="4"/>
      <c r="U53" s="4"/>
      <c r="V53" s="4"/>
      <c r="W53" s="4"/>
      <c r="X53" s="4"/>
      <c r="Y53" s="4"/>
      <c r="Z53" s="4"/>
    </row>
    <row r="54" ht="9.0" customHeight="1">
      <c r="A54" s="5">
        <f t="shared" si="1"/>
        <v>53</v>
      </c>
      <c r="B54" s="4" t="s">
        <v>271</v>
      </c>
      <c r="C54" s="4" t="s">
        <v>272</v>
      </c>
      <c r="D54" s="4" t="s">
        <v>273</v>
      </c>
      <c r="E54" s="4" t="s">
        <v>274</v>
      </c>
      <c r="F54" s="4" t="s">
        <v>275</v>
      </c>
      <c r="G54" s="4" t="s">
        <v>276</v>
      </c>
      <c r="H54" s="4"/>
      <c r="I54" s="4"/>
      <c r="J54" s="4"/>
      <c r="K54" s="4"/>
      <c r="L54" s="4"/>
      <c r="M54" s="4"/>
      <c r="N54" s="4"/>
      <c r="O54" s="4"/>
      <c r="P54" s="4"/>
      <c r="Q54" s="4"/>
      <c r="R54" s="4"/>
      <c r="S54" s="4"/>
      <c r="T54" s="4"/>
      <c r="U54" s="4"/>
      <c r="V54" s="4"/>
      <c r="W54" s="4"/>
      <c r="X54" s="4"/>
      <c r="Y54" s="4"/>
      <c r="Z54" s="4"/>
    </row>
    <row r="55" ht="9.0" customHeight="1">
      <c r="A55" s="5">
        <f t="shared" si="1"/>
        <v>54</v>
      </c>
      <c r="B55" s="4" t="s">
        <v>277</v>
      </c>
      <c r="C55" s="4" t="s">
        <v>278</v>
      </c>
      <c r="D55" s="4" t="s">
        <v>279</v>
      </c>
      <c r="E55" s="4" t="s">
        <v>280</v>
      </c>
      <c r="F55" s="4" t="s">
        <v>281</v>
      </c>
      <c r="G55" s="4" t="s">
        <v>282</v>
      </c>
      <c r="H55" s="4"/>
      <c r="I55" s="4"/>
      <c r="J55" s="4"/>
      <c r="K55" s="4"/>
      <c r="L55" s="4"/>
      <c r="M55" s="4"/>
      <c r="N55" s="4"/>
      <c r="O55" s="4"/>
      <c r="P55" s="4"/>
      <c r="Q55" s="4"/>
      <c r="R55" s="4"/>
      <c r="S55" s="4"/>
      <c r="T55" s="4"/>
      <c r="U55" s="4"/>
      <c r="V55" s="4"/>
      <c r="W55" s="4"/>
      <c r="X55" s="4"/>
      <c r="Y55" s="4"/>
      <c r="Z55" s="4"/>
    </row>
    <row r="56" ht="9.0" customHeight="1">
      <c r="A56" s="5">
        <f t="shared" si="1"/>
        <v>55</v>
      </c>
      <c r="B56" s="4" t="s">
        <v>283</v>
      </c>
      <c r="C56" s="4" t="s">
        <v>284</v>
      </c>
      <c r="D56" s="4" t="s">
        <v>285</v>
      </c>
      <c r="E56" s="4" t="s">
        <v>286</v>
      </c>
      <c r="F56" s="4" t="s">
        <v>287</v>
      </c>
      <c r="G56" s="4" t="s">
        <v>288</v>
      </c>
      <c r="H56" s="4"/>
      <c r="I56" s="4"/>
      <c r="J56" s="4"/>
      <c r="K56" s="4"/>
      <c r="L56" s="4"/>
      <c r="M56" s="4"/>
      <c r="N56" s="4"/>
      <c r="O56" s="4"/>
      <c r="P56" s="4"/>
      <c r="Q56" s="4"/>
      <c r="R56" s="4"/>
      <c r="S56" s="4"/>
      <c r="T56" s="4"/>
      <c r="U56" s="4"/>
      <c r="V56" s="4"/>
      <c r="W56" s="4"/>
      <c r="X56" s="4"/>
      <c r="Y56" s="4"/>
      <c r="Z56" s="4"/>
    </row>
    <row r="57" ht="9.0" customHeight="1">
      <c r="A57" s="5">
        <f t="shared" si="1"/>
        <v>56</v>
      </c>
      <c r="B57" s="4" t="s">
        <v>289</v>
      </c>
      <c r="C57" s="4" t="s">
        <v>290</v>
      </c>
      <c r="D57" s="4" t="s">
        <v>291</v>
      </c>
      <c r="E57" s="4" t="s">
        <v>292</v>
      </c>
      <c r="F57" s="4" t="s">
        <v>293</v>
      </c>
      <c r="G57" s="4" t="s">
        <v>294</v>
      </c>
      <c r="H57" s="4"/>
      <c r="I57" s="4"/>
      <c r="J57" s="4"/>
      <c r="K57" s="4"/>
      <c r="L57" s="4"/>
      <c r="M57" s="4"/>
      <c r="N57" s="4"/>
      <c r="O57" s="4"/>
      <c r="P57" s="4"/>
      <c r="Q57" s="4"/>
      <c r="R57" s="4"/>
      <c r="S57" s="4"/>
      <c r="T57" s="4"/>
      <c r="U57" s="4"/>
      <c r="V57" s="4"/>
      <c r="W57" s="4"/>
      <c r="X57" s="4"/>
      <c r="Y57" s="4"/>
      <c r="Z57" s="4"/>
    </row>
    <row r="58" ht="9.0" customHeight="1">
      <c r="A58" s="5">
        <f t="shared" si="1"/>
        <v>57</v>
      </c>
      <c r="B58" s="4" t="s">
        <v>295</v>
      </c>
      <c r="C58" s="4" t="s">
        <v>296</v>
      </c>
      <c r="D58" s="4" t="s">
        <v>297</v>
      </c>
      <c r="E58" s="4"/>
      <c r="F58" s="4" t="s">
        <v>297</v>
      </c>
      <c r="G58" s="4"/>
      <c r="H58" s="4"/>
      <c r="I58" s="4"/>
      <c r="J58" s="4"/>
      <c r="K58" s="4"/>
      <c r="L58" s="4"/>
      <c r="M58" s="4"/>
      <c r="N58" s="4"/>
      <c r="O58" s="4"/>
      <c r="P58" s="4"/>
      <c r="Q58" s="4"/>
      <c r="R58" s="4"/>
      <c r="S58" s="4"/>
      <c r="T58" s="4"/>
      <c r="U58" s="4"/>
      <c r="V58" s="4"/>
      <c r="W58" s="4"/>
      <c r="X58" s="4"/>
      <c r="Y58" s="4"/>
      <c r="Z58" s="4"/>
    </row>
    <row r="59" ht="9.0" customHeight="1">
      <c r="A59" s="5">
        <f t="shared" si="1"/>
        <v>58</v>
      </c>
      <c r="B59" s="4" t="s">
        <v>298</v>
      </c>
      <c r="C59" s="4" t="s">
        <v>299</v>
      </c>
      <c r="D59" s="4" t="s">
        <v>300</v>
      </c>
      <c r="E59" s="4" t="s">
        <v>301</v>
      </c>
      <c r="F59" s="4" t="s">
        <v>302</v>
      </c>
      <c r="G59" s="4" t="s">
        <v>303</v>
      </c>
      <c r="H59" s="4"/>
      <c r="I59" s="4"/>
      <c r="J59" s="4"/>
      <c r="K59" s="4"/>
      <c r="L59" s="4"/>
      <c r="M59" s="4"/>
      <c r="N59" s="4"/>
      <c r="O59" s="4"/>
      <c r="P59" s="4"/>
      <c r="Q59" s="4"/>
      <c r="R59" s="4"/>
      <c r="S59" s="4"/>
      <c r="T59" s="4"/>
      <c r="U59" s="4"/>
      <c r="V59" s="4"/>
      <c r="W59" s="4"/>
      <c r="X59" s="4"/>
      <c r="Y59" s="4"/>
      <c r="Z59" s="4"/>
    </row>
    <row r="60" ht="9.0" customHeight="1">
      <c r="A60" s="5">
        <f t="shared" si="1"/>
        <v>59</v>
      </c>
      <c r="B60" s="4" t="s">
        <v>304</v>
      </c>
      <c r="C60" s="4" t="s">
        <v>305</v>
      </c>
      <c r="D60" s="4" t="s">
        <v>306</v>
      </c>
      <c r="E60" s="4" t="s">
        <v>307</v>
      </c>
      <c r="F60" s="4" t="s">
        <v>308</v>
      </c>
      <c r="G60" s="4" t="s">
        <v>309</v>
      </c>
      <c r="H60" s="4"/>
      <c r="I60" s="4"/>
      <c r="J60" s="4"/>
      <c r="K60" s="4"/>
      <c r="L60" s="4"/>
      <c r="M60" s="4"/>
      <c r="N60" s="4"/>
      <c r="O60" s="4"/>
      <c r="P60" s="4"/>
      <c r="Q60" s="4"/>
      <c r="R60" s="4"/>
      <c r="S60" s="4"/>
      <c r="T60" s="4"/>
      <c r="U60" s="4"/>
      <c r="V60" s="4"/>
      <c r="W60" s="4"/>
      <c r="X60" s="4"/>
      <c r="Y60" s="4"/>
      <c r="Z60" s="4"/>
    </row>
    <row r="61" ht="9.0" customHeight="1">
      <c r="A61" s="5">
        <f t="shared" si="1"/>
        <v>60</v>
      </c>
      <c r="B61" s="4" t="s">
        <v>310</v>
      </c>
      <c r="C61" s="4" t="s">
        <v>311</v>
      </c>
      <c r="D61" s="4" t="s">
        <v>312</v>
      </c>
      <c r="E61" s="4" t="s">
        <v>313</v>
      </c>
      <c r="F61" s="4" t="s">
        <v>314</v>
      </c>
      <c r="G61" s="4" t="s">
        <v>315</v>
      </c>
      <c r="H61" s="4"/>
      <c r="I61" s="4"/>
      <c r="J61" s="4"/>
      <c r="K61" s="4"/>
      <c r="L61" s="4"/>
      <c r="M61" s="4"/>
      <c r="N61" s="4"/>
      <c r="O61" s="4"/>
      <c r="P61" s="4"/>
      <c r="Q61" s="4"/>
      <c r="R61" s="4"/>
      <c r="S61" s="4"/>
      <c r="T61" s="4"/>
      <c r="U61" s="4"/>
      <c r="V61" s="4"/>
      <c r="W61" s="4"/>
      <c r="X61" s="4"/>
      <c r="Y61" s="4"/>
      <c r="Z61" s="4"/>
    </row>
    <row r="62" ht="9.0" customHeight="1">
      <c r="A62" s="5">
        <f t="shared" si="1"/>
        <v>61</v>
      </c>
      <c r="B62" s="4" t="s">
        <v>316</v>
      </c>
      <c r="C62" s="4" t="s">
        <v>317</v>
      </c>
      <c r="D62" s="4" t="s">
        <v>318</v>
      </c>
      <c r="E62" s="4" t="s">
        <v>319</v>
      </c>
      <c r="F62" s="4" t="s">
        <v>320</v>
      </c>
      <c r="G62" s="4" t="s">
        <v>321</v>
      </c>
      <c r="H62" s="4"/>
      <c r="I62" s="4"/>
      <c r="J62" s="4"/>
      <c r="K62" s="4"/>
      <c r="L62" s="4"/>
      <c r="M62" s="4"/>
      <c r="N62" s="4"/>
      <c r="O62" s="4"/>
      <c r="P62" s="4"/>
      <c r="Q62" s="4"/>
      <c r="R62" s="4"/>
      <c r="S62" s="4"/>
      <c r="T62" s="4"/>
      <c r="U62" s="4"/>
      <c r="V62" s="4"/>
      <c r="W62" s="4"/>
      <c r="X62" s="4"/>
      <c r="Y62" s="4"/>
      <c r="Z62" s="4"/>
    </row>
    <row r="63" ht="9.0" customHeight="1">
      <c r="A63" s="5">
        <f t="shared" si="1"/>
        <v>62</v>
      </c>
      <c r="B63" s="4" t="s">
        <v>322</v>
      </c>
      <c r="C63" s="4" t="s">
        <v>323</v>
      </c>
      <c r="D63" s="4" t="s">
        <v>324</v>
      </c>
      <c r="E63" s="4" t="s">
        <v>325</v>
      </c>
      <c r="F63" s="4" t="s">
        <v>326</v>
      </c>
      <c r="G63" s="4" t="s">
        <v>327</v>
      </c>
      <c r="H63" s="4"/>
      <c r="I63" s="4"/>
      <c r="J63" s="4"/>
      <c r="K63" s="4"/>
      <c r="L63" s="4"/>
      <c r="M63" s="4"/>
      <c r="N63" s="4"/>
      <c r="O63" s="4"/>
      <c r="P63" s="4"/>
      <c r="Q63" s="4"/>
      <c r="R63" s="4"/>
      <c r="S63" s="4"/>
      <c r="T63" s="4"/>
      <c r="U63" s="4"/>
      <c r="V63" s="4"/>
      <c r="W63" s="4"/>
      <c r="X63" s="4"/>
      <c r="Y63" s="4"/>
      <c r="Z63" s="4"/>
    </row>
    <row r="64" ht="9.0" customHeight="1">
      <c r="A64" s="5">
        <f t="shared" si="1"/>
        <v>63</v>
      </c>
      <c r="B64" s="4" t="s">
        <v>328</v>
      </c>
      <c r="C64" s="4" t="s">
        <v>328</v>
      </c>
      <c r="D64" s="4" t="s">
        <v>329</v>
      </c>
      <c r="E64" s="4" t="s">
        <v>330</v>
      </c>
      <c r="F64" s="4" t="s">
        <v>331</v>
      </c>
      <c r="G64" s="4" t="s">
        <v>332</v>
      </c>
      <c r="H64" s="4"/>
      <c r="I64" s="4"/>
      <c r="J64" s="4"/>
      <c r="K64" s="4"/>
      <c r="L64" s="4"/>
      <c r="M64" s="4"/>
      <c r="N64" s="4"/>
      <c r="O64" s="4"/>
      <c r="P64" s="4"/>
      <c r="Q64" s="4"/>
      <c r="R64" s="4"/>
      <c r="S64" s="4"/>
      <c r="T64" s="4"/>
      <c r="U64" s="4"/>
      <c r="V64" s="4"/>
      <c r="W64" s="4"/>
      <c r="X64" s="4"/>
      <c r="Y64" s="4"/>
      <c r="Z64" s="4"/>
    </row>
    <row r="65" ht="9.0" customHeight="1">
      <c r="A65" s="5">
        <f t="shared" si="1"/>
        <v>64</v>
      </c>
      <c r="B65" s="4" t="s">
        <v>333</v>
      </c>
      <c r="C65" s="4" t="s">
        <v>334</v>
      </c>
      <c r="D65" s="4" t="s">
        <v>335</v>
      </c>
      <c r="E65" s="4" t="s">
        <v>336</v>
      </c>
      <c r="F65" s="4" t="s">
        <v>337</v>
      </c>
      <c r="G65" s="4" t="s">
        <v>338</v>
      </c>
      <c r="H65" s="4"/>
      <c r="I65" s="4"/>
      <c r="J65" s="4"/>
      <c r="K65" s="4"/>
      <c r="L65" s="4"/>
      <c r="M65" s="4"/>
      <c r="N65" s="4"/>
      <c r="O65" s="4"/>
      <c r="P65" s="4"/>
      <c r="Q65" s="4"/>
      <c r="R65" s="4"/>
      <c r="S65" s="4"/>
      <c r="T65" s="4"/>
      <c r="U65" s="4"/>
      <c r="V65" s="4"/>
      <c r="W65" s="4"/>
      <c r="X65" s="4"/>
      <c r="Y65" s="4"/>
      <c r="Z65" s="4"/>
    </row>
    <row r="66" ht="9.0" customHeight="1">
      <c r="A66" s="5">
        <f t="shared" si="1"/>
        <v>65</v>
      </c>
      <c r="B66" s="4" t="s">
        <v>339</v>
      </c>
      <c r="C66" s="4" t="s">
        <v>340</v>
      </c>
      <c r="D66" s="4" t="s">
        <v>341</v>
      </c>
      <c r="E66" s="4" t="s">
        <v>342</v>
      </c>
      <c r="F66" s="4" t="s">
        <v>343</v>
      </c>
      <c r="G66" s="4" t="s">
        <v>344</v>
      </c>
      <c r="H66" s="4"/>
      <c r="I66" s="4"/>
      <c r="J66" s="4"/>
      <c r="K66" s="4"/>
      <c r="L66" s="4"/>
      <c r="M66" s="4"/>
      <c r="N66" s="4"/>
      <c r="O66" s="4"/>
      <c r="P66" s="4"/>
      <c r="Q66" s="4"/>
      <c r="R66" s="4"/>
      <c r="S66" s="4"/>
      <c r="T66" s="4"/>
      <c r="U66" s="4"/>
      <c r="V66" s="4"/>
      <c r="W66" s="4"/>
      <c r="X66" s="4"/>
      <c r="Y66" s="4"/>
      <c r="Z66" s="4"/>
    </row>
    <row r="67" ht="9.0" customHeight="1">
      <c r="A67" s="5">
        <f t="shared" si="1"/>
        <v>66</v>
      </c>
      <c r="B67" s="4" t="s">
        <v>345</v>
      </c>
      <c r="C67" s="4" t="s">
        <v>346</v>
      </c>
      <c r="D67" s="4" t="s">
        <v>347</v>
      </c>
      <c r="E67" s="4" t="s">
        <v>348</v>
      </c>
      <c r="F67" s="4" t="s">
        <v>349</v>
      </c>
      <c r="G67" s="4" t="s">
        <v>350</v>
      </c>
      <c r="H67" s="4"/>
      <c r="I67" s="4"/>
      <c r="J67" s="4"/>
      <c r="K67" s="4"/>
      <c r="L67" s="4"/>
      <c r="M67" s="4"/>
      <c r="N67" s="4"/>
      <c r="O67" s="4"/>
      <c r="P67" s="4"/>
      <c r="Q67" s="4"/>
      <c r="R67" s="4"/>
      <c r="S67" s="4"/>
      <c r="T67" s="4"/>
      <c r="U67" s="4"/>
      <c r="V67" s="4"/>
      <c r="W67" s="4"/>
      <c r="X67" s="4"/>
      <c r="Y67" s="4"/>
      <c r="Z67" s="4"/>
    </row>
    <row r="68" ht="9.0" customHeight="1">
      <c r="A68" s="5">
        <f t="shared" si="1"/>
        <v>67</v>
      </c>
      <c r="B68" s="4" t="s">
        <v>351</v>
      </c>
      <c r="C68" s="4" t="s">
        <v>352</v>
      </c>
      <c r="D68" s="4" t="s">
        <v>353</v>
      </c>
      <c r="E68" s="4" t="s">
        <v>354</v>
      </c>
      <c r="F68" s="4" t="s">
        <v>355</v>
      </c>
      <c r="G68" s="4" t="s">
        <v>356</v>
      </c>
      <c r="H68" s="4"/>
      <c r="I68" s="4"/>
      <c r="J68" s="4"/>
      <c r="K68" s="4"/>
      <c r="L68" s="4"/>
      <c r="M68" s="4"/>
      <c r="N68" s="4"/>
      <c r="O68" s="4"/>
      <c r="P68" s="4"/>
      <c r="Q68" s="4"/>
      <c r="R68" s="4"/>
      <c r="S68" s="4"/>
      <c r="T68" s="4"/>
      <c r="U68" s="4"/>
      <c r="V68" s="4"/>
      <c r="W68" s="4"/>
      <c r="X68" s="4"/>
      <c r="Y68" s="4"/>
      <c r="Z68" s="4"/>
    </row>
    <row r="69" ht="9.0" customHeight="1">
      <c r="A69" s="5">
        <f t="shared" si="1"/>
        <v>68</v>
      </c>
      <c r="B69" s="4" t="s">
        <v>357</v>
      </c>
      <c r="C69" s="4" t="s">
        <v>357</v>
      </c>
      <c r="D69" s="4" t="s">
        <v>358</v>
      </c>
      <c r="E69" s="4" t="s">
        <v>359</v>
      </c>
      <c r="F69" s="4" t="s">
        <v>360</v>
      </c>
      <c r="G69" s="4" t="s">
        <v>361</v>
      </c>
      <c r="H69" s="4"/>
      <c r="I69" s="4"/>
      <c r="J69" s="4"/>
      <c r="K69" s="4"/>
      <c r="L69" s="4"/>
      <c r="M69" s="4"/>
      <c r="N69" s="4"/>
      <c r="O69" s="4"/>
      <c r="P69" s="4"/>
      <c r="Q69" s="4"/>
      <c r="R69" s="4"/>
      <c r="S69" s="4"/>
      <c r="T69" s="4"/>
      <c r="U69" s="4"/>
      <c r="V69" s="4"/>
      <c r="W69" s="4"/>
      <c r="X69" s="4"/>
      <c r="Y69" s="4"/>
      <c r="Z69" s="4"/>
    </row>
    <row r="70" ht="9.0" customHeight="1">
      <c r="A70" s="5">
        <f t="shared" si="1"/>
        <v>69</v>
      </c>
      <c r="B70" s="4" t="s">
        <v>362</v>
      </c>
      <c r="C70" s="4" t="s">
        <v>363</v>
      </c>
      <c r="D70" s="4" t="s">
        <v>364</v>
      </c>
      <c r="E70" s="4"/>
      <c r="F70" s="4" t="s">
        <v>364</v>
      </c>
      <c r="G70" s="4"/>
      <c r="H70" s="4"/>
      <c r="I70" s="4"/>
      <c r="J70" s="4"/>
      <c r="K70" s="4"/>
      <c r="L70" s="4"/>
      <c r="M70" s="4"/>
      <c r="N70" s="4"/>
      <c r="O70" s="4"/>
      <c r="P70" s="4"/>
      <c r="Q70" s="4"/>
      <c r="R70" s="4"/>
      <c r="S70" s="4"/>
      <c r="T70" s="4"/>
      <c r="U70" s="4"/>
      <c r="V70" s="4"/>
      <c r="W70" s="4"/>
      <c r="X70" s="4"/>
      <c r="Y70" s="4"/>
      <c r="Z70" s="4"/>
    </row>
    <row r="71" ht="9.0" customHeight="1">
      <c r="A71" s="5">
        <f t="shared" si="1"/>
        <v>70</v>
      </c>
      <c r="B71" s="4" t="s">
        <v>365</v>
      </c>
      <c r="C71" s="4" t="s">
        <v>366</v>
      </c>
      <c r="D71" s="4" t="s">
        <v>367</v>
      </c>
      <c r="E71" s="4"/>
      <c r="F71" s="4" t="s">
        <v>367</v>
      </c>
      <c r="G71" s="4"/>
      <c r="H71" s="4"/>
      <c r="I71" s="4"/>
      <c r="J71" s="4"/>
      <c r="K71" s="4"/>
      <c r="L71" s="4"/>
      <c r="M71" s="4"/>
      <c r="N71" s="4"/>
      <c r="O71" s="4"/>
      <c r="P71" s="4"/>
      <c r="Q71" s="4"/>
      <c r="R71" s="4"/>
      <c r="S71" s="4"/>
      <c r="T71" s="4"/>
      <c r="U71" s="4"/>
      <c r="V71" s="4"/>
      <c r="W71" s="4"/>
      <c r="X71" s="4"/>
      <c r="Y71" s="4"/>
      <c r="Z71" s="4"/>
    </row>
    <row r="72" ht="9.0" customHeight="1">
      <c r="A72" s="5">
        <f t="shared" si="1"/>
        <v>71</v>
      </c>
      <c r="B72" s="4" t="s">
        <v>368</v>
      </c>
      <c r="C72" s="4" t="s">
        <v>369</v>
      </c>
      <c r="D72" s="4" t="s">
        <v>370</v>
      </c>
      <c r="E72" s="4" t="s">
        <v>371</v>
      </c>
      <c r="F72" s="4" t="s">
        <v>372</v>
      </c>
      <c r="G72" s="4" t="s">
        <v>373</v>
      </c>
      <c r="H72" s="4"/>
      <c r="I72" s="4"/>
      <c r="J72" s="4"/>
      <c r="K72" s="4"/>
      <c r="L72" s="4"/>
      <c r="M72" s="4"/>
      <c r="N72" s="4"/>
      <c r="O72" s="4"/>
      <c r="P72" s="4"/>
      <c r="Q72" s="4"/>
      <c r="R72" s="4"/>
      <c r="S72" s="4"/>
      <c r="T72" s="4"/>
      <c r="U72" s="4"/>
      <c r="V72" s="4"/>
      <c r="W72" s="4"/>
      <c r="X72" s="4"/>
      <c r="Y72" s="4"/>
      <c r="Z72" s="4"/>
    </row>
    <row r="73" ht="9.0" customHeight="1">
      <c r="A73" s="5">
        <f t="shared" si="1"/>
        <v>72</v>
      </c>
      <c r="B73" s="4" t="s">
        <v>374</v>
      </c>
      <c r="C73" s="4" t="s">
        <v>374</v>
      </c>
      <c r="D73" s="4" t="s">
        <v>375</v>
      </c>
      <c r="E73" s="4" t="s">
        <v>376</v>
      </c>
      <c r="F73" s="4" t="s">
        <v>377</v>
      </c>
      <c r="G73" s="4" t="s">
        <v>378</v>
      </c>
      <c r="H73" s="4"/>
      <c r="I73" s="4"/>
      <c r="J73" s="4"/>
      <c r="K73" s="4"/>
      <c r="L73" s="4"/>
      <c r="M73" s="4"/>
      <c r="N73" s="4"/>
      <c r="O73" s="4"/>
      <c r="P73" s="4"/>
      <c r="Q73" s="4"/>
      <c r="R73" s="4"/>
      <c r="S73" s="4"/>
      <c r="T73" s="4"/>
      <c r="U73" s="4"/>
      <c r="V73" s="4"/>
      <c r="W73" s="4"/>
      <c r="X73" s="4"/>
      <c r="Y73" s="4"/>
      <c r="Z73" s="4"/>
    </row>
    <row r="74" ht="9.0" customHeight="1">
      <c r="A74" s="5">
        <f t="shared" si="1"/>
        <v>73</v>
      </c>
      <c r="B74" s="4" t="s">
        <v>379</v>
      </c>
      <c r="C74" s="4" t="s">
        <v>379</v>
      </c>
      <c r="D74" s="4" t="s">
        <v>380</v>
      </c>
      <c r="E74" s="4" t="s">
        <v>381</v>
      </c>
      <c r="F74" s="4" t="s">
        <v>382</v>
      </c>
      <c r="G74" s="4" t="s">
        <v>383</v>
      </c>
      <c r="H74" s="4"/>
      <c r="I74" s="4"/>
      <c r="J74" s="4"/>
      <c r="K74" s="4"/>
      <c r="L74" s="4"/>
      <c r="M74" s="4"/>
      <c r="N74" s="4"/>
      <c r="O74" s="4"/>
      <c r="P74" s="4"/>
      <c r="Q74" s="4"/>
      <c r="R74" s="4"/>
      <c r="S74" s="4"/>
      <c r="T74" s="4"/>
      <c r="U74" s="4"/>
      <c r="V74" s="4"/>
      <c r="W74" s="4"/>
      <c r="X74" s="4"/>
      <c r="Y74" s="4"/>
      <c r="Z74" s="4"/>
    </row>
    <row r="75" ht="9.0" customHeight="1">
      <c r="A75" s="5">
        <f t="shared" si="1"/>
        <v>74</v>
      </c>
      <c r="B75" s="4" t="s">
        <v>384</v>
      </c>
      <c r="C75" s="4" t="s">
        <v>384</v>
      </c>
      <c r="D75" s="4" t="s">
        <v>385</v>
      </c>
      <c r="E75" s="4" t="s">
        <v>386</v>
      </c>
      <c r="F75" s="4" t="s">
        <v>387</v>
      </c>
      <c r="G75" s="4" t="s">
        <v>388</v>
      </c>
      <c r="H75" s="4"/>
      <c r="I75" s="4"/>
      <c r="J75" s="4"/>
      <c r="K75" s="4"/>
      <c r="L75" s="4"/>
      <c r="M75" s="4"/>
      <c r="N75" s="4"/>
      <c r="O75" s="4"/>
      <c r="P75" s="4"/>
      <c r="Q75" s="4"/>
      <c r="R75" s="4"/>
      <c r="S75" s="4"/>
      <c r="T75" s="4"/>
      <c r="U75" s="4"/>
      <c r="V75" s="4"/>
      <c r="W75" s="4"/>
      <c r="X75" s="4"/>
      <c r="Y75" s="4"/>
      <c r="Z75" s="4"/>
    </row>
    <row r="76" ht="9.0" customHeight="1">
      <c r="A76" s="5">
        <f t="shared" si="1"/>
        <v>75</v>
      </c>
      <c r="B76" s="4" t="s">
        <v>389</v>
      </c>
      <c r="C76" s="4" t="s">
        <v>389</v>
      </c>
      <c r="D76" s="4" t="s">
        <v>390</v>
      </c>
      <c r="E76" s="4" t="s">
        <v>391</v>
      </c>
      <c r="F76" s="4" t="s">
        <v>392</v>
      </c>
      <c r="G76" s="4" t="s">
        <v>393</v>
      </c>
      <c r="H76" s="4"/>
      <c r="I76" s="4"/>
      <c r="J76" s="4"/>
      <c r="K76" s="4"/>
      <c r="L76" s="4"/>
      <c r="M76" s="4"/>
      <c r="N76" s="4"/>
      <c r="O76" s="4"/>
      <c r="P76" s="4"/>
      <c r="Q76" s="4"/>
      <c r="R76" s="4"/>
      <c r="S76" s="4"/>
      <c r="T76" s="4"/>
      <c r="U76" s="4"/>
      <c r="V76" s="4"/>
      <c r="W76" s="4"/>
      <c r="X76" s="4"/>
      <c r="Y76" s="4"/>
      <c r="Z76" s="4"/>
    </row>
    <row r="77" ht="9.0" customHeight="1">
      <c r="A77" s="5">
        <f t="shared" si="1"/>
        <v>76</v>
      </c>
      <c r="B77" s="4" t="s">
        <v>394</v>
      </c>
      <c r="C77" s="4" t="s">
        <v>395</v>
      </c>
      <c r="D77" s="4" t="s">
        <v>396</v>
      </c>
      <c r="E77" s="4" t="s">
        <v>397</v>
      </c>
      <c r="F77" s="4" t="s">
        <v>398</v>
      </c>
      <c r="G77" s="4" t="s">
        <v>399</v>
      </c>
      <c r="H77" s="4"/>
      <c r="I77" s="4"/>
      <c r="J77" s="4"/>
      <c r="K77" s="4"/>
      <c r="L77" s="4"/>
      <c r="M77" s="4"/>
      <c r="N77" s="4"/>
      <c r="O77" s="4"/>
      <c r="P77" s="4"/>
      <c r="Q77" s="4"/>
      <c r="R77" s="4"/>
      <c r="S77" s="4"/>
      <c r="T77" s="4"/>
      <c r="U77" s="4"/>
      <c r="V77" s="4"/>
      <c r="W77" s="4"/>
      <c r="X77" s="4"/>
      <c r="Y77" s="4"/>
      <c r="Z77" s="4"/>
    </row>
    <row r="78" ht="9.0" customHeight="1">
      <c r="A78" s="5">
        <f t="shared" si="1"/>
        <v>77</v>
      </c>
      <c r="B78" s="4" t="s">
        <v>400</v>
      </c>
      <c r="C78" s="4" t="s">
        <v>401</v>
      </c>
      <c r="D78" s="4" t="s">
        <v>402</v>
      </c>
      <c r="E78" s="4" t="s">
        <v>403</v>
      </c>
      <c r="F78" s="4" t="s">
        <v>404</v>
      </c>
      <c r="G78" s="4" t="s">
        <v>405</v>
      </c>
      <c r="H78" s="4"/>
      <c r="I78" s="4"/>
      <c r="J78" s="4"/>
      <c r="K78" s="4"/>
      <c r="L78" s="4"/>
      <c r="M78" s="4"/>
      <c r="N78" s="4"/>
      <c r="O78" s="4"/>
      <c r="P78" s="4"/>
      <c r="Q78" s="4"/>
      <c r="R78" s="4"/>
      <c r="S78" s="4"/>
      <c r="T78" s="4"/>
      <c r="U78" s="4"/>
      <c r="V78" s="4"/>
      <c r="W78" s="4"/>
      <c r="X78" s="4"/>
      <c r="Y78" s="4"/>
      <c r="Z78" s="4"/>
    </row>
    <row r="79" ht="9.0" customHeight="1">
      <c r="A79" s="5">
        <f t="shared" si="1"/>
        <v>78</v>
      </c>
      <c r="B79" s="4" t="s">
        <v>406</v>
      </c>
      <c r="C79" s="4" t="s">
        <v>407</v>
      </c>
      <c r="D79" s="4" t="s">
        <v>408</v>
      </c>
      <c r="E79" s="4" t="s">
        <v>409</v>
      </c>
      <c r="F79" s="4" t="s">
        <v>410</v>
      </c>
      <c r="G79" s="4" t="s">
        <v>411</v>
      </c>
      <c r="H79" s="4"/>
      <c r="I79" s="4"/>
      <c r="J79" s="4"/>
      <c r="K79" s="4"/>
      <c r="L79" s="4"/>
      <c r="M79" s="4"/>
      <c r="N79" s="4"/>
      <c r="O79" s="4"/>
      <c r="P79" s="4"/>
      <c r="Q79" s="4"/>
      <c r="R79" s="4"/>
      <c r="S79" s="4"/>
      <c r="T79" s="4"/>
      <c r="U79" s="4"/>
      <c r="V79" s="4"/>
      <c r="W79" s="4"/>
      <c r="X79" s="4"/>
      <c r="Y79" s="4"/>
      <c r="Z79" s="4"/>
    </row>
    <row r="80" ht="9.0" customHeight="1">
      <c r="A80" s="5">
        <f t="shared" si="1"/>
        <v>79</v>
      </c>
      <c r="B80" s="4" t="s">
        <v>412</v>
      </c>
      <c r="C80" s="4" t="s">
        <v>413</v>
      </c>
      <c r="D80" s="4" t="s">
        <v>414</v>
      </c>
      <c r="E80" s="4" t="s">
        <v>415</v>
      </c>
      <c r="F80" s="4" t="s">
        <v>416</v>
      </c>
      <c r="G80" s="4" t="s">
        <v>417</v>
      </c>
      <c r="H80" s="4"/>
      <c r="I80" s="4"/>
      <c r="J80" s="4"/>
      <c r="K80" s="4"/>
      <c r="L80" s="4"/>
      <c r="M80" s="4"/>
      <c r="N80" s="4"/>
      <c r="O80" s="4"/>
      <c r="P80" s="4"/>
      <c r="Q80" s="4"/>
      <c r="R80" s="4"/>
      <c r="S80" s="4"/>
      <c r="T80" s="4"/>
      <c r="U80" s="4"/>
      <c r="V80" s="4"/>
      <c r="W80" s="4"/>
      <c r="X80" s="4"/>
      <c r="Y80" s="4"/>
      <c r="Z80" s="4"/>
    </row>
    <row r="81" ht="9.0" customHeight="1">
      <c r="A81" s="5">
        <f t="shared" si="1"/>
        <v>80</v>
      </c>
      <c r="B81" s="4" t="s">
        <v>418</v>
      </c>
      <c r="C81" s="4" t="s">
        <v>419</v>
      </c>
      <c r="D81" s="4" t="s">
        <v>420</v>
      </c>
      <c r="E81" s="4" t="s">
        <v>421</v>
      </c>
      <c r="F81" s="4" t="s">
        <v>422</v>
      </c>
      <c r="G81" s="4" t="s">
        <v>423</v>
      </c>
      <c r="H81" s="4"/>
      <c r="I81" s="4"/>
      <c r="J81" s="4"/>
      <c r="K81" s="4"/>
      <c r="L81" s="4"/>
      <c r="M81" s="4"/>
      <c r="N81" s="4"/>
      <c r="O81" s="4"/>
      <c r="P81" s="4"/>
      <c r="Q81" s="4"/>
      <c r="R81" s="4"/>
      <c r="S81" s="4"/>
      <c r="T81" s="4"/>
      <c r="U81" s="4"/>
      <c r="V81" s="4"/>
      <c r="W81" s="4"/>
      <c r="X81" s="4"/>
      <c r="Y81" s="4"/>
      <c r="Z81" s="4"/>
    </row>
    <row r="82" ht="9.0" customHeight="1">
      <c r="A82" s="5">
        <f t="shared" si="1"/>
        <v>81</v>
      </c>
      <c r="B82" s="4" t="s">
        <v>424</v>
      </c>
      <c r="C82" s="4" t="s">
        <v>425</v>
      </c>
      <c r="D82" s="4" t="s">
        <v>426</v>
      </c>
      <c r="E82" s="4"/>
      <c r="F82" s="4" t="s">
        <v>426</v>
      </c>
      <c r="G82" s="4"/>
      <c r="H82" s="4"/>
      <c r="I82" s="4"/>
      <c r="J82" s="4"/>
      <c r="K82" s="4"/>
      <c r="L82" s="4"/>
      <c r="M82" s="4"/>
      <c r="N82" s="4"/>
      <c r="O82" s="4"/>
      <c r="P82" s="4"/>
      <c r="Q82" s="4"/>
      <c r="R82" s="4"/>
      <c r="S82" s="4"/>
      <c r="T82" s="4"/>
      <c r="U82" s="4"/>
      <c r="V82" s="4"/>
      <c r="W82" s="4"/>
      <c r="X82" s="4"/>
      <c r="Y82" s="4"/>
      <c r="Z82" s="4"/>
    </row>
    <row r="83" ht="9.0" customHeight="1">
      <c r="A83" s="5">
        <f t="shared" si="1"/>
        <v>82</v>
      </c>
      <c r="B83" s="4" t="s">
        <v>427</v>
      </c>
      <c r="C83" s="4" t="s">
        <v>427</v>
      </c>
      <c r="D83" s="4" t="s">
        <v>428</v>
      </c>
      <c r="E83" s="4" t="s">
        <v>429</v>
      </c>
      <c r="F83" s="4" t="s">
        <v>430</v>
      </c>
      <c r="G83" s="4" t="s">
        <v>431</v>
      </c>
      <c r="H83" s="4"/>
      <c r="I83" s="4"/>
      <c r="J83" s="4"/>
      <c r="K83" s="4"/>
      <c r="L83" s="4"/>
      <c r="M83" s="4"/>
      <c r="N83" s="4"/>
      <c r="O83" s="4"/>
      <c r="P83" s="4"/>
      <c r="Q83" s="4"/>
      <c r="R83" s="4"/>
      <c r="S83" s="4"/>
      <c r="T83" s="4"/>
      <c r="U83" s="4"/>
      <c r="V83" s="4"/>
      <c r="W83" s="4"/>
      <c r="X83" s="4"/>
      <c r="Y83" s="4"/>
      <c r="Z83" s="4"/>
    </row>
    <row r="84" ht="9.0" customHeight="1">
      <c r="A84" s="5">
        <f t="shared" si="1"/>
        <v>83</v>
      </c>
      <c r="B84" s="4" t="s">
        <v>432</v>
      </c>
      <c r="C84" s="4" t="s">
        <v>433</v>
      </c>
      <c r="D84" s="4" t="s">
        <v>434</v>
      </c>
      <c r="E84" s="4"/>
      <c r="F84" s="4" t="s">
        <v>434</v>
      </c>
      <c r="G84" s="4"/>
      <c r="H84" s="4"/>
      <c r="I84" s="4"/>
      <c r="J84" s="4"/>
      <c r="K84" s="4"/>
      <c r="L84" s="4"/>
      <c r="M84" s="4"/>
      <c r="N84" s="4"/>
      <c r="O84" s="4"/>
      <c r="P84" s="4"/>
      <c r="Q84" s="4"/>
      <c r="R84" s="4"/>
      <c r="S84" s="4"/>
      <c r="T84" s="4"/>
      <c r="U84" s="4"/>
      <c r="V84" s="4"/>
      <c r="W84" s="4"/>
      <c r="X84" s="4"/>
      <c r="Y84" s="4"/>
      <c r="Z84" s="4"/>
    </row>
    <row r="85" ht="9.0" customHeight="1">
      <c r="A85" s="5">
        <f t="shared" si="1"/>
        <v>84</v>
      </c>
      <c r="B85" s="4" t="s">
        <v>435</v>
      </c>
      <c r="C85" s="4" t="s">
        <v>436</v>
      </c>
      <c r="D85" s="4" t="s">
        <v>437</v>
      </c>
      <c r="E85" s="4" t="s">
        <v>438</v>
      </c>
      <c r="F85" s="4" t="s">
        <v>439</v>
      </c>
      <c r="G85" s="4" t="s">
        <v>440</v>
      </c>
      <c r="H85" s="4"/>
      <c r="I85" s="4"/>
      <c r="J85" s="4"/>
      <c r="K85" s="4"/>
      <c r="L85" s="4"/>
      <c r="M85" s="4"/>
      <c r="N85" s="4"/>
      <c r="O85" s="4"/>
      <c r="P85" s="4"/>
      <c r="Q85" s="4"/>
      <c r="R85" s="4"/>
      <c r="S85" s="4"/>
      <c r="T85" s="4"/>
      <c r="U85" s="4"/>
      <c r="V85" s="4"/>
      <c r="W85" s="4"/>
      <c r="X85" s="4"/>
      <c r="Y85" s="4"/>
      <c r="Z85" s="4"/>
    </row>
    <row r="86" ht="9.0" customHeight="1">
      <c r="A86" s="5">
        <f t="shared" si="1"/>
        <v>85</v>
      </c>
      <c r="B86" s="4" t="s">
        <v>441</v>
      </c>
      <c r="C86" s="4" t="s">
        <v>441</v>
      </c>
      <c r="D86" s="4" t="s">
        <v>442</v>
      </c>
      <c r="E86" s="4" t="s">
        <v>443</v>
      </c>
      <c r="F86" s="4" t="s">
        <v>444</v>
      </c>
      <c r="G86" s="4" t="s">
        <v>445</v>
      </c>
      <c r="H86" s="4"/>
      <c r="I86" s="4"/>
      <c r="J86" s="4"/>
      <c r="K86" s="4"/>
      <c r="L86" s="4"/>
      <c r="M86" s="4"/>
      <c r="N86" s="4"/>
      <c r="O86" s="4"/>
      <c r="P86" s="4"/>
      <c r="Q86" s="4"/>
      <c r="R86" s="4"/>
      <c r="S86" s="4"/>
      <c r="T86" s="4"/>
      <c r="U86" s="4"/>
      <c r="V86" s="4"/>
      <c r="W86" s="4"/>
      <c r="X86" s="4"/>
      <c r="Y86" s="4"/>
      <c r="Z86" s="4"/>
    </row>
    <row r="87" ht="9.0" customHeight="1">
      <c r="A87" s="5">
        <f t="shared" si="1"/>
        <v>86</v>
      </c>
      <c r="B87" s="4" t="s">
        <v>446</v>
      </c>
      <c r="C87" s="4" t="s">
        <v>447</v>
      </c>
      <c r="D87" s="4" t="s">
        <v>448</v>
      </c>
      <c r="E87" s="4" t="s">
        <v>449</v>
      </c>
      <c r="F87" s="4" t="s">
        <v>450</v>
      </c>
      <c r="G87" s="4" t="s">
        <v>451</v>
      </c>
      <c r="H87" s="4"/>
      <c r="I87" s="4"/>
      <c r="J87" s="4"/>
      <c r="K87" s="4"/>
      <c r="L87" s="4"/>
      <c r="M87" s="4"/>
      <c r="N87" s="4"/>
      <c r="O87" s="4"/>
      <c r="P87" s="4"/>
      <c r="Q87" s="4"/>
      <c r="R87" s="4"/>
      <c r="S87" s="4"/>
      <c r="T87" s="4"/>
      <c r="U87" s="4"/>
      <c r="V87" s="4"/>
      <c r="W87" s="4"/>
      <c r="X87" s="4"/>
      <c r="Y87" s="4"/>
      <c r="Z87" s="4"/>
    </row>
    <row r="88" ht="9.0" customHeight="1">
      <c r="A88" s="5">
        <f t="shared" si="1"/>
        <v>87</v>
      </c>
      <c r="B88" s="4" t="s">
        <v>452</v>
      </c>
      <c r="C88" s="4" t="s">
        <v>453</v>
      </c>
      <c r="D88" s="4" t="s">
        <v>454</v>
      </c>
      <c r="E88" s="4" t="s">
        <v>455</v>
      </c>
      <c r="F88" s="4" t="s">
        <v>456</v>
      </c>
      <c r="G88" s="4" t="s">
        <v>457</v>
      </c>
      <c r="H88" s="4"/>
      <c r="I88" s="4"/>
      <c r="J88" s="4"/>
      <c r="K88" s="4"/>
      <c r="L88" s="4"/>
      <c r="M88" s="4"/>
      <c r="N88" s="4"/>
      <c r="O88" s="4"/>
      <c r="P88" s="4"/>
      <c r="Q88" s="4"/>
      <c r="R88" s="4"/>
      <c r="S88" s="4"/>
      <c r="T88" s="4"/>
      <c r="U88" s="4"/>
      <c r="V88" s="4"/>
      <c r="W88" s="4"/>
      <c r="X88" s="4"/>
      <c r="Y88" s="4"/>
      <c r="Z88" s="4"/>
    </row>
    <row r="89" ht="9.0" customHeight="1">
      <c r="A89" s="5">
        <f t="shared" si="1"/>
        <v>88</v>
      </c>
      <c r="B89" s="4" t="s">
        <v>458</v>
      </c>
      <c r="C89" s="4" t="s">
        <v>458</v>
      </c>
      <c r="D89" s="4" t="s">
        <v>459</v>
      </c>
      <c r="E89" s="4" t="s">
        <v>460</v>
      </c>
      <c r="F89" s="4" t="s">
        <v>461</v>
      </c>
      <c r="G89" s="4" t="s">
        <v>462</v>
      </c>
      <c r="H89" s="4"/>
      <c r="I89" s="4"/>
      <c r="J89" s="4"/>
      <c r="K89" s="4"/>
      <c r="L89" s="4"/>
      <c r="M89" s="4"/>
      <c r="N89" s="4"/>
      <c r="O89" s="4"/>
      <c r="P89" s="4"/>
      <c r="Q89" s="4"/>
      <c r="R89" s="4"/>
      <c r="S89" s="4"/>
      <c r="T89" s="4"/>
      <c r="U89" s="4"/>
      <c r="V89" s="4"/>
      <c r="W89" s="4"/>
      <c r="X89" s="4"/>
      <c r="Y89" s="4"/>
      <c r="Z89" s="4"/>
    </row>
    <row r="90" ht="9.0" customHeight="1">
      <c r="A90" s="5">
        <f t="shared" si="1"/>
        <v>89</v>
      </c>
      <c r="B90" s="4" t="s">
        <v>463</v>
      </c>
      <c r="C90" s="4" t="s">
        <v>464</v>
      </c>
      <c r="D90" s="4" t="s">
        <v>465</v>
      </c>
      <c r="E90" s="4" t="s">
        <v>466</v>
      </c>
      <c r="F90" s="4" t="s">
        <v>467</v>
      </c>
      <c r="G90" s="4" t="s">
        <v>468</v>
      </c>
      <c r="H90" s="4"/>
      <c r="I90" s="4"/>
      <c r="J90" s="4"/>
      <c r="K90" s="4"/>
      <c r="L90" s="4"/>
      <c r="M90" s="4"/>
      <c r="N90" s="4"/>
      <c r="O90" s="4"/>
      <c r="P90" s="4"/>
      <c r="Q90" s="4"/>
      <c r="R90" s="4"/>
      <c r="S90" s="4"/>
      <c r="T90" s="4"/>
      <c r="U90" s="4"/>
      <c r="V90" s="4"/>
      <c r="W90" s="4"/>
      <c r="X90" s="4"/>
      <c r="Y90" s="4"/>
      <c r="Z90" s="4"/>
    </row>
    <row r="91" ht="9.0" customHeight="1">
      <c r="A91" s="5">
        <f t="shared" si="1"/>
        <v>90</v>
      </c>
      <c r="B91" s="4" t="s">
        <v>469</v>
      </c>
      <c r="C91" s="4" t="s">
        <v>470</v>
      </c>
      <c r="D91" s="4" t="s">
        <v>471</v>
      </c>
      <c r="E91" s="4" t="s">
        <v>472</v>
      </c>
      <c r="F91" s="4" t="s">
        <v>473</v>
      </c>
      <c r="G91" s="4" t="s">
        <v>474</v>
      </c>
      <c r="H91" s="4"/>
      <c r="I91" s="4"/>
      <c r="J91" s="4"/>
      <c r="K91" s="4"/>
      <c r="L91" s="4"/>
      <c r="M91" s="4"/>
      <c r="N91" s="4"/>
      <c r="O91" s="4"/>
      <c r="P91" s="4"/>
      <c r="Q91" s="4"/>
      <c r="R91" s="4"/>
      <c r="S91" s="4"/>
      <c r="T91" s="4"/>
      <c r="U91" s="4"/>
      <c r="V91" s="4"/>
      <c r="W91" s="4"/>
      <c r="X91" s="4"/>
      <c r="Y91" s="4"/>
      <c r="Z91" s="4"/>
    </row>
    <row r="92" ht="9.0" customHeight="1">
      <c r="A92" s="5">
        <f t="shared" si="1"/>
        <v>91</v>
      </c>
      <c r="B92" s="4" t="s">
        <v>475</v>
      </c>
      <c r="C92" s="4" t="s">
        <v>476</v>
      </c>
      <c r="D92" s="4" t="s">
        <v>477</v>
      </c>
      <c r="E92" s="4"/>
      <c r="F92" s="4" t="s">
        <v>477</v>
      </c>
      <c r="G92" s="4"/>
      <c r="H92" s="4"/>
      <c r="I92" s="4"/>
      <c r="J92" s="4"/>
      <c r="K92" s="4"/>
      <c r="L92" s="4"/>
      <c r="M92" s="4"/>
      <c r="N92" s="4"/>
      <c r="O92" s="4"/>
      <c r="P92" s="4"/>
      <c r="Q92" s="4"/>
      <c r="R92" s="4"/>
      <c r="S92" s="4"/>
      <c r="T92" s="4"/>
      <c r="U92" s="4"/>
      <c r="V92" s="4"/>
      <c r="W92" s="4"/>
      <c r="X92" s="4"/>
      <c r="Y92" s="4"/>
      <c r="Z92" s="4"/>
    </row>
    <row r="93" ht="9.0" customHeight="1">
      <c r="A93" s="5">
        <f t="shared" si="1"/>
        <v>92</v>
      </c>
      <c r="B93" s="4" t="s">
        <v>478</v>
      </c>
      <c r="C93" s="4" t="s">
        <v>479</v>
      </c>
      <c r="D93" s="4" t="s">
        <v>480</v>
      </c>
      <c r="E93" s="4" t="s">
        <v>481</v>
      </c>
      <c r="F93" s="4" t="s">
        <v>482</v>
      </c>
      <c r="G93" s="4" t="s">
        <v>483</v>
      </c>
      <c r="H93" s="4"/>
      <c r="I93" s="4"/>
      <c r="J93" s="4"/>
      <c r="K93" s="4"/>
      <c r="L93" s="4"/>
      <c r="M93" s="4"/>
      <c r="N93" s="4"/>
      <c r="O93" s="4"/>
      <c r="P93" s="4"/>
      <c r="Q93" s="4"/>
      <c r="R93" s="4"/>
      <c r="S93" s="4"/>
      <c r="T93" s="4"/>
      <c r="U93" s="4"/>
      <c r="V93" s="4"/>
      <c r="W93" s="4"/>
      <c r="X93" s="4"/>
      <c r="Y93" s="4"/>
      <c r="Z93" s="4"/>
    </row>
    <row r="94" ht="9.0" customHeight="1">
      <c r="A94" s="5">
        <f t="shared" si="1"/>
        <v>93</v>
      </c>
      <c r="B94" s="4" t="s">
        <v>484</v>
      </c>
      <c r="C94" s="4" t="s">
        <v>484</v>
      </c>
      <c r="D94" s="4" t="s">
        <v>485</v>
      </c>
      <c r="E94" s="4" t="s">
        <v>486</v>
      </c>
      <c r="F94" s="4" t="s">
        <v>487</v>
      </c>
      <c r="G94" s="4" t="s">
        <v>488</v>
      </c>
      <c r="H94" s="4"/>
      <c r="I94" s="4"/>
      <c r="J94" s="4"/>
      <c r="K94" s="4"/>
      <c r="L94" s="4"/>
      <c r="M94" s="4"/>
      <c r="N94" s="4"/>
      <c r="O94" s="4"/>
      <c r="P94" s="4"/>
      <c r="Q94" s="4"/>
      <c r="R94" s="4"/>
      <c r="S94" s="4"/>
      <c r="T94" s="4"/>
      <c r="U94" s="4"/>
      <c r="V94" s="4"/>
      <c r="W94" s="4"/>
      <c r="X94" s="4"/>
      <c r="Y94" s="4"/>
      <c r="Z94" s="4"/>
    </row>
    <row r="95" ht="9.0" customHeight="1">
      <c r="A95" s="5">
        <f t="shared" si="1"/>
        <v>94</v>
      </c>
      <c r="B95" s="4" t="s">
        <v>489</v>
      </c>
      <c r="C95" s="4" t="s">
        <v>490</v>
      </c>
      <c r="D95" s="4" t="s">
        <v>491</v>
      </c>
      <c r="E95" s="4" t="s">
        <v>492</v>
      </c>
      <c r="F95" s="4" t="s">
        <v>493</v>
      </c>
      <c r="G95" s="4" t="s">
        <v>494</v>
      </c>
      <c r="H95" s="4"/>
      <c r="I95" s="4"/>
      <c r="J95" s="4"/>
      <c r="K95" s="4"/>
      <c r="L95" s="4"/>
      <c r="M95" s="4"/>
      <c r="N95" s="4"/>
      <c r="O95" s="4"/>
      <c r="P95" s="4"/>
      <c r="Q95" s="4"/>
      <c r="R95" s="4"/>
      <c r="S95" s="4"/>
      <c r="T95" s="4"/>
      <c r="U95" s="4"/>
      <c r="V95" s="4"/>
      <c r="W95" s="4"/>
      <c r="X95" s="4"/>
      <c r="Y95" s="4"/>
      <c r="Z95" s="4"/>
    </row>
    <row r="96" ht="9.0" customHeight="1">
      <c r="A96" s="5">
        <f t="shared" si="1"/>
        <v>95</v>
      </c>
      <c r="B96" s="4" t="s">
        <v>495</v>
      </c>
      <c r="C96" s="4" t="s">
        <v>495</v>
      </c>
      <c r="D96" s="4" t="s">
        <v>496</v>
      </c>
      <c r="E96" s="4" t="s">
        <v>497</v>
      </c>
      <c r="F96" s="4" t="s">
        <v>498</v>
      </c>
      <c r="G96" s="4" t="s">
        <v>499</v>
      </c>
      <c r="H96" s="4"/>
      <c r="I96" s="4"/>
      <c r="J96" s="4"/>
      <c r="K96" s="4"/>
      <c r="L96" s="4"/>
      <c r="M96" s="4"/>
      <c r="N96" s="4"/>
      <c r="O96" s="4"/>
      <c r="P96" s="4"/>
      <c r="Q96" s="4"/>
      <c r="R96" s="4"/>
      <c r="S96" s="4"/>
      <c r="T96" s="4"/>
      <c r="U96" s="4"/>
      <c r="V96" s="4"/>
      <c r="W96" s="4"/>
      <c r="X96" s="4"/>
      <c r="Y96" s="4"/>
      <c r="Z96" s="4"/>
    </row>
    <row r="97" ht="9.0" customHeight="1">
      <c r="A97" s="5">
        <f t="shared" si="1"/>
        <v>96</v>
      </c>
      <c r="B97" s="4" t="s">
        <v>500</v>
      </c>
      <c r="C97" s="4" t="s">
        <v>501</v>
      </c>
      <c r="D97" s="4" t="s">
        <v>502</v>
      </c>
      <c r="E97" s="4" t="s">
        <v>503</v>
      </c>
      <c r="F97" s="4" t="s">
        <v>504</v>
      </c>
      <c r="G97" s="4" t="s">
        <v>505</v>
      </c>
      <c r="H97" s="4"/>
      <c r="I97" s="4"/>
      <c r="J97" s="4"/>
      <c r="K97" s="4"/>
      <c r="L97" s="4"/>
      <c r="M97" s="4"/>
      <c r="N97" s="4"/>
      <c r="O97" s="4"/>
      <c r="P97" s="4"/>
      <c r="Q97" s="4"/>
      <c r="R97" s="4"/>
      <c r="S97" s="4"/>
      <c r="T97" s="4"/>
      <c r="U97" s="4"/>
      <c r="V97" s="4"/>
      <c r="W97" s="4"/>
      <c r="X97" s="4"/>
      <c r="Y97" s="4"/>
      <c r="Z97" s="4"/>
    </row>
    <row r="98" ht="9.0" customHeight="1">
      <c r="A98" s="5">
        <f t="shared" si="1"/>
        <v>97</v>
      </c>
      <c r="B98" s="4" t="s">
        <v>506</v>
      </c>
      <c r="C98" s="4" t="s">
        <v>507</v>
      </c>
      <c r="D98" s="4" t="s">
        <v>508</v>
      </c>
      <c r="E98" s="4" t="s">
        <v>509</v>
      </c>
      <c r="F98" s="4" t="s">
        <v>510</v>
      </c>
      <c r="G98" s="4" t="s">
        <v>511</v>
      </c>
      <c r="H98" s="4"/>
      <c r="I98" s="4"/>
      <c r="J98" s="4"/>
      <c r="K98" s="4"/>
      <c r="L98" s="4"/>
      <c r="M98" s="4"/>
      <c r="N98" s="4"/>
      <c r="O98" s="4"/>
      <c r="P98" s="4"/>
      <c r="Q98" s="4"/>
      <c r="R98" s="4"/>
      <c r="S98" s="4"/>
      <c r="T98" s="4"/>
      <c r="U98" s="4"/>
      <c r="V98" s="4"/>
      <c r="W98" s="4"/>
      <c r="X98" s="4"/>
      <c r="Y98" s="4"/>
      <c r="Z98" s="4"/>
    </row>
    <row r="99" ht="9.0" customHeight="1">
      <c r="A99" s="5">
        <f t="shared" si="1"/>
        <v>98</v>
      </c>
      <c r="B99" s="4" t="s">
        <v>512</v>
      </c>
      <c r="C99" s="4" t="s">
        <v>513</v>
      </c>
      <c r="D99" s="4" t="s">
        <v>514</v>
      </c>
      <c r="E99" s="4" t="s">
        <v>515</v>
      </c>
      <c r="F99" s="4" t="s">
        <v>516</v>
      </c>
      <c r="G99" s="4" t="s">
        <v>517</v>
      </c>
      <c r="H99" s="4"/>
      <c r="I99" s="4"/>
      <c r="J99" s="4"/>
      <c r="K99" s="4"/>
      <c r="L99" s="4"/>
      <c r="M99" s="4"/>
      <c r="N99" s="4"/>
      <c r="O99" s="4"/>
      <c r="P99" s="4"/>
      <c r="Q99" s="4"/>
      <c r="R99" s="4"/>
      <c r="S99" s="4"/>
      <c r="T99" s="4"/>
      <c r="U99" s="4"/>
      <c r="V99" s="4"/>
      <c r="W99" s="4"/>
      <c r="X99" s="4"/>
      <c r="Y99" s="4"/>
      <c r="Z99" s="4"/>
    </row>
    <row r="100" ht="9.0" customHeight="1">
      <c r="A100" s="5">
        <f t="shared" si="1"/>
        <v>99</v>
      </c>
      <c r="B100" s="4" t="s">
        <v>518</v>
      </c>
      <c r="C100" s="4" t="s">
        <v>518</v>
      </c>
      <c r="D100" s="4" t="s">
        <v>519</v>
      </c>
      <c r="E100" s="4" t="s">
        <v>520</v>
      </c>
      <c r="F100" s="4" t="s">
        <v>521</v>
      </c>
      <c r="G100" s="4" t="s">
        <v>522</v>
      </c>
      <c r="H100" s="4"/>
      <c r="I100" s="4"/>
      <c r="J100" s="4"/>
      <c r="K100" s="4"/>
      <c r="L100" s="4"/>
      <c r="M100" s="4"/>
      <c r="N100" s="4"/>
      <c r="O100" s="4"/>
      <c r="P100" s="4"/>
      <c r="Q100" s="4"/>
      <c r="R100" s="4"/>
      <c r="S100" s="4"/>
      <c r="T100" s="4"/>
      <c r="U100" s="4"/>
      <c r="V100" s="4"/>
      <c r="W100" s="4"/>
      <c r="X100" s="4"/>
      <c r="Y100" s="4"/>
      <c r="Z100" s="4"/>
    </row>
    <row r="101" ht="9.0" customHeight="1">
      <c r="A101" s="5">
        <f t="shared" si="1"/>
        <v>100</v>
      </c>
      <c r="B101" s="4" t="s">
        <v>523</v>
      </c>
      <c r="C101" s="4" t="s">
        <v>523</v>
      </c>
      <c r="D101" s="4" t="s">
        <v>524</v>
      </c>
      <c r="E101" s="4" t="s">
        <v>525</v>
      </c>
      <c r="F101" s="4" t="s">
        <v>526</v>
      </c>
      <c r="G101" s="4" t="s">
        <v>527</v>
      </c>
      <c r="H101" s="4"/>
      <c r="I101" s="4"/>
      <c r="J101" s="4"/>
      <c r="K101" s="4"/>
      <c r="L101" s="4"/>
      <c r="M101" s="4"/>
      <c r="N101" s="4"/>
      <c r="O101" s="4"/>
      <c r="P101" s="4"/>
      <c r="Q101" s="4"/>
      <c r="R101" s="4"/>
      <c r="S101" s="4"/>
      <c r="T101" s="4"/>
      <c r="U101" s="4"/>
      <c r="V101" s="4"/>
      <c r="W101" s="4"/>
      <c r="X101" s="4"/>
      <c r="Y101" s="4"/>
      <c r="Z101" s="4"/>
    </row>
    <row r="102" ht="9.0"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9.0"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9.0"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9.0"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9.0"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9.0"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9.0"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9.0"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9.0"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9.0"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9.0"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9.0"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9.0"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9.0"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9.0"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9.0"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9.0"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9.0"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9.0"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9.0"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9.0"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9.0"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9.0"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9.0"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9.0"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9.0"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9.0"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9.0"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9.0"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9.0"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9.0"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9.0"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9.0"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9.0"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9.0"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9.0"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9.0"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9.0"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9.0"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9.0"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9.0"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9.0"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9.0"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9.0"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9.0"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9.0"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9.0"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9.0"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9.0"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9.0"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9.0"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9.0"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9.0"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9.0"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9.0"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9.0"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9.0"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9.0"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9.0"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9.0"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9.0"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9.0"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9.0"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9.0"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9.0"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9.0"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9.0"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9.0"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9.0"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9.0"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9.0"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9.0"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9.0"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9.0"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9.0"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9.0"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9.0"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9.0"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9.0"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9.0"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9.0"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9.0"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9.0"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9.0"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9.0"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9.0"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9.0"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9.0"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9.0"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9.0"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9.0"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9.0"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9.0"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9.0"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9.0"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9.0"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9.0"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9.0"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9.0"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9.0"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9.0"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9.0"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9.0"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9.0"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9.0"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9.0"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9.0"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9.0"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9.0"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9.0"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9.0"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9.0"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9.0"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9.0"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9.0"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9.0"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9.0"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9.0"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9.0"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9.0"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9.0"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9.0"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9.0"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9.0"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9.0"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9.0"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9.0"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9.0"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9.0"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9.0"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9.0"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9.0"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9.0"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9.0"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9.0"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9.0"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9.0"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9.0"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9.0"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9.0"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9.0"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9.0"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9.0"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9.0"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9.0"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9.0"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9.0"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9.0"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9.0"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9.0"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9.0"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9.0"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9.0"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9.0"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9.0"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9.0"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9.0"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9.0"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9.0"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9.0"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9.0"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9.0"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9.0"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9.0"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9.0"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9.0"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9.0"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9.0"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9.0"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9.0"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9.0"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9.0"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9.0"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9.0"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9.0"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9.0"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9.0"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9.0"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9.0"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9.0"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9.0"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9.0"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9.0"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9.0"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9.0"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9.0"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9.0"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9.0"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9.0"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9.0"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9.0"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9.0"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9.0"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9.0"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9.0"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9.0"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9.0"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9.0"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9.0"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9.0"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9.0"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9.0"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9.0"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9.0"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9.0"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9.0"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9.0"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9.0"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9.0"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9.0"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9.0"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9.0"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9.0"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9.0"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9.0"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9.0"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9.0"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9.0"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9.0"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9.0"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9.0"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9.0"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9.0"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9.0"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9.0"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9.0"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9.0"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9.0"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9.0"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9.0"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9.0"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9.0"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9.0"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9.0"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9.0"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9.0"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9.0"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9.0"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9.0"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9.0"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9.0"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9.0"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9.0"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9.0"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9.0"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9.0"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9.0"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9.0"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9.0"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9.0"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9.0"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9.0"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9.0"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9.0"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9.0"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9.0"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9.0"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9.0"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9.0"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9.0"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9.0"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9.0"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9.0"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9.0"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9.0"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9.0"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9.0"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9.0"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9.0"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9.0"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9.0"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9.0"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9.0"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9.0"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9.0"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9.0"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9.0"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9.0"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9.0"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9.0"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9.0"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9.0"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9.0"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9.0"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9.0"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9.0"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9.0"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9.0"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9.0"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9.0"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9.0"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9.0"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9.0"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9.0"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9.0"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9.0"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9.0"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9.0"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9.0"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9.0"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9.0"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9.0"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9.0"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9.0"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9.0"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9.0"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9.0"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9.0"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9.0"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9.0"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9.0"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9.0"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9.0"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9.0"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9.0"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9.0"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9.0"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9.0"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9.0"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9.0"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9.0"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9.0"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9.0"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9.0"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9.0"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9.0"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9.0"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9.0"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9.0"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9.0"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9.0"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9.0"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9.0"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9.0"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9.0"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9.0"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9.0"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9.0"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9.0"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9.0"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9.0"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9.0"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9.0"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9.0"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9.0"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9.0"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9.0"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9.0"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9.0"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9.0"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9.0"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9.0"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9.0"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9.0"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9.0"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9.0"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9.0"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9.0"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9.0"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9.0"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9.0"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9.0"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9.0"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9.0"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9.0"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9.0"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9.0"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9.0"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9.0"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9.0"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9.0"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9.0"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9.0"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9.0"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9.0"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9.0"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9.0"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9.0"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9.0"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9.0"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9.0"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9.0"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9.0"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9.0"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9.0"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9.0"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9.0"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9.0"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9.0"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9.0"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9.0"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9.0"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9.0"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9.0"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9.0"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9.0"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9.0"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9.0"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9.0"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9.0"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9.0"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9.0"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9.0"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9.0"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9.0"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9.0"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9.0"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9.0"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9.0"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9.0"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9.0"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9.0"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9.0"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9.0"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9.0"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9.0"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9.0"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9.0"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9.0"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9.0"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9.0"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9.0"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9.0"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9.0"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9.0"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9.0"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9.0"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9.0"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9.0"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9.0"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9.0"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9.0"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9.0"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9.0"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9.0"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9.0"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9.0"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9.0"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9.0"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9.0"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9.0"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9.0"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9.0"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9.0"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9.0"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9.0"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9.0"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9.0"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9.0"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9.0"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9.0"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9.0"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9.0"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9.0"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9.0"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9.0"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9.0"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9.0"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9.0"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9.0"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9.0"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9.0"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9.0"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9.0"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9.0"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9.0"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9.0"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9.0"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9.0"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9.0"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9.0"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9.0"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9.0"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9.0"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9.0"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9.0"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9.0"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9.0"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9.0"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9.0"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9.0"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9.0"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9.0"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9.0"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9.0"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9.0"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9.0"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9.0"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9.0"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9.0"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9.0"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9.0"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9.0"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9.0"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9.0"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9.0"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9.0"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9.0"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9.0"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9.0"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9.0"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9.0"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9.0"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9.0"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9.0"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9.0"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9.0"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9.0"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9.0"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9.0"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9.0"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9.0"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9.0"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9.0"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9.0"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9.0"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9.0"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9.0"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9.0"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9.0"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9.0"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9.0"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9.0"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9.0"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9.0"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9.0"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9.0"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9.0"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9.0"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9.0"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9.0"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9.0"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9.0"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9.0"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9.0"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9.0"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9.0"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9.0"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9.0"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9.0"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9.0"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9.0"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9.0"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9.0"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9.0"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9.0"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9.0"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9.0"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9.0"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9.0"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9.0"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9.0"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9.0"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9.0"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9.0"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9.0"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9.0"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9.0"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9.0"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9.0"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9.0"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9.0"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9.0"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9.0"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9.0"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9.0"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9.0"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9.0"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9.0"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9.0"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9.0"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9.0"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9.0"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9.0"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9.0"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9.0"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9.0"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9.0"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9.0"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9.0"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9.0"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9.0"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9.0"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9.0"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9.0"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9.0"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9.0"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9.0"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9.0"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9.0"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9.0"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9.0"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9.0"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9.0"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9.0"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9.0"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9.0"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9.0"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9.0"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9.0"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9.0"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9.0"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9.0"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9.0"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9.0"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9.0"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9.0"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9.0"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9.0"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9.0"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9.0"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9.0"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9.0"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9.0"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9.0"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9.0"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9.0"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9.0"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9.0"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9.0"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9.0"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9.0"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9.0"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9.0"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9.0"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9.0"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9.0"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9.0"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9.0"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9.0"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9.0"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9.0"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9.0"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9.0"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9.0"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9.0"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9.0"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9.0"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9.0"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9.0"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9.0"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9.0"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9.0"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9.0"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9.0"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9.0"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9.0"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9.0"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9.0"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9.0"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9.0"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9.0"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9.0"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9.0"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9.0"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9.0"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9.0"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9.0"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9.0"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9.0"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9.0"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9.0"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9.0"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9.0"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9.0"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9.0"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9.0"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9.0"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9.0"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9.0"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9.0"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9.0"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9.0"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9.0"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9.0"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9.0"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9.0"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9.0"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9.0"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9.0"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9.0"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9.0"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9.0"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9.0"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9.0"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9.0"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9.0"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9.0"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9.0"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9.0"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9.0"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9.0"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9.0"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9.0"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9.0"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9.0"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9.0"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9.0"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9.0"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9.0"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9.0"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9.0"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9.0"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9.0"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9.0"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9.0"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9.0"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9.0"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9.0"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9.0"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9.0"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9.0"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9.0"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9.0"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9.0"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9.0"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9.0"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9.0"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9.0"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9.0"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9.0"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9.0"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9.0"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9.0"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9.0"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9.0"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9.0"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9.0"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9.0"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9.0"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9.0"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9.0"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9.0"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9.0"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9.0"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9.0"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9.0"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9.0"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9.0"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9.0"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9.0"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9.0"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9.0"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9.0"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9.0"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9.0"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9.0"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9.0"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9.0"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9.0"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9.0"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9.0"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9.0"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9.0"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9.0"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9.0"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9.0"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9.0"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9.0"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9.0"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9.0"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9.0"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9.0"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9.0"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9.0"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9.0"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9.0"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9.0"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9.0"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9.0"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9.0"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9.0"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9.0"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9.0"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9.0"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9.0"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9.0"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9.0"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9.0"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9.0"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9.0"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9.0"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9.0"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9.0"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9.0"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9.0"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9.0"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9.0"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9.0"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9.0"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9.0"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9.0"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9.0"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9.0"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9.0"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9.0"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9.0"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9.0"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9.0"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9.0"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9.0"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9.0"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9.0"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9.0"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9.0"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9.0"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9.0"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9.0"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9.0"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9.0"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9.0"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9.0"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9.0"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9.0"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9.0"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9.0"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9.0"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9.0"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9.0"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9.0"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9.0"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9.0"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9.0"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9.0"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9.0"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9.0"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9.0"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9.0"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9.0"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9.0"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9.0"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9.0"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9.0"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9.0"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9.0"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9.0"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9.0"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9.0"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9.0"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9.0"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9.0"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9.0"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9.0"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9.0"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9.0"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9.0"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9.0"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9.0"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9.0"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9.0"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9.0"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9.0"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9.0"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9.0"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9.0"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9.0"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9.0"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9.0"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9.0"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9.0"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9.0"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9.0"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9.0"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9.0"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9.0"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9.0"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9.0"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9.0"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9.0"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9.0"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9.0"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9.0"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9.0"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9.0"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9.0"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9.0"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9.0"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9.0"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9.0"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9.0"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9.0"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9.0"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9.0"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9.0"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9.0"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9.0"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9.0"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9.0"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9.0"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9.0"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9.0"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9.0"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9.0"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9.0"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9.0"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9.0"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9.0"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9.0"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9.0"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H6"/>
    <hyperlink r:id="rId2" ref="H8"/>
    <hyperlink r:id="rId3" ref="H9"/>
  </hyperlinks>
  <printOptions/>
  <pageMargins bottom="0.75" footer="0.0" header="0.0" left="0.7" right="0.7" top="0.75"/>
  <pageSetup orientation="portrait"/>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86"/>
    <col customWidth="1" min="2" max="2" width="23.29"/>
    <col customWidth="1" min="3" max="3" width="15.86"/>
    <col customWidth="1" min="4" max="24" width="8.71"/>
  </cols>
  <sheetData>
    <row r="1" ht="9.0" customHeight="1">
      <c r="A1" s="3" t="s">
        <v>2</v>
      </c>
      <c r="B1" s="3" t="s">
        <v>3</v>
      </c>
      <c r="C1" s="3" t="s">
        <v>4</v>
      </c>
      <c r="D1" s="7" t="s">
        <v>528</v>
      </c>
      <c r="E1" s="7" t="s">
        <v>529</v>
      </c>
      <c r="F1" s="7" t="s">
        <v>530</v>
      </c>
      <c r="G1" s="3" t="s">
        <v>531</v>
      </c>
      <c r="H1" s="7" t="s">
        <v>532</v>
      </c>
      <c r="I1" s="4"/>
      <c r="J1" s="4"/>
      <c r="K1" s="4"/>
      <c r="L1" s="4"/>
      <c r="M1" s="4"/>
      <c r="N1" s="4"/>
      <c r="O1" s="4"/>
      <c r="P1" s="4"/>
      <c r="Q1" s="4"/>
      <c r="R1" s="4"/>
      <c r="S1" s="4"/>
      <c r="T1" s="4"/>
      <c r="U1" s="4"/>
      <c r="V1" s="4"/>
      <c r="W1" s="4"/>
      <c r="X1" s="4"/>
    </row>
    <row r="2" ht="9.0" customHeight="1">
      <c r="A2" s="5">
        <v>1.0</v>
      </c>
      <c r="B2" s="4" t="s">
        <v>10</v>
      </c>
      <c r="C2" s="4" t="s">
        <v>10</v>
      </c>
      <c r="D2" s="8">
        <v>44301.0</v>
      </c>
      <c r="E2" s="8">
        <v>44301.0</v>
      </c>
      <c r="F2" s="8">
        <v>44301.0</v>
      </c>
      <c r="G2" s="4">
        <v>52.9639175257732</v>
      </c>
      <c r="H2" s="4">
        <f t="shared" ref="H2:H101" si="1">RANK(G2,$G$2:$G$101)</f>
        <v>6</v>
      </c>
      <c r="I2" s="4"/>
      <c r="J2" s="4"/>
      <c r="K2" s="4"/>
      <c r="L2" s="4"/>
      <c r="M2" s="4"/>
      <c r="N2" s="4"/>
      <c r="O2" s="4"/>
      <c r="P2" s="4"/>
      <c r="Q2" s="4"/>
      <c r="R2" s="4"/>
      <c r="S2" s="4"/>
      <c r="T2" s="4"/>
      <c r="U2" s="4"/>
      <c r="V2" s="4"/>
      <c r="W2" s="4"/>
      <c r="X2" s="4"/>
    </row>
    <row r="3" ht="9.0" customHeight="1">
      <c r="A3" s="5">
        <f t="shared" ref="A3:A101" si="2">A2+1</f>
        <v>2</v>
      </c>
      <c r="B3" s="4" t="s">
        <v>15</v>
      </c>
      <c r="C3" s="4" t="s">
        <v>15</v>
      </c>
      <c r="D3" s="8">
        <v>44301.0</v>
      </c>
      <c r="E3" s="8">
        <v>44301.0</v>
      </c>
      <c r="F3" s="8">
        <v>44301.0</v>
      </c>
      <c r="G3" s="4">
        <v>35.428256070640174</v>
      </c>
      <c r="H3" s="4">
        <f t="shared" si="1"/>
        <v>12</v>
      </c>
      <c r="I3" s="4"/>
      <c r="J3" s="4"/>
      <c r="K3" s="4"/>
      <c r="L3" s="4"/>
      <c r="M3" s="4"/>
      <c r="N3" s="4"/>
      <c r="O3" s="4"/>
      <c r="P3" s="4"/>
      <c r="Q3" s="4"/>
      <c r="R3" s="4"/>
      <c r="S3" s="4"/>
      <c r="T3" s="4"/>
      <c r="U3" s="4"/>
      <c r="V3" s="4"/>
      <c r="W3" s="4"/>
      <c r="X3" s="4"/>
    </row>
    <row r="4" ht="9.0" customHeight="1">
      <c r="A4" s="5">
        <f t="shared" si="2"/>
        <v>3</v>
      </c>
      <c r="B4" s="4" t="s">
        <v>20</v>
      </c>
      <c r="C4" s="4" t="s">
        <v>21</v>
      </c>
      <c r="D4" s="8">
        <v>44301.0</v>
      </c>
      <c r="E4" s="8">
        <v>44301.0</v>
      </c>
      <c r="F4" s="8">
        <v>44301.0</v>
      </c>
      <c r="G4" s="4">
        <v>36.86318897637795</v>
      </c>
      <c r="H4" s="4">
        <f t="shared" si="1"/>
        <v>11</v>
      </c>
      <c r="I4" s="4"/>
      <c r="J4" s="4"/>
      <c r="K4" s="4"/>
      <c r="L4" s="4"/>
      <c r="M4" s="4"/>
      <c r="N4" s="4"/>
      <c r="O4" s="4"/>
      <c r="P4" s="4"/>
      <c r="Q4" s="4"/>
      <c r="R4" s="4"/>
      <c r="S4" s="4"/>
      <c r="T4" s="4"/>
      <c r="U4" s="4"/>
      <c r="V4" s="4"/>
      <c r="W4" s="4"/>
      <c r="X4" s="4"/>
    </row>
    <row r="5" ht="9.0" customHeight="1">
      <c r="A5" s="5">
        <f t="shared" si="2"/>
        <v>4</v>
      </c>
      <c r="B5" s="4" t="s">
        <v>26</v>
      </c>
      <c r="C5" s="4" t="s">
        <v>26</v>
      </c>
      <c r="D5" s="8">
        <v>44301.0</v>
      </c>
      <c r="E5" s="8">
        <v>44301.0</v>
      </c>
      <c r="F5" s="8">
        <v>44301.0</v>
      </c>
      <c r="G5" s="4">
        <v>63.66666666666667</v>
      </c>
      <c r="H5" s="4">
        <f t="shared" si="1"/>
        <v>3</v>
      </c>
      <c r="I5" s="4"/>
      <c r="J5" s="4"/>
      <c r="K5" s="4"/>
      <c r="L5" s="4"/>
      <c r="M5" s="4"/>
      <c r="N5" s="4"/>
      <c r="O5" s="4"/>
      <c r="P5" s="4"/>
      <c r="Q5" s="4"/>
      <c r="R5" s="4"/>
      <c r="S5" s="4"/>
      <c r="T5" s="4"/>
      <c r="U5" s="4"/>
      <c r="V5" s="4"/>
      <c r="W5" s="4"/>
      <c r="X5" s="4"/>
    </row>
    <row r="6" ht="9.0" customHeight="1">
      <c r="A6" s="5">
        <f t="shared" si="2"/>
        <v>5</v>
      </c>
      <c r="B6" s="4" t="s">
        <v>31</v>
      </c>
      <c r="C6" s="4" t="s">
        <v>32</v>
      </c>
      <c r="D6" s="8">
        <v>44301.0</v>
      </c>
      <c r="E6" s="8">
        <v>44301.0</v>
      </c>
      <c r="F6" s="8">
        <v>44301.0</v>
      </c>
      <c r="G6" s="4">
        <v>47.928236672524896</v>
      </c>
      <c r="H6" s="4">
        <f t="shared" si="1"/>
        <v>8</v>
      </c>
      <c r="I6" s="4"/>
      <c r="J6" s="4"/>
      <c r="K6" s="4"/>
      <c r="L6" s="4"/>
      <c r="M6" s="4"/>
      <c r="N6" s="4"/>
      <c r="O6" s="4"/>
      <c r="P6" s="4"/>
      <c r="Q6" s="4"/>
      <c r="R6" s="4"/>
      <c r="S6" s="4"/>
      <c r="T6" s="4"/>
      <c r="U6" s="4"/>
      <c r="V6" s="4"/>
      <c r="W6" s="4"/>
      <c r="X6" s="4"/>
    </row>
    <row r="7" ht="9.0" customHeight="1">
      <c r="A7" s="5">
        <f t="shared" si="2"/>
        <v>6</v>
      </c>
      <c r="B7" s="4" t="s">
        <v>38</v>
      </c>
      <c r="C7" s="4" t="s">
        <v>39</v>
      </c>
      <c r="D7" s="8">
        <v>44301.0</v>
      </c>
      <c r="E7" s="8">
        <v>44301.0</v>
      </c>
      <c r="F7" s="8">
        <v>44301.0</v>
      </c>
      <c r="G7" s="4">
        <v>26.200000000000003</v>
      </c>
      <c r="H7" s="4">
        <f t="shared" si="1"/>
        <v>16</v>
      </c>
      <c r="I7" s="4"/>
      <c r="J7" s="4"/>
      <c r="K7" s="4"/>
      <c r="L7" s="4"/>
      <c r="M7" s="4"/>
      <c r="N7" s="4"/>
      <c r="O7" s="4"/>
      <c r="P7" s="4"/>
      <c r="Q7" s="4"/>
      <c r="R7" s="4"/>
      <c r="S7" s="4"/>
      <c r="T7" s="4"/>
      <c r="U7" s="4"/>
      <c r="V7" s="4"/>
      <c r="W7" s="4"/>
      <c r="X7" s="4"/>
    </row>
    <row r="8" ht="9.0" customHeight="1">
      <c r="A8" s="5">
        <f t="shared" si="2"/>
        <v>7</v>
      </c>
      <c r="B8" s="4" t="s">
        <v>44</v>
      </c>
      <c r="C8" s="4" t="s">
        <v>45</v>
      </c>
      <c r="D8" s="8">
        <v>44301.0</v>
      </c>
      <c r="E8" s="8">
        <v>44301.0</v>
      </c>
      <c r="F8" s="8">
        <v>44301.0</v>
      </c>
      <c r="G8" s="4">
        <v>33.20000000000001</v>
      </c>
      <c r="H8" s="4">
        <f t="shared" si="1"/>
        <v>13</v>
      </c>
      <c r="I8" s="4"/>
      <c r="J8" s="4"/>
      <c r="K8" s="4"/>
      <c r="L8" s="4"/>
      <c r="M8" s="4"/>
      <c r="N8" s="4"/>
      <c r="O8" s="4"/>
      <c r="P8" s="4"/>
      <c r="Q8" s="4"/>
      <c r="R8" s="4"/>
      <c r="S8" s="4"/>
      <c r="T8" s="4"/>
      <c r="U8" s="4"/>
      <c r="V8" s="4"/>
      <c r="W8" s="4"/>
      <c r="X8" s="4"/>
    </row>
    <row r="9" ht="9.0" customHeight="1">
      <c r="A9" s="5">
        <f t="shared" si="2"/>
        <v>8</v>
      </c>
      <c r="B9" s="4" t="s">
        <v>51</v>
      </c>
      <c r="C9" s="4" t="s">
        <v>52</v>
      </c>
      <c r="D9" s="8">
        <v>44301.0</v>
      </c>
      <c r="E9" s="8">
        <v>44301.0</v>
      </c>
      <c r="F9" s="8">
        <v>44301.0</v>
      </c>
      <c r="G9" s="4">
        <v>50.10247608268558</v>
      </c>
      <c r="H9" s="4">
        <f t="shared" si="1"/>
        <v>7</v>
      </c>
      <c r="I9" s="4"/>
      <c r="J9" s="4"/>
      <c r="K9" s="4"/>
      <c r="L9" s="4"/>
      <c r="M9" s="4"/>
      <c r="N9" s="4"/>
      <c r="O9" s="4"/>
      <c r="P9" s="4"/>
      <c r="Q9" s="4"/>
      <c r="R9" s="4"/>
      <c r="S9" s="4"/>
      <c r="T9" s="4"/>
      <c r="U9" s="4"/>
      <c r="V9" s="4"/>
      <c r="W9" s="4"/>
      <c r="X9" s="4"/>
    </row>
    <row r="10" ht="9.0" customHeight="1">
      <c r="A10" s="5">
        <f t="shared" si="2"/>
        <v>9</v>
      </c>
      <c r="B10" s="4" t="s">
        <v>58</v>
      </c>
      <c r="C10" s="4" t="s">
        <v>59</v>
      </c>
      <c r="D10" s="8">
        <v>44301.0</v>
      </c>
      <c r="E10" s="8">
        <v>44301.0</v>
      </c>
      <c r="F10" s="8">
        <v>44301.0</v>
      </c>
      <c r="G10" s="4">
        <v>41.16666666666667</v>
      </c>
      <c r="H10" s="4">
        <f t="shared" si="1"/>
        <v>9</v>
      </c>
      <c r="I10" s="4"/>
      <c r="J10" s="4"/>
      <c r="K10" s="4"/>
      <c r="L10" s="4"/>
      <c r="M10" s="4"/>
      <c r="N10" s="4"/>
      <c r="O10" s="4"/>
      <c r="P10" s="4"/>
      <c r="Q10" s="4"/>
      <c r="R10" s="4"/>
      <c r="S10" s="4"/>
      <c r="T10" s="4"/>
      <c r="U10" s="4"/>
      <c r="V10" s="4"/>
      <c r="W10" s="4"/>
      <c r="X10" s="4"/>
    </row>
    <row r="11" ht="9.0" customHeight="1">
      <c r="A11" s="5">
        <f t="shared" si="2"/>
        <v>10</v>
      </c>
      <c r="B11" s="4" t="s">
        <v>62</v>
      </c>
      <c r="C11" s="4" t="s">
        <v>62</v>
      </c>
      <c r="D11" s="8">
        <v>44301.0</v>
      </c>
      <c r="E11" s="8">
        <v>44301.0</v>
      </c>
      <c r="F11" s="8">
        <v>44301.0</v>
      </c>
      <c r="G11" s="4">
        <v>25.0</v>
      </c>
      <c r="H11" s="4">
        <f t="shared" si="1"/>
        <v>17</v>
      </c>
      <c r="I11" s="4"/>
      <c r="J11" s="4"/>
      <c r="K11" s="4"/>
      <c r="L11" s="4"/>
      <c r="M11" s="4"/>
      <c r="N11" s="4"/>
      <c r="O11" s="4"/>
      <c r="P11" s="4"/>
      <c r="Q11" s="4"/>
      <c r="R11" s="4"/>
      <c r="S11" s="4"/>
      <c r="T11" s="4"/>
      <c r="U11" s="4"/>
      <c r="V11" s="4"/>
      <c r="W11" s="4"/>
      <c r="X11" s="4"/>
    </row>
    <row r="12" ht="9.0" customHeight="1">
      <c r="A12" s="5">
        <f t="shared" si="2"/>
        <v>11</v>
      </c>
      <c r="B12" s="4" t="s">
        <v>67</v>
      </c>
      <c r="C12" s="4" t="s">
        <v>68</v>
      </c>
      <c r="D12" s="8">
        <v>44301.0</v>
      </c>
      <c r="E12" s="8">
        <v>44301.0</v>
      </c>
      <c r="F12" s="8">
        <v>44301.0</v>
      </c>
      <c r="G12" s="4">
        <v>23.0</v>
      </c>
      <c r="H12" s="4">
        <f t="shared" si="1"/>
        <v>18</v>
      </c>
      <c r="I12" s="4"/>
      <c r="J12" s="4"/>
      <c r="K12" s="4"/>
      <c r="L12" s="4"/>
      <c r="M12" s="4"/>
      <c r="N12" s="4"/>
      <c r="O12" s="4"/>
      <c r="P12" s="4"/>
      <c r="Q12" s="4"/>
      <c r="R12" s="4"/>
      <c r="S12" s="4"/>
      <c r="T12" s="4"/>
      <c r="U12" s="4"/>
      <c r="V12" s="4"/>
      <c r="W12" s="4"/>
      <c r="X12" s="4"/>
    </row>
    <row r="13" ht="9.0" customHeight="1">
      <c r="A13" s="5">
        <f t="shared" si="2"/>
        <v>12</v>
      </c>
      <c r="B13" s="4" t="s">
        <v>73</v>
      </c>
      <c r="C13" s="4" t="s">
        <v>73</v>
      </c>
      <c r="D13" s="8">
        <v>44301.0</v>
      </c>
      <c r="E13" s="8">
        <v>44301.0</v>
      </c>
      <c r="F13" s="8">
        <v>44301.0</v>
      </c>
      <c r="G13" s="4">
        <v>20.0</v>
      </c>
      <c r="H13" s="4">
        <f t="shared" si="1"/>
        <v>19</v>
      </c>
      <c r="I13" s="4"/>
      <c r="J13" s="4"/>
      <c r="K13" s="4"/>
      <c r="L13" s="4"/>
      <c r="M13" s="4"/>
      <c r="N13" s="4"/>
      <c r="O13" s="4"/>
      <c r="P13" s="4"/>
      <c r="Q13" s="4"/>
      <c r="R13" s="4"/>
      <c r="S13" s="4"/>
      <c r="T13" s="4"/>
      <c r="U13" s="4"/>
      <c r="V13" s="4"/>
      <c r="W13" s="4"/>
      <c r="X13" s="4"/>
    </row>
    <row r="14" ht="9.0" customHeight="1">
      <c r="A14" s="5">
        <f t="shared" si="2"/>
        <v>13</v>
      </c>
      <c r="B14" s="4" t="s">
        <v>78</v>
      </c>
      <c r="C14" s="4" t="s">
        <v>79</v>
      </c>
      <c r="D14" s="8">
        <v>44301.0</v>
      </c>
      <c r="E14" s="8">
        <v>44301.0</v>
      </c>
      <c r="F14" s="8">
        <v>44301.0</v>
      </c>
      <c r="G14" s="4">
        <v>39.83333333333333</v>
      </c>
      <c r="H14" s="4">
        <f t="shared" si="1"/>
        <v>10</v>
      </c>
      <c r="I14" s="4"/>
      <c r="J14" s="4"/>
      <c r="K14" s="4"/>
      <c r="L14" s="4"/>
      <c r="M14" s="4"/>
      <c r="N14" s="4"/>
      <c r="O14" s="4"/>
      <c r="P14" s="4"/>
      <c r="Q14" s="4"/>
      <c r="R14" s="4"/>
      <c r="S14" s="4"/>
      <c r="T14" s="4"/>
      <c r="U14" s="4"/>
      <c r="V14" s="4"/>
      <c r="W14" s="4"/>
      <c r="X14" s="4"/>
    </row>
    <row r="15" ht="9.0" customHeight="1">
      <c r="A15" s="5">
        <f t="shared" si="2"/>
        <v>14</v>
      </c>
      <c r="B15" s="4" t="s">
        <v>84</v>
      </c>
      <c r="C15" s="4" t="s">
        <v>85</v>
      </c>
      <c r="D15" s="8">
        <v>44301.0</v>
      </c>
      <c r="E15" s="8">
        <v>44301.0</v>
      </c>
      <c r="F15" s="8">
        <v>44301.0</v>
      </c>
      <c r="G15" s="4">
        <v>68.5</v>
      </c>
      <c r="H15" s="4">
        <f t="shared" si="1"/>
        <v>2</v>
      </c>
      <c r="I15" s="4"/>
      <c r="J15" s="4"/>
      <c r="K15" s="4"/>
      <c r="L15" s="4"/>
      <c r="M15" s="4"/>
      <c r="N15" s="4"/>
      <c r="O15" s="4"/>
      <c r="P15" s="4"/>
      <c r="Q15" s="4"/>
      <c r="R15" s="4"/>
      <c r="S15" s="4"/>
      <c r="T15" s="4"/>
      <c r="U15" s="4"/>
      <c r="V15" s="4"/>
      <c r="W15" s="4"/>
      <c r="X15" s="4"/>
    </row>
    <row r="16" ht="9.0" customHeight="1">
      <c r="A16" s="5">
        <f t="shared" si="2"/>
        <v>15</v>
      </c>
      <c r="B16" s="4" t="s">
        <v>90</v>
      </c>
      <c r="C16" s="4" t="s">
        <v>91</v>
      </c>
      <c r="D16" s="8">
        <v>44301.0</v>
      </c>
      <c r="E16" s="8">
        <v>44301.0</v>
      </c>
      <c r="F16" s="8">
        <v>44301.0</v>
      </c>
      <c r="G16" s="4">
        <v>55.53945812380784</v>
      </c>
      <c r="H16" s="4">
        <f t="shared" si="1"/>
        <v>5</v>
      </c>
      <c r="I16" s="4"/>
      <c r="J16" s="4"/>
      <c r="K16" s="4"/>
      <c r="L16" s="4"/>
      <c r="M16" s="4"/>
      <c r="N16" s="4"/>
      <c r="O16" s="4"/>
      <c r="P16" s="4"/>
      <c r="Q16" s="4"/>
      <c r="R16" s="4"/>
      <c r="S16" s="4"/>
      <c r="T16" s="4"/>
      <c r="U16" s="4"/>
      <c r="V16" s="4"/>
      <c r="W16" s="4"/>
      <c r="X16" s="4"/>
    </row>
    <row r="17" ht="9.0" customHeight="1">
      <c r="A17" s="5">
        <f t="shared" si="2"/>
        <v>16</v>
      </c>
      <c r="B17" s="4" t="s">
        <v>96</v>
      </c>
      <c r="C17" s="4" t="s">
        <v>96</v>
      </c>
      <c r="D17" s="8">
        <v>44301.0</v>
      </c>
      <c r="E17" s="8">
        <v>44301.0</v>
      </c>
      <c r="F17" s="8">
        <v>44301.0</v>
      </c>
      <c r="G17" s="4">
        <v>27.0</v>
      </c>
      <c r="H17" s="4">
        <f t="shared" si="1"/>
        <v>14</v>
      </c>
      <c r="I17" s="4"/>
      <c r="J17" s="4"/>
      <c r="K17" s="4"/>
      <c r="L17" s="4"/>
      <c r="M17" s="4"/>
      <c r="N17" s="4"/>
      <c r="O17" s="4"/>
      <c r="P17" s="4"/>
      <c r="Q17" s="4"/>
      <c r="R17" s="4"/>
      <c r="S17" s="4"/>
      <c r="T17" s="4"/>
      <c r="U17" s="4"/>
      <c r="V17" s="4"/>
      <c r="W17" s="4"/>
      <c r="X17" s="4"/>
    </row>
    <row r="18" ht="9.0" customHeight="1">
      <c r="A18" s="5">
        <f t="shared" si="2"/>
        <v>17</v>
      </c>
      <c r="B18" s="4" t="s">
        <v>101</v>
      </c>
      <c r="C18" s="4" t="s">
        <v>102</v>
      </c>
      <c r="D18" s="8">
        <v>44301.0</v>
      </c>
      <c r="E18" s="8">
        <v>44301.0</v>
      </c>
      <c r="F18" s="8">
        <v>44301.0</v>
      </c>
      <c r="G18" s="4">
        <v>0.0</v>
      </c>
      <c r="H18" s="4">
        <f t="shared" si="1"/>
        <v>100</v>
      </c>
      <c r="I18" s="4"/>
      <c r="J18" s="4"/>
      <c r="K18" s="4"/>
      <c r="L18" s="4"/>
      <c r="M18" s="4"/>
      <c r="N18" s="4"/>
      <c r="O18" s="4"/>
      <c r="P18" s="4"/>
      <c r="Q18" s="4"/>
      <c r="R18" s="4"/>
      <c r="S18" s="4"/>
      <c r="T18" s="4"/>
      <c r="U18" s="4"/>
      <c r="V18" s="4"/>
      <c r="W18" s="4"/>
      <c r="X18" s="4"/>
    </row>
    <row r="19" ht="9.0" customHeight="1">
      <c r="A19" s="5">
        <f t="shared" si="2"/>
        <v>18</v>
      </c>
      <c r="B19" s="4" t="s">
        <v>105</v>
      </c>
      <c r="C19" s="4" t="s">
        <v>106</v>
      </c>
      <c r="D19" s="8">
        <v>44301.0</v>
      </c>
      <c r="E19" s="8">
        <v>44301.0</v>
      </c>
      <c r="F19" s="8">
        <v>44301.0</v>
      </c>
      <c r="G19" s="4">
        <v>57.6123778924761</v>
      </c>
      <c r="H19" s="4">
        <f t="shared" si="1"/>
        <v>4</v>
      </c>
      <c r="I19" s="4"/>
      <c r="J19" s="4"/>
      <c r="K19" s="4"/>
      <c r="L19" s="4"/>
      <c r="M19" s="4"/>
      <c r="N19" s="4"/>
      <c r="O19" s="4"/>
      <c r="P19" s="4"/>
      <c r="Q19" s="4"/>
      <c r="R19" s="4"/>
      <c r="S19" s="4"/>
      <c r="T19" s="4"/>
      <c r="U19" s="4"/>
      <c r="V19" s="4"/>
      <c r="W19" s="4"/>
      <c r="X19" s="4"/>
    </row>
    <row r="20" ht="9.0" customHeight="1">
      <c r="A20" s="5">
        <f t="shared" si="2"/>
        <v>19</v>
      </c>
      <c r="B20" s="4" t="s">
        <v>111</v>
      </c>
      <c r="C20" s="4" t="s">
        <v>112</v>
      </c>
      <c r="D20" s="8">
        <v>44301.0</v>
      </c>
      <c r="E20" s="8">
        <v>44301.0</v>
      </c>
      <c r="F20" s="8">
        <v>44301.0</v>
      </c>
      <c r="G20" s="4">
        <v>26.55</v>
      </c>
      <c r="H20" s="4">
        <f t="shared" si="1"/>
        <v>15</v>
      </c>
      <c r="I20" s="4"/>
      <c r="J20" s="4"/>
      <c r="K20" s="4"/>
      <c r="L20" s="4"/>
      <c r="M20" s="4"/>
      <c r="N20" s="4"/>
      <c r="O20" s="4"/>
      <c r="P20" s="4"/>
      <c r="Q20" s="4"/>
      <c r="R20" s="4"/>
      <c r="S20" s="4"/>
      <c r="T20" s="4"/>
      <c r="U20" s="4"/>
      <c r="V20" s="4"/>
      <c r="W20" s="4"/>
      <c r="X20" s="4"/>
    </row>
    <row r="21" ht="9.0" customHeight="1">
      <c r="A21" s="5">
        <f t="shared" si="2"/>
        <v>20</v>
      </c>
      <c r="B21" s="4" t="s">
        <v>117</v>
      </c>
      <c r="C21" s="4" t="s">
        <v>117</v>
      </c>
      <c r="D21" s="8">
        <v>44301.0</v>
      </c>
      <c r="E21" s="8">
        <v>44301.0</v>
      </c>
      <c r="F21" s="8">
        <v>44301.0</v>
      </c>
      <c r="G21" s="9">
        <v>15.0</v>
      </c>
      <c r="H21" s="4">
        <f t="shared" si="1"/>
        <v>20</v>
      </c>
      <c r="I21" s="4"/>
      <c r="J21" s="4"/>
      <c r="K21" s="4"/>
      <c r="L21" s="4"/>
      <c r="M21" s="4"/>
      <c r="N21" s="4"/>
      <c r="O21" s="4"/>
      <c r="P21" s="4"/>
      <c r="Q21" s="4"/>
      <c r="R21" s="4"/>
      <c r="S21" s="4"/>
      <c r="T21" s="4"/>
      <c r="U21" s="4"/>
      <c r="V21" s="4"/>
      <c r="W21" s="4"/>
      <c r="X21" s="4"/>
    </row>
    <row r="22" ht="9.0" customHeight="1">
      <c r="A22" s="5">
        <f t="shared" si="2"/>
        <v>21</v>
      </c>
      <c r="B22" s="4" t="s">
        <v>122</v>
      </c>
      <c r="C22" s="4" t="s">
        <v>123</v>
      </c>
      <c r="D22" s="8">
        <v>44301.0</v>
      </c>
      <c r="E22" s="8">
        <v>44301.0</v>
      </c>
      <c r="F22" s="8">
        <v>44301.0</v>
      </c>
      <c r="G22" s="9">
        <v>15.0</v>
      </c>
      <c r="H22" s="4">
        <f t="shared" si="1"/>
        <v>20</v>
      </c>
      <c r="I22" s="4"/>
      <c r="J22" s="4"/>
      <c r="K22" s="4"/>
      <c r="L22" s="4"/>
      <c r="M22" s="4"/>
      <c r="N22" s="4"/>
      <c r="O22" s="4"/>
      <c r="P22" s="4"/>
      <c r="Q22" s="4"/>
      <c r="R22" s="4"/>
      <c r="S22" s="4"/>
      <c r="T22" s="4"/>
      <c r="U22" s="4"/>
      <c r="V22" s="4"/>
      <c r="W22" s="4"/>
      <c r="X22" s="4"/>
    </row>
    <row r="23" ht="9.0" customHeight="1">
      <c r="A23" s="5">
        <f t="shared" si="2"/>
        <v>22</v>
      </c>
      <c r="B23" s="4" t="s">
        <v>125</v>
      </c>
      <c r="C23" s="4" t="s">
        <v>125</v>
      </c>
      <c r="D23" s="8">
        <v>44301.0</v>
      </c>
      <c r="E23" s="8">
        <v>44301.0</v>
      </c>
      <c r="F23" s="8">
        <v>44301.0</v>
      </c>
      <c r="G23" s="9">
        <v>15.0</v>
      </c>
      <c r="H23" s="4">
        <f t="shared" si="1"/>
        <v>20</v>
      </c>
      <c r="I23" s="4"/>
      <c r="J23" s="4"/>
      <c r="K23" s="4"/>
      <c r="L23" s="4"/>
      <c r="M23" s="4"/>
      <c r="N23" s="4"/>
      <c r="O23" s="4"/>
      <c r="P23" s="4"/>
      <c r="Q23" s="4"/>
      <c r="R23" s="4"/>
      <c r="S23" s="4"/>
      <c r="T23" s="4"/>
      <c r="U23" s="4"/>
      <c r="V23" s="4"/>
      <c r="W23" s="4"/>
      <c r="X23" s="4"/>
    </row>
    <row r="24" ht="9.0" customHeight="1">
      <c r="A24" s="5">
        <f t="shared" si="2"/>
        <v>23</v>
      </c>
      <c r="B24" s="4" t="s">
        <v>130</v>
      </c>
      <c r="C24" s="4" t="s">
        <v>131</v>
      </c>
      <c r="D24" s="8">
        <v>44301.0</v>
      </c>
      <c r="E24" s="8">
        <v>44301.0</v>
      </c>
      <c r="F24" s="8">
        <v>44301.0</v>
      </c>
      <c r="G24" s="9">
        <v>15.0</v>
      </c>
      <c r="H24" s="4">
        <f t="shared" si="1"/>
        <v>20</v>
      </c>
      <c r="I24" s="4"/>
      <c r="J24" s="4"/>
      <c r="K24" s="4"/>
      <c r="L24" s="4"/>
      <c r="M24" s="4"/>
      <c r="N24" s="4"/>
      <c r="O24" s="4"/>
      <c r="P24" s="4"/>
      <c r="Q24" s="4"/>
      <c r="R24" s="4"/>
      <c r="S24" s="4"/>
      <c r="T24" s="4"/>
      <c r="U24" s="4"/>
      <c r="V24" s="4"/>
      <c r="W24" s="4"/>
      <c r="X24" s="4"/>
    </row>
    <row r="25" ht="9.0" customHeight="1">
      <c r="A25" s="5">
        <f t="shared" si="2"/>
        <v>24</v>
      </c>
      <c r="B25" s="4" t="s">
        <v>136</v>
      </c>
      <c r="C25" s="4" t="s">
        <v>137</v>
      </c>
      <c r="D25" s="8">
        <v>44301.0</v>
      </c>
      <c r="E25" s="8">
        <v>44301.0</v>
      </c>
      <c r="F25" s="8">
        <v>44301.0</v>
      </c>
      <c r="G25" s="9">
        <v>15.0</v>
      </c>
      <c r="H25" s="4">
        <f t="shared" si="1"/>
        <v>20</v>
      </c>
      <c r="I25" s="4"/>
      <c r="J25" s="4"/>
      <c r="K25" s="4"/>
      <c r="L25" s="4"/>
      <c r="M25" s="4"/>
      <c r="N25" s="4"/>
      <c r="O25" s="4"/>
      <c r="P25" s="4"/>
      <c r="Q25" s="4"/>
      <c r="R25" s="4"/>
      <c r="S25" s="4"/>
      <c r="T25" s="4"/>
      <c r="U25" s="4"/>
      <c r="V25" s="4"/>
      <c r="W25" s="4"/>
      <c r="X25" s="4"/>
    </row>
    <row r="26" ht="9.0" customHeight="1">
      <c r="A26" s="5">
        <f t="shared" si="2"/>
        <v>25</v>
      </c>
      <c r="B26" s="4" t="s">
        <v>139</v>
      </c>
      <c r="C26" s="4" t="s">
        <v>140</v>
      </c>
      <c r="D26" s="8">
        <v>44301.0</v>
      </c>
      <c r="E26" s="8">
        <v>44301.0</v>
      </c>
      <c r="F26" s="8">
        <v>44301.0</v>
      </c>
      <c r="G26" s="9">
        <v>15.0</v>
      </c>
      <c r="H26" s="4">
        <f t="shared" si="1"/>
        <v>20</v>
      </c>
      <c r="I26" s="4"/>
      <c r="J26" s="4"/>
      <c r="K26" s="4"/>
      <c r="L26" s="4"/>
      <c r="M26" s="4"/>
      <c r="N26" s="4"/>
      <c r="O26" s="4"/>
      <c r="P26" s="4"/>
      <c r="Q26" s="4"/>
      <c r="R26" s="4"/>
      <c r="S26" s="4"/>
      <c r="T26" s="4"/>
      <c r="U26" s="4"/>
      <c r="V26" s="4"/>
      <c r="W26" s="4"/>
      <c r="X26" s="4"/>
    </row>
    <row r="27" ht="9.0" customHeight="1">
      <c r="A27" s="5">
        <f t="shared" si="2"/>
        <v>26</v>
      </c>
      <c r="B27" s="4" t="s">
        <v>142</v>
      </c>
      <c r="C27" s="4" t="s">
        <v>142</v>
      </c>
      <c r="D27" s="8">
        <v>44301.0</v>
      </c>
      <c r="E27" s="8">
        <v>44301.0</v>
      </c>
      <c r="F27" s="8">
        <v>44301.0</v>
      </c>
      <c r="G27" s="9">
        <v>15.0</v>
      </c>
      <c r="H27" s="4">
        <f t="shared" si="1"/>
        <v>20</v>
      </c>
      <c r="I27" s="4"/>
      <c r="J27" s="4"/>
      <c r="K27" s="4"/>
      <c r="L27" s="4"/>
      <c r="M27" s="4"/>
      <c r="N27" s="4"/>
      <c r="O27" s="4"/>
      <c r="P27" s="4"/>
      <c r="Q27" s="4"/>
      <c r="R27" s="4"/>
      <c r="S27" s="4"/>
      <c r="T27" s="4"/>
      <c r="U27" s="4"/>
      <c r="V27" s="4"/>
      <c r="W27" s="4"/>
      <c r="X27" s="4"/>
    </row>
    <row r="28" ht="9.0" customHeight="1">
      <c r="A28" s="5">
        <f t="shared" si="2"/>
        <v>27</v>
      </c>
      <c r="B28" s="4" t="s">
        <v>144</v>
      </c>
      <c r="C28" s="4" t="s">
        <v>145</v>
      </c>
      <c r="D28" s="8">
        <v>44301.0</v>
      </c>
      <c r="E28" s="8">
        <v>44301.0</v>
      </c>
      <c r="F28" s="8">
        <v>44301.0</v>
      </c>
      <c r="G28" s="9">
        <v>15.0</v>
      </c>
      <c r="H28" s="4">
        <f t="shared" si="1"/>
        <v>20</v>
      </c>
      <c r="I28" s="4"/>
      <c r="J28" s="4"/>
      <c r="K28" s="4"/>
      <c r="L28" s="4"/>
      <c r="M28" s="4"/>
      <c r="N28" s="4"/>
      <c r="O28" s="4"/>
      <c r="P28" s="4"/>
      <c r="Q28" s="4"/>
      <c r="R28" s="4"/>
      <c r="S28" s="4"/>
      <c r="T28" s="4"/>
      <c r="U28" s="4"/>
      <c r="V28" s="4"/>
      <c r="W28" s="4"/>
      <c r="X28" s="4"/>
    </row>
    <row r="29" ht="9.0" customHeight="1">
      <c r="A29" s="5">
        <f t="shared" si="2"/>
        <v>28</v>
      </c>
      <c r="B29" s="4" t="s">
        <v>150</v>
      </c>
      <c r="C29" s="4" t="s">
        <v>151</v>
      </c>
      <c r="D29" s="8">
        <v>44301.0</v>
      </c>
      <c r="E29" s="8">
        <v>44301.0</v>
      </c>
      <c r="F29" s="8">
        <v>44301.0</v>
      </c>
      <c r="G29" s="9">
        <v>15.0</v>
      </c>
      <c r="H29" s="4">
        <f t="shared" si="1"/>
        <v>20</v>
      </c>
      <c r="I29" s="4"/>
      <c r="J29" s="4"/>
      <c r="K29" s="4"/>
      <c r="L29" s="4"/>
      <c r="M29" s="4"/>
      <c r="N29" s="4"/>
      <c r="O29" s="4"/>
      <c r="P29" s="4"/>
      <c r="Q29" s="4"/>
      <c r="R29" s="4"/>
      <c r="S29" s="4"/>
      <c r="T29" s="4"/>
      <c r="U29" s="4"/>
      <c r="V29" s="4"/>
      <c r="W29" s="4"/>
      <c r="X29" s="4"/>
    </row>
    <row r="30" ht="9.0" customHeight="1">
      <c r="A30" s="5">
        <f t="shared" si="2"/>
        <v>29</v>
      </c>
      <c r="B30" s="4" t="s">
        <v>156</v>
      </c>
      <c r="C30" s="4" t="s">
        <v>157</v>
      </c>
      <c r="D30" s="8">
        <v>44301.0</v>
      </c>
      <c r="E30" s="8">
        <v>44301.0</v>
      </c>
      <c r="F30" s="8">
        <v>44301.0</v>
      </c>
      <c r="G30" s="9">
        <v>15.0</v>
      </c>
      <c r="H30" s="4">
        <f t="shared" si="1"/>
        <v>20</v>
      </c>
      <c r="I30" s="4"/>
      <c r="J30" s="4"/>
      <c r="K30" s="4"/>
      <c r="L30" s="4"/>
      <c r="M30" s="4"/>
      <c r="N30" s="4"/>
      <c r="O30" s="4"/>
      <c r="P30" s="4"/>
      <c r="Q30" s="4"/>
      <c r="R30" s="4"/>
      <c r="S30" s="4"/>
      <c r="T30" s="4"/>
      <c r="U30" s="4"/>
      <c r="V30" s="4"/>
      <c r="W30" s="4"/>
      <c r="X30" s="4"/>
    </row>
    <row r="31" ht="9.0" customHeight="1">
      <c r="A31" s="5">
        <f t="shared" si="2"/>
        <v>30</v>
      </c>
      <c r="B31" s="4" t="s">
        <v>162</v>
      </c>
      <c r="C31" s="4" t="s">
        <v>162</v>
      </c>
      <c r="D31" s="8">
        <v>44301.0</v>
      </c>
      <c r="E31" s="8">
        <v>44301.0</v>
      </c>
      <c r="F31" s="8">
        <v>44301.0</v>
      </c>
      <c r="G31" s="9">
        <v>15.0</v>
      </c>
      <c r="H31" s="4">
        <f t="shared" si="1"/>
        <v>20</v>
      </c>
      <c r="I31" s="4"/>
      <c r="J31" s="4"/>
      <c r="K31" s="4"/>
      <c r="L31" s="4"/>
      <c r="M31" s="4"/>
      <c r="N31" s="4"/>
      <c r="O31" s="4"/>
      <c r="P31" s="4"/>
      <c r="Q31" s="4"/>
      <c r="R31" s="4"/>
      <c r="S31" s="4"/>
      <c r="T31" s="4"/>
      <c r="U31" s="4"/>
      <c r="V31" s="4"/>
      <c r="W31" s="4"/>
      <c r="X31" s="4"/>
    </row>
    <row r="32" ht="9.0" customHeight="1">
      <c r="A32" s="5">
        <f t="shared" si="2"/>
        <v>31</v>
      </c>
      <c r="B32" s="4" t="s">
        <v>167</v>
      </c>
      <c r="C32" s="4" t="s">
        <v>167</v>
      </c>
      <c r="D32" s="8">
        <v>44301.0</v>
      </c>
      <c r="E32" s="8">
        <v>44301.0</v>
      </c>
      <c r="F32" s="8">
        <v>44301.0</v>
      </c>
      <c r="G32" s="9">
        <v>15.0</v>
      </c>
      <c r="H32" s="4">
        <f t="shared" si="1"/>
        <v>20</v>
      </c>
      <c r="I32" s="4"/>
      <c r="J32" s="4"/>
      <c r="K32" s="4"/>
      <c r="L32" s="4"/>
      <c r="M32" s="4"/>
      <c r="N32" s="4"/>
      <c r="O32" s="4"/>
      <c r="P32" s="4"/>
      <c r="Q32" s="4"/>
      <c r="R32" s="4"/>
      <c r="S32" s="4"/>
      <c r="T32" s="4"/>
      <c r="U32" s="4"/>
      <c r="V32" s="4"/>
      <c r="W32" s="4"/>
      <c r="X32" s="4"/>
    </row>
    <row r="33" ht="9.0" customHeight="1">
      <c r="A33" s="5">
        <f t="shared" si="2"/>
        <v>32</v>
      </c>
      <c r="B33" s="4" t="s">
        <v>172</v>
      </c>
      <c r="C33" s="4" t="s">
        <v>172</v>
      </c>
      <c r="D33" s="8">
        <v>44301.0</v>
      </c>
      <c r="E33" s="8">
        <v>44301.0</v>
      </c>
      <c r="F33" s="8">
        <v>44301.0</v>
      </c>
      <c r="G33" s="9">
        <v>15.0</v>
      </c>
      <c r="H33" s="4">
        <f t="shared" si="1"/>
        <v>20</v>
      </c>
      <c r="I33" s="4"/>
      <c r="J33" s="4"/>
      <c r="K33" s="4"/>
      <c r="L33" s="4"/>
      <c r="M33" s="4"/>
      <c r="N33" s="4"/>
      <c r="O33" s="4"/>
      <c r="P33" s="4"/>
      <c r="Q33" s="4"/>
      <c r="R33" s="4"/>
      <c r="S33" s="4"/>
      <c r="T33" s="4"/>
      <c r="U33" s="4"/>
      <c r="V33" s="4"/>
      <c r="W33" s="4"/>
      <c r="X33" s="4"/>
    </row>
    <row r="34" ht="9.0" customHeight="1">
      <c r="A34" s="5">
        <f t="shared" si="2"/>
        <v>33</v>
      </c>
      <c r="B34" s="4" t="s">
        <v>177</v>
      </c>
      <c r="C34" s="4" t="s">
        <v>177</v>
      </c>
      <c r="D34" s="8">
        <v>44301.0</v>
      </c>
      <c r="E34" s="8">
        <v>44301.0</v>
      </c>
      <c r="F34" s="8">
        <v>44301.0</v>
      </c>
      <c r="G34" s="9">
        <v>15.0</v>
      </c>
      <c r="H34" s="4">
        <f t="shared" si="1"/>
        <v>20</v>
      </c>
      <c r="I34" s="4"/>
      <c r="J34" s="4"/>
      <c r="K34" s="4"/>
      <c r="L34" s="4"/>
      <c r="M34" s="4"/>
      <c r="N34" s="4"/>
      <c r="O34" s="4"/>
      <c r="P34" s="4"/>
      <c r="Q34" s="4"/>
      <c r="R34" s="4"/>
      <c r="S34" s="4"/>
      <c r="T34" s="4"/>
      <c r="U34" s="4"/>
      <c r="V34" s="4"/>
      <c r="W34" s="4"/>
      <c r="X34" s="4"/>
    </row>
    <row r="35" ht="9.0" customHeight="1">
      <c r="A35" s="5">
        <f t="shared" si="2"/>
        <v>34</v>
      </c>
      <c r="B35" s="4" t="s">
        <v>182</v>
      </c>
      <c r="C35" s="4" t="s">
        <v>183</v>
      </c>
      <c r="D35" s="8">
        <v>44301.0</v>
      </c>
      <c r="E35" s="8">
        <v>44301.0</v>
      </c>
      <c r="F35" s="8">
        <v>44301.0</v>
      </c>
      <c r="G35" s="9">
        <v>15.0</v>
      </c>
      <c r="H35" s="4">
        <f t="shared" si="1"/>
        <v>20</v>
      </c>
      <c r="I35" s="4"/>
      <c r="J35" s="4"/>
      <c r="K35" s="4"/>
      <c r="L35" s="4"/>
      <c r="M35" s="4"/>
      <c r="N35" s="4"/>
      <c r="O35" s="4"/>
      <c r="P35" s="4"/>
      <c r="Q35" s="4"/>
      <c r="R35" s="4"/>
      <c r="S35" s="4"/>
      <c r="T35" s="4"/>
      <c r="U35" s="4"/>
      <c r="V35" s="4"/>
      <c r="W35" s="4"/>
      <c r="X35" s="4"/>
    </row>
    <row r="36" ht="9.0" customHeight="1">
      <c r="A36" s="5">
        <f t="shared" si="2"/>
        <v>35</v>
      </c>
      <c r="B36" s="4" t="s">
        <v>188</v>
      </c>
      <c r="C36" s="4" t="s">
        <v>188</v>
      </c>
      <c r="D36" s="8">
        <v>44301.0</v>
      </c>
      <c r="E36" s="8">
        <v>44301.0</v>
      </c>
      <c r="F36" s="8">
        <v>44301.0</v>
      </c>
      <c r="G36" s="9">
        <v>15.0</v>
      </c>
      <c r="H36" s="4">
        <f t="shared" si="1"/>
        <v>20</v>
      </c>
      <c r="I36" s="4"/>
      <c r="J36" s="4"/>
      <c r="K36" s="4"/>
      <c r="L36" s="4"/>
      <c r="M36" s="4"/>
      <c r="N36" s="4"/>
      <c r="O36" s="4"/>
      <c r="P36" s="4"/>
      <c r="Q36" s="4"/>
      <c r="R36" s="4"/>
      <c r="S36" s="4"/>
      <c r="T36" s="4"/>
      <c r="U36" s="4"/>
      <c r="V36" s="4"/>
      <c r="W36" s="4"/>
      <c r="X36" s="4"/>
    </row>
    <row r="37" ht="9.0" customHeight="1">
      <c r="A37" s="5">
        <f t="shared" si="2"/>
        <v>36</v>
      </c>
      <c r="B37" s="4" t="s">
        <v>190</v>
      </c>
      <c r="C37" s="4" t="s">
        <v>191</v>
      </c>
      <c r="D37" s="8">
        <v>44301.0</v>
      </c>
      <c r="E37" s="8">
        <v>44301.0</v>
      </c>
      <c r="F37" s="8">
        <v>44301.0</v>
      </c>
      <c r="G37" s="9">
        <v>15.0</v>
      </c>
      <c r="H37" s="4">
        <f t="shared" si="1"/>
        <v>20</v>
      </c>
      <c r="I37" s="4"/>
      <c r="J37" s="4"/>
      <c r="K37" s="4"/>
      <c r="L37" s="4"/>
      <c r="M37" s="4"/>
      <c r="N37" s="4"/>
      <c r="O37" s="4"/>
      <c r="P37" s="4"/>
      <c r="Q37" s="4"/>
      <c r="R37" s="4"/>
      <c r="S37" s="4"/>
      <c r="T37" s="4"/>
      <c r="U37" s="4"/>
      <c r="V37" s="4"/>
      <c r="W37" s="4"/>
      <c r="X37" s="4"/>
    </row>
    <row r="38" ht="9.0" customHeight="1">
      <c r="A38" s="5">
        <f t="shared" si="2"/>
        <v>37</v>
      </c>
      <c r="B38" s="4" t="s">
        <v>193</v>
      </c>
      <c r="C38" s="4" t="s">
        <v>193</v>
      </c>
      <c r="D38" s="8">
        <v>44301.0</v>
      </c>
      <c r="E38" s="8">
        <v>44301.0</v>
      </c>
      <c r="F38" s="8">
        <v>44301.0</v>
      </c>
      <c r="G38" s="9">
        <v>15.0</v>
      </c>
      <c r="H38" s="4">
        <f t="shared" si="1"/>
        <v>20</v>
      </c>
      <c r="I38" s="4"/>
      <c r="J38" s="4"/>
      <c r="K38" s="4"/>
      <c r="L38" s="4"/>
      <c r="M38" s="4"/>
      <c r="N38" s="4"/>
      <c r="O38" s="4"/>
      <c r="P38" s="4"/>
      <c r="Q38" s="4"/>
      <c r="R38" s="4"/>
      <c r="S38" s="4"/>
      <c r="T38" s="4"/>
      <c r="U38" s="4"/>
      <c r="V38" s="4"/>
      <c r="W38" s="4"/>
      <c r="X38" s="4"/>
    </row>
    <row r="39" ht="9.0" customHeight="1">
      <c r="A39" s="5">
        <f t="shared" si="2"/>
        <v>38</v>
      </c>
      <c r="B39" s="4" t="s">
        <v>198</v>
      </c>
      <c r="C39" s="4" t="s">
        <v>198</v>
      </c>
      <c r="D39" s="8">
        <v>44301.0</v>
      </c>
      <c r="E39" s="8">
        <v>44301.0</v>
      </c>
      <c r="F39" s="8">
        <v>44301.0</v>
      </c>
      <c r="G39" s="9">
        <v>15.0</v>
      </c>
      <c r="H39" s="4">
        <f t="shared" si="1"/>
        <v>20</v>
      </c>
      <c r="I39" s="4"/>
      <c r="J39" s="4"/>
      <c r="K39" s="4"/>
      <c r="L39" s="4"/>
      <c r="M39" s="4"/>
      <c r="N39" s="4"/>
      <c r="O39" s="4"/>
      <c r="P39" s="4"/>
      <c r="Q39" s="4"/>
      <c r="R39" s="4"/>
      <c r="S39" s="4"/>
      <c r="T39" s="4"/>
      <c r="U39" s="4"/>
      <c r="V39" s="4"/>
      <c r="W39" s="4"/>
      <c r="X39" s="4"/>
    </row>
    <row r="40" ht="9.0" customHeight="1">
      <c r="A40" s="5">
        <f t="shared" si="2"/>
        <v>39</v>
      </c>
      <c r="B40" s="4" t="s">
        <v>203</v>
      </c>
      <c r="C40" s="4" t="s">
        <v>203</v>
      </c>
      <c r="D40" s="8">
        <v>44301.0</v>
      </c>
      <c r="E40" s="8">
        <v>44301.0</v>
      </c>
      <c r="F40" s="8">
        <v>44301.0</v>
      </c>
      <c r="G40" s="9">
        <v>15.0</v>
      </c>
      <c r="H40" s="4">
        <f t="shared" si="1"/>
        <v>20</v>
      </c>
      <c r="I40" s="4"/>
      <c r="J40" s="4"/>
      <c r="K40" s="4"/>
      <c r="L40" s="4"/>
      <c r="M40" s="4"/>
      <c r="N40" s="4"/>
      <c r="O40" s="4"/>
      <c r="P40" s="4"/>
      <c r="Q40" s="4"/>
      <c r="R40" s="4"/>
      <c r="S40" s="4"/>
      <c r="T40" s="4"/>
      <c r="U40" s="4"/>
      <c r="V40" s="4"/>
      <c r="W40" s="4"/>
      <c r="X40" s="4"/>
    </row>
    <row r="41" ht="9.0" customHeight="1">
      <c r="A41" s="5">
        <f t="shared" si="2"/>
        <v>40</v>
      </c>
      <c r="B41" s="4" t="s">
        <v>208</v>
      </c>
      <c r="C41" s="4" t="s">
        <v>208</v>
      </c>
      <c r="D41" s="8">
        <v>44301.0</v>
      </c>
      <c r="E41" s="8">
        <v>44301.0</v>
      </c>
      <c r="F41" s="8">
        <v>44301.0</v>
      </c>
      <c r="G41" s="9">
        <v>15.0</v>
      </c>
      <c r="H41" s="4">
        <f t="shared" si="1"/>
        <v>20</v>
      </c>
      <c r="I41" s="4"/>
      <c r="J41" s="4"/>
      <c r="K41" s="4"/>
      <c r="L41" s="4"/>
      <c r="M41" s="4"/>
      <c r="N41" s="4"/>
      <c r="O41" s="4"/>
      <c r="P41" s="4"/>
      <c r="Q41" s="4"/>
      <c r="R41" s="4"/>
      <c r="S41" s="4"/>
      <c r="T41" s="4"/>
      <c r="U41" s="4"/>
      <c r="V41" s="4"/>
      <c r="W41" s="4"/>
      <c r="X41" s="4"/>
    </row>
    <row r="42" ht="9.0" customHeight="1">
      <c r="A42" s="5">
        <f t="shared" si="2"/>
        <v>41</v>
      </c>
      <c r="B42" s="4" t="s">
        <v>210</v>
      </c>
      <c r="C42" s="4" t="s">
        <v>210</v>
      </c>
      <c r="D42" s="8">
        <v>44301.0</v>
      </c>
      <c r="E42" s="8">
        <v>44301.0</v>
      </c>
      <c r="F42" s="8">
        <v>44301.0</v>
      </c>
      <c r="G42" s="9">
        <v>15.0</v>
      </c>
      <c r="H42" s="4">
        <f t="shared" si="1"/>
        <v>20</v>
      </c>
      <c r="I42" s="4"/>
      <c r="J42" s="4"/>
      <c r="K42" s="4"/>
      <c r="L42" s="4"/>
      <c r="M42" s="4"/>
      <c r="N42" s="4"/>
      <c r="O42" s="4"/>
      <c r="P42" s="4"/>
      <c r="Q42" s="4"/>
      <c r="R42" s="4"/>
      <c r="S42" s="4"/>
      <c r="T42" s="4"/>
      <c r="U42" s="4"/>
      <c r="V42" s="4"/>
      <c r="W42" s="4"/>
      <c r="X42" s="4"/>
    </row>
    <row r="43" ht="9.0" customHeight="1">
      <c r="A43" s="5">
        <f t="shared" si="2"/>
        <v>42</v>
      </c>
      <c r="B43" s="4" t="s">
        <v>215</v>
      </c>
      <c r="C43" s="4" t="s">
        <v>215</v>
      </c>
      <c r="D43" s="8">
        <v>44301.0</v>
      </c>
      <c r="E43" s="8">
        <v>44301.0</v>
      </c>
      <c r="F43" s="8">
        <v>44301.0</v>
      </c>
      <c r="G43" s="9">
        <v>15.0</v>
      </c>
      <c r="H43" s="4">
        <f t="shared" si="1"/>
        <v>20</v>
      </c>
      <c r="I43" s="4"/>
      <c r="J43" s="4"/>
      <c r="K43" s="4"/>
      <c r="L43" s="4"/>
      <c r="M43" s="4"/>
      <c r="N43" s="4"/>
      <c r="O43" s="4"/>
      <c r="P43" s="4"/>
      <c r="Q43" s="4"/>
      <c r="R43" s="4"/>
      <c r="S43" s="4"/>
      <c r="T43" s="4"/>
      <c r="U43" s="4"/>
      <c r="V43" s="4"/>
      <c r="W43" s="4"/>
      <c r="X43" s="4"/>
    </row>
    <row r="44" ht="9.0" customHeight="1">
      <c r="A44" s="5">
        <f t="shared" si="2"/>
        <v>43</v>
      </c>
      <c r="B44" s="4" t="s">
        <v>217</v>
      </c>
      <c r="C44" s="4" t="s">
        <v>218</v>
      </c>
      <c r="D44" s="8">
        <v>44301.0</v>
      </c>
      <c r="E44" s="8">
        <v>44301.0</v>
      </c>
      <c r="F44" s="8">
        <v>44301.0</v>
      </c>
      <c r="G44" s="9">
        <v>15.0</v>
      </c>
      <c r="H44" s="4">
        <f t="shared" si="1"/>
        <v>20</v>
      </c>
      <c r="I44" s="4"/>
      <c r="J44" s="4"/>
      <c r="K44" s="4"/>
      <c r="L44" s="4"/>
      <c r="M44" s="4"/>
      <c r="N44" s="4"/>
      <c r="O44" s="4"/>
      <c r="P44" s="4"/>
      <c r="Q44" s="4"/>
      <c r="R44" s="4"/>
      <c r="S44" s="4"/>
      <c r="T44" s="4"/>
      <c r="U44" s="4"/>
      <c r="V44" s="4"/>
      <c r="W44" s="4"/>
      <c r="X44" s="4"/>
    </row>
    <row r="45" ht="9.0" customHeight="1">
      <c r="A45" s="5">
        <f t="shared" si="2"/>
        <v>44</v>
      </c>
      <c r="B45" s="4" t="s">
        <v>220</v>
      </c>
      <c r="C45" s="4" t="s">
        <v>220</v>
      </c>
      <c r="D45" s="8">
        <v>44301.0</v>
      </c>
      <c r="E45" s="8">
        <v>44301.0</v>
      </c>
      <c r="F45" s="8">
        <v>44301.0</v>
      </c>
      <c r="G45" s="9">
        <v>15.0</v>
      </c>
      <c r="H45" s="4">
        <f t="shared" si="1"/>
        <v>20</v>
      </c>
      <c r="I45" s="4"/>
      <c r="J45" s="4"/>
      <c r="K45" s="4"/>
      <c r="L45" s="4"/>
      <c r="M45" s="4"/>
      <c r="N45" s="4"/>
      <c r="O45" s="4"/>
      <c r="P45" s="4"/>
      <c r="Q45" s="4"/>
      <c r="R45" s="4"/>
      <c r="S45" s="4"/>
      <c r="T45" s="4"/>
      <c r="U45" s="4"/>
      <c r="V45" s="4"/>
      <c r="W45" s="4"/>
      <c r="X45" s="4"/>
    </row>
    <row r="46" ht="9.0" customHeight="1">
      <c r="A46" s="5">
        <f t="shared" si="2"/>
        <v>45</v>
      </c>
      <c r="B46" s="4" t="s">
        <v>225</v>
      </c>
      <c r="C46" s="4" t="s">
        <v>226</v>
      </c>
      <c r="D46" s="8">
        <v>44301.0</v>
      </c>
      <c r="E46" s="8">
        <v>44301.0</v>
      </c>
      <c r="F46" s="8">
        <v>44301.0</v>
      </c>
      <c r="G46" s="9">
        <v>15.0</v>
      </c>
      <c r="H46" s="4">
        <f t="shared" si="1"/>
        <v>20</v>
      </c>
      <c r="I46" s="4"/>
      <c r="J46" s="4"/>
      <c r="K46" s="4"/>
      <c r="L46" s="4"/>
      <c r="M46" s="4"/>
      <c r="N46" s="4"/>
      <c r="O46" s="4"/>
      <c r="P46" s="4"/>
      <c r="Q46" s="4"/>
      <c r="R46" s="4"/>
      <c r="S46" s="4"/>
      <c r="T46" s="4"/>
      <c r="U46" s="4"/>
      <c r="V46" s="4"/>
      <c r="W46" s="4"/>
      <c r="X46" s="4"/>
    </row>
    <row r="47" ht="9.0" customHeight="1">
      <c r="A47" s="5">
        <f t="shared" si="2"/>
        <v>46</v>
      </c>
      <c r="B47" s="4" t="s">
        <v>231</v>
      </c>
      <c r="C47" s="4" t="s">
        <v>231</v>
      </c>
      <c r="D47" s="8">
        <v>44301.0</v>
      </c>
      <c r="E47" s="8">
        <v>44301.0</v>
      </c>
      <c r="F47" s="8">
        <v>44301.0</v>
      </c>
      <c r="G47" s="9">
        <v>15.0</v>
      </c>
      <c r="H47" s="4">
        <f t="shared" si="1"/>
        <v>20</v>
      </c>
      <c r="I47" s="4"/>
      <c r="J47" s="4"/>
      <c r="K47" s="4"/>
      <c r="L47" s="4"/>
      <c r="M47" s="4"/>
      <c r="N47" s="4"/>
      <c r="O47" s="4"/>
      <c r="P47" s="4"/>
      <c r="Q47" s="4"/>
      <c r="R47" s="4"/>
      <c r="S47" s="4"/>
      <c r="T47" s="4"/>
      <c r="U47" s="4"/>
      <c r="V47" s="4"/>
      <c r="W47" s="4"/>
      <c r="X47" s="4"/>
    </row>
    <row r="48" ht="9.0" customHeight="1">
      <c r="A48" s="5">
        <f t="shared" si="2"/>
        <v>47</v>
      </c>
      <c r="B48" s="4" t="s">
        <v>236</v>
      </c>
      <c r="C48" s="4" t="s">
        <v>237</v>
      </c>
      <c r="D48" s="8">
        <v>44301.0</v>
      </c>
      <c r="E48" s="8">
        <v>44301.0</v>
      </c>
      <c r="F48" s="8">
        <v>44301.0</v>
      </c>
      <c r="G48" s="9">
        <v>15.0</v>
      </c>
      <c r="H48" s="4">
        <f t="shared" si="1"/>
        <v>20</v>
      </c>
      <c r="I48" s="4"/>
      <c r="J48" s="4"/>
      <c r="K48" s="4"/>
      <c r="L48" s="4"/>
      <c r="M48" s="4"/>
      <c r="N48" s="4"/>
      <c r="O48" s="4"/>
      <c r="P48" s="4"/>
      <c r="Q48" s="4"/>
      <c r="R48" s="4"/>
      <c r="S48" s="4"/>
      <c r="T48" s="4"/>
      <c r="U48" s="4"/>
      <c r="V48" s="4"/>
      <c r="W48" s="4"/>
      <c r="X48" s="4"/>
    </row>
    <row r="49" ht="9.0" customHeight="1">
      <c r="A49" s="5">
        <f t="shared" si="2"/>
        <v>48</v>
      </c>
      <c r="B49" s="4" t="s">
        <v>242</v>
      </c>
      <c r="C49" s="4" t="s">
        <v>243</v>
      </c>
      <c r="D49" s="8">
        <v>44301.0</v>
      </c>
      <c r="E49" s="8">
        <v>44301.0</v>
      </c>
      <c r="F49" s="8">
        <v>44301.0</v>
      </c>
      <c r="G49" s="9">
        <v>15.0</v>
      </c>
      <c r="H49" s="4">
        <f t="shared" si="1"/>
        <v>20</v>
      </c>
      <c r="I49" s="4"/>
      <c r="J49" s="4"/>
      <c r="K49" s="4"/>
      <c r="L49" s="4"/>
      <c r="M49" s="4"/>
      <c r="N49" s="4"/>
      <c r="O49" s="4"/>
      <c r="P49" s="4"/>
      <c r="Q49" s="4"/>
      <c r="R49" s="4"/>
      <c r="S49" s="4"/>
      <c r="T49" s="4"/>
      <c r="U49" s="4"/>
      <c r="V49" s="4"/>
      <c r="W49" s="4"/>
      <c r="X49" s="4"/>
    </row>
    <row r="50" ht="9.0" customHeight="1">
      <c r="A50" s="5">
        <f t="shared" si="2"/>
        <v>49</v>
      </c>
      <c r="B50" s="4" t="s">
        <v>248</v>
      </c>
      <c r="C50" s="4" t="s">
        <v>249</v>
      </c>
      <c r="D50" s="8">
        <v>44301.0</v>
      </c>
      <c r="E50" s="8">
        <v>44301.0</v>
      </c>
      <c r="F50" s="8">
        <v>44301.0</v>
      </c>
      <c r="G50" s="9">
        <v>15.0</v>
      </c>
      <c r="H50" s="4">
        <f t="shared" si="1"/>
        <v>20</v>
      </c>
      <c r="I50" s="4"/>
      <c r="J50" s="4"/>
      <c r="K50" s="4"/>
      <c r="L50" s="4"/>
      <c r="M50" s="4"/>
      <c r="N50" s="4"/>
      <c r="O50" s="4"/>
      <c r="P50" s="4"/>
      <c r="Q50" s="4"/>
      <c r="R50" s="4"/>
      <c r="S50" s="4"/>
      <c r="T50" s="4"/>
      <c r="U50" s="4"/>
      <c r="V50" s="4"/>
      <c r="W50" s="4"/>
      <c r="X50" s="4"/>
    </row>
    <row r="51" ht="9.0" customHeight="1">
      <c r="A51" s="5">
        <f t="shared" si="2"/>
        <v>50</v>
      </c>
      <c r="B51" s="4" t="s">
        <v>254</v>
      </c>
      <c r="C51" s="4" t="s">
        <v>255</v>
      </c>
      <c r="D51" s="8">
        <v>44301.0</v>
      </c>
      <c r="E51" s="8">
        <v>44301.0</v>
      </c>
      <c r="F51" s="8">
        <v>44301.0</v>
      </c>
      <c r="G51" s="9">
        <v>15.0</v>
      </c>
      <c r="H51" s="4">
        <f t="shared" si="1"/>
        <v>20</v>
      </c>
      <c r="I51" s="4"/>
      <c r="J51" s="4"/>
      <c r="K51" s="4"/>
      <c r="L51" s="4"/>
      <c r="M51" s="4"/>
      <c r="N51" s="4"/>
      <c r="O51" s="4"/>
      <c r="P51" s="4"/>
      <c r="Q51" s="4"/>
      <c r="R51" s="4"/>
      <c r="S51" s="4"/>
      <c r="T51" s="4"/>
      <c r="U51" s="4"/>
      <c r="V51" s="4"/>
      <c r="W51" s="4"/>
      <c r="X51" s="4"/>
    </row>
    <row r="52" ht="9.0" customHeight="1">
      <c r="A52" s="5">
        <f t="shared" si="2"/>
        <v>51</v>
      </c>
      <c r="B52" s="4" t="s">
        <v>260</v>
      </c>
      <c r="C52" s="4" t="s">
        <v>260</v>
      </c>
      <c r="D52" s="8">
        <v>44301.0</v>
      </c>
      <c r="E52" s="8">
        <v>44301.0</v>
      </c>
      <c r="F52" s="8">
        <v>44301.0</v>
      </c>
      <c r="G52" s="9">
        <v>15.0</v>
      </c>
      <c r="H52" s="4">
        <f t="shared" si="1"/>
        <v>20</v>
      </c>
      <c r="I52" s="4"/>
      <c r="J52" s="4"/>
      <c r="K52" s="4"/>
      <c r="L52" s="4"/>
      <c r="M52" s="4"/>
      <c r="N52" s="4"/>
      <c r="O52" s="4"/>
      <c r="P52" s="4"/>
      <c r="Q52" s="4"/>
      <c r="R52" s="4"/>
      <c r="S52" s="4"/>
      <c r="T52" s="4"/>
      <c r="U52" s="4"/>
      <c r="V52" s="4"/>
      <c r="W52" s="4"/>
      <c r="X52" s="4"/>
    </row>
    <row r="53" ht="9.0" customHeight="1">
      <c r="A53" s="5">
        <f t="shared" si="2"/>
        <v>52</v>
      </c>
      <c r="B53" s="4" t="s">
        <v>265</v>
      </c>
      <c r="C53" s="4" t="s">
        <v>266</v>
      </c>
      <c r="D53" s="8">
        <v>44301.0</v>
      </c>
      <c r="E53" s="8">
        <v>44301.0</v>
      </c>
      <c r="F53" s="8">
        <v>44301.0</v>
      </c>
      <c r="G53" s="9">
        <v>15.0</v>
      </c>
      <c r="H53" s="4">
        <f t="shared" si="1"/>
        <v>20</v>
      </c>
      <c r="I53" s="4"/>
      <c r="J53" s="4"/>
      <c r="K53" s="4"/>
      <c r="L53" s="4"/>
      <c r="M53" s="4"/>
      <c r="N53" s="4"/>
      <c r="O53" s="4"/>
      <c r="P53" s="4"/>
      <c r="Q53" s="4"/>
      <c r="R53" s="4"/>
      <c r="S53" s="4"/>
      <c r="T53" s="4"/>
      <c r="U53" s="4"/>
      <c r="V53" s="4"/>
      <c r="W53" s="4"/>
      <c r="X53" s="4"/>
    </row>
    <row r="54" ht="9.0" customHeight="1">
      <c r="A54" s="5">
        <f t="shared" si="2"/>
        <v>53</v>
      </c>
      <c r="B54" s="4" t="s">
        <v>271</v>
      </c>
      <c r="C54" s="4" t="s">
        <v>272</v>
      </c>
      <c r="D54" s="8">
        <v>44301.0</v>
      </c>
      <c r="E54" s="8">
        <v>44301.0</v>
      </c>
      <c r="F54" s="8">
        <v>44301.0</v>
      </c>
      <c r="G54" s="9">
        <v>15.0</v>
      </c>
      <c r="H54" s="4">
        <f t="shared" si="1"/>
        <v>20</v>
      </c>
      <c r="I54" s="4"/>
      <c r="J54" s="4"/>
      <c r="K54" s="4"/>
      <c r="L54" s="4"/>
      <c r="M54" s="4"/>
      <c r="N54" s="4"/>
      <c r="O54" s="4"/>
      <c r="P54" s="4"/>
      <c r="Q54" s="4"/>
      <c r="R54" s="4"/>
      <c r="S54" s="4"/>
      <c r="T54" s="4"/>
      <c r="U54" s="4"/>
      <c r="V54" s="4"/>
      <c r="W54" s="4"/>
      <c r="X54" s="4"/>
    </row>
    <row r="55" ht="9.0" customHeight="1">
      <c r="A55" s="5">
        <f t="shared" si="2"/>
        <v>54</v>
      </c>
      <c r="B55" s="4" t="s">
        <v>277</v>
      </c>
      <c r="C55" s="4" t="s">
        <v>278</v>
      </c>
      <c r="D55" s="8">
        <v>44301.0</v>
      </c>
      <c r="E55" s="8">
        <v>44301.0</v>
      </c>
      <c r="F55" s="8">
        <v>44301.0</v>
      </c>
      <c r="G55" s="9">
        <v>15.0</v>
      </c>
      <c r="H55" s="4">
        <f t="shared" si="1"/>
        <v>20</v>
      </c>
      <c r="I55" s="4"/>
      <c r="J55" s="4"/>
      <c r="K55" s="4"/>
      <c r="L55" s="4"/>
      <c r="M55" s="4"/>
      <c r="N55" s="4"/>
      <c r="O55" s="4"/>
      <c r="P55" s="4"/>
      <c r="Q55" s="4"/>
      <c r="R55" s="4"/>
      <c r="S55" s="4"/>
      <c r="T55" s="4"/>
      <c r="U55" s="4"/>
      <c r="V55" s="4"/>
      <c r="W55" s="4"/>
      <c r="X55" s="4"/>
    </row>
    <row r="56" ht="9.0" customHeight="1">
      <c r="A56" s="5">
        <f t="shared" si="2"/>
        <v>55</v>
      </c>
      <c r="B56" s="4" t="s">
        <v>283</v>
      </c>
      <c r="C56" s="4" t="s">
        <v>284</v>
      </c>
      <c r="D56" s="8">
        <v>44301.0</v>
      </c>
      <c r="E56" s="8">
        <v>44301.0</v>
      </c>
      <c r="F56" s="8">
        <v>44301.0</v>
      </c>
      <c r="G56" s="9">
        <v>15.0</v>
      </c>
      <c r="H56" s="4">
        <f t="shared" si="1"/>
        <v>20</v>
      </c>
      <c r="I56" s="4"/>
      <c r="J56" s="4"/>
      <c r="K56" s="4"/>
      <c r="L56" s="4"/>
      <c r="M56" s="4"/>
      <c r="N56" s="4"/>
      <c r="O56" s="4"/>
      <c r="P56" s="4"/>
      <c r="Q56" s="4"/>
      <c r="R56" s="4"/>
      <c r="S56" s="4"/>
      <c r="T56" s="4"/>
      <c r="U56" s="4"/>
      <c r="V56" s="4"/>
      <c r="W56" s="4"/>
      <c r="X56" s="4"/>
    </row>
    <row r="57" ht="9.0" customHeight="1">
      <c r="A57" s="5">
        <f t="shared" si="2"/>
        <v>56</v>
      </c>
      <c r="B57" s="4" t="s">
        <v>289</v>
      </c>
      <c r="C57" s="4" t="s">
        <v>290</v>
      </c>
      <c r="D57" s="8">
        <v>44301.0</v>
      </c>
      <c r="E57" s="8">
        <v>44301.0</v>
      </c>
      <c r="F57" s="8">
        <v>44301.0</v>
      </c>
      <c r="G57" s="9">
        <v>15.0</v>
      </c>
      <c r="H57" s="4">
        <f t="shared" si="1"/>
        <v>20</v>
      </c>
      <c r="I57" s="4"/>
      <c r="J57" s="4"/>
      <c r="K57" s="4"/>
      <c r="L57" s="4"/>
      <c r="M57" s="4"/>
      <c r="N57" s="4"/>
      <c r="O57" s="4"/>
      <c r="P57" s="4"/>
      <c r="Q57" s="4"/>
      <c r="R57" s="4"/>
      <c r="S57" s="4"/>
      <c r="T57" s="4"/>
      <c r="U57" s="4"/>
      <c r="V57" s="4"/>
      <c r="W57" s="4"/>
      <c r="X57" s="4"/>
    </row>
    <row r="58" ht="9.0" customHeight="1">
      <c r="A58" s="5">
        <f t="shared" si="2"/>
        <v>57</v>
      </c>
      <c r="B58" s="4" t="s">
        <v>295</v>
      </c>
      <c r="C58" s="4" t="s">
        <v>296</v>
      </c>
      <c r="D58" s="8">
        <v>44301.0</v>
      </c>
      <c r="E58" s="8">
        <v>44301.0</v>
      </c>
      <c r="F58" s="8">
        <v>44301.0</v>
      </c>
      <c r="G58" s="9">
        <v>15.0</v>
      </c>
      <c r="H58" s="4">
        <f t="shared" si="1"/>
        <v>20</v>
      </c>
      <c r="I58" s="4"/>
      <c r="J58" s="4"/>
      <c r="K58" s="4"/>
      <c r="L58" s="4"/>
      <c r="M58" s="4"/>
      <c r="N58" s="4"/>
      <c r="O58" s="4"/>
      <c r="P58" s="4"/>
      <c r="Q58" s="4"/>
      <c r="R58" s="4"/>
      <c r="S58" s="4"/>
      <c r="T58" s="4"/>
      <c r="U58" s="4"/>
      <c r="V58" s="4"/>
      <c r="W58" s="4"/>
      <c r="X58" s="4"/>
    </row>
    <row r="59" ht="9.0" customHeight="1">
      <c r="A59" s="5">
        <f t="shared" si="2"/>
        <v>58</v>
      </c>
      <c r="B59" s="4" t="s">
        <v>298</v>
      </c>
      <c r="C59" s="4" t="s">
        <v>299</v>
      </c>
      <c r="D59" s="8">
        <v>44301.0</v>
      </c>
      <c r="E59" s="8">
        <v>44301.0</v>
      </c>
      <c r="F59" s="8">
        <v>44301.0</v>
      </c>
      <c r="G59" s="9">
        <v>15.0</v>
      </c>
      <c r="H59" s="4">
        <f t="shared" si="1"/>
        <v>20</v>
      </c>
      <c r="I59" s="4"/>
      <c r="J59" s="4"/>
      <c r="K59" s="4"/>
      <c r="L59" s="4"/>
      <c r="M59" s="4"/>
      <c r="N59" s="4"/>
      <c r="O59" s="4"/>
      <c r="P59" s="4"/>
      <c r="Q59" s="4"/>
      <c r="R59" s="4"/>
      <c r="S59" s="4"/>
      <c r="T59" s="4"/>
      <c r="U59" s="4"/>
      <c r="V59" s="4"/>
      <c r="W59" s="4"/>
      <c r="X59" s="4"/>
    </row>
    <row r="60" ht="9.0" customHeight="1">
      <c r="A60" s="5">
        <f t="shared" si="2"/>
        <v>59</v>
      </c>
      <c r="B60" s="4" t="s">
        <v>304</v>
      </c>
      <c r="C60" s="4" t="s">
        <v>305</v>
      </c>
      <c r="D60" s="8">
        <v>44301.0</v>
      </c>
      <c r="E60" s="8">
        <v>44301.0</v>
      </c>
      <c r="F60" s="8">
        <v>44301.0</v>
      </c>
      <c r="G60" s="9">
        <v>15.0</v>
      </c>
      <c r="H60" s="4">
        <f t="shared" si="1"/>
        <v>20</v>
      </c>
      <c r="I60" s="4"/>
      <c r="J60" s="4"/>
      <c r="K60" s="4"/>
      <c r="L60" s="4"/>
      <c r="M60" s="4"/>
      <c r="N60" s="4"/>
      <c r="O60" s="4"/>
      <c r="P60" s="4"/>
      <c r="Q60" s="4"/>
      <c r="R60" s="4"/>
      <c r="S60" s="4"/>
      <c r="T60" s="4"/>
      <c r="U60" s="4"/>
      <c r="V60" s="4"/>
      <c r="W60" s="4"/>
      <c r="X60" s="4"/>
    </row>
    <row r="61" ht="9.0" customHeight="1">
      <c r="A61" s="5">
        <f t="shared" si="2"/>
        <v>60</v>
      </c>
      <c r="B61" s="4" t="s">
        <v>310</v>
      </c>
      <c r="C61" s="4" t="s">
        <v>311</v>
      </c>
      <c r="D61" s="8">
        <v>44301.0</v>
      </c>
      <c r="E61" s="8">
        <v>44301.0</v>
      </c>
      <c r="F61" s="8">
        <v>44301.0</v>
      </c>
      <c r="G61" s="9">
        <v>15.0</v>
      </c>
      <c r="H61" s="4">
        <f t="shared" si="1"/>
        <v>20</v>
      </c>
      <c r="I61" s="4"/>
      <c r="J61" s="4"/>
      <c r="K61" s="4"/>
      <c r="L61" s="4"/>
      <c r="M61" s="4"/>
      <c r="N61" s="4"/>
      <c r="O61" s="4"/>
      <c r="P61" s="4"/>
      <c r="Q61" s="4"/>
      <c r="R61" s="4"/>
      <c r="S61" s="4"/>
      <c r="T61" s="4"/>
      <c r="U61" s="4"/>
      <c r="V61" s="4"/>
      <c r="W61" s="4"/>
      <c r="X61" s="4"/>
    </row>
    <row r="62" ht="9.0" customHeight="1">
      <c r="A62" s="5">
        <f t="shared" si="2"/>
        <v>61</v>
      </c>
      <c r="B62" s="4" t="s">
        <v>316</v>
      </c>
      <c r="C62" s="4" t="s">
        <v>317</v>
      </c>
      <c r="D62" s="8">
        <v>44301.0</v>
      </c>
      <c r="E62" s="8">
        <v>44301.0</v>
      </c>
      <c r="F62" s="8">
        <v>44301.0</v>
      </c>
      <c r="G62" s="9">
        <v>15.0</v>
      </c>
      <c r="H62" s="4">
        <f t="shared" si="1"/>
        <v>20</v>
      </c>
      <c r="I62" s="4"/>
      <c r="J62" s="4"/>
      <c r="K62" s="4"/>
      <c r="L62" s="4"/>
      <c r="M62" s="4"/>
      <c r="N62" s="4"/>
      <c r="O62" s="4"/>
      <c r="P62" s="4"/>
      <c r="Q62" s="4"/>
      <c r="R62" s="4"/>
      <c r="S62" s="4"/>
      <c r="T62" s="4"/>
      <c r="U62" s="4"/>
      <c r="V62" s="4"/>
      <c r="W62" s="4"/>
      <c r="X62" s="4"/>
    </row>
    <row r="63" ht="9.0" customHeight="1">
      <c r="A63" s="5">
        <f t="shared" si="2"/>
        <v>62</v>
      </c>
      <c r="B63" s="4" t="s">
        <v>322</v>
      </c>
      <c r="C63" s="4" t="s">
        <v>323</v>
      </c>
      <c r="D63" s="8">
        <v>44301.0</v>
      </c>
      <c r="E63" s="8">
        <v>44301.0</v>
      </c>
      <c r="F63" s="8">
        <v>44301.0</v>
      </c>
      <c r="G63" s="9">
        <v>15.0</v>
      </c>
      <c r="H63" s="4">
        <f t="shared" si="1"/>
        <v>20</v>
      </c>
      <c r="I63" s="4"/>
      <c r="J63" s="4"/>
      <c r="K63" s="4"/>
      <c r="L63" s="4"/>
      <c r="M63" s="4"/>
      <c r="N63" s="4"/>
      <c r="O63" s="4"/>
      <c r="P63" s="4"/>
      <c r="Q63" s="4"/>
      <c r="R63" s="4"/>
      <c r="S63" s="4"/>
      <c r="T63" s="4"/>
      <c r="U63" s="4"/>
      <c r="V63" s="4"/>
      <c r="W63" s="4"/>
      <c r="X63" s="4"/>
    </row>
    <row r="64" ht="9.0" customHeight="1">
      <c r="A64" s="5">
        <f t="shared" si="2"/>
        <v>63</v>
      </c>
      <c r="B64" s="4" t="s">
        <v>328</v>
      </c>
      <c r="C64" s="4" t="s">
        <v>328</v>
      </c>
      <c r="D64" s="8">
        <v>44301.0</v>
      </c>
      <c r="E64" s="8">
        <v>44301.0</v>
      </c>
      <c r="F64" s="8">
        <v>44301.0</v>
      </c>
      <c r="G64" s="9">
        <v>15.0</v>
      </c>
      <c r="H64" s="4">
        <f t="shared" si="1"/>
        <v>20</v>
      </c>
      <c r="I64" s="4"/>
      <c r="J64" s="4"/>
      <c r="K64" s="4"/>
      <c r="L64" s="4"/>
      <c r="M64" s="4"/>
      <c r="N64" s="4"/>
      <c r="O64" s="4"/>
      <c r="P64" s="4"/>
      <c r="Q64" s="4"/>
      <c r="R64" s="4"/>
      <c r="S64" s="4"/>
      <c r="T64" s="4"/>
      <c r="U64" s="4"/>
      <c r="V64" s="4"/>
      <c r="W64" s="4"/>
      <c r="X64" s="4"/>
    </row>
    <row r="65" ht="9.0" customHeight="1">
      <c r="A65" s="5">
        <f t="shared" si="2"/>
        <v>64</v>
      </c>
      <c r="B65" s="4" t="s">
        <v>333</v>
      </c>
      <c r="C65" s="4" t="s">
        <v>334</v>
      </c>
      <c r="D65" s="8">
        <v>44301.0</v>
      </c>
      <c r="E65" s="8">
        <v>44301.0</v>
      </c>
      <c r="F65" s="8">
        <v>44301.0</v>
      </c>
      <c r="G65" s="9">
        <v>15.0</v>
      </c>
      <c r="H65" s="4">
        <f t="shared" si="1"/>
        <v>20</v>
      </c>
      <c r="I65" s="4"/>
      <c r="J65" s="4"/>
      <c r="K65" s="4"/>
      <c r="L65" s="4"/>
      <c r="M65" s="4"/>
      <c r="N65" s="4"/>
      <c r="O65" s="4"/>
      <c r="P65" s="4"/>
      <c r="Q65" s="4"/>
      <c r="R65" s="4"/>
      <c r="S65" s="4"/>
      <c r="T65" s="4"/>
      <c r="U65" s="4"/>
      <c r="V65" s="4"/>
      <c r="W65" s="4"/>
      <c r="X65" s="4"/>
    </row>
    <row r="66" ht="9.0" customHeight="1">
      <c r="A66" s="5">
        <f t="shared" si="2"/>
        <v>65</v>
      </c>
      <c r="B66" s="4" t="s">
        <v>339</v>
      </c>
      <c r="C66" s="4" t="s">
        <v>340</v>
      </c>
      <c r="D66" s="8">
        <v>44301.0</v>
      </c>
      <c r="E66" s="8">
        <v>44301.0</v>
      </c>
      <c r="F66" s="8">
        <v>44301.0</v>
      </c>
      <c r="G66" s="9">
        <v>15.0</v>
      </c>
      <c r="H66" s="4">
        <f t="shared" si="1"/>
        <v>20</v>
      </c>
      <c r="I66" s="4"/>
      <c r="J66" s="4"/>
      <c r="K66" s="4"/>
      <c r="L66" s="4"/>
      <c r="M66" s="4"/>
      <c r="N66" s="4"/>
      <c r="O66" s="4"/>
      <c r="P66" s="4"/>
      <c r="Q66" s="4"/>
      <c r="R66" s="4"/>
      <c r="S66" s="4"/>
      <c r="T66" s="4"/>
      <c r="U66" s="4"/>
      <c r="V66" s="4"/>
      <c r="W66" s="4"/>
      <c r="X66" s="4"/>
    </row>
    <row r="67" ht="9.0" customHeight="1">
      <c r="A67" s="5">
        <f t="shared" si="2"/>
        <v>66</v>
      </c>
      <c r="B67" s="4" t="s">
        <v>345</v>
      </c>
      <c r="C67" s="4" t="s">
        <v>346</v>
      </c>
      <c r="D67" s="8">
        <v>44301.0</v>
      </c>
      <c r="E67" s="8">
        <v>44301.0</v>
      </c>
      <c r="F67" s="8">
        <v>44301.0</v>
      </c>
      <c r="G67" s="4">
        <v>90.15353524269358</v>
      </c>
      <c r="H67" s="4">
        <f t="shared" si="1"/>
        <v>1</v>
      </c>
      <c r="I67" s="4"/>
      <c r="J67" s="4"/>
      <c r="K67" s="4"/>
      <c r="L67" s="4"/>
      <c r="M67" s="4"/>
      <c r="N67" s="4"/>
      <c r="O67" s="4"/>
      <c r="P67" s="4"/>
      <c r="Q67" s="4"/>
      <c r="R67" s="4"/>
      <c r="S67" s="4"/>
      <c r="T67" s="4"/>
      <c r="U67" s="4"/>
      <c r="V67" s="4"/>
      <c r="W67" s="4"/>
      <c r="X67" s="4"/>
    </row>
    <row r="68" ht="9.0" customHeight="1">
      <c r="A68" s="5">
        <f t="shared" si="2"/>
        <v>67</v>
      </c>
      <c r="B68" s="4" t="s">
        <v>351</v>
      </c>
      <c r="C68" s="4" t="s">
        <v>352</v>
      </c>
      <c r="D68" s="8">
        <v>44301.0</v>
      </c>
      <c r="E68" s="8">
        <v>44301.0</v>
      </c>
      <c r="F68" s="8">
        <v>44301.0</v>
      </c>
      <c r="G68" s="9">
        <v>15.0</v>
      </c>
      <c r="H68" s="4">
        <f t="shared" si="1"/>
        <v>20</v>
      </c>
      <c r="I68" s="4"/>
      <c r="J68" s="4"/>
      <c r="K68" s="4"/>
      <c r="L68" s="4"/>
      <c r="M68" s="4"/>
      <c r="N68" s="4"/>
      <c r="O68" s="4"/>
      <c r="P68" s="4"/>
      <c r="Q68" s="4"/>
      <c r="R68" s="4"/>
      <c r="S68" s="4"/>
      <c r="T68" s="4"/>
      <c r="U68" s="4"/>
      <c r="V68" s="4"/>
      <c r="W68" s="4"/>
      <c r="X68" s="4"/>
    </row>
    <row r="69" ht="9.0" customHeight="1">
      <c r="A69" s="5">
        <f t="shared" si="2"/>
        <v>68</v>
      </c>
      <c r="B69" s="4" t="s">
        <v>357</v>
      </c>
      <c r="C69" s="4" t="s">
        <v>357</v>
      </c>
      <c r="D69" s="8">
        <v>44301.0</v>
      </c>
      <c r="E69" s="8">
        <v>44301.0</v>
      </c>
      <c r="F69" s="8">
        <v>44301.0</v>
      </c>
      <c r="G69" s="9">
        <v>15.0</v>
      </c>
      <c r="H69" s="4">
        <f t="shared" si="1"/>
        <v>20</v>
      </c>
      <c r="I69" s="4"/>
      <c r="J69" s="4"/>
      <c r="K69" s="4"/>
      <c r="L69" s="4"/>
      <c r="M69" s="4"/>
      <c r="N69" s="4"/>
      <c r="O69" s="4"/>
      <c r="P69" s="4"/>
      <c r="Q69" s="4"/>
      <c r="R69" s="4"/>
      <c r="S69" s="4"/>
      <c r="T69" s="4"/>
      <c r="U69" s="4"/>
      <c r="V69" s="4"/>
      <c r="W69" s="4"/>
      <c r="X69" s="4"/>
    </row>
    <row r="70" ht="9.0" customHeight="1">
      <c r="A70" s="5">
        <f t="shared" si="2"/>
        <v>69</v>
      </c>
      <c r="B70" s="4" t="s">
        <v>362</v>
      </c>
      <c r="C70" s="4" t="s">
        <v>363</v>
      </c>
      <c r="D70" s="8">
        <v>44301.0</v>
      </c>
      <c r="E70" s="8">
        <v>44301.0</v>
      </c>
      <c r="F70" s="8">
        <v>44301.0</v>
      </c>
      <c r="G70" s="9">
        <v>15.0</v>
      </c>
      <c r="H70" s="4">
        <f t="shared" si="1"/>
        <v>20</v>
      </c>
      <c r="I70" s="4"/>
      <c r="J70" s="4"/>
      <c r="K70" s="4"/>
      <c r="L70" s="4"/>
      <c r="M70" s="4"/>
      <c r="N70" s="4"/>
      <c r="O70" s="4"/>
      <c r="P70" s="4"/>
      <c r="Q70" s="4"/>
      <c r="R70" s="4"/>
      <c r="S70" s="4"/>
      <c r="T70" s="4"/>
      <c r="U70" s="4"/>
      <c r="V70" s="4"/>
      <c r="W70" s="4"/>
      <c r="X70" s="4"/>
    </row>
    <row r="71" ht="9.0" customHeight="1">
      <c r="A71" s="5">
        <f t="shared" si="2"/>
        <v>70</v>
      </c>
      <c r="B71" s="4" t="s">
        <v>365</v>
      </c>
      <c r="C71" s="4" t="s">
        <v>366</v>
      </c>
      <c r="D71" s="8">
        <v>44301.0</v>
      </c>
      <c r="E71" s="8">
        <v>44301.0</v>
      </c>
      <c r="F71" s="8">
        <v>44301.0</v>
      </c>
      <c r="G71" s="9">
        <v>15.0</v>
      </c>
      <c r="H71" s="4">
        <f t="shared" si="1"/>
        <v>20</v>
      </c>
      <c r="I71" s="4"/>
      <c r="J71" s="4"/>
      <c r="K71" s="4"/>
      <c r="L71" s="4"/>
      <c r="M71" s="4"/>
      <c r="N71" s="4"/>
      <c r="O71" s="4"/>
      <c r="P71" s="4"/>
      <c r="Q71" s="4"/>
      <c r="R71" s="4"/>
      <c r="S71" s="4"/>
      <c r="T71" s="4"/>
      <c r="U71" s="4"/>
      <c r="V71" s="4"/>
      <c r="W71" s="4"/>
      <c r="X71" s="4"/>
    </row>
    <row r="72" ht="9.0" customHeight="1">
      <c r="A72" s="5">
        <f t="shared" si="2"/>
        <v>71</v>
      </c>
      <c r="B72" s="4" t="s">
        <v>368</v>
      </c>
      <c r="C72" s="4" t="s">
        <v>369</v>
      </c>
      <c r="D72" s="8">
        <v>44301.0</v>
      </c>
      <c r="E72" s="8">
        <v>44301.0</v>
      </c>
      <c r="F72" s="8">
        <v>44301.0</v>
      </c>
      <c r="G72" s="9">
        <v>15.0</v>
      </c>
      <c r="H72" s="4">
        <f t="shared" si="1"/>
        <v>20</v>
      </c>
      <c r="I72" s="4"/>
      <c r="J72" s="4"/>
      <c r="K72" s="4"/>
      <c r="L72" s="4"/>
      <c r="M72" s="4"/>
      <c r="N72" s="4"/>
      <c r="O72" s="4"/>
      <c r="P72" s="4"/>
      <c r="Q72" s="4"/>
      <c r="R72" s="4"/>
      <c r="S72" s="4"/>
      <c r="T72" s="4"/>
      <c r="U72" s="4"/>
      <c r="V72" s="4"/>
      <c r="W72" s="4"/>
      <c r="X72" s="4"/>
    </row>
    <row r="73" ht="9.0" customHeight="1">
      <c r="A73" s="5">
        <f t="shared" si="2"/>
        <v>72</v>
      </c>
      <c r="B73" s="4" t="s">
        <v>374</v>
      </c>
      <c r="C73" s="4" t="s">
        <v>374</v>
      </c>
      <c r="D73" s="8">
        <v>44301.0</v>
      </c>
      <c r="E73" s="8">
        <v>44301.0</v>
      </c>
      <c r="F73" s="8">
        <v>44301.0</v>
      </c>
      <c r="G73" s="9">
        <v>15.0</v>
      </c>
      <c r="H73" s="4">
        <f t="shared" si="1"/>
        <v>20</v>
      </c>
      <c r="I73" s="4"/>
      <c r="J73" s="4"/>
      <c r="K73" s="4"/>
      <c r="L73" s="4"/>
      <c r="M73" s="4"/>
      <c r="N73" s="4"/>
      <c r="O73" s="4"/>
      <c r="P73" s="4"/>
      <c r="Q73" s="4"/>
      <c r="R73" s="4"/>
      <c r="S73" s="4"/>
      <c r="T73" s="4"/>
      <c r="U73" s="4"/>
      <c r="V73" s="4"/>
      <c r="W73" s="4"/>
      <c r="X73" s="4"/>
    </row>
    <row r="74" ht="9.0" customHeight="1">
      <c r="A74" s="5">
        <f t="shared" si="2"/>
        <v>73</v>
      </c>
      <c r="B74" s="4" t="s">
        <v>379</v>
      </c>
      <c r="C74" s="4" t="s">
        <v>379</v>
      </c>
      <c r="D74" s="8">
        <v>44301.0</v>
      </c>
      <c r="E74" s="8">
        <v>44301.0</v>
      </c>
      <c r="F74" s="8">
        <v>44301.0</v>
      </c>
      <c r="G74" s="9">
        <v>15.0</v>
      </c>
      <c r="H74" s="4">
        <f t="shared" si="1"/>
        <v>20</v>
      </c>
      <c r="I74" s="4"/>
      <c r="J74" s="4"/>
      <c r="K74" s="4"/>
      <c r="L74" s="4"/>
      <c r="M74" s="4"/>
      <c r="N74" s="4"/>
      <c r="O74" s="4"/>
      <c r="P74" s="4"/>
      <c r="Q74" s="4"/>
      <c r="R74" s="4"/>
      <c r="S74" s="4"/>
      <c r="T74" s="4"/>
      <c r="U74" s="4"/>
      <c r="V74" s="4"/>
      <c r="W74" s="4"/>
      <c r="X74" s="4"/>
    </row>
    <row r="75" ht="9.0" customHeight="1">
      <c r="A75" s="5">
        <f t="shared" si="2"/>
        <v>74</v>
      </c>
      <c r="B75" s="4" t="s">
        <v>384</v>
      </c>
      <c r="C75" s="4" t="s">
        <v>384</v>
      </c>
      <c r="D75" s="8">
        <v>44301.0</v>
      </c>
      <c r="E75" s="8">
        <v>44301.0</v>
      </c>
      <c r="F75" s="8">
        <v>44301.0</v>
      </c>
      <c r="G75" s="9">
        <v>15.0</v>
      </c>
      <c r="H75" s="4">
        <f t="shared" si="1"/>
        <v>20</v>
      </c>
      <c r="I75" s="4"/>
      <c r="J75" s="4"/>
      <c r="K75" s="4"/>
      <c r="L75" s="4"/>
      <c r="M75" s="4"/>
      <c r="N75" s="4"/>
      <c r="O75" s="4"/>
      <c r="P75" s="4"/>
      <c r="Q75" s="4"/>
      <c r="R75" s="4"/>
      <c r="S75" s="4"/>
      <c r="T75" s="4"/>
      <c r="U75" s="4"/>
      <c r="V75" s="4"/>
      <c r="W75" s="4"/>
      <c r="X75" s="4"/>
    </row>
    <row r="76" ht="9.0" customHeight="1">
      <c r="A76" s="5">
        <f t="shared" si="2"/>
        <v>75</v>
      </c>
      <c r="B76" s="4" t="s">
        <v>389</v>
      </c>
      <c r="C76" s="4" t="s">
        <v>389</v>
      </c>
      <c r="D76" s="8">
        <v>44301.0</v>
      </c>
      <c r="E76" s="8">
        <v>44301.0</v>
      </c>
      <c r="F76" s="8">
        <v>44301.0</v>
      </c>
      <c r="G76" s="9">
        <v>15.0</v>
      </c>
      <c r="H76" s="4">
        <f t="shared" si="1"/>
        <v>20</v>
      </c>
      <c r="I76" s="4"/>
      <c r="J76" s="4"/>
      <c r="K76" s="4"/>
      <c r="L76" s="4"/>
      <c r="M76" s="4"/>
      <c r="N76" s="4"/>
      <c r="O76" s="4"/>
      <c r="P76" s="4"/>
      <c r="Q76" s="4"/>
      <c r="R76" s="4"/>
      <c r="S76" s="4"/>
      <c r="T76" s="4"/>
      <c r="U76" s="4"/>
      <c r="V76" s="4"/>
      <c r="W76" s="4"/>
      <c r="X76" s="4"/>
    </row>
    <row r="77" ht="9.0" customHeight="1">
      <c r="A77" s="5">
        <f t="shared" si="2"/>
        <v>76</v>
      </c>
      <c r="B77" s="4" t="s">
        <v>394</v>
      </c>
      <c r="C77" s="4" t="s">
        <v>395</v>
      </c>
      <c r="D77" s="8">
        <v>44301.0</v>
      </c>
      <c r="E77" s="8">
        <v>44301.0</v>
      </c>
      <c r="F77" s="8">
        <v>44301.0</v>
      </c>
      <c r="G77" s="9">
        <v>15.0</v>
      </c>
      <c r="H77" s="4">
        <f t="shared" si="1"/>
        <v>20</v>
      </c>
      <c r="I77" s="4"/>
      <c r="J77" s="4"/>
      <c r="K77" s="4"/>
      <c r="L77" s="4"/>
      <c r="M77" s="4"/>
      <c r="N77" s="4"/>
      <c r="O77" s="4"/>
      <c r="P77" s="4"/>
      <c r="Q77" s="4"/>
      <c r="R77" s="4"/>
      <c r="S77" s="4"/>
      <c r="T77" s="4"/>
      <c r="U77" s="4"/>
      <c r="V77" s="4"/>
      <c r="W77" s="4"/>
      <c r="X77" s="4"/>
    </row>
    <row r="78" ht="9.0" customHeight="1">
      <c r="A78" s="5">
        <f t="shared" si="2"/>
        <v>77</v>
      </c>
      <c r="B78" s="4" t="s">
        <v>400</v>
      </c>
      <c r="C78" s="4" t="s">
        <v>401</v>
      </c>
      <c r="D78" s="8">
        <v>44301.0</v>
      </c>
      <c r="E78" s="8">
        <v>44301.0</v>
      </c>
      <c r="F78" s="8">
        <v>44301.0</v>
      </c>
      <c r="G78" s="9">
        <v>15.0</v>
      </c>
      <c r="H78" s="4">
        <f t="shared" si="1"/>
        <v>20</v>
      </c>
      <c r="I78" s="4"/>
      <c r="J78" s="4"/>
      <c r="K78" s="4"/>
      <c r="L78" s="4"/>
      <c r="M78" s="4"/>
      <c r="N78" s="4"/>
      <c r="O78" s="4"/>
      <c r="P78" s="4"/>
      <c r="Q78" s="4"/>
      <c r="R78" s="4"/>
      <c r="S78" s="4"/>
      <c r="T78" s="4"/>
      <c r="U78" s="4"/>
      <c r="V78" s="4"/>
      <c r="W78" s="4"/>
      <c r="X78" s="4"/>
    </row>
    <row r="79" ht="9.0" customHeight="1">
      <c r="A79" s="5">
        <f t="shared" si="2"/>
        <v>78</v>
      </c>
      <c r="B79" s="4" t="s">
        <v>406</v>
      </c>
      <c r="C79" s="4" t="s">
        <v>407</v>
      </c>
      <c r="D79" s="8">
        <v>44301.0</v>
      </c>
      <c r="E79" s="8">
        <v>44301.0</v>
      </c>
      <c r="F79" s="8">
        <v>44301.0</v>
      </c>
      <c r="G79" s="9">
        <v>15.0</v>
      </c>
      <c r="H79" s="4">
        <f t="shared" si="1"/>
        <v>20</v>
      </c>
      <c r="I79" s="4"/>
      <c r="J79" s="4"/>
      <c r="K79" s="4"/>
      <c r="L79" s="4"/>
      <c r="M79" s="4"/>
      <c r="N79" s="4"/>
      <c r="O79" s="4"/>
      <c r="P79" s="4"/>
      <c r="Q79" s="4"/>
      <c r="R79" s="4"/>
      <c r="S79" s="4"/>
      <c r="T79" s="4"/>
      <c r="U79" s="4"/>
      <c r="V79" s="4"/>
      <c r="W79" s="4"/>
      <c r="X79" s="4"/>
    </row>
    <row r="80" ht="9.0" customHeight="1">
      <c r="A80" s="5">
        <f t="shared" si="2"/>
        <v>79</v>
      </c>
      <c r="B80" s="4" t="s">
        <v>412</v>
      </c>
      <c r="C80" s="4" t="s">
        <v>413</v>
      </c>
      <c r="D80" s="8">
        <v>44301.0</v>
      </c>
      <c r="E80" s="8">
        <v>44301.0</v>
      </c>
      <c r="F80" s="8">
        <v>44301.0</v>
      </c>
      <c r="G80" s="9">
        <v>15.0</v>
      </c>
      <c r="H80" s="4">
        <f t="shared" si="1"/>
        <v>20</v>
      </c>
      <c r="I80" s="4"/>
      <c r="J80" s="4"/>
      <c r="K80" s="4"/>
      <c r="L80" s="4"/>
      <c r="M80" s="4"/>
      <c r="N80" s="4"/>
      <c r="O80" s="4"/>
      <c r="P80" s="4"/>
      <c r="Q80" s="4"/>
      <c r="R80" s="4"/>
      <c r="S80" s="4"/>
      <c r="T80" s="4"/>
      <c r="U80" s="4"/>
      <c r="V80" s="4"/>
      <c r="W80" s="4"/>
      <c r="X80" s="4"/>
    </row>
    <row r="81" ht="9.0" customHeight="1">
      <c r="A81" s="5">
        <f t="shared" si="2"/>
        <v>80</v>
      </c>
      <c r="B81" s="4" t="s">
        <v>418</v>
      </c>
      <c r="C81" s="4" t="s">
        <v>419</v>
      </c>
      <c r="D81" s="8">
        <v>44301.0</v>
      </c>
      <c r="E81" s="8">
        <v>44301.0</v>
      </c>
      <c r="F81" s="8">
        <v>44301.0</v>
      </c>
      <c r="G81" s="9">
        <v>15.0</v>
      </c>
      <c r="H81" s="4">
        <f t="shared" si="1"/>
        <v>20</v>
      </c>
      <c r="I81" s="4"/>
      <c r="J81" s="4"/>
      <c r="K81" s="4"/>
      <c r="L81" s="4"/>
      <c r="M81" s="4"/>
      <c r="N81" s="4"/>
      <c r="O81" s="4"/>
      <c r="P81" s="4"/>
      <c r="Q81" s="4"/>
      <c r="R81" s="4"/>
      <c r="S81" s="4"/>
      <c r="T81" s="4"/>
      <c r="U81" s="4"/>
      <c r="V81" s="4"/>
      <c r="W81" s="4"/>
      <c r="X81" s="4"/>
    </row>
    <row r="82" ht="9.0" customHeight="1">
      <c r="A82" s="5">
        <f t="shared" si="2"/>
        <v>81</v>
      </c>
      <c r="B82" s="4" t="s">
        <v>424</v>
      </c>
      <c r="C82" s="4" t="s">
        <v>425</v>
      </c>
      <c r="D82" s="8">
        <v>44301.0</v>
      </c>
      <c r="E82" s="8">
        <v>44301.0</v>
      </c>
      <c r="F82" s="8">
        <v>44301.0</v>
      </c>
      <c r="G82" s="9">
        <v>15.0</v>
      </c>
      <c r="H82" s="4">
        <f t="shared" si="1"/>
        <v>20</v>
      </c>
      <c r="I82" s="4"/>
      <c r="J82" s="4"/>
      <c r="K82" s="4"/>
      <c r="L82" s="4"/>
      <c r="M82" s="4"/>
      <c r="N82" s="4"/>
      <c r="O82" s="4"/>
      <c r="P82" s="4"/>
      <c r="Q82" s="4"/>
      <c r="R82" s="4"/>
      <c r="S82" s="4"/>
      <c r="T82" s="4"/>
      <c r="U82" s="4"/>
      <c r="V82" s="4"/>
      <c r="W82" s="4"/>
      <c r="X82" s="4"/>
    </row>
    <row r="83" ht="9.0" customHeight="1">
      <c r="A83" s="5">
        <f t="shared" si="2"/>
        <v>82</v>
      </c>
      <c r="B83" s="4" t="s">
        <v>427</v>
      </c>
      <c r="C83" s="4" t="s">
        <v>427</v>
      </c>
      <c r="D83" s="8">
        <v>44301.0</v>
      </c>
      <c r="E83" s="8">
        <v>44301.0</v>
      </c>
      <c r="F83" s="8">
        <v>44301.0</v>
      </c>
      <c r="G83" s="9">
        <v>15.0</v>
      </c>
      <c r="H83" s="4">
        <f t="shared" si="1"/>
        <v>20</v>
      </c>
      <c r="I83" s="4"/>
      <c r="J83" s="4"/>
      <c r="K83" s="4"/>
      <c r="L83" s="4"/>
      <c r="M83" s="4"/>
      <c r="N83" s="4"/>
      <c r="O83" s="4"/>
      <c r="P83" s="4"/>
      <c r="Q83" s="4"/>
      <c r="R83" s="4"/>
      <c r="S83" s="4"/>
      <c r="T83" s="4"/>
      <c r="U83" s="4"/>
      <c r="V83" s="4"/>
      <c r="W83" s="4"/>
      <c r="X83" s="4"/>
    </row>
    <row r="84" ht="9.0" customHeight="1">
      <c r="A84" s="5">
        <f t="shared" si="2"/>
        <v>83</v>
      </c>
      <c r="B84" s="4" t="s">
        <v>432</v>
      </c>
      <c r="C84" s="4" t="s">
        <v>433</v>
      </c>
      <c r="D84" s="8">
        <v>44301.0</v>
      </c>
      <c r="E84" s="8">
        <v>44301.0</v>
      </c>
      <c r="F84" s="8">
        <v>44301.0</v>
      </c>
      <c r="G84" s="9">
        <v>15.0</v>
      </c>
      <c r="H84" s="4">
        <f t="shared" si="1"/>
        <v>20</v>
      </c>
      <c r="I84" s="4"/>
      <c r="J84" s="4"/>
      <c r="K84" s="4"/>
      <c r="L84" s="4"/>
      <c r="M84" s="4"/>
      <c r="N84" s="4"/>
      <c r="O84" s="4"/>
      <c r="P84" s="4"/>
      <c r="Q84" s="4"/>
      <c r="R84" s="4"/>
      <c r="S84" s="4"/>
      <c r="T84" s="4"/>
      <c r="U84" s="4"/>
      <c r="V84" s="4"/>
      <c r="W84" s="4"/>
      <c r="X84" s="4"/>
    </row>
    <row r="85" ht="9.0" customHeight="1">
      <c r="A85" s="5">
        <f t="shared" si="2"/>
        <v>84</v>
      </c>
      <c r="B85" s="4" t="s">
        <v>435</v>
      </c>
      <c r="C85" s="4" t="s">
        <v>436</v>
      </c>
      <c r="D85" s="8">
        <v>44301.0</v>
      </c>
      <c r="E85" s="8">
        <v>44301.0</v>
      </c>
      <c r="F85" s="8">
        <v>44301.0</v>
      </c>
      <c r="G85" s="9">
        <v>15.0</v>
      </c>
      <c r="H85" s="4">
        <f t="shared" si="1"/>
        <v>20</v>
      </c>
      <c r="I85" s="4"/>
      <c r="J85" s="4"/>
      <c r="K85" s="4"/>
      <c r="L85" s="4"/>
      <c r="M85" s="4"/>
      <c r="N85" s="4"/>
      <c r="O85" s="4"/>
      <c r="P85" s="4"/>
      <c r="Q85" s="4"/>
      <c r="R85" s="4"/>
      <c r="S85" s="4"/>
      <c r="T85" s="4"/>
      <c r="U85" s="4"/>
      <c r="V85" s="4"/>
      <c r="W85" s="4"/>
      <c r="X85" s="4"/>
    </row>
    <row r="86" ht="9.0" customHeight="1">
      <c r="A86" s="5">
        <f t="shared" si="2"/>
        <v>85</v>
      </c>
      <c r="B86" s="4" t="s">
        <v>441</v>
      </c>
      <c r="C86" s="4" t="s">
        <v>441</v>
      </c>
      <c r="D86" s="8">
        <v>44301.0</v>
      </c>
      <c r="E86" s="8">
        <v>44301.0</v>
      </c>
      <c r="F86" s="8">
        <v>44301.0</v>
      </c>
      <c r="G86" s="9">
        <v>15.0</v>
      </c>
      <c r="H86" s="4">
        <f t="shared" si="1"/>
        <v>20</v>
      </c>
      <c r="I86" s="4"/>
      <c r="J86" s="4"/>
      <c r="K86" s="4"/>
      <c r="L86" s="4"/>
      <c r="M86" s="4"/>
      <c r="N86" s="4"/>
      <c r="O86" s="4"/>
      <c r="P86" s="4"/>
      <c r="Q86" s="4"/>
      <c r="R86" s="4"/>
      <c r="S86" s="4"/>
      <c r="T86" s="4"/>
      <c r="U86" s="4"/>
      <c r="V86" s="4"/>
      <c r="W86" s="4"/>
      <c r="X86" s="4"/>
    </row>
    <row r="87" ht="9.0" customHeight="1">
      <c r="A87" s="5">
        <f t="shared" si="2"/>
        <v>86</v>
      </c>
      <c r="B87" s="4" t="s">
        <v>446</v>
      </c>
      <c r="C87" s="4" t="s">
        <v>447</v>
      </c>
      <c r="D87" s="8">
        <v>44301.0</v>
      </c>
      <c r="E87" s="8">
        <v>44301.0</v>
      </c>
      <c r="F87" s="8">
        <v>44301.0</v>
      </c>
      <c r="G87" s="9">
        <v>15.0</v>
      </c>
      <c r="H87" s="4">
        <f t="shared" si="1"/>
        <v>20</v>
      </c>
      <c r="I87" s="4"/>
      <c r="J87" s="4"/>
      <c r="K87" s="4"/>
      <c r="L87" s="4"/>
      <c r="M87" s="4"/>
      <c r="N87" s="4"/>
      <c r="O87" s="4"/>
      <c r="P87" s="4"/>
      <c r="Q87" s="4"/>
      <c r="R87" s="4"/>
      <c r="S87" s="4"/>
      <c r="T87" s="4"/>
      <c r="U87" s="4"/>
      <c r="V87" s="4"/>
      <c r="W87" s="4"/>
      <c r="X87" s="4"/>
    </row>
    <row r="88" ht="9.0" customHeight="1">
      <c r="A88" s="5">
        <f t="shared" si="2"/>
        <v>87</v>
      </c>
      <c r="B88" s="4" t="s">
        <v>452</v>
      </c>
      <c r="C88" s="4" t="s">
        <v>453</v>
      </c>
      <c r="D88" s="8">
        <v>44301.0</v>
      </c>
      <c r="E88" s="8">
        <v>44301.0</v>
      </c>
      <c r="F88" s="8">
        <v>44301.0</v>
      </c>
      <c r="G88" s="9">
        <v>15.0</v>
      </c>
      <c r="H88" s="4">
        <f t="shared" si="1"/>
        <v>20</v>
      </c>
      <c r="I88" s="4"/>
      <c r="J88" s="4"/>
      <c r="K88" s="4"/>
      <c r="L88" s="4"/>
      <c r="M88" s="4"/>
      <c r="N88" s="4"/>
      <c r="O88" s="4"/>
      <c r="P88" s="4"/>
      <c r="Q88" s="4"/>
      <c r="R88" s="4"/>
      <c r="S88" s="4"/>
      <c r="T88" s="4"/>
      <c r="U88" s="4"/>
      <c r="V88" s="4"/>
      <c r="W88" s="4"/>
      <c r="X88" s="4"/>
    </row>
    <row r="89" ht="9.0" customHeight="1">
      <c r="A89" s="5">
        <f t="shared" si="2"/>
        <v>88</v>
      </c>
      <c r="B89" s="4" t="s">
        <v>458</v>
      </c>
      <c r="C89" s="4" t="s">
        <v>458</v>
      </c>
      <c r="D89" s="8">
        <v>44301.0</v>
      </c>
      <c r="E89" s="8">
        <v>44301.0</v>
      </c>
      <c r="F89" s="8">
        <v>44301.0</v>
      </c>
      <c r="G89" s="9">
        <v>15.0</v>
      </c>
      <c r="H89" s="4">
        <f t="shared" si="1"/>
        <v>20</v>
      </c>
      <c r="I89" s="4"/>
      <c r="J89" s="4"/>
      <c r="K89" s="4"/>
      <c r="L89" s="4"/>
      <c r="M89" s="4"/>
      <c r="N89" s="4"/>
      <c r="O89" s="4"/>
      <c r="P89" s="4"/>
      <c r="Q89" s="4"/>
      <c r="R89" s="4"/>
      <c r="S89" s="4"/>
      <c r="T89" s="4"/>
      <c r="U89" s="4"/>
      <c r="V89" s="4"/>
      <c r="W89" s="4"/>
      <c r="X89" s="4"/>
    </row>
    <row r="90" ht="9.0" customHeight="1">
      <c r="A90" s="5">
        <f t="shared" si="2"/>
        <v>89</v>
      </c>
      <c r="B90" s="4" t="s">
        <v>463</v>
      </c>
      <c r="C90" s="4" t="s">
        <v>464</v>
      </c>
      <c r="D90" s="8">
        <v>44301.0</v>
      </c>
      <c r="E90" s="8">
        <v>44301.0</v>
      </c>
      <c r="F90" s="8">
        <v>44301.0</v>
      </c>
      <c r="G90" s="9">
        <v>15.0</v>
      </c>
      <c r="H90" s="4">
        <f t="shared" si="1"/>
        <v>20</v>
      </c>
      <c r="I90" s="4"/>
      <c r="J90" s="4"/>
      <c r="K90" s="4"/>
      <c r="L90" s="4"/>
      <c r="M90" s="4"/>
      <c r="N90" s="4"/>
      <c r="O90" s="4"/>
      <c r="P90" s="4"/>
      <c r="Q90" s="4"/>
      <c r="R90" s="4"/>
      <c r="S90" s="4"/>
      <c r="T90" s="4"/>
      <c r="U90" s="4"/>
      <c r="V90" s="4"/>
      <c r="W90" s="4"/>
      <c r="X90" s="4"/>
    </row>
    <row r="91" ht="9.0" customHeight="1">
      <c r="A91" s="5">
        <f t="shared" si="2"/>
        <v>90</v>
      </c>
      <c r="B91" s="4" t="s">
        <v>469</v>
      </c>
      <c r="C91" s="4" t="s">
        <v>470</v>
      </c>
      <c r="D91" s="8">
        <v>44301.0</v>
      </c>
      <c r="E91" s="8">
        <v>44301.0</v>
      </c>
      <c r="F91" s="8">
        <v>44301.0</v>
      </c>
      <c r="G91" s="9">
        <v>15.0</v>
      </c>
      <c r="H91" s="4">
        <f t="shared" si="1"/>
        <v>20</v>
      </c>
      <c r="I91" s="4"/>
      <c r="J91" s="4"/>
      <c r="K91" s="4"/>
      <c r="L91" s="4"/>
      <c r="M91" s="4"/>
      <c r="N91" s="4"/>
      <c r="O91" s="4"/>
      <c r="P91" s="4"/>
      <c r="Q91" s="4"/>
      <c r="R91" s="4"/>
      <c r="S91" s="4"/>
      <c r="T91" s="4"/>
      <c r="U91" s="4"/>
      <c r="V91" s="4"/>
      <c r="W91" s="4"/>
      <c r="X91" s="4"/>
    </row>
    <row r="92" ht="9.0" customHeight="1">
      <c r="A92" s="5">
        <f t="shared" si="2"/>
        <v>91</v>
      </c>
      <c r="B92" s="4" t="s">
        <v>475</v>
      </c>
      <c r="C92" s="4" t="s">
        <v>476</v>
      </c>
      <c r="D92" s="8">
        <v>44301.0</v>
      </c>
      <c r="E92" s="8">
        <v>44301.0</v>
      </c>
      <c r="F92" s="8">
        <v>44301.0</v>
      </c>
      <c r="G92" s="9">
        <v>15.0</v>
      </c>
      <c r="H92" s="4">
        <f t="shared" si="1"/>
        <v>20</v>
      </c>
      <c r="I92" s="4"/>
      <c r="J92" s="4"/>
      <c r="K92" s="4"/>
      <c r="L92" s="4"/>
      <c r="M92" s="4"/>
      <c r="N92" s="4"/>
      <c r="O92" s="4"/>
      <c r="P92" s="4"/>
      <c r="Q92" s="4"/>
      <c r="R92" s="4"/>
      <c r="S92" s="4"/>
      <c r="T92" s="4"/>
      <c r="U92" s="4"/>
      <c r="V92" s="4"/>
      <c r="W92" s="4"/>
      <c r="X92" s="4"/>
    </row>
    <row r="93" ht="9.0" customHeight="1">
      <c r="A93" s="5">
        <f t="shared" si="2"/>
        <v>92</v>
      </c>
      <c r="B93" s="4" t="s">
        <v>478</v>
      </c>
      <c r="C93" s="4" t="s">
        <v>479</v>
      </c>
      <c r="D93" s="8">
        <v>44301.0</v>
      </c>
      <c r="E93" s="8">
        <v>44301.0</v>
      </c>
      <c r="F93" s="8">
        <v>44301.0</v>
      </c>
      <c r="G93" s="9">
        <v>15.0</v>
      </c>
      <c r="H93" s="4">
        <f t="shared" si="1"/>
        <v>20</v>
      </c>
      <c r="I93" s="4"/>
      <c r="J93" s="4"/>
      <c r="K93" s="4"/>
      <c r="L93" s="4"/>
      <c r="M93" s="4"/>
      <c r="N93" s="4"/>
      <c r="O93" s="4"/>
      <c r="P93" s="4"/>
      <c r="Q93" s="4"/>
      <c r="R93" s="4"/>
      <c r="S93" s="4"/>
      <c r="T93" s="4"/>
      <c r="U93" s="4"/>
      <c r="V93" s="4"/>
      <c r="W93" s="4"/>
      <c r="X93" s="4"/>
    </row>
    <row r="94" ht="9.0" customHeight="1">
      <c r="A94" s="5">
        <f t="shared" si="2"/>
        <v>93</v>
      </c>
      <c r="B94" s="4" t="s">
        <v>484</v>
      </c>
      <c r="C94" s="4" t="s">
        <v>484</v>
      </c>
      <c r="D94" s="8">
        <v>44301.0</v>
      </c>
      <c r="E94" s="8">
        <v>44301.0</v>
      </c>
      <c r="F94" s="8">
        <v>44301.0</v>
      </c>
      <c r="G94" s="9">
        <v>15.0</v>
      </c>
      <c r="H94" s="4">
        <f t="shared" si="1"/>
        <v>20</v>
      </c>
      <c r="I94" s="4"/>
      <c r="J94" s="4"/>
      <c r="K94" s="4"/>
      <c r="L94" s="4"/>
      <c r="M94" s="4"/>
      <c r="N94" s="4"/>
      <c r="O94" s="4"/>
      <c r="P94" s="4"/>
      <c r="Q94" s="4"/>
      <c r="R94" s="4"/>
      <c r="S94" s="4"/>
      <c r="T94" s="4"/>
      <c r="U94" s="4"/>
      <c r="V94" s="4"/>
      <c r="W94" s="4"/>
      <c r="X94" s="4"/>
    </row>
    <row r="95" ht="9.0" customHeight="1">
      <c r="A95" s="5">
        <f t="shared" si="2"/>
        <v>94</v>
      </c>
      <c r="B95" s="4" t="s">
        <v>489</v>
      </c>
      <c r="C95" s="4" t="s">
        <v>490</v>
      </c>
      <c r="D95" s="8">
        <v>44301.0</v>
      </c>
      <c r="E95" s="8">
        <v>44301.0</v>
      </c>
      <c r="F95" s="8">
        <v>44301.0</v>
      </c>
      <c r="G95" s="9">
        <v>15.0</v>
      </c>
      <c r="H95" s="4">
        <f t="shared" si="1"/>
        <v>20</v>
      </c>
      <c r="I95" s="4"/>
      <c r="J95" s="4"/>
      <c r="K95" s="4"/>
      <c r="L95" s="4"/>
      <c r="M95" s="4"/>
      <c r="N95" s="4"/>
      <c r="O95" s="4"/>
      <c r="P95" s="4"/>
      <c r="Q95" s="4"/>
      <c r="R95" s="4"/>
      <c r="S95" s="4"/>
      <c r="T95" s="4"/>
      <c r="U95" s="4"/>
      <c r="V95" s="4"/>
      <c r="W95" s="4"/>
      <c r="X95" s="4"/>
    </row>
    <row r="96" ht="9.0" customHeight="1">
      <c r="A96" s="5">
        <f t="shared" si="2"/>
        <v>95</v>
      </c>
      <c r="B96" s="4" t="s">
        <v>495</v>
      </c>
      <c r="C96" s="4" t="s">
        <v>495</v>
      </c>
      <c r="D96" s="8">
        <v>44301.0</v>
      </c>
      <c r="E96" s="8">
        <v>44301.0</v>
      </c>
      <c r="F96" s="8">
        <v>44301.0</v>
      </c>
      <c r="G96" s="9">
        <v>15.0</v>
      </c>
      <c r="H96" s="4">
        <f t="shared" si="1"/>
        <v>20</v>
      </c>
      <c r="I96" s="4"/>
      <c r="J96" s="4"/>
      <c r="K96" s="4"/>
      <c r="L96" s="4"/>
      <c r="M96" s="4"/>
      <c r="N96" s="4"/>
      <c r="O96" s="4"/>
      <c r="P96" s="4"/>
      <c r="Q96" s="4"/>
      <c r="R96" s="4"/>
      <c r="S96" s="4"/>
      <c r="T96" s="4"/>
      <c r="U96" s="4"/>
      <c r="V96" s="4"/>
      <c r="W96" s="4"/>
      <c r="X96" s="4"/>
    </row>
    <row r="97" ht="9.0" customHeight="1">
      <c r="A97" s="5">
        <f t="shared" si="2"/>
        <v>96</v>
      </c>
      <c r="B97" s="4" t="s">
        <v>500</v>
      </c>
      <c r="C97" s="4" t="s">
        <v>501</v>
      </c>
      <c r="D97" s="8">
        <v>44301.0</v>
      </c>
      <c r="E97" s="8">
        <v>44301.0</v>
      </c>
      <c r="F97" s="8">
        <v>44301.0</v>
      </c>
      <c r="G97" s="9">
        <v>15.0</v>
      </c>
      <c r="H97" s="4">
        <f t="shared" si="1"/>
        <v>20</v>
      </c>
      <c r="I97" s="4"/>
      <c r="J97" s="4"/>
      <c r="K97" s="4"/>
      <c r="L97" s="4"/>
      <c r="M97" s="4"/>
      <c r="N97" s="4"/>
      <c r="O97" s="4"/>
      <c r="P97" s="4"/>
      <c r="Q97" s="4"/>
      <c r="R97" s="4"/>
      <c r="S97" s="4"/>
      <c r="T97" s="4"/>
      <c r="U97" s="4"/>
      <c r="V97" s="4"/>
      <c r="W97" s="4"/>
      <c r="X97" s="4"/>
    </row>
    <row r="98" ht="9.0" customHeight="1">
      <c r="A98" s="5">
        <f t="shared" si="2"/>
        <v>97</v>
      </c>
      <c r="B98" s="4" t="s">
        <v>506</v>
      </c>
      <c r="C98" s="4" t="s">
        <v>507</v>
      </c>
      <c r="D98" s="8">
        <v>44301.0</v>
      </c>
      <c r="E98" s="8">
        <v>44301.0</v>
      </c>
      <c r="F98" s="8">
        <v>44301.0</v>
      </c>
      <c r="G98" s="9">
        <v>15.0</v>
      </c>
      <c r="H98" s="4">
        <f t="shared" si="1"/>
        <v>20</v>
      </c>
      <c r="I98" s="4"/>
      <c r="J98" s="4"/>
      <c r="K98" s="4"/>
      <c r="L98" s="4"/>
      <c r="M98" s="4"/>
      <c r="N98" s="4"/>
      <c r="O98" s="4"/>
      <c r="P98" s="4"/>
      <c r="Q98" s="4"/>
      <c r="R98" s="4"/>
      <c r="S98" s="4"/>
      <c r="T98" s="4"/>
      <c r="U98" s="4"/>
      <c r="V98" s="4"/>
      <c r="W98" s="4"/>
      <c r="X98" s="4"/>
    </row>
    <row r="99" ht="9.0" customHeight="1">
      <c r="A99" s="5">
        <f t="shared" si="2"/>
        <v>98</v>
      </c>
      <c r="B99" s="4" t="s">
        <v>512</v>
      </c>
      <c r="C99" s="4" t="s">
        <v>513</v>
      </c>
      <c r="D99" s="8">
        <v>44301.0</v>
      </c>
      <c r="E99" s="8">
        <v>44301.0</v>
      </c>
      <c r="F99" s="8">
        <v>44301.0</v>
      </c>
      <c r="G99" s="9">
        <v>15.0</v>
      </c>
      <c r="H99" s="4">
        <f t="shared" si="1"/>
        <v>20</v>
      </c>
      <c r="I99" s="4"/>
      <c r="J99" s="4"/>
      <c r="K99" s="4"/>
      <c r="L99" s="4"/>
      <c r="M99" s="4"/>
      <c r="N99" s="4"/>
      <c r="O99" s="4"/>
      <c r="P99" s="4"/>
      <c r="Q99" s="4"/>
      <c r="R99" s="4"/>
      <c r="S99" s="4"/>
      <c r="T99" s="4"/>
      <c r="U99" s="4"/>
      <c r="V99" s="4"/>
      <c r="W99" s="4"/>
      <c r="X99" s="4"/>
    </row>
    <row r="100" ht="9.0" customHeight="1">
      <c r="A100" s="5">
        <f t="shared" si="2"/>
        <v>99</v>
      </c>
      <c r="B100" s="4" t="s">
        <v>518</v>
      </c>
      <c r="C100" s="4" t="s">
        <v>518</v>
      </c>
      <c r="D100" s="8">
        <v>44301.0</v>
      </c>
      <c r="E100" s="8">
        <v>44301.0</v>
      </c>
      <c r="F100" s="8">
        <v>44301.0</v>
      </c>
      <c r="G100" s="9">
        <v>15.0</v>
      </c>
      <c r="H100" s="4">
        <f t="shared" si="1"/>
        <v>20</v>
      </c>
      <c r="I100" s="4"/>
      <c r="J100" s="4"/>
      <c r="K100" s="4"/>
      <c r="L100" s="4"/>
      <c r="M100" s="4"/>
      <c r="N100" s="4"/>
      <c r="O100" s="4"/>
      <c r="P100" s="4"/>
      <c r="Q100" s="4"/>
      <c r="R100" s="4"/>
      <c r="S100" s="4"/>
      <c r="T100" s="4"/>
      <c r="U100" s="4"/>
      <c r="V100" s="4"/>
      <c r="W100" s="4"/>
      <c r="X100" s="4"/>
    </row>
    <row r="101" ht="9.0" customHeight="1">
      <c r="A101" s="5">
        <f t="shared" si="2"/>
        <v>100</v>
      </c>
      <c r="B101" s="4" t="s">
        <v>523</v>
      </c>
      <c r="C101" s="4" t="s">
        <v>523</v>
      </c>
      <c r="D101" s="8">
        <v>44301.0</v>
      </c>
      <c r="E101" s="8">
        <v>44301.0</v>
      </c>
      <c r="F101" s="8">
        <v>44301.0</v>
      </c>
      <c r="G101" s="9">
        <v>15.0</v>
      </c>
      <c r="H101" s="4">
        <f t="shared" si="1"/>
        <v>20</v>
      </c>
      <c r="I101" s="4"/>
      <c r="J101" s="4"/>
      <c r="K101" s="4"/>
      <c r="L101" s="4"/>
      <c r="M101" s="4"/>
      <c r="N101" s="4"/>
      <c r="O101" s="4"/>
      <c r="P101" s="4"/>
      <c r="Q101" s="4"/>
      <c r="R101" s="4"/>
      <c r="S101" s="4"/>
      <c r="T101" s="4"/>
      <c r="U101" s="4"/>
      <c r="V101" s="4"/>
      <c r="W101" s="4"/>
      <c r="X101" s="4"/>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3" max="3" width="19.43"/>
  </cols>
  <sheetData>
    <row r="1" ht="26.25" customHeight="1">
      <c r="A1" s="10" t="s">
        <v>2</v>
      </c>
      <c r="B1" s="11" t="s">
        <v>3</v>
      </c>
      <c r="C1" s="12" t="s">
        <v>533</v>
      </c>
      <c r="D1" s="12" t="s">
        <v>534</v>
      </c>
    </row>
    <row r="2" ht="36.0" customHeight="1">
      <c r="A2" s="13">
        <v>1.0</v>
      </c>
      <c r="B2" s="14" t="str">
        <f>VLOOKUP(A2,companies!$A:$B,2,FALSE)</f>
        <v>3M</v>
      </c>
      <c r="C2" s="15" t="s">
        <v>535</v>
      </c>
      <c r="D2" s="15">
        <v>2020.0</v>
      </c>
    </row>
    <row r="3">
      <c r="A3" s="13">
        <f t="shared" ref="A3:A20" si="1">A2+1</f>
        <v>2</v>
      </c>
      <c r="B3" s="14" t="str">
        <f>VLOOKUP(A3,companies!$A:$B,2,FALSE)</f>
        <v>Abbott Laboratories</v>
      </c>
      <c r="C3" s="15" t="s">
        <v>535</v>
      </c>
      <c r="D3" s="15">
        <v>2020.0</v>
      </c>
    </row>
    <row r="4">
      <c r="A4" s="13">
        <f t="shared" si="1"/>
        <v>3</v>
      </c>
      <c r="B4" s="14" t="str">
        <f>VLOOKUP(A4,companies!$A:$B,2,FALSE)</f>
        <v>AbbVie Inc.</v>
      </c>
      <c r="C4" s="15" t="s">
        <v>535</v>
      </c>
      <c r="D4" s="15">
        <v>2020.0</v>
      </c>
    </row>
    <row r="5">
      <c r="A5" s="13">
        <f t="shared" si="1"/>
        <v>4</v>
      </c>
      <c r="B5" s="14" t="str">
        <f>VLOOKUP(A5,companies!$A:$B,2,FALSE)</f>
        <v>Accenture</v>
      </c>
      <c r="C5" s="15" t="s">
        <v>535</v>
      </c>
      <c r="D5" s="15">
        <v>2020.0</v>
      </c>
    </row>
    <row r="6">
      <c r="A6" s="13">
        <f t="shared" si="1"/>
        <v>5</v>
      </c>
      <c r="B6" s="14" t="str">
        <f>VLOOKUP(A6,companies!$A:$B,2,FALSE)</f>
        <v>Adobe Inc.</v>
      </c>
      <c r="C6" s="15" t="s">
        <v>535</v>
      </c>
      <c r="D6" s="15">
        <v>2020.0</v>
      </c>
    </row>
    <row r="7">
      <c r="A7" s="13">
        <f t="shared" si="1"/>
        <v>6</v>
      </c>
      <c r="B7" s="14" t="str">
        <f>VLOOKUP(A7,companies!$A:$B,2,FALSE)</f>
        <v>Allstate Corp</v>
      </c>
      <c r="C7" s="15" t="s">
        <v>535</v>
      </c>
      <c r="D7" s="15">
        <v>2020.0</v>
      </c>
    </row>
    <row r="8">
      <c r="A8" s="13">
        <f t="shared" si="1"/>
        <v>7</v>
      </c>
      <c r="B8" s="14" t="str">
        <f>VLOOKUP(A8,companies!$A:$B,2,FALSE)</f>
        <v>Alphabet Inc. Google</v>
      </c>
      <c r="C8" s="15" t="s">
        <v>535</v>
      </c>
      <c r="D8" s="15">
        <v>2019.0</v>
      </c>
    </row>
    <row r="9">
      <c r="A9" s="13">
        <f t="shared" si="1"/>
        <v>8</v>
      </c>
      <c r="B9" s="14" t="str">
        <f>VLOOKUP(A9,companies!$A:$B,2,FALSE)</f>
        <v>Altria Group Inc</v>
      </c>
      <c r="C9" s="15" t="s">
        <v>535</v>
      </c>
      <c r="D9" s="15">
        <v>2020.0</v>
      </c>
    </row>
    <row r="10">
      <c r="A10" s="13">
        <f t="shared" si="1"/>
        <v>9</v>
      </c>
      <c r="B10" s="14" t="str">
        <f>VLOOKUP(A10,companies!$A:$B,2,FALSE)</f>
        <v>Amazon.com Inc.</v>
      </c>
      <c r="C10" s="15" t="s">
        <v>535</v>
      </c>
      <c r="D10" s="15">
        <v>2020.0</v>
      </c>
    </row>
    <row r="11">
      <c r="A11" s="13">
        <f t="shared" si="1"/>
        <v>10</v>
      </c>
      <c r="B11" s="14" t="str">
        <f>VLOOKUP(A11,companies!$A:$B,2,FALSE)</f>
        <v>American Express</v>
      </c>
      <c r="C11" s="15" t="s">
        <v>535</v>
      </c>
      <c r="D11" s="15">
        <v>2019.0</v>
      </c>
    </row>
    <row r="12" ht="25.5" customHeight="1">
      <c r="A12" s="13">
        <f t="shared" si="1"/>
        <v>11</v>
      </c>
      <c r="B12" s="14" t="str">
        <f>VLOOKUP(A12,companies!$A:$B,2,FALSE)</f>
        <v>American International Group (AIG)</v>
      </c>
      <c r="C12" s="16">
        <v>44204.0</v>
      </c>
      <c r="D12" s="15">
        <v>2020.0</v>
      </c>
    </row>
    <row r="13">
      <c r="A13" s="13">
        <f t="shared" si="1"/>
        <v>12</v>
      </c>
      <c r="B13" s="14" t="str">
        <f>VLOOKUP(A13,companies!$A:$B,2,FALSE)</f>
        <v>American Tower</v>
      </c>
      <c r="C13" s="16">
        <v>44204.0</v>
      </c>
      <c r="D13" s="15">
        <v>2019.0</v>
      </c>
    </row>
    <row r="14">
      <c r="A14" s="13">
        <f t="shared" si="1"/>
        <v>13</v>
      </c>
      <c r="B14" s="14" t="str">
        <f>VLOOKUP(A14,companies!$A:$B,2,FALSE)</f>
        <v>Amgen Inc.</v>
      </c>
      <c r="C14" s="16">
        <v>44204.0</v>
      </c>
      <c r="D14" s="15">
        <v>2019.0</v>
      </c>
    </row>
    <row r="15">
      <c r="A15" s="13">
        <f t="shared" si="1"/>
        <v>14</v>
      </c>
      <c r="B15" s="14" t="str">
        <f>VLOOKUP(A15,companies!$A:$B,2,FALSE)</f>
        <v>Apple Inc.</v>
      </c>
      <c r="C15" s="16">
        <v>44204.0</v>
      </c>
      <c r="D15" s="15">
        <v>2020.0</v>
      </c>
    </row>
    <row r="16">
      <c r="A16" s="13">
        <f t="shared" si="1"/>
        <v>15</v>
      </c>
      <c r="B16" s="14" t="str">
        <f>VLOOKUP(A16,companies!$A:$B,2,FALSE)</f>
        <v>AT&amp;T Inc.</v>
      </c>
      <c r="C16" s="16">
        <v>44204.0</v>
      </c>
      <c r="D16" s="15">
        <v>2019.0</v>
      </c>
    </row>
    <row r="17">
      <c r="A17" s="13">
        <f t="shared" si="1"/>
        <v>16</v>
      </c>
      <c r="B17" s="14" t="str">
        <f>VLOOKUP(A17,companies!$A:$B,2,FALSE)</f>
        <v>Bank of America</v>
      </c>
      <c r="C17" s="16">
        <v>44235.0</v>
      </c>
      <c r="D17" s="15">
        <v>2020.0</v>
      </c>
    </row>
    <row r="18">
      <c r="A18" s="13">
        <f t="shared" si="1"/>
        <v>17</v>
      </c>
      <c r="B18" s="14" t="str">
        <f>VLOOKUP(A18,companies!$A:$B,2,FALSE)</f>
        <v>Berkshire Hathaway Inc.</v>
      </c>
      <c r="C18" s="16">
        <v>44235.0</v>
      </c>
      <c r="D18" s="15" t="s">
        <v>536</v>
      </c>
    </row>
    <row r="19">
      <c r="A19" s="13">
        <f t="shared" si="1"/>
        <v>18</v>
      </c>
      <c r="B19" s="14" t="str">
        <f>VLOOKUP(A19,companies!$A:$B,2,FALSE)</f>
        <v>Biogen Inc.</v>
      </c>
      <c r="C19" s="16">
        <v>44235.0</v>
      </c>
      <c r="D19" s="15">
        <v>2020.0</v>
      </c>
    </row>
    <row r="20">
      <c r="A20" s="13">
        <f t="shared" si="1"/>
        <v>19</v>
      </c>
      <c r="B20" s="14" t="str">
        <f>VLOOKUP(A20,companies!$A:$B,2,FALSE)</f>
        <v>BlackRock Inc.</v>
      </c>
      <c r="C20" s="16">
        <v>44235.0</v>
      </c>
      <c r="D20" s="15">
        <v>2020.0</v>
      </c>
    </row>
    <row r="21">
      <c r="A21" s="13">
        <v>66.0</v>
      </c>
      <c r="B21" s="14" t="str">
        <f>VLOOKUP(A21,companies!$A:$B,2,FALSE)</f>
        <v>Microsoft Corp.</v>
      </c>
      <c r="C21" s="16">
        <v>44235.0</v>
      </c>
      <c r="D21" s="15">
        <v>2020.0</v>
      </c>
    </row>
    <row r="22">
      <c r="A22" s="13"/>
      <c r="B22" s="14"/>
      <c r="C22" s="16"/>
      <c r="D22" s="15"/>
    </row>
    <row r="23">
      <c r="A23" s="13"/>
      <c r="B23" s="14"/>
      <c r="C23" s="16"/>
      <c r="D23" s="15"/>
    </row>
    <row r="24">
      <c r="A24" s="13"/>
      <c r="B24" s="14"/>
      <c r="C24" s="16"/>
      <c r="D24" s="15"/>
    </row>
    <row r="25">
      <c r="A25" s="13"/>
      <c r="B25" s="14"/>
      <c r="C25" s="16"/>
      <c r="D25" s="15"/>
    </row>
    <row r="26">
      <c r="A26" s="13"/>
      <c r="B26" s="14"/>
      <c r="C26" s="16"/>
      <c r="D26" s="16"/>
    </row>
    <row r="27">
      <c r="A27" s="13"/>
      <c r="B27" s="14"/>
      <c r="C27" s="16"/>
      <c r="D27" s="16"/>
    </row>
    <row r="28">
      <c r="A28" s="13"/>
      <c r="B28" s="14"/>
      <c r="C28" s="16"/>
      <c r="D28" s="16"/>
    </row>
    <row r="29">
      <c r="A29" s="13"/>
      <c r="B29" s="14"/>
      <c r="C29" s="16"/>
      <c r="D29" s="16"/>
    </row>
    <row r="30">
      <c r="A30" s="13"/>
      <c r="B30" s="14"/>
      <c r="C30" s="16"/>
      <c r="D30" s="16"/>
    </row>
    <row r="31">
      <c r="A31" s="13"/>
      <c r="B31" s="14"/>
      <c r="C31" s="16"/>
      <c r="D31" s="16"/>
    </row>
    <row r="32">
      <c r="A32" s="13"/>
      <c r="B32" s="14"/>
      <c r="C32" s="16"/>
      <c r="D32" s="16"/>
    </row>
    <row r="33">
      <c r="A33" s="13"/>
      <c r="B33" s="14"/>
      <c r="C33" s="16"/>
      <c r="D33" s="16"/>
    </row>
    <row r="34">
      <c r="A34" s="13"/>
      <c r="B34" s="14"/>
      <c r="C34" s="16"/>
      <c r="D34" s="16"/>
    </row>
    <row r="35">
      <c r="A35" s="13"/>
      <c r="B35" s="14"/>
      <c r="C35" s="16"/>
      <c r="D35" s="16"/>
    </row>
    <row r="36">
      <c r="A36" s="13"/>
      <c r="B36" s="14"/>
      <c r="C36" s="16"/>
      <c r="D36" s="16"/>
    </row>
    <row r="37">
      <c r="A37" s="13"/>
      <c r="B37" s="14"/>
      <c r="C37" s="16"/>
      <c r="D37" s="16"/>
    </row>
    <row r="38">
      <c r="A38" s="13"/>
      <c r="B38" s="14"/>
      <c r="C38" s="16"/>
      <c r="D38" s="16"/>
    </row>
    <row r="39">
      <c r="A39" s="13"/>
      <c r="B39" s="14"/>
      <c r="C39" s="16"/>
      <c r="D39" s="1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71"/>
    <col customWidth="1" min="2" max="2" width="9.57"/>
    <col customWidth="1" min="3" max="13" width="10.71"/>
    <col customWidth="1" min="14" max="14" width="5.71"/>
    <col customWidth="1" min="15" max="15" width="11.57"/>
    <col customWidth="1" min="16" max="16" width="14.71"/>
    <col customWidth="1" min="17" max="42" width="8.71"/>
  </cols>
  <sheetData>
    <row r="1" ht="12.75" customHeight="1">
      <c r="A1" s="17" t="s">
        <v>2</v>
      </c>
      <c r="B1" s="18"/>
      <c r="C1" s="19" t="s">
        <v>537</v>
      </c>
      <c r="D1" s="19" t="s">
        <v>538</v>
      </c>
      <c r="E1" s="20" t="s">
        <v>539</v>
      </c>
      <c r="F1" s="20" t="s">
        <v>540</v>
      </c>
      <c r="G1" s="19" t="s">
        <v>541</v>
      </c>
      <c r="H1" s="19" t="s">
        <v>542</v>
      </c>
      <c r="I1" s="20" t="s">
        <v>543</v>
      </c>
      <c r="J1" s="20" t="s">
        <v>544</v>
      </c>
      <c r="K1" s="20" t="s">
        <v>545</v>
      </c>
      <c r="L1" s="20" t="s">
        <v>546</v>
      </c>
      <c r="M1" s="20" t="s">
        <v>547</v>
      </c>
      <c r="N1" s="19"/>
      <c r="O1" s="21" t="s">
        <v>548</v>
      </c>
      <c r="P1" s="22" t="s">
        <v>549</v>
      </c>
      <c r="Q1" s="20" t="s">
        <v>550</v>
      </c>
    </row>
    <row r="2">
      <c r="A2" s="23"/>
      <c r="B2" s="24" t="s">
        <v>551</v>
      </c>
      <c r="C2" s="24"/>
      <c r="D2" s="24"/>
      <c r="E2" s="24" t="s">
        <v>552</v>
      </c>
      <c r="F2" s="24" t="s">
        <v>553</v>
      </c>
      <c r="G2" s="24" t="s">
        <v>554</v>
      </c>
      <c r="H2" s="24" t="s">
        <v>555</v>
      </c>
      <c r="I2" s="24" t="s">
        <v>556</v>
      </c>
      <c r="J2" s="24" t="s">
        <v>553</v>
      </c>
      <c r="K2" s="24" t="s">
        <v>554</v>
      </c>
      <c r="L2" s="24" t="s">
        <v>555</v>
      </c>
      <c r="M2" s="24" t="s">
        <v>556</v>
      </c>
      <c r="N2" s="19"/>
      <c r="O2" s="25">
        <v>0.05</v>
      </c>
      <c r="P2" s="24"/>
      <c r="Q2" s="24"/>
      <c r="R2" s="26"/>
      <c r="S2" s="26"/>
      <c r="T2" s="26"/>
      <c r="U2" s="26"/>
      <c r="V2" s="26"/>
      <c r="W2" s="26"/>
      <c r="X2" s="26"/>
      <c r="Y2" s="26"/>
      <c r="Z2" s="26"/>
      <c r="AA2" s="26"/>
      <c r="AB2" s="26"/>
      <c r="AC2" s="26"/>
      <c r="AD2" s="26"/>
      <c r="AE2" s="26"/>
      <c r="AF2" s="26"/>
      <c r="AG2" s="26"/>
      <c r="AH2" s="26"/>
      <c r="AI2" s="26"/>
      <c r="AJ2" s="26"/>
      <c r="AK2" s="26"/>
      <c r="AL2" s="26"/>
      <c r="AM2" s="26"/>
      <c r="AN2" s="26"/>
      <c r="AO2" s="26"/>
      <c r="AP2" s="26"/>
    </row>
    <row r="3" ht="12.75" customHeight="1">
      <c r="A3" s="23">
        <v>1.0</v>
      </c>
      <c r="B3" s="27"/>
      <c r="C3" s="27">
        <f>VLOOKUP($A3,reporting!$A:$D,COLUMN(last_reporting_year),FALSE)</f>
        <v>2020</v>
      </c>
      <c r="D3" s="27">
        <f t="shared" ref="D3:D22" si="1">IF(ISNUMBER(C3),C3-1,"NR")</f>
        <v>2019</v>
      </c>
      <c r="E3" s="28" t="b">
        <f t="shared" ref="E3:E22" si="2">NOT(AND(C3="NR",D3="NR"))</f>
        <v>1</v>
      </c>
      <c r="F3" s="28" t="b">
        <f t="array" ref="F3">IF(ISNUMBER(index(scope_1,MATCH("id"&amp;$A3&amp;"year"&amp;$C3,ghg!$AR:$AR,0))),TRUE,FALSE)</f>
        <v>1</v>
      </c>
      <c r="G3" s="27" t="b">
        <f t="array" ref="G3">IF(ISNUMBER(index(scope_2_loc,MATCH("id"&amp;$A3&amp;"year"&amp;$C3,ghg!$AR:$AR,0))),TRUE,FALSE)</f>
        <v>1</v>
      </c>
      <c r="H3" s="27" t="b">
        <f t="array" ref="H3">IF(ISNUMBER(index(scope_2_mkt,MATCH("id"&amp;$A3&amp;"year"&amp;$C3,ghg!$AR:$AR,0))),TRUE,FALSE)</f>
        <v>1</v>
      </c>
      <c r="I3" s="28" t="b">
        <f t="shared" ref="I3:I22" si="3">OR(G3,H3)</f>
        <v>1</v>
      </c>
      <c r="J3" s="28" t="b">
        <f t="array" ref="J3">IF(ISNUMBER(index(scope_1,MATCH("id"&amp;$A3&amp;"year"&amp;$D3,ghg!$AR:$AR,0))),TRUE,FALSE)</f>
        <v>1</v>
      </c>
      <c r="K3" s="27" t="b">
        <f t="array" ref="K3">IF(ISNUMBER(index(scope_2_loc,MATCH("id"&amp;$A3&amp;"year"&amp;$D3,ghg!$AR:$AR,0))),TRUE,FALSE)</f>
        <v>1</v>
      </c>
      <c r="L3" s="27" t="b">
        <f t="array" ref="L3">IF(ISNUMBER(index(scope_2_mkt,MATCH("id"&amp;$A3&amp;"year"&amp;$D3,ghg!$AR:$AR,0))),TRUE,FALSE)</f>
        <v>1</v>
      </c>
      <c r="M3" s="28" t="b">
        <f t="shared" ref="M3:M22" si="4">OR(K3,L3)</f>
        <v>1</v>
      </c>
      <c r="N3" s="27"/>
      <c r="O3" s="26"/>
      <c r="P3" s="29" t="b">
        <f t="shared" ref="P3:P22" si="5">AND(E3,F3,I3,J3,M3)</f>
        <v>1</v>
      </c>
      <c r="Q3" s="30">
        <f t="shared" ref="Q3:Q22" si="6">P3*O$2</f>
        <v>0.05</v>
      </c>
      <c r="R3" s="26"/>
      <c r="S3" s="26"/>
      <c r="T3" s="26"/>
      <c r="U3" s="26"/>
      <c r="V3" s="26"/>
      <c r="W3" s="26"/>
      <c r="X3" s="26"/>
      <c r="Y3" s="26"/>
      <c r="Z3" s="26"/>
      <c r="AA3" s="26"/>
      <c r="AB3" s="26"/>
      <c r="AC3" s="26"/>
      <c r="AD3" s="26"/>
      <c r="AE3" s="26"/>
      <c r="AF3" s="26"/>
      <c r="AG3" s="26"/>
      <c r="AH3" s="26"/>
      <c r="AI3" s="26"/>
      <c r="AJ3" s="26"/>
      <c r="AK3" s="26"/>
      <c r="AL3" s="26"/>
      <c r="AM3" s="26"/>
      <c r="AN3" s="26"/>
      <c r="AO3" s="26"/>
      <c r="AP3" s="26"/>
    </row>
    <row r="4" ht="12.75" customHeight="1">
      <c r="A4" s="23">
        <f t="shared" ref="A4:A21" si="7">A3+1</f>
        <v>2</v>
      </c>
      <c r="B4" s="27"/>
      <c r="C4" s="27">
        <f>VLOOKUP($A4,reporting!$A:$D,COLUMN(last_reporting_year),FALSE)</f>
        <v>2020</v>
      </c>
      <c r="D4" s="27">
        <f t="shared" si="1"/>
        <v>2019</v>
      </c>
      <c r="E4" s="28" t="b">
        <f t="shared" si="2"/>
        <v>1</v>
      </c>
      <c r="F4" s="28" t="b">
        <f t="array" ref="F4">IF(ISNUMBER(index(scope_1,MATCH("id"&amp;$A4&amp;"year"&amp;$C4,ghg!$AR:$AR,0))),TRUE,FALSE)</f>
        <v>1</v>
      </c>
      <c r="G4" s="27" t="b">
        <f t="array" ref="G4">IF(ISNUMBER(index(scope_2_loc,MATCH("id"&amp;$A4&amp;"year"&amp;$C4,ghg!$AR:$AR,0))),TRUE,FALSE)</f>
        <v>1</v>
      </c>
      <c r="H4" s="27" t="b">
        <f t="array" ref="H4">IF(ISNUMBER(index(scope_2_mkt,MATCH("id"&amp;$A4&amp;"year"&amp;$C4,ghg!$AR:$AR,0))),TRUE,FALSE)</f>
        <v>1</v>
      </c>
      <c r="I4" s="28" t="b">
        <f t="shared" si="3"/>
        <v>1</v>
      </c>
      <c r="J4" s="28" t="b">
        <f t="array" ref="J4">IF(ISNUMBER(index(scope_1,MATCH("id"&amp;$A4&amp;"year"&amp;$D4,ghg!$AR:$AR,0))),TRUE,FALSE)</f>
        <v>1</v>
      </c>
      <c r="K4" s="27" t="b">
        <f t="array" ref="K4">IF(ISNUMBER(index(scope_2_loc,MATCH("id"&amp;$A4&amp;"year"&amp;$D4,ghg!$AR:$AR,0))),TRUE,FALSE)</f>
        <v>1</v>
      </c>
      <c r="L4" s="27" t="b">
        <f t="array" ref="L4">IF(ISNUMBER(index(scope_2_mkt,MATCH("id"&amp;$A4&amp;"year"&amp;$D4,ghg!$AR:$AR,0))),TRUE,FALSE)</f>
        <v>1</v>
      </c>
      <c r="M4" s="28" t="b">
        <f t="shared" si="4"/>
        <v>1</v>
      </c>
      <c r="N4" s="27"/>
      <c r="O4" s="26"/>
      <c r="P4" s="29" t="b">
        <f t="shared" si="5"/>
        <v>1</v>
      </c>
      <c r="Q4" s="30">
        <f t="shared" si="6"/>
        <v>0.05</v>
      </c>
      <c r="R4" s="26"/>
      <c r="S4" s="26"/>
      <c r="T4" s="26"/>
      <c r="U4" s="26"/>
      <c r="V4" s="26"/>
      <c r="W4" s="26"/>
      <c r="X4" s="26"/>
      <c r="Y4" s="26"/>
      <c r="Z4" s="26"/>
      <c r="AA4" s="26"/>
      <c r="AB4" s="26"/>
      <c r="AC4" s="26"/>
      <c r="AD4" s="26"/>
      <c r="AE4" s="26"/>
      <c r="AF4" s="26"/>
      <c r="AG4" s="26"/>
      <c r="AH4" s="26"/>
      <c r="AI4" s="26"/>
      <c r="AJ4" s="26"/>
      <c r="AK4" s="26"/>
      <c r="AL4" s="26"/>
      <c r="AM4" s="26"/>
      <c r="AN4" s="26"/>
      <c r="AO4" s="26"/>
      <c r="AP4" s="26"/>
    </row>
    <row r="5" ht="12.75" customHeight="1">
      <c r="A5" s="23">
        <f t="shared" si="7"/>
        <v>3</v>
      </c>
      <c r="B5" s="27"/>
      <c r="C5" s="27">
        <f>VLOOKUP($A5,reporting!$A:$D,COLUMN(last_reporting_year),FALSE)</f>
        <v>2020</v>
      </c>
      <c r="D5" s="27">
        <f t="shared" si="1"/>
        <v>2019</v>
      </c>
      <c r="E5" s="28" t="b">
        <f t="shared" si="2"/>
        <v>1</v>
      </c>
      <c r="F5" s="28" t="b">
        <f t="array" ref="F5">IF(ISNUMBER(index(scope_1,MATCH("id"&amp;$A5&amp;"year"&amp;$C5,ghg!$AR:$AR,0))),TRUE,FALSE)</f>
        <v>1</v>
      </c>
      <c r="G5" s="27" t="b">
        <f t="array" ref="G5">IF(ISNUMBER(index(scope_2_loc,MATCH("id"&amp;$A5&amp;"year"&amp;$C5,ghg!$AR:$AR,0))),TRUE,FALSE)</f>
        <v>1</v>
      </c>
      <c r="H5" s="27" t="b">
        <f t="array" ref="H5">IF(ISNUMBER(index(scope_2_mkt,MATCH("id"&amp;$A5&amp;"year"&amp;$C5,ghg!$AR:$AR,0))),TRUE,FALSE)</f>
        <v>1</v>
      </c>
      <c r="I5" s="28" t="b">
        <f t="shared" si="3"/>
        <v>1</v>
      </c>
      <c r="J5" s="28" t="b">
        <f t="array" ref="J5">IF(ISNUMBER(index(scope_1,MATCH("id"&amp;$A5&amp;"year"&amp;$D5,ghg!$AR:$AR,0))),TRUE,FALSE)</f>
        <v>1</v>
      </c>
      <c r="K5" s="27" t="b">
        <f t="array" ref="K5">IF(ISNUMBER(index(scope_2_loc,MATCH("id"&amp;$A5&amp;"year"&amp;$D5,ghg!$AR:$AR,0))),TRUE,FALSE)</f>
        <v>1</v>
      </c>
      <c r="L5" s="27" t="b">
        <f t="array" ref="L5">IF(ISNUMBER(index(scope_2_mkt,MATCH("id"&amp;$A5&amp;"year"&amp;$D5,ghg!$AR:$AR,0))),TRUE,FALSE)</f>
        <v>1</v>
      </c>
      <c r="M5" s="28" t="b">
        <f t="shared" si="4"/>
        <v>1</v>
      </c>
      <c r="N5" s="27"/>
      <c r="O5" s="26"/>
      <c r="P5" s="29" t="b">
        <f t="shared" si="5"/>
        <v>1</v>
      </c>
      <c r="Q5" s="30">
        <f t="shared" si="6"/>
        <v>0.05</v>
      </c>
      <c r="R5" s="26"/>
      <c r="S5" s="26"/>
      <c r="T5" s="26"/>
      <c r="U5" s="26"/>
      <c r="V5" s="26"/>
      <c r="W5" s="26"/>
      <c r="X5" s="26"/>
      <c r="Y5" s="26"/>
      <c r="Z5" s="26"/>
      <c r="AA5" s="26"/>
      <c r="AB5" s="26"/>
      <c r="AC5" s="26"/>
      <c r="AD5" s="26"/>
      <c r="AE5" s="26"/>
      <c r="AF5" s="26"/>
      <c r="AG5" s="26"/>
      <c r="AH5" s="26"/>
      <c r="AI5" s="26"/>
      <c r="AJ5" s="26"/>
      <c r="AK5" s="26"/>
      <c r="AL5" s="26"/>
      <c r="AM5" s="26"/>
      <c r="AN5" s="26"/>
      <c r="AO5" s="26"/>
      <c r="AP5" s="26"/>
    </row>
    <row r="6" ht="12.75" customHeight="1">
      <c r="A6" s="23">
        <f t="shared" si="7"/>
        <v>4</v>
      </c>
      <c r="B6" s="27"/>
      <c r="C6" s="27">
        <f>VLOOKUP($A6,reporting!$A:$D,COLUMN(last_reporting_year),FALSE)</f>
        <v>2020</v>
      </c>
      <c r="D6" s="27">
        <f t="shared" si="1"/>
        <v>2019</v>
      </c>
      <c r="E6" s="28" t="b">
        <f t="shared" si="2"/>
        <v>1</v>
      </c>
      <c r="F6" s="28" t="b">
        <f t="array" ref="F6">IF(ISNUMBER(index(scope_1,MATCH("id"&amp;$A6&amp;"year"&amp;$C6,ghg!$AR:$AR,0))),TRUE,FALSE)</f>
        <v>1</v>
      </c>
      <c r="G6" s="27" t="b">
        <f t="array" ref="G6">IF(ISNUMBER(index(scope_2_loc,MATCH("id"&amp;$A6&amp;"year"&amp;$C6,ghg!$AR:$AR,0))),TRUE,FALSE)</f>
        <v>1</v>
      </c>
      <c r="H6" s="27" t="b">
        <f t="array" ref="H6">IF(ISNUMBER(index(scope_2_mkt,MATCH("id"&amp;$A6&amp;"year"&amp;$C6,ghg!$AR:$AR,0))),TRUE,FALSE)</f>
        <v>1</v>
      </c>
      <c r="I6" s="28" t="b">
        <f t="shared" si="3"/>
        <v>1</v>
      </c>
      <c r="J6" s="28" t="b">
        <f t="array" ref="J6">IF(ISNUMBER(index(scope_1,MATCH("id"&amp;$A6&amp;"year"&amp;$D6,ghg!$AR:$AR,0))),TRUE,FALSE)</f>
        <v>1</v>
      </c>
      <c r="K6" s="27" t="b">
        <f t="array" ref="K6">IF(ISNUMBER(index(scope_2_loc,MATCH("id"&amp;$A6&amp;"year"&amp;$D6,ghg!$AR:$AR,0))),TRUE,FALSE)</f>
        <v>0</v>
      </c>
      <c r="L6" s="27" t="b">
        <f t="array" ref="L6">IF(ISNUMBER(index(scope_2_mkt,MATCH("id"&amp;$A6&amp;"year"&amp;$D6,ghg!$AR:$AR,0))),TRUE,FALSE)</f>
        <v>1</v>
      </c>
      <c r="M6" s="28" t="b">
        <f t="shared" si="4"/>
        <v>1</v>
      </c>
      <c r="N6" s="27"/>
      <c r="O6" s="26"/>
      <c r="P6" s="29" t="b">
        <f t="shared" si="5"/>
        <v>1</v>
      </c>
      <c r="Q6" s="30">
        <f t="shared" si="6"/>
        <v>0.05</v>
      </c>
      <c r="R6" s="26"/>
      <c r="S6" s="26"/>
      <c r="T6" s="26"/>
      <c r="U6" s="26"/>
      <c r="V6" s="26"/>
      <c r="W6" s="26"/>
      <c r="X6" s="26"/>
      <c r="Y6" s="26"/>
      <c r="Z6" s="26"/>
      <c r="AA6" s="26"/>
      <c r="AB6" s="26"/>
      <c r="AC6" s="26"/>
      <c r="AD6" s="26"/>
      <c r="AE6" s="26"/>
      <c r="AF6" s="26"/>
      <c r="AG6" s="26"/>
      <c r="AH6" s="26"/>
      <c r="AI6" s="26"/>
      <c r="AJ6" s="26"/>
      <c r="AK6" s="26"/>
      <c r="AL6" s="26"/>
      <c r="AM6" s="26"/>
      <c r="AN6" s="26"/>
      <c r="AO6" s="26"/>
      <c r="AP6" s="26"/>
    </row>
    <row r="7" ht="12.75" customHeight="1">
      <c r="A7" s="23">
        <f t="shared" si="7"/>
        <v>5</v>
      </c>
      <c r="B7" s="27"/>
      <c r="C7" s="27">
        <f>VLOOKUP($A7,reporting!$A:$D,COLUMN(last_reporting_year),FALSE)</f>
        <v>2020</v>
      </c>
      <c r="D7" s="27">
        <f t="shared" si="1"/>
        <v>2019</v>
      </c>
      <c r="E7" s="28" t="b">
        <f t="shared" si="2"/>
        <v>1</v>
      </c>
      <c r="F7" s="28" t="b">
        <f t="array" ref="F7">IF(ISNUMBER(index(scope_1,MATCH("id"&amp;$A7&amp;"year"&amp;$C7,ghg!$AR:$AR,0))),TRUE,FALSE)</f>
        <v>1</v>
      </c>
      <c r="G7" s="27" t="b">
        <f t="array" ref="G7">IF(ISNUMBER(index(scope_2_loc,MATCH("id"&amp;$A7&amp;"year"&amp;$C7,ghg!$AR:$AR,0))),TRUE,FALSE)</f>
        <v>1</v>
      </c>
      <c r="H7" s="27" t="b">
        <f t="array" ref="H7">IF(ISNUMBER(index(scope_2_mkt,MATCH("id"&amp;$A7&amp;"year"&amp;$C7,ghg!$AR:$AR,0))),TRUE,FALSE)</f>
        <v>1</v>
      </c>
      <c r="I7" s="28" t="b">
        <f t="shared" si="3"/>
        <v>1</v>
      </c>
      <c r="J7" s="28" t="b">
        <f t="array" ref="J7">IF(ISNUMBER(index(scope_1,MATCH("id"&amp;$A7&amp;"year"&amp;$D7,ghg!$AR:$AR,0))),TRUE,FALSE)</f>
        <v>1</v>
      </c>
      <c r="K7" s="27" t="b">
        <f t="array" ref="K7">IF(ISNUMBER(index(scope_2_loc,MATCH("id"&amp;$A7&amp;"year"&amp;$D7,ghg!$AR:$AR,0))),TRUE,FALSE)</f>
        <v>1</v>
      </c>
      <c r="L7" s="27" t="b">
        <f t="array" ref="L7">IF(ISNUMBER(index(scope_2_mkt,MATCH("id"&amp;$A7&amp;"year"&amp;$D7,ghg!$AR:$AR,0))),TRUE,FALSE)</f>
        <v>1</v>
      </c>
      <c r="M7" s="28" t="b">
        <f t="shared" si="4"/>
        <v>1</v>
      </c>
      <c r="N7" s="27"/>
      <c r="O7" s="26"/>
      <c r="P7" s="29" t="b">
        <f t="shared" si="5"/>
        <v>1</v>
      </c>
      <c r="Q7" s="30">
        <f t="shared" si="6"/>
        <v>0.05</v>
      </c>
      <c r="R7" s="26"/>
      <c r="S7" s="26"/>
      <c r="T7" s="26"/>
      <c r="U7" s="26"/>
      <c r="V7" s="26"/>
      <c r="W7" s="26"/>
      <c r="X7" s="26"/>
      <c r="Y7" s="26"/>
      <c r="Z7" s="26"/>
      <c r="AA7" s="26"/>
      <c r="AB7" s="26"/>
      <c r="AC7" s="26"/>
      <c r="AD7" s="26"/>
      <c r="AE7" s="26"/>
      <c r="AF7" s="26"/>
      <c r="AG7" s="26"/>
      <c r="AH7" s="26"/>
      <c r="AI7" s="26"/>
      <c r="AJ7" s="26"/>
      <c r="AK7" s="26"/>
      <c r="AL7" s="26"/>
      <c r="AM7" s="26"/>
      <c r="AN7" s="26"/>
      <c r="AO7" s="26"/>
      <c r="AP7" s="26"/>
    </row>
    <row r="8" ht="12.75" customHeight="1">
      <c r="A8" s="23">
        <f t="shared" si="7"/>
        <v>6</v>
      </c>
      <c r="B8" s="27"/>
      <c r="C8" s="27">
        <f>VLOOKUP($A8,reporting!$A:$D,COLUMN(last_reporting_year),FALSE)</f>
        <v>2020</v>
      </c>
      <c r="D8" s="27">
        <f t="shared" si="1"/>
        <v>2019</v>
      </c>
      <c r="E8" s="28" t="b">
        <f t="shared" si="2"/>
        <v>1</v>
      </c>
      <c r="F8" s="28" t="b">
        <f t="array" ref="F8">IF(ISNUMBER(index(scope_1,MATCH("id"&amp;$A8&amp;"year"&amp;$C8,ghg!$AR:$AR,0))),TRUE,FALSE)</f>
        <v>1</v>
      </c>
      <c r="G8" s="27" t="b">
        <f t="array" ref="G8">IF(ISNUMBER(index(scope_2_loc,MATCH("id"&amp;$A8&amp;"year"&amp;$C8,ghg!$AR:$AR,0))),TRUE,FALSE)</f>
        <v>1</v>
      </c>
      <c r="H8" s="27" t="b">
        <f t="array" ref="H8">IF(ISNUMBER(index(scope_2_mkt,MATCH("id"&amp;$A8&amp;"year"&amp;$C8,ghg!$AR:$AR,0))),TRUE,FALSE)</f>
        <v>1</v>
      </c>
      <c r="I8" s="28" t="b">
        <f t="shared" si="3"/>
        <v>1</v>
      </c>
      <c r="J8" s="28" t="b">
        <f t="array" ref="J8">IF(ISNUMBER(index(scope_1,MATCH("id"&amp;$A8&amp;"year"&amp;$D8,ghg!$AR:$AR,0))),TRUE,FALSE)</f>
        <v>1</v>
      </c>
      <c r="K8" s="27" t="b">
        <f t="array" ref="K8">IF(ISNUMBER(index(scope_2_loc,MATCH("id"&amp;$A8&amp;"year"&amp;$D8,ghg!$AR:$AR,0))),TRUE,FALSE)</f>
        <v>1</v>
      </c>
      <c r="L8" s="27" t="b">
        <f t="array" ref="L8">IF(ISNUMBER(index(scope_2_mkt,MATCH("id"&amp;$A8&amp;"year"&amp;$D8,ghg!$AR:$AR,0))),TRUE,FALSE)</f>
        <v>1</v>
      </c>
      <c r="M8" s="28" t="b">
        <f t="shared" si="4"/>
        <v>1</v>
      </c>
      <c r="N8" s="27"/>
      <c r="O8" s="26"/>
      <c r="P8" s="29" t="b">
        <f t="shared" si="5"/>
        <v>1</v>
      </c>
      <c r="Q8" s="30">
        <f t="shared" si="6"/>
        <v>0.05</v>
      </c>
      <c r="R8" s="26"/>
      <c r="S8" s="26"/>
      <c r="T8" s="26"/>
      <c r="U8" s="26"/>
      <c r="V8" s="26"/>
      <c r="W8" s="26"/>
      <c r="X8" s="26"/>
      <c r="Y8" s="26"/>
      <c r="Z8" s="26"/>
      <c r="AA8" s="26"/>
      <c r="AB8" s="26"/>
      <c r="AC8" s="26"/>
      <c r="AD8" s="26"/>
      <c r="AE8" s="26"/>
      <c r="AF8" s="26"/>
      <c r="AG8" s="26"/>
      <c r="AH8" s="26"/>
      <c r="AI8" s="26"/>
      <c r="AJ8" s="26"/>
      <c r="AK8" s="26"/>
      <c r="AL8" s="26"/>
      <c r="AM8" s="26"/>
      <c r="AN8" s="26"/>
      <c r="AO8" s="26"/>
      <c r="AP8" s="26"/>
    </row>
    <row r="9" ht="12.75" customHeight="1">
      <c r="A9" s="23">
        <f t="shared" si="7"/>
        <v>7</v>
      </c>
      <c r="B9" s="27"/>
      <c r="C9" s="27">
        <f>VLOOKUP($A9,reporting!$A:$D,COLUMN(last_reporting_year),FALSE)</f>
        <v>2019</v>
      </c>
      <c r="D9" s="27">
        <f t="shared" si="1"/>
        <v>2018</v>
      </c>
      <c r="E9" s="28" t="b">
        <f t="shared" si="2"/>
        <v>1</v>
      </c>
      <c r="F9" s="28" t="b">
        <f t="array" ref="F9">IF(ISNUMBER(index(scope_1,MATCH("id"&amp;$A9&amp;"year"&amp;$C9,ghg!$AR:$AR,0))),TRUE,FALSE)</f>
        <v>1</v>
      </c>
      <c r="G9" s="27" t="b">
        <f t="array" ref="G9">IF(ISNUMBER(index(scope_2_loc,MATCH("id"&amp;$A9&amp;"year"&amp;$C9,ghg!$AR:$AR,0))),TRUE,FALSE)</f>
        <v>1</v>
      </c>
      <c r="H9" s="27" t="b">
        <f t="array" ref="H9">IF(ISNUMBER(index(scope_2_mkt,MATCH("id"&amp;$A9&amp;"year"&amp;$C9,ghg!$AR:$AR,0))),TRUE,FALSE)</f>
        <v>1</v>
      </c>
      <c r="I9" s="28" t="b">
        <f t="shared" si="3"/>
        <v>1</v>
      </c>
      <c r="J9" s="28" t="b">
        <f t="array" ref="J9">IF(ISNUMBER(index(scope_1,MATCH("id"&amp;$A9&amp;"year"&amp;$D9,ghg!$AR:$AR,0))),TRUE,FALSE)</f>
        <v>1</v>
      </c>
      <c r="K9" s="27" t="b">
        <f t="array" ref="K9">IF(ISNUMBER(index(scope_2_loc,MATCH("id"&amp;$A9&amp;"year"&amp;$D9,ghg!$AR:$AR,0))),TRUE,FALSE)</f>
        <v>1</v>
      </c>
      <c r="L9" s="27" t="b">
        <f t="array" ref="L9">IF(ISNUMBER(index(scope_2_mkt,MATCH("id"&amp;$A9&amp;"year"&amp;$D9,ghg!$AR:$AR,0))),TRUE,FALSE)</f>
        <v>1</v>
      </c>
      <c r="M9" s="28" t="b">
        <f t="shared" si="4"/>
        <v>1</v>
      </c>
      <c r="N9" s="27"/>
      <c r="O9" s="26"/>
      <c r="P9" s="29" t="b">
        <f t="shared" si="5"/>
        <v>1</v>
      </c>
      <c r="Q9" s="30">
        <f t="shared" si="6"/>
        <v>0.05</v>
      </c>
      <c r="R9" s="26"/>
      <c r="S9" s="26"/>
      <c r="T9" s="26"/>
      <c r="U9" s="26"/>
      <c r="V9" s="26"/>
      <c r="W9" s="26"/>
      <c r="X9" s="26"/>
      <c r="Y9" s="26"/>
      <c r="Z9" s="26"/>
      <c r="AA9" s="26"/>
      <c r="AB9" s="26"/>
      <c r="AC9" s="26"/>
      <c r="AD9" s="26"/>
      <c r="AE9" s="26"/>
      <c r="AF9" s="26"/>
      <c r="AG9" s="26"/>
      <c r="AH9" s="26"/>
      <c r="AI9" s="26"/>
      <c r="AJ9" s="26"/>
      <c r="AK9" s="26"/>
      <c r="AL9" s="26"/>
      <c r="AM9" s="26"/>
      <c r="AN9" s="26"/>
      <c r="AO9" s="26"/>
      <c r="AP9" s="26"/>
    </row>
    <row r="10" ht="12.75" customHeight="1">
      <c r="A10" s="23">
        <f t="shared" si="7"/>
        <v>8</v>
      </c>
      <c r="B10" s="27"/>
      <c r="C10" s="27">
        <f>VLOOKUP($A10,reporting!$A:$D,COLUMN(last_reporting_year),FALSE)</f>
        <v>2020</v>
      </c>
      <c r="D10" s="27">
        <f t="shared" si="1"/>
        <v>2019</v>
      </c>
      <c r="E10" s="28" t="b">
        <f t="shared" si="2"/>
        <v>1</v>
      </c>
      <c r="F10" s="28" t="b">
        <f t="array" ref="F10">IF(ISNUMBER(index(scope_1,MATCH("id"&amp;$A10&amp;"year"&amp;$C10,ghg!$AR:$AR,0))),TRUE,FALSE)</f>
        <v>1</v>
      </c>
      <c r="G10" s="27" t="b">
        <f t="array" ref="G10">IF(ISNUMBER(index(scope_2_loc,MATCH("id"&amp;$A10&amp;"year"&amp;$C10,ghg!$AR:$AR,0))),TRUE,FALSE)</f>
        <v>1</v>
      </c>
      <c r="H10" s="27" t="b">
        <f t="array" ref="H10">IF(ISNUMBER(index(scope_2_mkt,MATCH("id"&amp;$A10&amp;"year"&amp;$C10,ghg!$AR:$AR,0))),TRUE,FALSE)</f>
        <v>1</v>
      </c>
      <c r="I10" s="28" t="b">
        <f t="shared" si="3"/>
        <v>1</v>
      </c>
      <c r="J10" s="28" t="b">
        <f t="array" ref="J10">IF(ISNUMBER(index(scope_1,MATCH("id"&amp;$A10&amp;"year"&amp;$D10,ghg!$AR:$AR,0))),TRUE,FALSE)</f>
        <v>1</v>
      </c>
      <c r="K10" s="27" t="b">
        <f t="array" ref="K10">IF(ISNUMBER(index(scope_2_loc,MATCH("id"&amp;$A10&amp;"year"&amp;$D10,ghg!$AR:$AR,0))),TRUE,FALSE)</f>
        <v>1</v>
      </c>
      <c r="L10" s="27" t="b">
        <f t="array" ref="L10">IF(ISNUMBER(index(scope_2_mkt,MATCH("id"&amp;$A10&amp;"year"&amp;$D10,ghg!$AR:$AR,0))),TRUE,FALSE)</f>
        <v>1</v>
      </c>
      <c r="M10" s="28" t="b">
        <f t="shared" si="4"/>
        <v>1</v>
      </c>
      <c r="N10" s="27"/>
      <c r="O10" s="26"/>
      <c r="P10" s="29" t="b">
        <f t="shared" si="5"/>
        <v>1</v>
      </c>
      <c r="Q10" s="30">
        <f t="shared" si="6"/>
        <v>0.05</v>
      </c>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row>
    <row r="11" ht="12.75" customHeight="1">
      <c r="A11" s="23">
        <f t="shared" si="7"/>
        <v>9</v>
      </c>
      <c r="B11" s="27"/>
      <c r="C11" s="27">
        <f>VLOOKUP($A11,reporting!$A:$D,COLUMN(last_reporting_year),FALSE)</f>
        <v>2020</v>
      </c>
      <c r="D11" s="27">
        <f t="shared" si="1"/>
        <v>2019</v>
      </c>
      <c r="E11" s="28" t="b">
        <f t="shared" si="2"/>
        <v>1</v>
      </c>
      <c r="F11" s="28" t="b">
        <f t="array" ref="F11">IF(ISNUMBER(index(scope_1,MATCH("id"&amp;$A11&amp;"year"&amp;$C11,ghg!$AR:$AR,0))),TRUE,FALSE)</f>
        <v>1</v>
      </c>
      <c r="G11" s="27" t="b">
        <f t="array" ref="G11">IF(ISNUMBER(index(scope_2_loc,MATCH("id"&amp;$A11&amp;"year"&amp;$C11,ghg!$AR:$AR,0))),TRUE,FALSE)</f>
        <v>0</v>
      </c>
      <c r="H11" s="27" t="b">
        <f t="array" ref="H11">IF(ISNUMBER(index(scope_2_mkt,MATCH("id"&amp;$A11&amp;"year"&amp;$C11,ghg!$AR:$AR,0))),TRUE,FALSE)</f>
        <v>1</v>
      </c>
      <c r="I11" s="28" t="b">
        <f t="shared" si="3"/>
        <v>1</v>
      </c>
      <c r="J11" s="28" t="b">
        <f t="array" ref="J11">IF(ISNUMBER(index(scope_1,MATCH("id"&amp;$A11&amp;"year"&amp;$D11,ghg!$AR:$AR,0))),TRUE,FALSE)</f>
        <v>1</v>
      </c>
      <c r="K11" s="27" t="b">
        <f t="array" ref="K11">IF(ISNUMBER(index(scope_2_loc,MATCH("id"&amp;$A11&amp;"year"&amp;$D11,ghg!$AR:$AR,0))),TRUE,FALSE)</f>
        <v>0</v>
      </c>
      <c r="L11" s="27" t="b">
        <f t="array" ref="L11">IF(ISNUMBER(index(scope_2_mkt,MATCH("id"&amp;$A11&amp;"year"&amp;$D11,ghg!$AR:$AR,0))),TRUE,FALSE)</f>
        <v>1</v>
      </c>
      <c r="M11" s="28" t="b">
        <f t="shared" si="4"/>
        <v>1</v>
      </c>
      <c r="N11" s="27"/>
      <c r="O11" s="26"/>
      <c r="P11" s="29" t="b">
        <f t="shared" si="5"/>
        <v>1</v>
      </c>
      <c r="Q11" s="30">
        <f t="shared" si="6"/>
        <v>0.05</v>
      </c>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row>
    <row r="12" ht="12.75" customHeight="1">
      <c r="A12" s="23">
        <f t="shared" si="7"/>
        <v>10</v>
      </c>
      <c r="B12" s="27"/>
      <c r="C12" s="27">
        <f>VLOOKUP($A12,reporting!$A:$D,COLUMN(last_reporting_year),FALSE)</f>
        <v>2019</v>
      </c>
      <c r="D12" s="27">
        <f t="shared" si="1"/>
        <v>2018</v>
      </c>
      <c r="E12" s="28" t="b">
        <f t="shared" si="2"/>
        <v>1</v>
      </c>
      <c r="F12" s="28" t="b">
        <f t="array" ref="F12">IF(ISNUMBER(index(scope_1,MATCH("id"&amp;$A12&amp;"year"&amp;$C12,ghg!$AR:$AR,0))),TRUE,FALSE)</f>
        <v>1</v>
      </c>
      <c r="G12" s="27" t="b">
        <f t="array" ref="G12">IF(ISNUMBER(index(scope_2_loc,MATCH("id"&amp;$A12&amp;"year"&amp;$C12,ghg!$AR:$AR,0))),TRUE,FALSE)</f>
        <v>1</v>
      </c>
      <c r="H12" s="27" t="b">
        <f t="array" ref="H12">IF(ISNUMBER(index(scope_2_mkt,MATCH("id"&amp;$A12&amp;"year"&amp;$C12,ghg!$AR:$AR,0))),TRUE,FALSE)</f>
        <v>1</v>
      </c>
      <c r="I12" s="28" t="b">
        <f t="shared" si="3"/>
        <v>1</v>
      </c>
      <c r="J12" s="28" t="b">
        <f t="array" ref="J12">IF(ISNUMBER(index(scope_1,MATCH("id"&amp;$A12&amp;"year"&amp;$D12,ghg!$AR:$AR,0))),TRUE,FALSE)</f>
        <v>1</v>
      </c>
      <c r="K12" s="27" t="b">
        <f t="array" ref="K12">IF(ISNUMBER(index(scope_2_loc,MATCH("id"&amp;$A12&amp;"year"&amp;$D12,ghg!$AR:$AR,0))),TRUE,FALSE)</f>
        <v>1</v>
      </c>
      <c r="L12" s="27" t="b">
        <f t="array" ref="L12">IF(ISNUMBER(index(scope_2_mkt,MATCH("id"&amp;$A12&amp;"year"&amp;$D12,ghg!$AR:$AR,0))),TRUE,FALSE)</f>
        <v>1</v>
      </c>
      <c r="M12" s="28" t="b">
        <f t="shared" si="4"/>
        <v>1</v>
      </c>
      <c r="N12" s="27"/>
      <c r="O12" s="26"/>
      <c r="P12" s="29" t="b">
        <f t="shared" si="5"/>
        <v>1</v>
      </c>
      <c r="Q12" s="30">
        <f t="shared" si="6"/>
        <v>0.05</v>
      </c>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row>
    <row r="13" ht="12.75" customHeight="1">
      <c r="A13" s="23">
        <f t="shared" si="7"/>
        <v>11</v>
      </c>
      <c r="B13" s="27"/>
      <c r="C13" s="27">
        <f>VLOOKUP($A13,reporting!$A:$D,COLUMN(last_reporting_year),FALSE)</f>
        <v>2020</v>
      </c>
      <c r="D13" s="27">
        <f t="shared" si="1"/>
        <v>2019</v>
      </c>
      <c r="E13" s="28" t="b">
        <f t="shared" si="2"/>
        <v>1</v>
      </c>
      <c r="F13" s="28" t="b">
        <f t="array" ref="F13">IF(ISNUMBER(index(scope_1,MATCH("id"&amp;$A13&amp;"year"&amp;$C13,ghg!$AR:$AR,0))),TRUE,FALSE)</f>
        <v>1</v>
      </c>
      <c r="G13" s="27" t="b">
        <f t="array" ref="G13">IF(ISNUMBER(index(scope_2_loc,MATCH("id"&amp;$A13&amp;"year"&amp;$C13,ghg!$AR:$AR,0))),TRUE,FALSE)</f>
        <v>0</v>
      </c>
      <c r="H13" s="27" t="b">
        <f t="array" ref="H13">IF(ISNUMBER(index(scope_2_mkt,MATCH("id"&amp;$A13&amp;"year"&amp;$C13,ghg!$AR:$AR,0))),TRUE,FALSE)</f>
        <v>1</v>
      </c>
      <c r="I13" s="28" t="b">
        <f t="shared" si="3"/>
        <v>1</v>
      </c>
      <c r="J13" s="28" t="b">
        <f t="array" ref="J13">IF(ISNUMBER(index(scope_1,MATCH("id"&amp;$A13&amp;"year"&amp;$D13,ghg!$AR:$AR,0))),TRUE,FALSE)</f>
        <v>1</v>
      </c>
      <c r="K13" s="27" t="b">
        <f t="array" ref="K13">IF(ISNUMBER(index(scope_2_loc,MATCH("id"&amp;$A13&amp;"year"&amp;$D13,ghg!$AR:$AR,0))),TRUE,FALSE)</f>
        <v>0</v>
      </c>
      <c r="L13" s="27" t="b">
        <f t="array" ref="L13">IF(ISNUMBER(index(scope_2_mkt,MATCH("id"&amp;$A13&amp;"year"&amp;$D13,ghg!$AR:$AR,0))),TRUE,FALSE)</f>
        <v>1</v>
      </c>
      <c r="M13" s="28" t="b">
        <f t="shared" si="4"/>
        <v>1</v>
      </c>
      <c r="N13" s="27"/>
      <c r="O13" s="26"/>
      <c r="P13" s="29" t="b">
        <f t="shared" si="5"/>
        <v>1</v>
      </c>
      <c r="Q13" s="30">
        <f t="shared" si="6"/>
        <v>0.05</v>
      </c>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row>
    <row r="14" ht="12.75" customHeight="1">
      <c r="A14" s="23">
        <f t="shared" si="7"/>
        <v>12</v>
      </c>
      <c r="B14" s="27"/>
      <c r="C14" s="27">
        <f>VLOOKUP($A14,reporting!$A:$D,COLUMN(last_reporting_year),FALSE)</f>
        <v>2019</v>
      </c>
      <c r="D14" s="27">
        <f t="shared" si="1"/>
        <v>2018</v>
      </c>
      <c r="E14" s="28" t="b">
        <f t="shared" si="2"/>
        <v>1</v>
      </c>
      <c r="F14" s="28" t="b">
        <f t="array" ref="F14">IF(ISNUMBER(index(scope_1,MATCH("id"&amp;$A14&amp;"year"&amp;$C14,ghg!$AR:$AR,0))),TRUE,FALSE)</f>
        <v>1</v>
      </c>
      <c r="G14" s="27" t="b">
        <f t="array" ref="G14">IF(ISNUMBER(index(scope_2_loc,MATCH("id"&amp;$A14&amp;"year"&amp;$C14,ghg!$AR:$AR,0))),TRUE,FALSE)</f>
        <v>0</v>
      </c>
      <c r="H14" s="27" t="b">
        <f t="array" ref="H14">IF(ISNUMBER(index(scope_2_mkt,MATCH("id"&amp;$A14&amp;"year"&amp;$C14,ghg!$AR:$AR,0))),TRUE,FALSE)</f>
        <v>1</v>
      </c>
      <c r="I14" s="28" t="b">
        <f t="shared" si="3"/>
        <v>1</v>
      </c>
      <c r="J14" s="28" t="b">
        <f t="array" ref="J14">IF(ISNUMBER(index(scope_1,MATCH("id"&amp;$A14&amp;"year"&amp;$D14,ghg!$AR:$AR,0))),TRUE,FALSE)</f>
        <v>1</v>
      </c>
      <c r="K14" s="27" t="b">
        <f t="array" ref="K14">IF(ISNUMBER(index(scope_2_loc,MATCH("id"&amp;$A14&amp;"year"&amp;$D14,ghg!$AR:$AR,0))),TRUE,FALSE)</f>
        <v>0</v>
      </c>
      <c r="L14" s="27" t="b">
        <f t="array" ref="L14">IF(ISNUMBER(index(scope_2_mkt,MATCH("id"&amp;$A14&amp;"year"&amp;$D14,ghg!$AR:$AR,0))),TRUE,FALSE)</f>
        <v>1</v>
      </c>
      <c r="M14" s="28" t="b">
        <f t="shared" si="4"/>
        <v>1</v>
      </c>
      <c r="N14" s="27"/>
      <c r="O14" s="26"/>
      <c r="P14" s="29" t="b">
        <f t="shared" si="5"/>
        <v>1</v>
      </c>
      <c r="Q14" s="30">
        <f t="shared" si="6"/>
        <v>0.05</v>
      </c>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row>
    <row r="15" ht="12.75" customHeight="1">
      <c r="A15" s="23">
        <f t="shared" si="7"/>
        <v>13</v>
      </c>
      <c r="B15" s="27"/>
      <c r="C15" s="27">
        <f>VLOOKUP($A15,reporting!$A:$D,COLUMN(last_reporting_year),FALSE)</f>
        <v>2019</v>
      </c>
      <c r="D15" s="27">
        <f t="shared" si="1"/>
        <v>2018</v>
      </c>
      <c r="E15" s="28" t="b">
        <f t="shared" si="2"/>
        <v>1</v>
      </c>
      <c r="F15" s="28" t="b">
        <f t="array" ref="F15">IF(ISNUMBER(index(scope_1,MATCH("id"&amp;$A15&amp;"year"&amp;$C15,ghg!$AR:$AR,0))),TRUE,FALSE)</f>
        <v>1</v>
      </c>
      <c r="G15" s="27" t="b">
        <f t="array" ref="G15">IF(ISNUMBER(index(scope_2_loc,MATCH("id"&amp;$A15&amp;"year"&amp;$C15,ghg!$AR:$AR,0))),TRUE,FALSE)</f>
        <v>1</v>
      </c>
      <c r="H15" s="27" t="b">
        <f t="array" ref="H15">IF(ISNUMBER(index(scope_2_mkt,MATCH("id"&amp;$A15&amp;"year"&amp;$C15,ghg!$AR:$AR,0))),TRUE,FALSE)</f>
        <v>1</v>
      </c>
      <c r="I15" s="28" t="b">
        <f t="shared" si="3"/>
        <v>1</v>
      </c>
      <c r="J15" s="28" t="b">
        <f t="array" ref="J15">IF(ISNUMBER(index(scope_1,MATCH("id"&amp;$A15&amp;"year"&amp;$D15,ghg!$AR:$AR,0))),TRUE,FALSE)</f>
        <v>1</v>
      </c>
      <c r="K15" s="27" t="b">
        <f t="array" ref="K15">IF(ISNUMBER(index(scope_2_loc,MATCH("id"&amp;$A15&amp;"year"&amp;$D15,ghg!$AR:$AR,0))),TRUE,FALSE)</f>
        <v>0</v>
      </c>
      <c r="L15" s="27" t="b">
        <f t="array" ref="L15">IF(ISNUMBER(index(scope_2_mkt,MATCH("id"&amp;$A15&amp;"year"&amp;$D15,ghg!$AR:$AR,0))),TRUE,FALSE)</f>
        <v>1</v>
      </c>
      <c r="M15" s="28" t="b">
        <f t="shared" si="4"/>
        <v>1</v>
      </c>
      <c r="N15" s="27"/>
      <c r="O15" s="26"/>
      <c r="P15" s="29" t="b">
        <f t="shared" si="5"/>
        <v>1</v>
      </c>
      <c r="Q15" s="30">
        <f t="shared" si="6"/>
        <v>0.05</v>
      </c>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row>
    <row r="16" ht="12.75" customHeight="1">
      <c r="A16" s="23">
        <f t="shared" si="7"/>
        <v>14</v>
      </c>
      <c r="B16" s="27"/>
      <c r="C16" s="27">
        <f>VLOOKUP($A16,reporting!$A:$D,COLUMN(last_reporting_year),FALSE)</f>
        <v>2020</v>
      </c>
      <c r="D16" s="27">
        <f t="shared" si="1"/>
        <v>2019</v>
      </c>
      <c r="E16" s="28" t="b">
        <f t="shared" si="2"/>
        <v>1</v>
      </c>
      <c r="F16" s="28" t="b">
        <f t="array" ref="F16">IF(ISNUMBER(index(scope_1,MATCH("id"&amp;$A16&amp;"year"&amp;$C16,ghg!$AR:$AR,0))),TRUE,FALSE)</f>
        <v>1</v>
      </c>
      <c r="G16" s="27" t="b">
        <f t="array" ref="G16">IF(ISNUMBER(index(scope_2_loc,MATCH("id"&amp;$A16&amp;"year"&amp;$C16,ghg!$AR:$AR,0))),TRUE,FALSE)</f>
        <v>1</v>
      </c>
      <c r="H16" s="27" t="b">
        <f t="array" ref="H16">IF(ISNUMBER(index(scope_2_mkt,MATCH("id"&amp;$A16&amp;"year"&amp;$C16,ghg!$AR:$AR,0))),TRUE,FALSE)</f>
        <v>1</v>
      </c>
      <c r="I16" s="28" t="b">
        <f t="shared" si="3"/>
        <v>1</v>
      </c>
      <c r="J16" s="28" t="b">
        <f t="array" ref="J16">IF(ISNUMBER(index(scope_1,MATCH("id"&amp;$A16&amp;"year"&amp;$D16,ghg!$AR:$AR,0))),TRUE,FALSE)</f>
        <v>1</v>
      </c>
      <c r="K16" s="27" t="b">
        <f t="array" ref="K16">IF(ISNUMBER(index(scope_2_loc,MATCH("id"&amp;$A16&amp;"year"&amp;$D16,ghg!$AR:$AR,0))),TRUE,FALSE)</f>
        <v>0</v>
      </c>
      <c r="L16" s="27" t="b">
        <f t="array" ref="L16">IF(ISNUMBER(index(scope_2_mkt,MATCH("id"&amp;$A16&amp;"year"&amp;$D16,ghg!$AR:$AR,0))),TRUE,FALSE)</f>
        <v>1</v>
      </c>
      <c r="M16" s="28" t="b">
        <f t="shared" si="4"/>
        <v>1</v>
      </c>
      <c r="N16" s="27"/>
      <c r="O16" s="26"/>
      <c r="P16" s="29" t="b">
        <f t="shared" si="5"/>
        <v>1</v>
      </c>
      <c r="Q16" s="30">
        <f t="shared" si="6"/>
        <v>0.05</v>
      </c>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row>
    <row r="17" ht="12.75" customHeight="1">
      <c r="A17" s="23">
        <f t="shared" si="7"/>
        <v>15</v>
      </c>
      <c r="B17" s="27"/>
      <c r="C17" s="27">
        <f>VLOOKUP($A17,reporting!$A:$D,COLUMN(last_reporting_year),FALSE)</f>
        <v>2019</v>
      </c>
      <c r="D17" s="27">
        <f t="shared" si="1"/>
        <v>2018</v>
      </c>
      <c r="E17" s="28" t="b">
        <f t="shared" si="2"/>
        <v>1</v>
      </c>
      <c r="F17" s="28" t="b">
        <f t="array" ref="F17">IF(ISNUMBER(index(scope_1,MATCH("id"&amp;$A17&amp;"year"&amp;$C17,ghg!$AR:$AR,0))),TRUE,FALSE)</f>
        <v>1</v>
      </c>
      <c r="G17" s="27" t="b">
        <f t="array" ref="G17">IF(ISNUMBER(index(scope_2_loc,MATCH("id"&amp;$A17&amp;"year"&amp;$C17,ghg!$AR:$AR,0))),TRUE,FALSE)</f>
        <v>1</v>
      </c>
      <c r="H17" s="27" t="b">
        <f t="array" ref="H17">IF(ISNUMBER(index(scope_2_mkt,MATCH("id"&amp;$A17&amp;"year"&amp;$C17,ghg!$AR:$AR,0))),TRUE,FALSE)</f>
        <v>1</v>
      </c>
      <c r="I17" s="28" t="b">
        <f t="shared" si="3"/>
        <v>1</v>
      </c>
      <c r="J17" s="28" t="b">
        <f t="array" ref="J17">IF(ISNUMBER(index(scope_1,MATCH("id"&amp;$A17&amp;"year"&amp;$D17,ghg!$AR:$AR,0))),TRUE,FALSE)</f>
        <v>1</v>
      </c>
      <c r="K17" s="27" t="b">
        <f t="array" ref="K17">IF(ISNUMBER(index(scope_2_loc,MATCH("id"&amp;$A17&amp;"year"&amp;$D17,ghg!$AR:$AR,0))),TRUE,FALSE)</f>
        <v>1</v>
      </c>
      <c r="L17" s="27" t="b">
        <f t="array" ref="L17">IF(ISNUMBER(index(scope_2_mkt,MATCH("id"&amp;$A17&amp;"year"&amp;$D17,ghg!$AR:$AR,0))),TRUE,FALSE)</f>
        <v>1</v>
      </c>
      <c r="M17" s="28" t="b">
        <f t="shared" si="4"/>
        <v>1</v>
      </c>
      <c r="N17" s="27"/>
      <c r="O17" s="26"/>
      <c r="P17" s="29" t="b">
        <f t="shared" si="5"/>
        <v>1</v>
      </c>
      <c r="Q17" s="30">
        <f t="shared" si="6"/>
        <v>0.05</v>
      </c>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row>
    <row r="18" ht="12.75" customHeight="1">
      <c r="A18" s="23">
        <f t="shared" si="7"/>
        <v>16</v>
      </c>
      <c r="B18" s="27"/>
      <c r="C18" s="27">
        <f>VLOOKUP($A18,reporting!$A:$D,COLUMN(last_reporting_year),FALSE)</f>
        <v>2020</v>
      </c>
      <c r="D18" s="27">
        <f t="shared" si="1"/>
        <v>2019</v>
      </c>
      <c r="E18" s="28" t="b">
        <f t="shared" si="2"/>
        <v>1</v>
      </c>
      <c r="F18" s="28" t="b">
        <f t="array" ref="F18">IF(ISNUMBER(index(scope_1,MATCH("id"&amp;$A18&amp;"year"&amp;$C18,ghg!$AR:$AR,0))),TRUE,FALSE)</f>
        <v>1</v>
      </c>
      <c r="G18" s="27" t="b">
        <f t="array" ref="G18">IF(ISNUMBER(index(scope_2_loc,MATCH("id"&amp;$A18&amp;"year"&amp;$C18,ghg!$AR:$AR,0))),TRUE,FALSE)</f>
        <v>1</v>
      </c>
      <c r="H18" s="27" t="b">
        <f t="array" ref="H18">IF(ISNUMBER(index(scope_2_mkt,MATCH("id"&amp;$A18&amp;"year"&amp;$C18,ghg!$AR:$AR,0))),TRUE,FALSE)</f>
        <v>1</v>
      </c>
      <c r="I18" s="28" t="b">
        <f t="shared" si="3"/>
        <v>1</v>
      </c>
      <c r="J18" s="28" t="b">
        <f t="array" ref="J18">IF(ISNUMBER(index(scope_1,MATCH("id"&amp;$A18&amp;"year"&amp;$D18,ghg!$AR:$AR,0))),TRUE,FALSE)</f>
        <v>1</v>
      </c>
      <c r="K18" s="27" t="b">
        <f t="array" ref="K18">IF(ISNUMBER(index(scope_2_loc,MATCH("id"&amp;$A18&amp;"year"&amp;$D18,ghg!$AR:$AR,0))),TRUE,FALSE)</f>
        <v>1</v>
      </c>
      <c r="L18" s="27" t="b">
        <f t="array" ref="L18">IF(ISNUMBER(index(scope_2_mkt,MATCH("id"&amp;$A18&amp;"year"&amp;$D18,ghg!$AR:$AR,0))),TRUE,FALSE)</f>
        <v>1</v>
      </c>
      <c r="M18" s="28" t="b">
        <f t="shared" si="4"/>
        <v>1</v>
      </c>
      <c r="N18" s="27"/>
      <c r="O18" s="26"/>
      <c r="P18" s="29" t="b">
        <f t="shared" si="5"/>
        <v>1</v>
      </c>
      <c r="Q18" s="30">
        <f t="shared" si="6"/>
        <v>0.05</v>
      </c>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row>
    <row r="19" ht="12.75" customHeight="1">
      <c r="A19" s="23">
        <f t="shared" si="7"/>
        <v>17</v>
      </c>
      <c r="B19" s="27"/>
      <c r="C19" s="27" t="str">
        <f>VLOOKUP($A19,reporting!$A:$D,COLUMN(last_reporting_year),FALSE)</f>
        <v>NR</v>
      </c>
      <c r="D19" s="27" t="str">
        <f t="shared" si="1"/>
        <v>NR</v>
      </c>
      <c r="E19" s="28" t="b">
        <f t="shared" si="2"/>
        <v>0</v>
      </c>
      <c r="F19" s="28" t="b">
        <f t="array" ref="F19">IF(ISNUMBER(index(scope_1,MATCH("id"&amp;$A19&amp;"year"&amp;$C19,ghg!$AR:$AR,0))),TRUE,FALSE)</f>
        <v>0</v>
      </c>
      <c r="G19" s="27" t="b">
        <f t="array" ref="G19">IF(ISNUMBER(index(scope_2_loc,MATCH("id"&amp;$A19&amp;"year"&amp;$C19,ghg!$AR:$AR,0))),TRUE,FALSE)</f>
        <v>0</v>
      </c>
      <c r="H19" s="27" t="b">
        <f t="array" ref="H19">IF(ISNUMBER(index(scope_2_mkt,MATCH("id"&amp;$A19&amp;"year"&amp;$C19,ghg!$AR:$AR,0))),TRUE,FALSE)</f>
        <v>0</v>
      </c>
      <c r="I19" s="28" t="b">
        <f t="shared" si="3"/>
        <v>0</v>
      </c>
      <c r="J19" s="28" t="b">
        <f t="array" ref="J19">IF(ISNUMBER(index(scope_1,MATCH("id"&amp;$A19&amp;"year"&amp;$D19,ghg!$AR:$AR,0))),TRUE,FALSE)</f>
        <v>0</v>
      </c>
      <c r="K19" s="27" t="b">
        <f t="array" ref="K19">IF(ISNUMBER(index(scope_2_loc,MATCH("id"&amp;$A19&amp;"year"&amp;$D19,ghg!$AR:$AR,0))),TRUE,FALSE)</f>
        <v>0</v>
      </c>
      <c r="L19" s="27" t="b">
        <f t="array" ref="L19">IF(ISNUMBER(index(scope_2_mkt,MATCH("id"&amp;$A19&amp;"year"&amp;$D19,ghg!$AR:$AR,0))),TRUE,FALSE)</f>
        <v>0</v>
      </c>
      <c r="M19" s="28" t="b">
        <f t="shared" si="4"/>
        <v>0</v>
      </c>
      <c r="N19" s="27"/>
      <c r="O19" s="26"/>
      <c r="P19" s="29" t="b">
        <f t="shared" si="5"/>
        <v>0</v>
      </c>
      <c r="Q19" s="30">
        <f t="shared" si="6"/>
        <v>0</v>
      </c>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row>
    <row r="20" ht="12.75" customHeight="1">
      <c r="A20" s="23">
        <f t="shared" si="7"/>
        <v>18</v>
      </c>
      <c r="B20" s="27"/>
      <c r="C20" s="27">
        <f>VLOOKUP($A20,reporting!$A:$D,COLUMN(last_reporting_year),FALSE)</f>
        <v>2020</v>
      </c>
      <c r="D20" s="27">
        <f t="shared" si="1"/>
        <v>2019</v>
      </c>
      <c r="E20" s="28" t="b">
        <f t="shared" si="2"/>
        <v>1</v>
      </c>
      <c r="F20" s="28" t="b">
        <f t="array" ref="F20">IF(ISNUMBER(index(scope_1,MATCH("id"&amp;$A20&amp;"year"&amp;$C20,ghg!$AR:$AR,0))),TRUE,FALSE)</f>
        <v>1</v>
      </c>
      <c r="G20" s="27" t="b">
        <f t="array" ref="G20">IF(ISNUMBER(index(scope_2_loc,MATCH("id"&amp;$A20&amp;"year"&amp;$C20,ghg!$AR:$AR,0))),TRUE,FALSE)</f>
        <v>1</v>
      </c>
      <c r="H20" s="27" t="b">
        <f t="array" ref="H20">IF(ISNUMBER(index(scope_2_mkt,MATCH("id"&amp;$A20&amp;"year"&amp;$C20,ghg!$AR:$AR,0))),TRUE,FALSE)</f>
        <v>1</v>
      </c>
      <c r="I20" s="28" t="b">
        <f t="shared" si="3"/>
        <v>1</v>
      </c>
      <c r="J20" s="28" t="b">
        <f t="array" ref="J20">IF(ISNUMBER(index(scope_1,MATCH("id"&amp;$A20&amp;"year"&amp;$D20,ghg!$AR:$AR,0))),TRUE,FALSE)</f>
        <v>1</v>
      </c>
      <c r="K20" s="27" t="b">
        <f t="array" ref="K20">IF(ISNUMBER(index(scope_2_loc,MATCH("id"&amp;$A20&amp;"year"&amp;$D20,ghg!$AR:$AR,0))),TRUE,FALSE)</f>
        <v>1</v>
      </c>
      <c r="L20" s="27" t="b">
        <f t="array" ref="L20">IF(ISNUMBER(index(scope_2_mkt,MATCH("id"&amp;$A20&amp;"year"&amp;$D20,ghg!$AR:$AR,0))),TRUE,FALSE)</f>
        <v>1</v>
      </c>
      <c r="M20" s="28" t="b">
        <f t="shared" si="4"/>
        <v>1</v>
      </c>
      <c r="N20" s="27"/>
      <c r="O20" s="26"/>
      <c r="P20" s="29" t="b">
        <f t="shared" si="5"/>
        <v>1</v>
      </c>
      <c r="Q20" s="30">
        <f t="shared" si="6"/>
        <v>0.05</v>
      </c>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row>
    <row r="21" ht="12.75" customHeight="1">
      <c r="A21" s="23">
        <f t="shared" si="7"/>
        <v>19</v>
      </c>
      <c r="B21" s="27"/>
      <c r="C21" s="27">
        <f>VLOOKUP($A21,reporting!$A:$D,COLUMN(last_reporting_year),FALSE)</f>
        <v>2020</v>
      </c>
      <c r="D21" s="27">
        <f t="shared" si="1"/>
        <v>2019</v>
      </c>
      <c r="E21" s="28" t="b">
        <f t="shared" si="2"/>
        <v>1</v>
      </c>
      <c r="F21" s="28" t="b">
        <f t="array" ref="F21">IF(ISNUMBER(index(scope_1,MATCH("id"&amp;$A21&amp;"year"&amp;$C21,ghg!$AR:$AR,0))),TRUE,FALSE)</f>
        <v>1</v>
      </c>
      <c r="G21" s="27" t="b">
        <f t="array" ref="G21">IF(ISNUMBER(index(scope_2_loc,MATCH("id"&amp;$A21&amp;"year"&amp;$C21,ghg!$AR:$AR,0))),TRUE,FALSE)</f>
        <v>1</v>
      </c>
      <c r="H21" s="27" t="b">
        <f t="array" ref="H21">IF(ISNUMBER(index(scope_2_mkt,MATCH("id"&amp;$A21&amp;"year"&amp;$C21,ghg!$AR:$AR,0))),TRUE,FALSE)</f>
        <v>1</v>
      </c>
      <c r="I21" s="28" t="b">
        <f t="shared" si="3"/>
        <v>1</v>
      </c>
      <c r="J21" s="28" t="b">
        <f t="array" ref="J21">IF(ISNUMBER(index(scope_1,MATCH("id"&amp;$A21&amp;"year"&amp;$D21,ghg!$AR:$AR,0))),TRUE,FALSE)</f>
        <v>1</v>
      </c>
      <c r="K21" s="27" t="b">
        <f t="array" ref="K21">IF(ISNUMBER(index(scope_2_loc,MATCH("id"&amp;$A21&amp;"year"&amp;$D21,ghg!$AR:$AR,0))),TRUE,FALSE)</f>
        <v>1</v>
      </c>
      <c r="L21" s="27" t="b">
        <f t="array" ref="L21">IF(ISNUMBER(index(scope_2_mkt,MATCH("id"&amp;$A21&amp;"year"&amp;$D21,ghg!$AR:$AR,0))),TRUE,FALSE)</f>
        <v>1</v>
      </c>
      <c r="M21" s="28" t="b">
        <f t="shared" si="4"/>
        <v>1</v>
      </c>
      <c r="N21" s="27"/>
      <c r="O21" s="26"/>
      <c r="P21" s="29" t="b">
        <f t="shared" si="5"/>
        <v>1</v>
      </c>
      <c r="Q21" s="30">
        <f t="shared" si="6"/>
        <v>0.05</v>
      </c>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row>
    <row r="22" ht="12.75" customHeight="1">
      <c r="A22" s="31">
        <v>66.0</v>
      </c>
      <c r="B22" s="27"/>
      <c r="C22" s="27">
        <f>VLOOKUP($A22,reporting!$A:$D,COLUMN(last_reporting_year),FALSE)</f>
        <v>2020</v>
      </c>
      <c r="D22" s="27">
        <f t="shared" si="1"/>
        <v>2019</v>
      </c>
      <c r="E22" s="28" t="b">
        <f t="shared" si="2"/>
        <v>1</v>
      </c>
      <c r="F22" s="28" t="b">
        <f t="array" ref="F22">IF(ISNUMBER(index(scope_1,MATCH("id"&amp;$A22&amp;"year"&amp;$C22,ghg!$AR:$AR,0))),TRUE,FALSE)</f>
        <v>1</v>
      </c>
      <c r="G22" s="27" t="b">
        <f t="array" ref="G22">IF(ISNUMBER(index(scope_2_loc,MATCH("id"&amp;$A22&amp;"year"&amp;$C22,ghg!$AR:$AR,0))),TRUE,FALSE)</f>
        <v>1</v>
      </c>
      <c r="H22" s="27" t="b">
        <f t="array" ref="H22">IF(ISNUMBER(index(scope_2_mkt,MATCH("id"&amp;$A22&amp;"year"&amp;$C22,ghg!$AR:$AR,0))),TRUE,FALSE)</f>
        <v>1</v>
      </c>
      <c r="I22" s="28" t="b">
        <f t="shared" si="3"/>
        <v>1</v>
      </c>
      <c r="J22" s="28" t="b">
        <f t="array" ref="J22">IF(ISNUMBER(index(scope_1,MATCH("id"&amp;$A22&amp;"year"&amp;$D22,ghg!$AR:$AR,0))),TRUE,FALSE)</f>
        <v>1</v>
      </c>
      <c r="K22" s="27" t="b">
        <f t="array" ref="K22">IF(ISNUMBER(index(scope_2_loc,MATCH("id"&amp;$A22&amp;"year"&amp;$D22,ghg!$AR:$AR,0))),TRUE,FALSE)</f>
        <v>1</v>
      </c>
      <c r="L22" s="27" t="b">
        <f t="array" ref="L22">IF(ISNUMBER(index(scope_2_mkt,MATCH("id"&amp;$A22&amp;"year"&amp;$D22,ghg!$AR:$AR,0))),TRUE,FALSE)</f>
        <v>1</v>
      </c>
      <c r="M22" s="28" t="b">
        <f t="shared" si="4"/>
        <v>1</v>
      </c>
      <c r="N22" s="27"/>
      <c r="O22" s="26"/>
      <c r="P22" s="29" t="b">
        <f t="shared" si="5"/>
        <v>1</v>
      </c>
      <c r="Q22" s="30">
        <f t="shared" si="6"/>
        <v>0.05</v>
      </c>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71"/>
    <col customWidth="1" min="2" max="2" width="9.57"/>
    <col customWidth="1" min="3" max="13" width="10.71"/>
    <col customWidth="1" min="14" max="14" width="5.71"/>
    <col customWidth="1" min="15" max="19" width="11.57"/>
    <col customWidth="1" min="20" max="20" width="14.71"/>
    <col customWidth="1" min="21" max="46" width="8.71"/>
  </cols>
  <sheetData>
    <row r="1" ht="12.75" customHeight="1">
      <c r="A1" s="17" t="s">
        <v>2</v>
      </c>
      <c r="B1" s="18"/>
      <c r="C1" s="19" t="s">
        <v>537</v>
      </c>
      <c r="D1" s="19" t="s">
        <v>538</v>
      </c>
      <c r="E1" s="20" t="s">
        <v>549</v>
      </c>
      <c r="F1" s="19" t="s">
        <v>557</v>
      </c>
      <c r="G1" s="19" t="s">
        <v>558</v>
      </c>
      <c r="H1" s="19" t="s">
        <v>559</v>
      </c>
      <c r="I1" s="19" t="s">
        <v>560</v>
      </c>
      <c r="J1" s="19" t="s">
        <v>561</v>
      </c>
      <c r="K1" s="19" t="s">
        <v>562</v>
      </c>
      <c r="L1" s="19" t="s">
        <v>563</v>
      </c>
      <c r="M1" s="19" t="s">
        <v>564</v>
      </c>
      <c r="N1" s="19"/>
      <c r="O1" s="19" t="s">
        <v>565</v>
      </c>
      <c r="P1" s="19" t="s">
        <v>566</v>
      </c>
      <c r="Q1" s="19" t="s">
        <v>567</v>
      </c>
      <c r="R1" s="19" t="s">
        <v>568</v>
      </c>
      <c r="S1" s="21" t="s">
        <v>548</v>
      </c>
      <c r="T1" s="22" t="s">
        <v>569</v>
      </c>
      <c r="U1" s="20" t="s">
        <v>570</v>
      </c>
    </row>
    <row r="2">
      <c r="A2" s="23"/>
      <c r="B2" s="24"/>
      <c r="C2" s="24"/>
      <c r="D2" s="24"/>
      <c r="E2" s="24"/>
      <c r="F2" s="24" t="s">
        <v>571</v>
      </c>
      <c r="G2" s="24" t="s">
        <v>572</v>
      </c>
      <c r="H2" s="24" t="s">
        <v>573</v>
      </c>
      <c r="I2" s="32" t="s">
        <v>574</v>
      </c>
      <c r="J2" s="24" t="s">
        <v>571</v>
      </c>
      <c r="K2" s="24" t="s">
        <v>572</v>
      </c>
      <c r="L2" s="24" t="s">
        <v>573</v>
      </c>
      <c r="M2" s="32" t="s">
        <v>574</v>
      </c>
      <c r="N2" s="19"/>
      <c r="O2" s="33">
        <v>0.95</v>
      </c>
      <c r="P2" s="33">
        <v>0.95</v>
      </c>
      <c r="Q2" s="33">
        <v>0.95</v>
      </c>
      <c r="R2" s="33">
        <v>0.95</v>
      </c>
      <c r="S2" s="25">
        <v>0.05</v>
      </c>
      <c r="T2" s="24"/>
      <c r="U2" s="24"/>
      <c r="V2" s="26"/>
      <c r="W2" s="26"/>
      <c r="X2" s="26"/>
      <c r="Y2" s="26"/>
      <c r="Z2" s="26"/>
      <c r="AA2" s="26"/>
      <c r="AB2" s="26"/>
      <c r="AC2" s="26"/>
      <c r="AD2" s="26"/>
      <c r="AE2" s="26"/>
      <c r="AF2" s="26"/>
      <c r="AG2" s="26"/>
      <c r="AH2" s="26"/>
      <c r="AI2" s="26"/>
      <c r="AJ2" s="26"/>
      <c r="AK2" s="26"/>
      <c r="AL2" s="26"/>
      <c r="AM2" s="26"/>
      <c r="AN2" s="26"/>
      <c r="AO2" s="26"/>
      <c r="AP2" s="26"/>
      <c r="AQ2" s="26"/>
      <c r="AR2" s="26"/>
      <c r="AS2" s="26"/>
      <c r="AT2" s="26"/>
    </row>
    <row r="3" ht="12.75" customHeight="1">
      <c r="A3" s="23">
        <v>1.0</v>
      </c>
      <c r="B3" s="27"/>
      <c r="C3" s="27">
        <f>VLOOKUP($A3,reporting!$A:$D,COLUMN(last_reporting_year),FALSE)</f>
        <v>2020</v>
      </c>
      <c r="D3" s="27">
        <f t="shared" ref="D3:D22" si="2">IF(ISNUMBER(C3),C3-1,"NR")</f>
        <v>2019</v>
      </c>
      <c r="E3" s="28" t="b">
        <f>VLOOKUP($A3,test1_1!$A:$Q,COLUMN(test1_1!P:P),FALSE)</f>
        <v>1</v>
      </c>
      <c r="F3" s="34">
        <f t="array" ref="F3">IF($E3,index(scope_1_verif,MATCH("id"&amp;$A3&amp;"year"&amp;$C3,ghg!$AR:$AR,0)),0)</f>
        <v>1</v>
      </c>
      <c r="G3" s="34">
        <f t="array" ref="G3">IF($E3,index(scope_2_loc_verif,MATCH("id"&amp;$A3&amp;"year"&amp;$C3,ghg!$AR:$AR,0)),0)</f>
        <v>1</v>
      </c>
      <c r="H3" s="34">
        <f t="array" ref="H3">IF($E3,index(scope_2_mkt_verif,MATCH("id"&amp;$A3&amp;"year"&amp;$C3,ghg!$AR:$AR,0)),0)</f>
        <v>1</v>
      </c>
      <c r="I3" s="35">
        <f t="shared" ref="I3:I22" si="3">max(G3,H3)</f>
        <v>1</v>
      </c>
      <c r="J3" s="34">
        <f t="array" ref="J3">IF($E3,index(scope_1_verif,MATCH("id"&amp;$A3&amp;"year"&amp;$D3,ghg!$AR:$AR,0)),0)</f>
        <v>1</v>
      </c>
      <c r="K3" s="34">
        <f t="array" ref="K3">IF($E3,index(scope_2_loc_verif,MATCH("id"&amp;$A3&amp;"year"&amp;$D3,ghg!$AR:$AR,0)),0)</f>
        <v>1</v>
      </c>
      <c r="L3" s="34">
        <f t="array" ref="L3">IF($E3,index(scope_2_mkt_verif,MATCH("id"&amp;$A3&amp;"year"&amp;$D3,ghg!$AR:$AR,0)),0)</f>
        <v>1</v>
      </c>
      <c r="M3" s="35">
        <f t="shared" ref="M3:M22" si="4">max(K3,L3)</f>
        <v>1</v>
      </c>
      <c r="N3" s="27"/>
      <c r="O3" s="26" t="b">
        <f t="shared" ref="O3:R3" si="1">(F3&gt;=O$2)</f>
        <v>1</v>
      </c>
      <c r="P3" s="26" t="b">
        <f t="shared" si="1"/>
        <v>1</v>
      </c>
      <c r="Q3" s="26" t="b">
        <f t="shared" si="1"/>
        <v>1</v>
      </c>
      <c r="R3" s="26" t="b">
        <f t="shared" si="1"/>
        <v>1</v>
      </c>
      <c r="S3" s="26"/>
      <c r="T3" s="29" t="b">
        <f t="shared" ref="T3:T22" si="6">AND(O3,P3,Q3,R3)</f>
        <v>1</v>
      </c>
      <c r="U3" s="30">
        <f t="shared" ref="U3:U22" si="7">T3*S$2</f>
        <v>0.05</v>
      </c>
      <c r="V3" s="26"/>
      <c r="W3" s="26"/>
      <c r="X3" s="26"/>
      <c r="Y3" s="26"/>
      <c r="Z3" s="26"/>
      <c r="AA3" s="26"/>
      <c r="AB3" s="26"/>
      <c r="AC3" s="26"/>
      <c r="AD3" s="26"/>
      <c r="AE3" s="26"/>
      <c r="AF3" s="26"/>
      <c r="AG3" s="26"/>
      <c r="AH3" s="26"/>
      <c r="AI3" s="26"/>
      <c r="AJ3" s="26"/>
      <c r="AK3" s="26"/>
      <c r="AL3" s="26"/>
      <c r="AM3" s="26"/>
      <c r="AN3" s="26"/>
      <c r="AO3" s="26"/>
      <c r="AP3" s="26"/>
      <c r="AQ3" s="26"/>
      <c r="AR3" s="26"/>
      <c r="AS3" s="26"/>
      <c r="AT3" s="26"/>
    </row>
    <row r="4" ht="12.75" customHeight="1">
      <c r="A4" s="23">
        <f t="shared" ref="A4:A21" si="8">A3+1</f>
        <v>2</v>
      </c>
      <c r="B4" s="27"/>
      <c r="C4" s="27">
        <f>VLOOKUP($A4,reporting!$A:$D,COLUMN(last_reporting_year),FALSE)</f>
        <v>2020</v>
      </c>
      <c r="D4" s="27">
        <f t="shared" si="2"/>
        <v>2019</v>
      </c>
      <c r="E4" s="28" t="b">
        <f>VLOOKUP($A4,test1_1!$A:$Q,COLUMN(test1_1!P:P),FALSE)</f>
        <v>1</v>
      </c>
      <c r="F4" s="34" t="str">
        <f t="array" ref="F4">IF($E4,index(scope_1_verif,MATCH("id"&amp;$A4&amp;"year"&amp;$C4,ghg!$AR:$AR,0)),0)</f>
        <v/>
      </c>
      <c r="G4" s="34" t="str">
        <f t="array" ref="G4">IF($E4,index(scope_2_loc_verif,MATCH("id"&amp;$A4&amp;"year"&amp;$C4,ghg!$AR:$AR,0)),0)</f>
        <v/>
      </c>
      <c r="H4" s="34" t="str">
        <f t="array" ref="H4">IF($E4,index(scope_2_mkt_verif,MATCH("id"&amp;$A4&amp;"year"&amp;$C4,ghg!$AR:$AR,0)),0)</f>
        <v/>
      </c>
      <c r="I4" s="35">
        <f t="shared" si="3"/>
        <v>0</v>
      </c>
      <c r="J4" s="34" t="str">
        <f t="array" ref="J4">IF($E4,index(scope_1_verif,MATCH("id"&amp;$A4&amp;"year"&amp;$D4,ghg!$AR:$AR,0)),0)</f>
        <v/>
      </c>
      <c r="K4" s="34" t="str">
        <f t="array" ref="K4">IF($E4,index(scope_2_loc_verif,MATCH("id"&amp;$A4&amp;"year"&amp;$D4,ghg!$AR:$AR,0)),0)</f>
        <v/>
      </c>
      <c r="L4" s="34" t="str">
        <f t="array" ref="L4">IF($E4,index(scope_2_mkt_verif,MATCH("id"&amp;$A4&amp;"year"&amp;$D4,ghg!$AR:$AR,0)),0)</f>
        <v/>
      </c>
      <c r="M4" s="35">
        <f t="shared" si="4"/>
        <v>0</v>
      </c>
      <c r="N4" s="27"/>
      <c r="O4" s="26" t="b">
        <f t="shared" ref="O4:R4" si="5">(F4&gt;=O$2)</f>
        <v>0</v>
      </c>
      <c r="P4" s="26" t="b">
        <f t="shared" si="5"/>
        <v>0</v>
      </c>
      <c r="Q4" s="26" t="b">
        <f t="shared" si="5"/>
        <v>0</v>
      </c>
      <c r="R4" s="26" t="b">
        <f t="shared" si="5"/>
        <v>0</v>
      </c>
      <c r="S4" s="26"/>
      <c r="T4" s="29" t="b">
        <f t="shared" si="6"/>
        <v>0</v>
      </c>
      <c r="U4" s="30">
        <f t="shared" si="7"/>
        <v>0</v>
      </c>
      <c r="V4" s="26"/>
      <c r="W4" s="26"/>
      <c r="X4" s="26"/>
      <c r="Y4" s="26"/>
      <c r="Z4" s="26"/>
      <c r="AA4" s="26"/>
      <c r="AB4" s="26"/>
      <c r="AC4" s="26"/>
      <c r="AD4" s="26"/>
      <c r="AE4" s="26"/>
      <c r="AF4" s="26"/>
      <c r="AG4" s="26"/>
      <c r="AH4" s="26"/>
      <c r="AI4" s="26"/>
      <c r="AJ4" s="26"/>
      <c r="AK4" s="26"/>
      <c r="AL4" s="26"/>
      <c r="AM4" s="26"/>
      <c r="AN4" s="26"/>
      <c r="AO4" s="26"/>
      <c r="AP4" s="26"/>
      <c r="AQ4" s="26"/>
      <c r="AR4" s="26"/>
      <c r="AS4" s="26"/>
      <c r="AT4" s="26"/>
    </row>
    <row r="5" ht="12.75" customHeight="1">
      <c r="A5" s="23">
        <f t="shared" si="8"/>
        <v>3</v>
      </c>
      <c r="B5" s="27"/>
      <c r="C5" s="27">
        <f>VLOOKUP($A5,reporting!$A:$D,COLUMN(last_reporting_year),FALSE)</f>
        <v>2020</v>
      </c>
      <c r="D5" s="27">
        <f t="shared" si="2"/>
        <v>2019</v>
      </c>
      <c r="E5" s="28" t="b">
        <f>VLOOKUP($A5,test1_1!$A:$Q,COLUMN(test1_1!P:P),FALSE)</f>
        <v>1</v>
      </c>
      <c r="F5" s="34" t="str">
        <f t="array" ref="F5">IF($E5,index(scope_1_verif,MATCH("id"&amp;$A5&amp;"year"&amp;$C5,ghg!$AR:$AR,0)),0)</f>
        <v/>
      </c>
      <c r="G5" s="34" t="str">
        <f t="array" ref="G5">IF($E5,index(scope_2_loc_verif,MATCH("id"&amp;$A5&amp;"year"&amp;$C5,ghg!$AR:$AR,0)),0)</f>
        <v/>
      </c>
      <c r="H5" s="34" t="str">
        <f t="array" ref="H5">IF($E5,index(scope_2_mkt_verif,MATCH("id"&amp;$A5&amp;"year"&amp;$C5,ghg!$AR:$AR,0)),0)</f>
        <v/>
      </c>
      <c r="I5" s="35">
        <f t="shared" si="3"/>
        <v>0</v>
      </c>
      <c r="J5" s="34" t="str">
        <f t="array" ref="J5">IF($E5,index(scope_1_verif,MATCH("id"&amp;$A5&amp;"year"&amp;$D5,ghg!$AR:$AR,0)),0)</f>
        <v/>
      </c>
      <c r="K5" s="34" t="str">
        <f t="array" ref="K5">IF($E5,index(scope_2_loc_verif,MATCH("id"&amp;$A5&amp;"year"&amp;$D5,ghg!$AR:$AR,0)),0)</f>
        <v/>
      </c>
      <c r="L5" s="34" t="str">
        <f t="array" ref="L5">IF($E5,index(scope_2_mkt_verif,MATCH("id"&amp;$A5&amp;"year"&amp;$D5,ghg!$AR:$AR,0)),0)</f>
        <v/>
      </c>
      <c r="M5" s="35">
        <f t="shared" si="4"/>
        <v>0</v>
      </c>
      <c r="N5" s="27"/>
      <c r="O5" s="26" t="b">
        <f t="shared" ref="O5:R5" si="9">(F5&gt;=O$2)</f>
        <v>0</v>
      </c>
      <c r="P5" s="26" t="b">
        <f t="shared" si="9"/>
        <v>0</v>
      </c>
      <c r="Q5" s="26" t="b">
        <f t="shared" si="9"/>
        <v>0</v>
      </c>
      <c r="R5" s="26" t="b">
        <f t="shared" si="9"/>
        <v>0</v>
      </c>
      <c r="S5" s="26"/>
      <c r="T5" s="29" t="b">
        <f t="shared" si="6"/>
        <v>0</v>
      </c>
      <c r="U5" s="30">
        <f t="shared" si="7"/>
        <v>0</v>
      </c>
      <c r="V5" s="26"/>
      <c r="W5" s="26"/>
      <c r="X5" s="26"/>
      <c r="Y5" s="26"/>
      <c r="Z5" s="26"/>
      <c r="AA5" s="26"/>
      <c r="AB5" s="26"/>
      <c r="AC5" s="26"/>
      <c r="AD5" s="26"/>
      <c r="AE5" s="26"/>
      <c r="AF5" s="26"/>
      <c r="AG5" s="26"/>
      <c r="AH5" s="26"/>
      <c r="AI5" s="26"/>
      <c r="AJ5" s="26"/>
      <c r="AK5" s="26"/>
      <c r="AL5" s="26"/>
      <c r="AM5" s="26"/>
      <c r="AN5" s="26"/>
      <c r="AO5" s="26"/>
      <c r="AP5" s="26"/>
      <c r="AQ5" s="26"/>
      <c r="AR5" s="26"/>
      <c r="AS5" s="26"/>
      <c r="AT5" s="26"/>
    </row>
    <row r="6" ht="12.75" customHeight="1">
      <c r="A6" s="23">
        <f t="shared" si="8"/>
        <v>4</v>
      </c>
      <c r="B6" s="27"/>
      <c r="C6" s="27">
        <f>VLOOKUP($A6,reporting!$A:$D,COLUMN(last_reporting_year),FALSE)</f>
        <v>2020</v>
      </c>
      <c r="D6" s="27">
        <f t="shared" si="2"/>
        <v>2019</v>
      </c>
      <c r="E6" s="28" t="b">
        <f>VLOOKUP($A6,test1_1!$A:$Q,COLUMN(test1_1!P:P),FALSE)</f>
        <v>1</v>
      </c>
      <c r="F6" s="34">
        <f t="array" ref="F6">IF($E6,index(scope_1_verif,MATCH("id"&amp;$A6&amp;"year"&amp;$C6,ghg!$AR:$AR,0)),0)</f>
        <v>1</v>
      </c>
      <c r="G6" s="34">
        <f t="array" ref="G6">IF($E6,index(scope_2_loc_verif,MATCH("id"&amp;$A6&amp;"year"&amp;$C6,ghg!$AR:$AR,0)),0)</f>
        <v>1</v>
      </c>
      <c r="H6" s="34">
        <f t="array" ref="H6">IF($E6,index(scope_2_mkt_verif,MATCH("id"&amp;$A6&amp;"year"&amp;$C6,ghg!$AR:$AR,0)),0)</f>
        <v>1</v>
      </c>
      <c r="I6" s="35">
        <f t="shared" si="3"/>
        <v>1</v>
      </c>
      <c r="J6" s="34">
        <f t="array" ref="J6">IF($E6,index(scope_1_verif,MATCH("id"&amp;$A6&amp;"year"&amp;$D6,ghg!$AR:$AR,0)),0)</f>
        <v>1</v>
      </c>
      <c r="K6" s="34">
        <f t="array" ref="K6">IF($E6,index(scope_2_loc_verif,MATCH("id"&amp;$A6&amp;"year"&amp;$D6,ghg!$AR:$AR,0)),0)</f>
        <v>1</v>
      </c>
      <c r="L6" s="34">
        <f t="array" ref="L6">IF($E6,index(scope_2_mkt_verif,MATCH("id"&amp;$A6&amp;"year"&amp;$D6,ghg!$AR:$AR,0)),0)</f>
        <v>1</v>
      </c>
      <c r="M6" s="35">
        <f t="shared" si="4"/>
        <v>1</v>
      </c>
      <c r="N6" s="27"/>
      <c r="O6" s="26" t="b">
        <f t="shared" ref="O6:R6" si="10">(F6&gt;=O$2)</f>
        <v>1</v>
      </c>
      <c r="P6" s="26" t="b">
        <f t="shared" si="10"/>
        <v>1</v>
      </c>
      <c r="Q6" s="26" t="b">
        <f t="shared" si="10"/>
        <v>1</v>
      </c>
      <c r="R6" s="26" t="b">
        <f t="shared" si="10"/>
        <v>1</v>
      </c>
      <c r="S6" s="26"/>
      <c r="T6" s="29" t="b">
        <f t="shared" si="6"/>
        <v>1</v>
      </c>
      <c r="U6" s="30">
        <f t="shared" si="7"/>
        <v>0.05</v>
      </c>
      <c r="V6" s="26"/>
      <c r="W6" s="26"/>
      <c r="X6" s="26"/>
      <c r="Y6" s="26"/>
      <c r="Z6" s="26"/>
      <c r="AA6" s="26"/>
      <c r="AB6" s="26"/>
      <c r="AC6" s="26"/>
      <c r="AD6" s="26"/>
      <c r="AE6" s="26"/>
      <c r="AF6" s="26"/>
      <c r="AG6" s="26"/>
      <c r="AH6" s="26"/>
      <c r="AI6" s="26"/>
      <c r="AJ6" s="26"/>
      <c r="AK6" s="26"/>
      <c r="AL6" s="26"/>
      <c r="AM6" s="26"/>
      <c r="AN6" s="26"/>
      <c r="AO6" s="26"/>
      <c r="AP6" s="26"/>
      <c r="AQ6" s="26"/>
      <c r="AR6" s="26"/>
      <c r="AS6" s="26"/>
      <c r="AT6" s="26"/>
    </row>
    <row r="7" ht="12.75" customHeight="1">
      <c r="A7" s="23">
        <f t="shared" si="8"/>
        <v>5</v>
      </c>
      <c r="B7" s="27"/>
      <c r="C7" s="27">
        <f>VLOOKUP($A7,reporting!$A:$D,COLUMN(last_reporting_year),FALSE)</f>
        <v>2020</v>
      </c>
      <c r="D7" s="27">
        <f t="shared" si="2"/>
        <v>2019</v>
      </c>
      <c r="E7" s="28" t="b">
        <f>VLOOKUP($A7,test1_1!$A:$Q,COLUMN(test1_1!P:P),FALSE)</f>
        <v>1</v>
      </c>
      <c r="F7" s="34">
        <f t="array" ref="F7">IF($E7,index(scope_1_verif,MATCH("id"&amp;$A7&amp;"year"&amp;$C7,ghg!$AR:$AR,0)),0)</f>
        <v>1</v>
      </c>
      <c r="G7" s="34">
        <f t="array" ref="G7">IF($E7,index(scope_2_loc_verif,MATCH("id"&amp;$A7&amp;"year"&amp;$C7,ghg!$AR:$AR,0)),0)</f>
        <v>1</v>
      </c>
      <c r="H7" s="34">
        <f t="array" ref="H7">IF($E7,index(scope_2_mkt_verif,MATCH("id"&amp;$A7&amp;"year"&amp;$C7,ghg!$AR:$AR,0)),0)</f>
        <v>1</v>
      </c>
      <c r="I7" s="35">
        <f t="shared" si="3"/>
        <v>1</v>
      </c>
      <c r="J7" s="34">
        <f t="array" ref="J7">IF($E7,index(scope_1_verif,MATCH("id"&amp;$A7&amp;"year"&amp;$D7,ghg!$AR:$AR,0)),0)</f>
        <v>1</v>
      </c>
      <c r="K7" s="34">
        <f t="array" ref="K7">IF($E7,index(scope_2_loc_verif,MATCH("id"&amp;$A7&amp;"year"&amp;$D7,ghg!$AR:$AR,0)),0)</f>
        <v>1</v>
      </c>
      <c r="L7" s="34">
        <f t="array" ref="L7">IF($E7,index(scope_2_mkt_verif,MATCH("id"&amp;$A7&amp;"year"&amp;$D7,ghg!$AR:$AR,0)),0)</f>
        <v>1</v>
      </c>
      <c r="M7" s="35">
        <f t="shared" si="4"/>
        <v>1</v>
      </c>
      <c r="N7" s="27"/>
      <c r="O7" s="26" t="b">
        <f t="shared" ref="O7:R7" si="11">(F7&gt;=O$2)</f>
        <v>1</v>
      </c>
      <c r="P7" s="26" t="b">
        <f t="shared" si="11"/>
        <v>1</v>
      </c>
      <c r="Q7" s="26" t="b">
        <f t="shared" si="11"/>
        <v>1</v>
      </c>
      <c r="R7" s="26" t="b">
        <f t="shared" si="11"/>
        <v>1</v>
      </c>
      <c r="S7" s="26"/>
      <c r="T7" s="29" t="b">
        <f t="shared" si="6"/>
        <v>1</v>
      </c>
      <c r="U7" s="30">
        <f t="shared" si="7"/>
        <v>0.05</v>
      </c>
      <c r="V7" s="26"/>
      <c r="W7" s="26"/>
      <c r="X7" s="26"/>
      <c r="Y7" s="26"/>
      <c r="Z7" s="26"/>
      <c r="AA7" s="26"/>
      <c r="AB7" s="26"/>
      <c r="AC7" s="26"/>
      <c r="AD7" s="26"/>
      <c r="AE7" s="26"/>
      <c r="AF7" s="26"/>
      <c r="AG7" s="26"/>
      <c r="AH7" s="26"/>
      <c r="AI7" s="26"/>
      <c r="AJ7" s="26"/>
      <c r="AK7" s="26"/>
      <c r="AL7" s="26"/>
      <c r="AM7" s="26"/>
      <c r="AN7" s="26"/>
      <c r="AO7" s="26"/>
      <c r="AP7" s="26"/>
      <c r="AQ7" s="26"/>
      <c r="AR7" s="26"/>
      <c r="AS7" s="26"/>
      <c r="AT7" s="26"/>
    </row>
    <row r="8" ht="12.75" customHeight="1">
      <c r="A8" s="23">
        <f t="shared" si="8"/>
        <v>6</v>
      </c>
      <c r="B8" s="27"/>
      <c r="C8" s="27">
        <f>VLOOKUP($A8,reporting!$A:$D,COLUMN(last_reporting_year),FALSE)</f>
        <v>2020</v>
      </c>
      <c r="D8" s="27">
        <f t="shared" si="2"/>
        <v>2019</v>
      </c>
      <c r="E8" s="28" t="b">
        <f>VLOOKUP($A8,test1_1!$A:$Q,COLUMN(test1_1!P:P),FALSE)</f>
        <v>1</v>
      </c>
      <c r="F8" s="34">
        <f t="array" ref="F8">IF($E8,index(scope_1_verif,MATCH("id"&amp;$A8&amp;"year"&amp;$C8,ghg!$AR:$AR,0)),0)</f>
        <v>1</v>
      </c>
      <c r="G8" s="34">
        <f t="array" ref="G8">IF($E8,index(scope_2_loc_verif,MATCH("id"&amp;$A8&amp;"year"&amp;$C8,ghg!$AR:$AR,0)),0)</f>
        <v>1</v>
      </c>
      <c r="H8" s="34">
        <f t="array" ref="H8">IF($E8,index(scope_2_mkt_verif,MATCH("id"&amp;$A8&amp;"year"&amp;$C8,ghg!$AR:$AR,0)),0)</f>
        <v>1</v>
      </c>
      <c r="I8" s="35">
        <f t="shared" si="3"/>
        <v>1</v>
      </c>
      <c r="J8" s="34">
        <f t="array" ref="J8">IF($E8,index(scope_1_verif,MATCH("id"&amp;$A8&amp;"year"&amp;$D8,ghg!$AR:$AR,0)),0)</f>
        <v>1</v>
      </c>
      <c r="K8" s="34">
        <f t="array" ref="K8">IF($E8,index(scope_2_loc_verif,MATCH("id"&amp;$A8&amp;"year"&amp;$D8,ghg!$AR:$AR,0)),0)</f>
        <v>1</v>
      </c>
      <c r="L8" s="34">
        <f t="array" ref="L8">IF($E8,index(scope_2_mkt_verif,MATCH("id"&amp;$A8&amp;"year"&amp;$D8,ghg!$AR:$AR,0)),0)</f>
        <v>1</v>
      </c>
      <c r="M8" s="35">
        <f t="shared" si="4"/>
        <v>1</v>
      </c>
      <c r="N8" s="27"/>
      <c r="O8" s="26" t="b">
        <f t="shared" ref="O8:R8" si="12">(F8&gt;=O$2)</f>
        <v>1</v>
      </c>
      <c r="P8" s="26" t="b">
        <f t="shared" si="12"/>
        <v>1</v>
      </c>
      <c r="Q8" s="26" t="b">
        <f t="shared" si="12"/>
        <v>1</v>
      </c>
      <c r="R8" s="26" t="b">
        <f t="shared" si="12"/>
        <v>1</v>
      </c>
      <c r="S8" s="26"/>
      <c r="T8" s="29" t="b">
        <f t="shared" si="6"/>
        <v>1</v>
      </c>
      <c r="U8" s="30">
        <f t="shared" si="7"/>
        <v>0.05</v>
      </c>
      <c r="V8" s="26"/>
      <c r="W8" s="26"/>
      <c r="X8" s="26"/>
      <c r="Y8" s="26"/>
      <c r="Z8" s="26"/>
      <c r="AA8" s="26"/>
      <c r="AB8" s="26"/>
      <c r="AC8" s="26"/>
      <c r="AD8" s="26"/>
      <c r="AE8" s="26"/>
      <c r="AF8" s="26"/>
      <c r="AG8" s="26"/>
      <c r="AH8" s="26"/>
      <c r="AI8" s="26"/>
      <c r="AJ8" s="26"/>
      <c r="AK8" s="26"/>
      <c r="AL8" s="26"/>
      <c r="AM8" s="26"/>
      <c r="AN8" s="26"/>
      <c r="AO8" s="26"/>
      <c r="AP8" s="26"/>
      <c r="AQ8" s="26"/>
      <c r="AR8" s="26"/>
      <c r="AS8" s="26"/>
      <c r="AT8" s="26"/>
    </row>
    <row r="9" ht="12.75" customHeight="1">
      <c r="A9" s="23">
        <f t="shared" si="8"/>
        <v>7</v>
      </c>
      <c r="B9" s="27"/>
      <c r="C9" s="27">
        <f>VLOOKUP($A9,reporting!$A:$D,COLUMN(last_reporting_year),FALSE)</f>
        <v>2019</v>
      </c>
      <c r="D9" s="27">
        <f t="shared" si="2"/>
        <v>2018</v>
      </c>
      <c r="E9" s="28" t="b">
        <f>VLOOKUP($A9,test1_1!$A:$Q,COLUMN(test1_1!P:P),FALSE)</f>
        <v>1</v>
      </c>
      <c r="F9" s="34">
        <f t="array" ref="F9">IF($E9,index(scope_1_verif,MATCH("id"&amp;$A9&amp;"year"&amp;$C9,ghg!$AR:$AR,0)),0)</f>
        <v>1</v>
      </c>
      <c r="G9" s="34">
        <f t="array" ref="G9">IF($E9,index(scope_2_loc_verif,MATCH("id"&amp;$A9&amp;"year"&amp;$C9,ghg!$AR:$AR,0)),0)</f>
        <v>1</v>
      </c>
      <c r="H9" s="34">
        <f t="array" ref="H9">IF($E9,index(scope_2_mkt_verif,MATCH("id"&amp;$A9&amp;"year"&amp;$C9,ghg!$AR:$AR,0)),0)</f>
        <v>1</v>
      </c>
      <c r="I9" s="35">
        <f t="shared" si="3"/>
        <v>1</v>
      </c>
      <c r="J9" s="34">
        <f t="array" ref="J9">IF($E9,index(scope_1_verif,MATCH("id"&amp;$A9&amp;"year"&amp;$D9,ghg!$AR:$AR,0)),0)</f>
        <v>1</v>
      </c>
      <c r="K9" s="34">
        <f t="array" ref="K9">IF($E9,index(scope_2_loc_verif,MATCH("id"&amp;$A9&amp;"year"&amp;$D9,ghg!$AR:$AR,0)),0)</f>
        <v>1</v>
      </c>
      <c r="L9" s="34">
        <f t="array" ref="L9">IF($E9,index(scope_2_mkt_verif,MATCH("id"&amp;$A9&amp;"year"&amp;$D9,ghg!$AR:$AR,0)),0)</f>
        <v>1</v>
      </c>
      <c r="M9" s="35">
        <f t="shared" si="4"/>
        <v>1</v>
      </c>
      <c r="N9" s="27"/>
      <c r="O9" s="26" t="b">
        <f t="shared" ref="O9:R9" si="13">(F9&gt;=O$2)</f>
        <v>1</v>
      </c>
      <c r="P9" s="26" t="b">
        <f t="shared" si="13"/>
        <v>1</v>
      </c>
      <c r="Q9" s="26" t="b">
        <f t="shared" si="13"/>
        <v>1</v>
      </c>
      <c r="R9" s="26" t="b">
        <f t="shared" si="13"/>
        <v>1</v>
      </c>
      <c r="S9" s="26"/>
      <c r="T9" s="29" t="b">
        <f t="shared" si="6"/>
        <v>1</v>
      </c>
      <c r="U9" s="30">
        <f t="shared" si="7"/>
        <v>0.05</v>
      </c>
      <c r="V9" s="26"/>
      <c r="W9" s="26"/>
      <c r="X9" s="26"/>
      <c r="Y9" s="26"/>
      <c r="Z9" s="26"/>
      <c r="AA9" s="26"/>
      <c r="AB9" s="26"/>
      <c r="AC9" s="26"/>
      <c r="AD9" s="26"/>
      <c r="AE9" s="26"/>
      <c r="AF9" s="26"/>
      <c r="AG9" s="26"/>
      <c r="AH9" s="26"/>
      <c r="AI9" s="26"/>
      <c r="AJ9" s="26"/>
      <c r="AK9" s="26"/>
      <c r="AL9" s="26"/>
      <c r="AM9" s="26"/>
      <c r="AN9" s="26"/>
      <c r="AO9" s="26"/>
      <c r="AP9" s="26"/>
      <c r="AQ9" s="26"/>
      <c r="AR9" s="26"/>
      <c r="AS9" s="26"/>
      <c r="AT9" s="26"/>
    </row>
    <row r="10" ht="12.75" customHeight="1">
      <c r="A10" s="23">
        <f t="shared" si="8"/>
        <v>8</v>
      </c>
      <c r="B10" s="27"/>
      <c r="C10" s="27">
        <f>VLOOKUP($A10,reporting!$A:$D,COLUMN(last_reporting_year),FALSE)</f>
        <v>2020</v>
      </c>
      <c r="D10" s="27">
        <f t="shared" si="2"/>
        <v>2019</v>
      </c>
      <c r="E10" s="28" t="b">
        <f>VLOOKUP($A10,test1_1!$A:$Q,COLUMN(test1_1!P:P),FALSE)</f>
        <v>1</v>
      </c>
      <c r="F10" s="34">
        <f t="array" ref="F10">IF($E10,index(scope_1_verif,MATCH("id"&amp;$A10&amp;"year"&amp;$C10,ghg!$AR:$AR,0)),0)</f>
        <v>1</v>
      </c>
      <c r="G10" s="34">
        <f t="array" ref="G10">IF($E10,index(scope_2_loc_verif,MATCH("id"&amp;$A10&amp;"year"&amp;$C10,ghg!$AR:$AR,0)),0)</f>
        <v>1</v>
      </c>
      <c r="H10" s="34">
        <f t="array" ref="H10">IF($E10,index(scope_2_mkt_verif,MATCH("id"&amp;$A10&amp;"year"&amp;$C10,ghg!$AR:$AR,0)),0)</f>
        <v>1</v>
      </c>
      <c r="I10" s="35">
        <f t="shared" si="3"/>
        <v>1</v>
      </c>
      <c r="J10" s="34">
        <f t="array" ref="J10">IF($E10,index(scope_1_verif,MATCH("id"&amp;$A10&amp;"year"&amp;$D10,ghg!$AR:$AR,0)),0)</f>
        <v>1</v>
      </c>
      <c r="K10" s="34">
        <f t="array" ref="K10">IF($E10,index(scope_2_loc_verif,MATCH("id"&amp;$A10&amp;"year"&amp;$D10,ghg!$AR:$AR,0)),0)</f>
        <v>1</v>
      </c>
      <c r="L10" s="34">
        <f t="array" ref="L10">IF($E10,index(scope_2_mkt_verif,MATCH("id"&amp;$A10&amp;"year"&amp;$D10,ghg!$AR:$AR,0)),0)</f>
        <v>1</v>
      </c>
      <c r="M10" s="35">
        <f t="shared" si="4"/>
        <v>1</v>
      </c>
      <c r="N10" s="27"/>
      <c r="O10" s="26" t="b">
        <f t="shared" ref="O10:R10" si="14">(F10&gt;=O$2)</f>
        <v>1</v>
      </c>
      <c r="P10" s="26" t="b">
        <f t="shared" si="14"/>
        <v>1</v>
      </c>
      <c r="Q10" s="26" t="b">
        <f t="shared" si="14"/>
        <v>1</v>
      </c>
      <c r="R10" s="26" t="b">
        <f t="shared" si="14"/>
        <v>1</v>
      </c>
      <c r="S10" s="26"/>
      <c r="T10" s="29" t="b">
        <f t="shared" si="6"/>
        <v>1</v>
      </c>
      <c r="U10" s="30">
        <f t="shared" si="7"/>
        <v>0.05</v>
      </c>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row>
    <row r="11" ht="12.75" customHeight="1">
      <c r="A11" s="23">
        <f t="shared" si="8"/>
        <v>9</v>
      </c>
      <c r="B11" s="27"/>
      <c r="C11" s="27">
        <f>VLOOKUP($A11,reporting!$A:$D,COLUMN(last_reporting_year),FALSE)</f>
        <v>2020</v>
      </c>
      <c r="D11" s="27">
        <f t="shared" si="2"/>
        <v>2019</v>
      </c>
      <c r="E11" s="28" t="b">
        <f>VLOOKUP($A11,test1_1!$A:$Q,COLUMN(test1_1!P:P),FALSE)</f>
        <v>1</v>
      </c>
      <c r="F11" s="34">
        <f t="array" ref="F11">IF($E11,index(scope_1_verif,MATCH("id"&amp;$A11&amp;"year"&amp;$C11,ghg!$AR:$AR,0)),0)</f>
        <v>1</v>
      </c>
      <c r="G11" s="34">
        <f t="array" ref="G11">IF($E11,index(scope_2_loc_verif,MATCH("id"&amp;$A11&amp;"year"&amp;$C11,ghg!$AR:$AR,0)),0)</f>
        <v>1</v>
      </c>
      <c r="H11" s="34">
        <f t="array" ref="H11">IF($E11,index(scope_2_mkt_verif,MATCH("id"&amp;$A11&amp;"year"&amp;$C11,ghg!$AR:$AR,0)),0)</f>
        <v>1</v>
      </c>
      <c r="I11" s="35">
        <f t="shared" si="3"/>
        <v>1</v>
      </c>
      <c r="J11" s="34">
        <f t="array" ref="J11">IF($E11,index(scope_1_verif,MATCH("id"&amp;$A11&amp;"year"&amp;$D11,ghg!$AR:$AR,0)),0)</f>
        <v>1</v>
      </c>
      <c r="K11" s="34">
        <f t="array" ref="K11">IF($E11,index(scope_2_loc_verif,MATCH("id"&amp;$A11&amp;"year"&amp;$D11,ghg!$AR:$AR,0)),0)</f>
        <v>1</v>
      </c>
      <c r="L11" s="34">
        <f t="array" ref="L11">IF($E11,index(scope_2_mkt_verif,MATCH("id"&amp;$A11&amp;"year"&amp;$D11,ghg!$AR:$AR,0)),0)</f>
        <v>1</v>
      </c>
      <c r="M11" s="35">
        <f t="shared" si="4"/>
        <v>1</v>
      </c>
      <c r="N11" s="27"/>
      <c r="O11" s="26" t="b">
        <f t="shared" ref="O11:R11" si="15">(F11&gt;=O$2)</f>
        <v>1</v>
      </c>
      <c r="P11" s="26" t="b">
        <f t="shared" si="15"/>
        <v>1</v>
      </c>
      <c r="Q11" s="26" t="b">
        <f t="shared" si="15"/>
        <v>1</v>
      </c>
      <c r="R11" s="26" t="b">
        <f t="shared" si="15"/>
        <v>1</v>
      </c>
      <c r="S11" s="26"/>
      <c r="T11" s="29" t="b">
        <f t="shared" si="6"/>
        <v>1</v>
      </c>
      <c r="U11" s="30">
        <f t="shared" si="7"/>
        <v>0.05</v>
      </c>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row>
    <row r="12" ht="12.75" customHeight="1">
      <c r="A12" s="23">
        <f t="shared" si="8"/>
        <v>10</v>
      </c>
      <c r="B12" s="27"/>
      <c r="C12" s="27">
        <f>VLOOKUP($A12,reporting!$A:$D,COLUMN(last_reporting_year),FALSE)</f>
        <v>2019</v>
      </c>
      <c r="D12" s="27">
        <f t="shared" si="2"/>
        <v>2018</v>
      </c>
      <c r="E12" s="28" t="b">
        <f>VLOOKUP($A12,test1_1!$A:$Q,COLUMN(test1_1!P:P),FALSE)</f>
        <v>1</v>
      </c>
      <c r="F12" s="34">
        <f t="array" ref="F12">IF($E12,index(scope_1_verif,MATCH("id"&amp;$A12&amp;"year"&amp;$C12,ghg!$AR:$AR,0)),0)</f>
        <v>1</v>
      </c>
      <c r="G12" s="34">
        <f t="array" ref="G12">IF($E12,index(scope_2_loc_verif,MATCH("id"&amp;$A12&amp;"year"&amp;$C12,ghg!$AR:$AR,0)),0)</f>
        <v>1</v>
      </c>
      <c r="H12" s="34">
        <f t="array" ref="H12">IF($E12,index(scope_2_mkt_verif,MATCH("id"&amp;$A12&amp;"year"&amp;$C12,ghg!$AR:$AR,0)),0)</f>
        <v>1</v>
      </c>
      <c r="I12" s="35">
        <f t="shared" si="3"/>
        <v>1</v>
      </c>
      <c r="J12" s="34">
        <f t="array" ref="J12">IF($E12,index(scope_1_verif,MATCH("id"&amp;$A12&amp;"year"&amp;$D12,ghg!$AR:$AR,0)),0)</f>
        <v>1</v>
      </c>
      <c r="K12" s="34">
        <f t="array" ref="K12">IF($E12,index(scope_2_loc_verif,MATCH("id"&amp;$A12&amp;"year"&amp;$D12,ghg!$AR:$AR,0)),0)</f>
        <v>1</v>
      </c>
      <c r="L12" s="34">
        <f t="array" ref="L12">IF($E12,index(scope_2_mkt_verif,MATCH("id"&amp;$A12&amp;"year"&amp;$D12,ghg!$AR:$AR,0)),0)</f>
        <v>1</v>
      </c>
      <c r="M12" s="35">
        <f t="shared" si="4"/>
        <v>1</v>
      </c>
      <c r="N12" s="27"/>
      <c r="O12" s="26" t="b">
        <f t="shared" ref="O12:R12" si="16">(F12&gt;=O$2)</f>
        <v>1</v>
      </c>
      <c r="P12" s="26" t="b">
        <f t="shared" si="16"/>
        <v>1</v>
      </c>
      <c r="Q12" s="26" t="b">
        <f t="shared" si="16"/>
        <v>1</v>
      </c>
      <c r="R12" s="26" t="b">
        <f t="shared" si="16"/>
        <v>1</v>
      </c>
      <c r="S12" s="26"/>
      <c r="T12" s="29" t="b">
        <f t="shared" si="6"/>
        <v>1</v>
      </c>
      <c r="U12" s="30">
        <f t="shared" si="7"/>
        <v>0.05</v>
      </c>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row>
    <row r="13" ht="12.75" customHeight="1">
      <c r="A13" s="23">
        <f t="shared" si="8"/>
        <v>11</v>
      </c>
      <c r="B13" s="27"/>
      <c r="C13" s="27">
        <f>VLOOKUP($A13,reporting!$A:$D,COLUMN(last_reporting_year),FALSE)</f>
        <v>2020</v>
      </c>
      <c r="D13" s="27">
        <f t="shared" si="2"/>
        <v>2019</v>
      </c>
      <c r="E13" s="28" t="b">
        <f>VLOOKUP($A13,test1_1!$A:$Q,COLUMN(test1_1!P:P),FALSE)</f>
        <v>1</v>
      </c>
      <c r="F13" s="34">
        <f t="array" ref="F13">IF($E13,index(scope_1_verif,MATCH("id"&amp;$A13&amp;"year"&amp;$C13,ghg!$AR:$AR,0)),0)</f>
        <v>0</v>
      </c>
      <c r="G13" s="34">
        <f t="array" ref="G13">IF($E13,index(scope_2_loc_verif,MATCH("id"&amp;$A13&amp;"year"&amp;$C13,ghg!$AR:$AR,0)),0)</f>
        <v>0</v>
      </c>
      <c r="H13" s="34">
        <f t="array" ref="H13">IF($E13,index(scope_2_mkt_verif,MATCH("id"&amp;$A13&amp;"year"&amp;$C13,ghg!$AR:$AR,0)),0)</f>
        <v>0</v>
      </c>
      <c r="I13" s="35">
        <f t="shared" si="3"/>
        <v>0</v>
      </c>
      <c r="J13" s="34">
        <f t="array" ref="J13">IF($E13,index(scope_1_verif,MATCH("id"&amp;$A13&amp;"year"&amp;$D13,ghg!$AR:$AR,0)),0)</f>
        <v>0</v>
      </c>
      <c r="K13" s="34">
        <f t="array" ref="K13">IF($E13,index(scope_2_loc_verif,MATCH("id"&amp;$A13&amp;"year"&amp;$D13,ghg!$AR:$AR,0)),0)</f>
        <v>0</v>
      </c>
      <c r="L13" s="34">
        <f t="array" ref="L13">IF($E13,index(scope_2_mkt_verif,MATCH("id"&amp;$A13&amp;"year"&amp;$D13,ghg!$AR:$AR,0)),0)</f>
        <v>0</v>
      </c>
      <c r="M13" s="35">
        <f t="shared" si="4"/>
        <v>0</v>
      </c>
      <c r="N13" s="27"/>
      <c r="O13" s="26" t="b">
        <f t="shared" ref="O13:R13" si="17">(F13&gt;=O$2)</f>
        <v>0</v>
      </c>
      <c r="P13" s="26" t="b">
        <f t="shared" si="17"/>
        <v>0</v>
      </c>
      <c r="Q13" s="26" t="b">
        <f t="shared" si="17"/>
        <v>0</v>
      </c>
      <c r="R13" s="26" t="b">
        <f t="shared" si="17"/>
        <v>0</v>
      </c>
      <c r="S13" s="26"/>
      <c r="T13" s="29" t="b">
        <f t="shared" si="6"/>
        <v>0</v>
      </c>
      <c r="U13" s="30">
        <f t="shared" si="7"/>
        <v>0</v>
      </c>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row>
    <row r="14" ht="12.75" customHeight="1">
      <c r="A14" s="23">
        <f t="shared" si="8"/>
        <v>12</v>
      </c>
      <c r="B14" s="27"/>
      <c r="C14" s="27">
        <f>VLOOKUP($A14,reporting!$A:$D,COLUMN(last_reporting_year),FALSE)</f>
        <v>2019</v>
      </c>
      <c r="D14" s="27">
        <f t="shared" si="2"/>
        <v>2018</v>
      </c>
      <c r="E14" s="28" t="b">
        <f>VLOOKUP($A14,test1_1!$A:$Q,COLUMN(test1_1!P:P),FALSE)</f>
        <v>1</v>
      </c>
      <c r="F14" s="34">
        <f t="array" ref="F14">IF($E14,index(scope_1_verif,MATCH("id"&amp;$A14&amp;"year"&amp;$C14,ghg!$AR:$AR,0)),0)</f>
        <v>0</v>
      </c>
      <c r="G14" s="34">
        <f t="array" ref="G14">IF($E14,index(scope_2_loc_verif,MATCH("id"&amp;$A14&amp;"year"&amp;$C14,ghg!$AR:$AR,0)),0)</f>
        <v>0</v>
      </c>
      <c r="H14" s="34">
        <f t="array" ref="H14">IF($E14,index(scope_2_mkt_verif,MATCH("id"&amp;$A14&amp;"year"&amp;$C14,ghg!$AR:$AR,0)),0)</f>
        <v>0</v>
      </c>
      <c r="I14" s="35">
        <f t="shared" si="3"/>
        <v>0</v>
      </c>
      <c r="J14" s="34">
        <f t="array" ref="J14">IF($E14,index(scope_1_verif,MATCH("id"&amp;$A14&amp;"year"&amp;$D14,ghg!$AR:$AR,0)),0)</f>
        <v>0</v>
      </c>
      <c r="K14" s="34">
        <f t="array" ref="K14">IF($E14,index(scope_2_loc_verif,MATCH("id"&amp;$A14&amp;"year"&amp;$D14,ghg!$AR:$AR,0)),0)</f>
        <v>0</v>
      </c>
      <c r="L14" s="34">
        <f t="array" ref="L14">IF($E14,index(scope_2_mkt_verif,MATCH("id"&amp;$A14&amp;"year"&amp;$D14,ghg!$AR:$AR,0)),0)</f>
        <v>0</v>
      </c>
      <c r="M14" s="35">
        <f t="shared" si="4"/>
        <v>0</v>
      </c>
      <c r="N14" s="27"/>
      <c r="O14" s="26" t="b">
        <f t="shared" ref="O14:R14" si="18">(F14&gt;=O$2)</f>
        <v>0</v>
      </c>
      <c r="P14" s="26" t="b">
        <f t="shared" si="18"/>
        <v>0</v>
      </c>
      <c r="Q14" s="26" t="b">
        <f t="shared" si="18"/>
        <v>0</v>
      </c>
      <c r="R14" s="26" t="b">
        <f t="shared" si="18"/>
        <v>0</v>
      </c>
      <c r="S14" s="26"/>
      <c r="T14" s="29" t="b">
        <f t="shared" si="6"/>
        <v>0</v>
      </c>
      <c r="U14" s="30">
        <f t="shared" si="7"/>
        <v>0</v>
      </c>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row>
    <row r="15" ht="12.75" customHeight="1">
      <c r="A15" s="23">
        <f t="shared" si="8"/>
        <v>13</v>
      </c>
      <c r="B15" s="27"/>
      <c r="C15" s="27">
        <f>VLOOKUP($A15,reporting!$A:$D,COLUMN(last_reporting_year),FALSE)</f>
        <v>2019</v>
      </c>
      <c r="D15" s="27">
        <f t="shared" si="2"/>
        <v>2018</v>
      </c>
      <c r="E15" s="28" t="b">
        <f>VLOOKUP($A15,test1_1!$A:$Q,COLUMN(test1_1!P:P),FALSE)</f>
        <v>1</v>
      </c>
      <c r="F15" s="34">
        <f t="array" ref="F15">IF($E15,index(scope_1_verif,MATCH("id"&amp;$A15&amp;"year"&amp;$C15,ghg!$AR:$AR,0)),0)</f>
        <v>1</v>
      </c>
      <c r="G15" s="34">
        <f t="array" ref="G15">IF($E15,index(scope_2_loc_verif,MATCH("id"&amp;$A15&amp;"year"&amp;$C15,ghg!$AR:$AR,0)),0)</f>
        <v>1</v>
      </c>
      <c r="H15" s="34">
        <f t="array" ref="H15">IF($E15,index(scope_2_mkt_verif,MATCH("id"&amp;$A15&amp;"year"&amp;$C15,ghg!$AR:$AR,0)),0)</f>
        <v>1</v>
      </c>
      <c r="I15" s="35">
        <f t="shared" si="3"/>
        <v>1</v>
      </c>
      <c r="J15" s="34">
        <f t="array" ref="J15">IF($E15,index(scope_1_verif,MATCH("id"&amp;$A15&amp;"year"&amp;$D15,ghg!$AR:$AR,0)),0)</f>
        <v>1</v>
      </c>
      <c r="K15" s="34">
        <f t="array" ref="K15">IF($E15,index(scope_2_loc_verif,MATCH("id"&amp;$A15&amp;"year"&amp;$D15,ghg!$AR:$AR,0)),0)</f>
        <v>1</v>
      </c>
      <c r="L15" s="34">
        <f t="array" ref="L15">IF($E15,index(scope_2_mkt_verif,MATCH("id"&amp;$A15&amp;"year"&amp;$D15,ghg!$AR:$AR,0)),0)</f>
        <v>1</v>
      </c>
      <c r="M15" s="35">
        <f t="shared" si="4"/>
        <v>1</v>
      </c>
      <c r="N15" s="27"/>
      <c r="O15" s="26" t="b">
        <f t="shared" ref="O15:R15" si="19">(F15&gt;=O$2)</f>
        <v>1</v>
      </c>
      <c r="P15" s="26" t="b">
        <f t="shared" si="19"/>
        <v>1</v>
      </c>
      <c r="Q15" s="26" t="b">
        <f t="shared" si="19"/>
        <v>1</v>
      </c>
      <c r="R15" s="26" t="b">
        <f t="shared" si="19"/>
        <v>1</v>
      </c>
      <c r="S15" s="26"/>
      <c r="T15" s="29" t="b">
        <f t="shared" si="6"/>
        <v>1</v>
      </c>
      <c r="U15" s="30">
        <f t="shared" si="7"/>
        <v>0.05</v>
      </c>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row>
    <row r="16" ht="12.75" customHeight="1">
      <c r="A16" s="23">
        <f t="shared" si="8"/>
        <v>14</v>
      </c>
      <c r="B16" s="27"/>
      <c r="C16" s="27">
        <f>VLOOKUP($A16,reporting!$A:$D,COLUMN(last_reporting_year),FALSE)</f>
        <v>2020</v>
      </c>
      <c r="D16" s="27">
        <f t="shared" si="2"/>
        <v>2019</v>
      </c>
      <c r="E16" s="28" t="b">
        <f>VLOOKUP($A16,test1_1!$A:$Q,COLUMN(test1_1!P:P),FALSE)</f>
        <v>1</v>
      </c>
      <c r="F16" s="34">
        <f t="array" ref="F16">IF($E16,index(scope_1_verif,MATCH("id"&amp;$A16&amp;"year"&amp;$C16,ghg!$AR:$AR,0)),0)</f>
        <v>1</v>
      </c>
      <c r="G16" s="34">
        <f t="array" ref="G16">IF($E16,index(scope_2_loc_verif,MATCH("id"&amp;$A16&amp;"year"&amp;$C16,ghg!$AR:$AR,0)),0)</f>
        <v>1</v>
      </c>
      <c r="H16" s="34">
        <f t="array" ref="H16">IF($E16,index(scope_2_mkt_verif,MATCH("id"&amp;$A16&amp;"year"&amp;$C16,ghg!$AR:$AR,0)),0)</f>
        <v>1</v>
      </c>
      <c r="I16" s="35">
        <f t="shared" si="3"/>
        <v>1</v>
      </c>
      <c r="J16" s="34">
        <f t="array" ref="J16">IF($E16,index(scope_1_verif,MATCH("id"&amp;$A16&amp;"year"&amp;$D16,ghg!$AR:$AR,0)),0)</f>
        <v>1</v>
      </c>
      <c r="K16" s="34">
        <f t="array" ref="K16">IF($E16,index(scope_2_loc_verif,MATCH("id"&amp;$A16&amp;"year"&amp;$D16,ghg!$AR:$AR,0)),0)</f>
        <v>1</v>
      </c>
      <c r="L16" s="34">
        <f t="array" ref="L16">IF($E16,index(scope_2_mkt_verif,MATCH("id"&amp;$A16&amp;"year"&amp;$D16,ghg!$AR:$AR,0)),0)</f>
        <v>1</v>
      </c>
      <c r="M16" s="35">
        <f t="shared" si="4"/>
        <v>1</v>
      </c>
      <c r="N16" s="27"/>
      <c r="O16" s="26" t="b">
        <f t="shared" ref="O16:R16" si="20">(F16&gt;=O$2)</f>
        <v>1</v>
      </c>
      <c r="P16" s="26" t="b">
        <f t="shared" si="20"/>
        <v>1</v>
      </c>
      <c r="Q16" s="26" t="b">
        <f t="shared" si="20"/>
        <v>1</v>
      </c>
      <c r="R16" s="26" t="b">
        <f t="shared" si="20"/>
        <v>1</v>
      </c>
      <c r="S16" s="26"/>
      <c r="T16" s="29" t="b">
        <f t="shared" si="6"/>
        <v>1</v>
      </c>
      <c r="U16" s="30">
        <f t="shared" si="7"/>
        <v>0.05</v>
      </c>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row>
    <row r="17" ht="12.75" customHeight="1">
      <c r="A17" s="23">
        <f t="shared" si="8"/>
        <v>15</v>
      </c>
      <c r="B17" s="27"/>
      <c r="C17" s="27">
        <f>VLOOKUP($A17,reporting!$A:$D,COLUMN(last_reporting_year),FALSE)</f>
        <v>2019</v>
      </c>
      <c r="D17" s="27">
        <f t="shared" si="2"/>
        <v>2018</v>
      </c>
      <c r="E17" s="28" t="b">
        <f>VLOOKUP($A17,test1_1!$A:$Q,COLUMN(test1_1!P:P),FALSE)</f>
        <v>1</v>
      </c>
      <c r="F17" s="34">
        <f t="array" ref="F17">IF($E17,index(scope_1_verif,MATCH("id"&amp;$A17&amp;"year"&amp;$C17,ghg!$AR:$AR,0)),0)</f>
        <v>1</v>
      </c>
      <c r="G17" s="34">
        <f t="array" ref="G17">IF($E17,index(scope_2_loc_verif,MATCH("id"&amp;$A17&amp;"year"&amp;$C17,ghg!$AR:$AR,0)),0)</f>
        <v>1</v>
      </c>
      <c r="H17" s="34">
        <f t="array" ref="H17">IF($E17,index(scope_2_mkt_verif,MATCH("id"&amp;$A17&amp;"year"&amp;$C17,ghg!$AR:$AR,0)),0)</f>
        <v>1</v>
      </c>
      <c r="I17" s="35">
        <f t="shared" si="3"/>
        <v>1</v>
      </c>
      <c r="J17" s="34">
        <f t="array" ref="J17">IF($E17,index(scope_1_verif,MATCH("id"&amp;$A17&amp;"year"&amp;$D17,ghg!$AR:$AR,0)),0)</f>
        <v>1</v>
      </c>
      <c r="K17" s="34">
        <f t="array" ref="K17">IF($E17,index(scope_2_loc_verif,MATCH("id"&amp;$A17&amp;"year"&amp;$D17,ghg!$AR:$AR,0)),0)</f>
        <v>1</v>
      </c>
      <c r="L17" s="34">
        <f t="array" ref="L17">IF($E17,index(scope_2_mkt_verif,MATCH("id"&amp;$A17&amp;"year"&amp;$D17,ghg!$AR:$AR,0)),0)</f>
        <v>1</v>
      </c>
      <c r="M17" s="35">
        <f t="shared" si="4"/>
        <v>1</v>
      </c>
      <c r="N17" s="27"/>
      <c r="O17" s="26" t="b">
        <f t="shared" ref="O17:R17" si="21">(F17&gt;=O$2)</f>
        <v>1</v>
      </c>
      <c r="P17" s="26" t="b">
        <f t="shared" si="21"/>
        <v>1</v>
      </c>
      <c r="Q17" s="26" t="b">
        <f t="shared" si="21"/>
        <v>1</v>
      </c>
      <c r="R17" s="26" t="b">
        <f t="shared" si="21"/>
        <v>1</v>
      </c>
      <c r="S17" s="26"/>
      <c r="T17" s="29" t="b">
        <f t="shared" si="6"/>
        <v>1</v>
      </c>
      <c r="U17" s="30">
        <f t="shared" si="7"/>
        <v>0.05</v>
      </c>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row>
    <row r="18" ht="12.75" customHeight="1">
      <c r="A18" s="23">
        <f t="shared" si="8"/>
        <v>16</v>
      </c>
      <c r="B18" s="27"/>
      <c r="C18" s="27">
        <f>VLOOKUP($A18,reporting!$A:$D,COLUMN(last_reporting_year),FALSE)</f>
        <v>2020</v>
      </c>
      <c r="D18" s="27">
        <f t="shared" si="2"/>
        <v>2019</v>
      </c>
      <c r="E18" s="28" t="b">
        <f>VLOOKUP($A18,test1_1!$A:$Q,COLUMN(test1_1!P:P),FALSE)</f>
        <v>1</v>
      </c>
      <c r="F18" s="34" t="str">
        <f t="array" ref="F18">IF($E18,index(scope_1_verif,MATCH("id"&amp;$A18&amp;"year"&amp;$C18,ghg!$AR:$AR,0)),0)</f>
        <v/>
      </c>
      <c r="G18" s="34" t="str">
        <f t="array" ref="G18">IF($E18,index(scope_2_loc_verif,MATCH("id"&amp;$A18&amp;"year"&amp;$C18,ghg!$AR:$AR,0)),0)</f>
        <v/>
      </c>
      <c r="H18" s="34" t="str">
        <f t="array" ref="H18">IF($E18,index(scope_2_mkt_verif,MATCH("id"&amp;$A18&amp;"year"&amp;$C18,ghg!$AR:$AR,0)),0)</f>
        <v/>
      </c>
      <c r="I18" s="35">
        <f t="shared" si="3"/>
        <v>0</v>
      </c>
      <c r="J18" s="34">
        <f t="array" ref="J18">IF($E18,index(scope_1_verif,MATCH("id"&amp;$A18&amp;"year"&amp;$D18,ghg!$AR:$AR,0)),0)</f>
        <v>1</v>
      </c>
      <c r="K18" s="34">
        <f t="array" ref="K18">IF($E18,index(scope_2_loc_verif,MATCH("id"&amp;$A18&amp;"year"&amp;$D18,ghg!$AR:$AR,0)),0)</f>
        <v>1</v>
      </c>
      <c r="L18" s="34">
        <f t="array" ref="L18">IF($E18,index(scope_2_mkt_verif,MATCH("id"&amp;$A18&amp;"year"&amp;$D18,ghg!$AR:$AR,0)),0)</f>
        <v>1</v>
      </c>
      <c r="M18" s="35">
        <f t="shared" si="4"/>
        <v>1</v>
      </c>
      <c r="N18" s="27"/>
      <c r="O18" s="26" t="b">
        <f t="shared" ref="O18:R18" si="22">(F18&gt;=O$2)</f>
        <v>0</v>
      </c>
      <c r="P18" s="26" t="b">
        <f t="shared" si="22"/>
        <v>0</v>
      </c>
      <c r="Q18" s="26" t="b">
        <f t="shared" si="22"/>
        <v>0</v>
      </c>
      <c r="R18" s="26" t="b">
        <f t="shared" si="22"/>
        <v>0</v>
      </c>
      <c r="S18" s="26"/>
      <c r="T18" s="29" t="b">
        <f t="shared" si="6"/>
        <v>0</v>
      </c>
      <c r="U18" s="30">
        <f t="shared" si="7"/>
        <v>0</v>
      </c>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row>
    <row r="19" ht="12.75" customHeight="1">
      <c r="A19" s="23">
        <f t="shared" si="8"/>
        <v>17</v>
      </c>
      <c r="B19" s="27"/>
      <c r="C19" s="27" t="str">
        <f>VLOOKUP($A19,reporting!$A:$D,COLUMN(last_reporting_year),FALSE)</f>
        <v>NR</v>
      </c>
      <c r="D19" s="27" t="str">
        <f t="shared" si="2"/>
        <v>NR</v>
      </c>
      <c r="E19" s="28" t="b">
        <f>VLOOKUP($A19,test1_1!$A:$Q,COLUMN(test1_1!P:P),FALSE)</f>
        <v>0</v>
      </c>
      <c r="F19" s="34">
        <f t="array" ref="F19">IF($E19,index(scope_1_verif,MATCH("id"&amp;$A19&amp;"year"&amp;$C19,ghg!$AR:$AR,0)),0)</f>
        <v>0</v>
      </c>
      <c r="G19" s="34">
        <f t="array" ref="G19">IF($E19,index(scope_2_loc_verif,MATCH("id"&amp;$A19&amp;"year"&amp;$C19,ghg!$AR:$AR,0)),0)</f>
        <v>0</v>
      </c>
      <c r="H19" s="34">
        <f t="array" ref="H19">IF($E19,index(scope_2_mkt_verif,MATCH("id"&amp;$A19&amp;"year"&amp;$C19,ghg!$AR:$AR,0)),0)</f>
        <v>0</v>
      </c>
      <c r="I19" s="35">
        <f t="shared" si="3"/>
        <v>0</v>
      </c>
      <c r="J19" s="34">
        <f t="array" ref="J19">IF($E19,index(scope_1_verif,MATCH("id"&amp;$A19&amp;"year"&amp;$D19,ghg!$AR:$AR,0)),0)</f>
        <v>0</v>
      </c>
      <c r="K19" s="34">
        <f t="array" ref="K19">IF($E19,index(scope_2_loc_verif,MATCH("id"&amp;$A19&amp;"year"&amp;$D19,ghg!$AR:$AR,0)),0)</f>
        <v>0</v>
      </c>
      <c r="L19" s="34">
        <f t="array" ref="L19">IF($E19,index(scope_2_mkt_verif,MATCH("id"&amp;$A19&amp;"year"&amp;$D19,ghg!$AR:$AR,0)),0)</f>
        <v>0</v>
      </c>
      <c r="M19" s="35">
        <f t="shared" si="4"/>
        <v>0</v>
      </c>
      <c r="N19" s="27"/>
      <c r="O19" s="26" t="b">
        <f t="shared" ref="O19:R19" si="23">(F19&gt;=O$2)</f>
        <v>0</v>
      </c>
      <c r="P19" s="26" t="b">
        <f t="shared" si="23"/>
        <v>0</v>
      </c>
      <c r="Q19" s="26" t="b">
        <f t="shared" si="23"/>
        <v>0</v>
      </c>
      <c r="R19" s="26" t="b">
        <f t="shared" si="23"/>
        <v>0</v>
      </c>
      <c r="S19" s="26"/>
      <c r="T19" s="29" t="b">
        <f t="shared" si="6"/>
        <v>0</v>
      </c>
      <c r="U19" s="30">
        <f t="shared" si="7"/>
        <v>0</v>
      </c>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row>
    <row r="20" ht="12.75" customHeight="1">
      <c r="A20" s="23">
        <f t="shared" si="8"/>
        <v>18</v>
      </c>
      <c r="B20" s="27"/>
      <c r="C20" s="27">
        <f>VLOOKUP($A20,reporting!$A:$D,COLUMN(last_reporting_year),FALSE)</f>
        <v>2020</v>
      </c>
      <c r="D20" s="27">
        <f t="shared" si="2"/>
        <v>2019</v>
      </c>
      <c r="E20" s="28" t="b">
        <f>VLOOKUP($A20,test1_1!$A:$Q,COLUMN(test1_1!P:P),FALSE)</f>
        <v>1</v>
      </c>
      <c r="F20" s="34">
        <f t="array" ref="F20">IF($E20,index(scope_1_verif,MATCH("id"&amp;$A20&amp;"year"&amp;$C20,ghg!$AR:$AR,0)),0)</f>
        <v>1</v>
      </c>
      <c r="G20" s="34">
        <f t="array" ref="G20">IF($E20,index(scope_2_loc_verif,MATCH("id"&amp;$A20&amp;"year"&amp;$C20,ghg!$AR:$AR,0)),0)</f>
        <v>1</v>
      </c>
      <c r="H20" s="34">
        <f t="array" ref="H20">IF($E20,index(scope_2_mkt_verif,MATCH("id"&amp;$A20&amp;"year"&amp;$C20,ghg!$AR:$AR,0)),0)</f>
        <v>1</v>
      </c>
      <c r="I20" s="35">
        <f t="shared" si="3"/>
        <v>1</v>
      </c>
      <c r="J20" s="34">
        <f t="array" ref="J20">IF($E20,index(scope_1_verif,MATCH("id"&amp;$A20&amp;"year"&amp;$D20,ghg!$AR:$AR,0)),0)</f>
        <v>1</v>
      </c>
      <c r="K20" s="34">
        <f t="array" ref="K20">IF($E20,index(scope_2_loc_verif,MATCH("id"&amp;$A20&amp;"year"&amp;$D20,ghg!$AR:$AR,0)),0)</f>
        <v>1</v>
      </c>
      <c r="L20" s="34">
        <f t="array" ref="L20">IF($E20,index(scope_2_mkt_verif,MATCH("id"&amp;$A20&amp;"year"&amp;$D20,ghg!$AR:$AR,0)),0)</f>
        <v>1</v>
      </c>
      <c r="M20" s="35">
        <f t="shared" si="4"/>
        <v>1</v>
      </c>
      <c r="N20" s="27"/>
      <c r="O20" s="26" t="b">
        <f t="shared" ref="O20:R20" si="24">(F20&gt;=O$2)</f>
        <v>1</v>
      </c>
      <c r="P20" s="26" t="b">
        <f t="shared" si="24"/>
        <v>1</v>
      </c>
      <c r="Q20" s="26" t="b">
        <f t="shared" si="24"/>
        <v>1</v>
      </c>
      <c r="R20" s="26" t="b">
        <f t="shared" si="24"/>
        <v>1</v>
      </c>
      <c r="S20" s="26"/>
      <c r="T20" s="29" t="b">
        <f t="shared" si="6"/>
        <v>1</v>
      </c>
      <c r="U20" s="30">
        <f t="shared" si="7"/>
        <v>0.05</v>
      </c>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row>
    <row r="21" ht="12.75" customHeight="1">
      <c r="A21" s="23">
        <f t="shared" si="8"/>
        <v>19</v>
      </c>
      <c r="B21" s="27"/>
      <c r="C21" s="27">
        <f>VLOOKUP($A21,reporting!$A:$D,COLUMN(last_reporting_year),FALSE)</f>
        <v>2020</v>
      </c>
      <c r="D21" s="27">
        <f t="shared" si="2"/>
        <v>2019</v>
      </c>
      <c r="E21" s="28" t="b">
        <f>VLOOKUP($A21,test1_1!$A:$Q,COLUMN(test1_1!P:P),FALSE)</f>
        <v>1</v>
      </c>
      <c r="F21" s="34">
        <f t="array" ref="F21">IF($E21,index(scope_1_verif,MATCH("id"&amp;$A21&amp;"year"&amp;$C21,ghg!$AR:$AR,0)),0)</f>
        <v>1</v>
      </c>
      <c r="G21" s="34">
        <f t="array" ref="G21">IF($E21,index(scope_2_loc_verif,MATCH("id"&amp;$A21&amp;"year"&amp;$C21,ghg!$AR:$AR,0)),0)</f>
        <v>1</v>
      </c>
      <c r="H21" s="34">
        <f t="array" ref="H21">IF($E21,index(scope_2_mkt_verif,MATCH("id"&amp;$A21&amp;"year"&amp;$C21,ghg!$AR:$AR,0)),0)</f>
        <v>1</v>
      </c>
      <c r="I21" s="35">
        <f t="shared" si="3"/>
        <v>1</v>
      </c>
      <c r="J21" s="34">
        <f t="array" ref="J21">IF($E21,index(scope_1_verif,MATCH("id"&amp;$A21&amp;"year"&amp;$D21,ghg!$AR:$AR,0)),0)</f>
        <v>1</v>
      </c>
      <c r="K21" s="34">
        <f t="array" ref="K21">IF($E21,index(scope_2_loc_verif,MATCH("id"&amp;$A21&amp;"year"&amp;$D21,ghg!$AR:$AR,0)),0)</f>
        <v>1</v>
      </c>
      <c r="L21" s="34">
        <f t="array" ref="L21">IF($E21,index(scope_2_mkt_verif,MATCH("id"&amp;$A21&amp;"year"&amp;$D21,ghg!$AR:$AR,0)),0)</f>
        <v>1</v>
      </c>
      <c r="M21" s="35">
        <f t="shared" si="4"/>
        <v>1</v>
      </c>
      <c r="N21" s="27"/>
      <c r="O21" s="26" t="b">
        <f t="shared" ref="O21:R21" si="25">(F21&gt;=O$2)</f>
        <v>1</v>
      </c>
      <c r="P21" s="26" t="b">
        <f t="shared" si="25"/>
        <v>1</v>
      </c>
      <c r="Q21" s="26" t="b">
        <f t="shared" si="25"/>
        <v>1</v>
      </c>
      <c r="R21" s="26" t="b">
        <f t="shared" si="25"/>
        <v>1</v>
      </c>
      <c r="S21" s="26"/>
      <c r="T21" s="29" t="b">
        <f t="shared" si="6"/>
        <v>1</v>
      </c>
      <c r="U21" s="30">
        <f t="shared" si="7"/>
        <v>0.05</v>
      </c>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row>
    <row r="22" ht="12.75" customHeight="1">
      <c r="A22" s="31">
        <v>66.0</v>
      </c>
      <c r="B22" s="27"/>
      <c r="C22" s="27">
        <f>VLOOKUP($A22,reporting!$A:$D,COLUMN(last_reporting_year),FALSE)</f>
        <v>2020</v>
      </c>
      <c r="D22" s="27">
        <f t="shared" si="2"/>
        <v>2019</v>
      </c>
      <c r="E22" s="28" t="b">
        <f>VLOOKUP($A22,test1_1!$A:$Q,COLUMN(test1_1!P:P),FALSE)</f>
        <v>1</v>
      </c>
      <c r="F22" s="34">
        <f t="array" ref="F22">IF($E22,index(scope_1_verif,MATCH("id"&amp;$A22&amp;"year"&amp;$C22,ghg!$AR:$AR,0)),0)</f>
        <v>1</v>
      </c>
      <c r="G22" s="34">
        <f t="array" ref="G22">IF($E22,index(scope_2_loc_verif,MATCH("id"&amp;$A22&amp;"year"&amp;$C22,ghg!$AR:$AR,0)),0)</f>
        <v>1</v>
      </c>
      <c r="H22" s="34">
        <f t="array" ref="H22">IF($E22,index(scope_2_mkt_verif,MATCH("id"&amp;$A22&amp;"year"&amp;$C22,ghg!$AR:$AR,0)),0)</f>
        <v>1</v>
      </c>
      <c r="I22" s="35">
        <f t="shared" si="3"/>
        <v>1</v>
      </c>
      <c r="J22" s="34">
        <f t="array" ref="J22">IF($E22,index(scope_1_verif,MATCH("id"&amp;$A22&amp;"year"&amp;$D22,ghg!$AR:$AR,0)),0)</f>
        <v>1</v>
      </c>
      <c r="K22" s="34">
        <f t="array" ref="K22">IF($E22,index(scope_2_loc_verif,MATCH("id"&amp;$A22&amp;"year"&amp;$D22,ghg!$AR:$AR,0)),0)</f>
        <v>1</v>
      </c>
      <c r="L22" s="34">
        <f t="array" ref="L22">IF($E22,index(scope_2_mkt_verif,MATCH("id"&amp;$A22&amp;"year"&amp;$D22,ghg!$AR:$AR,0)),0)</f>
        <v>1</v>
      </c>
      <c r="M22" s="35">
        <f t="shared" si="4"/>
        <v>1</v>
      </c>
      <c r="N22" s="27"/>
      <c r="O22" s="26" t="b">
        <f t="shared" ref="O22:R22" si="26">(F22&gt;=O$2)</f>
        <v>1</v>
      </c>
      <c r="P22" s="26" t="b">
        <f t="shared" si="26"/>
        <v>1</v>
      </c>
      <c r="Q22" s="26" t="b">
        <f t="shared" si="26"/>
        <v>1</v>
      </c>
      <c r="R22" s="26" t="b">
        <f t="shared" si="26"/>
        <v>1</v>
      </c>
      <c r="S22" s="26"/>
      <c r="T22" s="29" t="b">
        <f t="shared" si="6"/>
        <v>1</v>
      </c>
      <c r="U22" s="30">
        <f t="shared" si="7"/>
        <v>0.05</v>
      </c>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71"/>
    <col customWidth="1" min="2" max="2" width="9.57"/>
    <col customWidth="1" min="3" max="6" width="10.71"/>
    <col customWidth="1" min="7" max="7" width="5.71"/>
    <col customWidth="1" min="8" max="9" width="11.57"/>
    <col customWidth="1" min="10" max="37" width="8.71"/>
  </cols>
  <sheetData>
    <row r="1" ht="12.75" customHeight="1">
      <c r="A1" s="17" t="s">
        <v>2</v>
      </c>
      <c r="B1" s="18"/>
      <c r="C1" s="19" t="s">
        <v>537</v>
      </c>
      <c r="D1" s="20" t="s">
        <v>549</v>
      </c>
      <c r="E1" s="19" t="s">
        <v>557</v>
      </c>
      <c r="F1" s="19" t="s">
        <v>558</v>
      </c>
      <c r="G1" s="19"/>
      <c r="H1" s="19" t="s">
        <v>565</v>
      </c>
      <c r="I1" s="21" t="s">
        <v>548</v>
      </c>
      <c r="J1" s="20" t="s">
        <v>575</v>
      </c>
      <c r="K1" s="19" t="s">
        <v>566</v>
      </c>
      <c r="L1" s="21" t="s">
        <v>548</v>
      </c>
      <c r="M1" s="20" t="s">
        <v>575</v>
      </c>
      <c r="N1" s="36" t="s">
        <v>576</v>
      </c>
      <c r="O1" s="20" t="s">
        <v>577</v>
      </c>
      <c r="T1" s="37" t="s">
        <v>578</v>
      </c>
      <c r="U1" s="38">
        <v>1.0</v>
      </c>
    </row>
    <row r="2">
      <c r="A2" s="23"/>
      <c r="B2" s="24"/>
      <c r="C2" s="24"/>
      <c r="D2" s="24"/>
      <c r="E2" s="24"/>
      <c r="F2" s="24"/>
      <c r="G2" s="19"/>
      <c r="H2" s="19" t="s">
        <v>579</v>
      </c>
      <c r="I2" s="25">
        <v>0.05</v>
      </c>
      <c r="J2" s="24"/>
      <c r="K2" s="19" t="s">
        <v>580</v>
      </c>
      <c r="L2" s="25">
        <v>0.05</v>
      </c>
      <c r="M2" s="24"/>
      <c r="N2" s="26"/>
      <c r="O2" s="24"/>
      <c r="Q2" s="26"/>
      <c r="R2" s="26"/>
      <c r="S2" s="26"/>
      <c r="T2" s="39" t="s">
        <v>581</v>
      </c>
      <c r="U2" s="38">
        <v>0.5</v>
      </c>
      <c r="V2" s="26"/>
      <c r="W2" s="26"/>
      <c r="X2" s="26"/>
      <c r="Y2" s="26"/>
      <c r="Z2" s="26"/>
      <c r="AA2" s="26"/>
      <c r="AB2" s="26"/>
      <c r="AC2" s="26"/>
      <c r="AD2" s="26"/>
      <c r="AE2" s="26"/>
      <c r="AF2" s="26"/>
      <c r="AG2" s="26"/>
      <c r="AH2" s="26"/>
      <c r="AI2" s="26"/>
      <c r="AJ2" s="26"/>
      <c r="AK2" s="26"/>
    </row>
    <row r="3" ht="12.75" customHeight="1">
      <c r="A3" s="23">
        <v>1.0</v>
      </c>
      <c r="B3" s="27"/>
      <c r="C3" s="27">
        <f>VLOOKUP($A3,reporting!$A:$D,COLUMN(last_reporting_year),FALSE)</f>
        <v>2020</v>
      </c>
      <c r="D3" s="28" t="b">
        <f>VLOOKUP($A3,test1_1!$A:$Q,COLUMN(test1_1!$P:$P),FALSE)</f>
        <v>1</v>
      </c>
      <c r="E3" s="34" t="str">
        <f t="array" ref="E3">IFERROR(index(scope_3_bycategory_details,MATCH("id"&amp;$A3&amp;"year"&amp;$C3,ghg!$AR:$AR,0)),"no")</f>
        <v>cdp</v>
      </c>
      <c r="F3" s="34">
        <f t="array" ref="F3">IFERROR(index(scope_3_verif,MATCH("id"&amp;$A3&amp;"year"&amp;$C3,ghg!$AR:$AR,0)),0)</f>
        <v>1</v>
      </c>
      <c r="G3" s="27"/>
      <c r="H3" s="40">
        <f>IFERROR(VLOOKUP($E3,category_3_1,2,FALSE),0)</f>
        <v>1</v>
      </c>
      <c r="I3" s="26"/>
      <c r="J3" s="30">
        <f t="shared" ref="J3:J22" si="1">H3*I$2</f>
        <v>0.05</v>
      </c>
      <c r="K3" s="40">
        <f t="shared" ref="K3:K22" si="2">max(0,min(100%,VALUE(F3)))</f>
        <v>1</v>
      </c>
      <c r="L3" s="26"/>
      <c r="M3" s="30">
        <f t="shared" ref="M3:M22" si="3">K3*L$2</f>
        <v>0.05</v>
      </c>
      <c r="N3" s="26"/>
      <c r="O3" s="30">
        <f t="shared" ref="O3:O22" si="4">M3+J3</f>
        <v>0.1</v>
      </c>
      <c r="Q3" s="26"/>
      <c r="R3" s="26"/>
      <c r="S3" s="26"/>
      <c r="T3" s="39" t="s">
        <v>582</v>
      </c>
      <c r="U3" s="41">
        <v>0.0</v>
      </c>
      <c r="V3" s="26"/>
      <c r="W3" s="26"/>
      <c r="X3" s="26"/>
      <c r="Y3" s="26"/>
      <c r="Z3" s="26"/>
      <c r="AA3" s="26"/>
      <c r="AB3" s="26"/>
      <c r="AC3" s="26"/>
      <c r="AD3" s="26"/>
      <c r="AE3" s="26"/>
      <c r="AF3" s="26"/>
      <c r="AG3" s="26"/>
      <c r="AH3" s="26"/>
      <c r="AI3" s="26"/>
      <c r="AJ3" s="26"/>
      <c r="AK3" s="26"/>
    </row>
    <row r="4" ht="12.75" customHeight="1">
      <c r="A4" s="23">
        <f t="shared" ref="A4:A21" si="5">A3+1</f>
        <v>2</v>
      </c>
      <c r="B4" s="27"/>
      <c r="C4" s="27">
        <f>VLOOKUP($A4,reporting!$A:$D,COLUMN(last_reporting_year),FALSE)</f>
        <v>2020</v>
      </c>
      <c r="D4" s="28" t="b">
        <f>VLOOKUP($A4,test1_1!$A:$Q,COLUMN(test1_1!$P:$P),FALSE)</f>
        <v>1</v>
      </c>
      <c r="E4" s="34" t="str">
        <f t="array" ref="E4">IFERROR(index(scope_3_bycategory_details,MATCH("id"&amp;$A4&amp;"year"&amp;$C4,ghg!$AR:$AR,0)),"no")</f>
        <v>cdp</v>
      </c>
      <c r="F4" s="34" t="str">
        <f t="array" ref="F4">IFERROR(index(scope_3_verif,MATCH("id"&amp;$A4&amp;"year"&amp;$C4,ghg!$AR:$AR,0)),0)</f>
        <v/>
      </c>
      <c r="G4" s="27"/>
      <c r="H4" s="40">
        <f>IFERROR(VLOOKUP($E4,category_3_1,2,FALSE),0)</f>
        <v>1</v>
      </c>
      <c r="I4" s="26"/>
      <c r="J4" s="30">
        <f t="shared" si="1"/>
        <v>0.05</v>
      </c>
      <c r="K4" s="40">
        <f t="shared" si="2"/>
        <v>0</v>
      </c>
      <c r="L4" s="26"/>
      <c r="M4" s="30">
        <f t="shared" si="3"/>
        <v>0</v>
      </c>
      <c r="N4" s="26"/>
      <c r="O4" s="30">
        <f t="shared" si="4"/>
        <v>0.05</v>
      </c>
      <c r="Q4" s="26"/>
      <c r="R4" s="26"/>
      <c r="S4" s="26"/>
      <c r="T4" s="26"/>
      <c r="U4" s="41"/>
      <c r="V4" s="26"/>
      <c r="W4" s="26"/>
      <c r="X4" s="26"/>
      <c r="Y4" s="26"/>
      <c r="Z4" s="26"/>
      <c r="AA4" s="26"/>
      <c r="AB4" s="26"/>
      <c r="AC4" s="26"/>
      <c r="AD4" s="26"/>
      <c r="AE4" s="26"/>
      <c r="AF4" s="26"/>
      <c r="AG4" s="26"/>
      <c r="AH4" s="26"/>
      <c r="AI4" s="26"/>
      <c r="AJ4" s="26"/>
      <c r="AK4" s="26"/>
    </row>
    <row r="5" ht="12.75" customHeight="1">
      <c r="A5" s="23">
        <f t="shared" si="5"/>
        <v>3</v>
      </c>
      <c r="B5" s="27"/>
      <c r="C5" s="27">
        <f>VLOOKUP($A5,reporting!$A:$D,COLUMN(last_reporting_year),FALSE)</f>
        <v>2020</v>
      </c>
      <c r="D5" s="28" t="b">
        <f>VLOOKUP($A5,test1_1!$A:$Q,COLUMN(test1_1!$P:$P),FALSE)</f>
        <v>1</v>
      </c>
      <c r="E5" s="42" t="s">
        <v>578</v>
      </c>
      <c r="F5" s="34" t="str">
        <f t="array" ref="F5">IFERROR(index(scope_3_verif,MATCH("id"&amp;$A5&amp;"year"&amp;$C5,ghg!$AR:$AR,0)),0)</f>
        <v/>
      </c>
      <c r="G5" s="27"/>
      <c r="H5" s="40">
        <f>IFERROR(VLOOKUP($E5,category_3_1,2,FALSE),0)</f>
        <v>1</v>
      </c>
      <c r="I5" s="26"/>
      <c r="J5" s="30">
        <f t="shared" si="1"/>
        <v>0.05</v>
      </c>
      <c r="K5" s="40">
        <f t="shared" si="2"/>
        <v>0</v>
      </c>
      <c r="L5" s="26"/>
      <c r="M5" s="30">
        <f t="shared" si="3"/>
        <v>0</v>
      </c>
      <c r="N5" s="26"/>
      <c r="O5" s="30">
        <f t="shared" si="4"/>
        <v>0.05</v>
      </c>
      <c r="Q5" s="26"/>
      <c r="R5" s="26"/>
      <c r="S5" s="26"/>
      <c r="T5" s="26"/>
      <c r="U5" s="26"/>
      <c r="V5" s="26"/>
      <c r="W5" s="26"/>
      <c r="X5" s="26"/>
      <c r="Y5" s="26"/>
      <c r="Z5" s="26"/>
      <c r="AA5" s="26"/>
      <c r="AB5" s="26"/>
      <c r="AC5" s="26"/>
      <c r="AD5" s="26"/>
      <c r="AE5" s="26"/>
      <c r="AF5" s="26"/>
      <c r="AG5" s="26"/>
      <c r="AH5" s="26"/>
      <c r="AI5" s="26"/>
      <c r="AJ5" s="26"/>
      <c r="AK5" s="26"/>
    </row>
    <row r="6" ht="12.75" customHeight="1">
      <c r="A6" s="23">
        <f t="shared" si="5"/>
        <v>4</v>
      </c>
      <c r="B6" s="27"/>
      <c r="C6" s="27">
        <f>VLOOKUP($A6,reporting!$A:$D,COLUMN(last_reporting_year),FALSE)</f>
        <v>2020</v>
      </c>
      <c r="D6" s="28" t="b">
        <f>VLOOKUP($A6,test1_1!$A:$Q,COLUMN(test1_1!$P:$P),FALSE)</f>
        <v>1</v>
      </c>
      <c r="E6" s="34" t="str">
        <f t="array" ref="E6">IFERROR(index(scope_3_bycategory_details,MATCH("id"&amp;$A6&amp;"year"&amp;$C6,ghg!$AR:$AR,0)),"no")</f>
        <v>cdp</v>
      </c>
      <c r="F6" s="34">
        <f t="array" ref="F6">IFERROR(index(scope_3_verif,MATCH("id"&amp;$A6&amp;"year"&amp;$C6,ghg!$AR:$AR,0)),0)</f>
        <v>0.2</v>
      </c>
      <c r="G6" s="27"/>
      <c r="H6" s="40">
        <f>IFERROR(VLOOKUP($E6,category_3_1,2,FALSE),0)</f>
        <v>1</v>
      </c>
      <c r="I6" s="26"/>
      <c r="J6" s="30">
        <f t="shared" si="1"/>
        <v>0.05</v>
      </c>
      <c r="K6" s="40">
        <f t="shared" si="2"/>
        <v>0.2</v>
      </c>
      <c r="L6" s="26"/>
      <c r="M6" s="30">
        <f t="shared" si="3"/>
        <v>0.01</v>
      </c>
      <c r="N6" s="26"/>
      <c r="O6" s="30">
        <f t="shared" si="4"/>
        <v>0.06</v>
      </c>
      <c r="Q6" s="26"/>
      <c r="R6" s="26"/>
      <c r="S6" s="26"/>
      <c r="T6" s="26"/>
      <c r="U6" s="26"/>
      <c r="V6" s="26"/>
      <c r="W6" s="26"/>
      <c r="X6" s="26"/>
      <c r="Y6" s="26"/>
      <c r="Z6" s="26"/>
      <c r="AA6" s="26"/>
      <c r="AB6" s="26"/>
      <c r="AC6" s="26"/>
      <c r="AD6" s="26"/>
      <c r="AE6" s="26"/>
      <c r="AF6" s="26"/>
      <c r="AG6" s="26"/>
      <c r="AH6" s="26"/>
      <c r="AI6" s="26"/>
      <c r="AJ6" s="26"/>
      <c r="AK6" s="26"/>
    </row>
    <row r="7" ht="12.75" customHeight="1">
      <c r="A7" s="23">
        <f t="shared" si="5"/>
        <v>5</v>
      </c>
      <c r="B7" s="27"/>
      <c r="C7" s="27">
        <f>VLOOKUP($A7,reporting!$A:$D,COLUMN(last_reporting_year),FALSE)</f>
        <v>2020</v>
      </c>
      <c r="D7" s="28" t="b">
        <f>VLOOKUP($A7,test1_1!$A:$Q,COLUMN(test1_1!$P:$P),FALSE)</f>
        <v>1</v>
      </c>
      <c r="E7" s="34" t="str">
        <f t="array" ref="E7">IFERROR(index(scope_3_bycategory_details,MATCH("id"&amp;$A7&amp;"year"&amp;$C7,ghg!$AR:$AR,0)),"no")</f>
        <v>cdp</v>
      </c>
      <c r="F7" s="34" t="str">
        <f t="array" ref="F7">IFERROR(index(scope_3_verif,MATCH("id"&amp;$A7&amp;"year"&amp;$C7,ghg!$AR:$AR,0)),0)</f>
        <v/>
      </c>
      <c r="G7" s="27"/>
      <c r="H7" s="40">
        <f>IFERROR(VLOOKUP($E7,category_3_1,2,FALSE),0)</f>
        <v>1</v>
      </c>
      <c r="I7" s="26"/>
      <c r="J7" s="30">
        <f t="shared" si="1"/>
        <v>0.05</v>
      </c>
      <c r="K7" s="40">
        <f t="shared" si="2"/>
        <v>0</v>
      </c>
      <c r="L7" s="26"/>
      <c r="M7" s="30">
        <f t="shared" si="3"/>
        <v>0</v>
      </c>
      <c r="N7" s="26"/>
      <c r="O7" s="30">
        <f t="shared" si="4"/>
        <v>0.05</v>
      </c>
      <c r="Q7" s="26"/>
      <c r="R7" s="26"/>
      <c r="S7" s="26"/>
      <c r="T7" s="26"/>
      <c r="U7" s="26"/>
      <c r="V7" s="26"/>
      <c r="W7" s="26"/>
      <c r="X7" s="26"/>
      <c r="Y7" s="26"/>
      <c r="Z7" s="26"/>
      <c r="AA7" s="26"/>
      <c r="AB7" s="26"/>
      <c r="AC7" s="26"/>
      <c r="AD7" s="26"/>
      <c r="AE7" s="26"/>
      <c r="AF7" s="26"/>
      <c r="AG7" s="26"/>
      <c r="AH7" s="26"/>
      <c r="AI7" s="26"/>
      <c r="AJ7" s="26"/>
      <c r="AK7" s="26"/>
    </row>
    <row r="8" ht="12.75" customHeight="1">
      <c r="A8" s="23">
        <f t="shared" si="5"/>
        <v>6</v>
      </c>
      <c r="B8" s="27"/>
      <c r="C8" s="27">
        <f>VLOOKUP($A8,reporting!$A:$D,COLUMN(last_reporting_year),FALSE)</f>
        <v>2020</v>
      </c>
      <c r="D8" s="28" t="b">
        <f>VLOOKUP($A8,test1_1!$A:$Q,COLUMN(test1_1!$P:$P),FALSE)</f>
        <v>1</v>
      </c>
      <c r="E8" s="34" t="str">
        <f t="array" ref="E8">IFERROR(index(scope_3_bycategory_details,MATCH("id"&amp;$A8&amp;"year"&amp;$C8,ghg!$AR:$AR,0)),"no")</f>
        <v>cdp</v>
      </c>
      <c r="F8" s="34">
        <f t="array" ref="F8">IFERROR(index(scope_3_verif,MATCH("id"&amp;$A8&amp;"year"&amp;$C8,ghg!$AR:$AR,0)),0)</f>
        <v>0.24</v>
      </c>
      <c r="G8" s="27"/>
      <c r="H8" s="40">
        <f>IFERROR(VLOOKUP($E8,category_3_1,2,FALSE),0)</f>
        <v>1</v>
      </c>
      <c r="I8" s="26"/>
      <c r="J8" s="30">
        <f t="shared" si="1"/>
        <v>0.05</v>
      </c>
      <c r="K8" s="40">
        <f t="shared" si="2"/>
        <v>0.24</v>
      </c>
      <c r="L8" s="26"/>
      <c r="M8" s="30">
        <f t="shared" si="3"/>
        <v>0.012</v>
      </c>
      <c r="N8" s="26"/>
      <c r="O8" s="30">
        <f t="shared" si="4"/>
        <v>0.062</v>
      </c>
      <c r="P8" s="26"/>
      <c r="Q8" s="26"/>
      <c r="R8" s="26"/>
      <c r="S8" s="26"/>
      <c r="T8" s="26"/>
      <c r="U8" s="26"/>
      <c r="V8" s="26"/>
      <c r="W8" s="26"/>
      <c r="X8" s="26"/>
      <c r="Y8" s="26"/>
      <c r="Z8" s="26"/>
      <c r="AA8" s="26"/>
      <c r="AB8" s="26"/>
      <c r="AC8" s="26"/>
      <c r="AD8" s="26"/>
      <c r="AE8" s="26"/>
      <c r="AF8" s="26"/>
      <c r="AG8" s="26"/>
      <c r="AH8" s="26"/>
      <c r="AI8" s="26"/>
      <c r="AJ8" s="26"/>
      <c r="AK8" s="26"/>
    </row>
    <row r="9" ht="12.75" customHeight="1">
      <c r="A9" s="23">
        <f t="shared" si="5"/>
        <v>7</v>
      </c>
      <c r="B9" s="27"/>
      <c r="C9" s="27">
        <f>VLOOKUP($A9,reporting!$A:$D,COLUMN(last_reporting_year),FALSE)</f>
        <v>2019</v>
      </c>
      <c r="D9" s="28" t="b">
        <f>VLOOKUP($A9,test1_1!$A:$Q,COLUMN(test1_1!$P:$P),FALSE)</f>
        <v>1</v>
      </c>
      <c r="E9" s="34" t="str">
        <f t="array" ref="E9">IFERROR(index(scope_3_bycategory_details,MATCH("id"&amp;$A9&amp;"year"&amp;$C9,ghg!$AR:$AR,0)),"no")</f>
        <v>cdp</v>
      </c>
      <c r="F9" s="34">
        <f t="array" ref="F9">IFERROR(index(scope_3_verif,MATCH("id"&amp;$A9&amp;"year"&amp;$C9,ghg!$AR:$AR,0)),0)</f>
        <v>0.04325634741</v>
      </c>
      <c r="G9" s="27"/>
      <c r="H9" s="40">
        <f>IFERROR(VLOOKUP($E9,category_3_1,2,FALSE),0)</f>
        <v>1</v>
      </c>
      <c r="I9" s="26"/>
      <c r="J9" s="30">
        <f t="shared" si="1"/>
        <v>0.05</v>
      </c>
      <c r="K9" s="40">
        <f t="shared" si="2"/>
        <v>0.04</v>
      </c>
      <c r="L9" s="26"/>
      <c r="M9" s="30">
        <f t="shared" si="3"/>
        <v>0.002</v>
      </c>
      <c r="N9" s="26"/>
      <c r="O9" s="30">
        <f t="shared" si="4"/>
        <v>0.052</v>
      </c>
      <c r="P9" s="26"/>
      <c r="Q9" s="26"/>
      <c r="R9" s="26"/>
      <c r="S9" s="26"/>
      <c r="T9" s="26"/>
      <c r="U9" s="26"/>
      <c r="V9" s="26"/>
      <c r="W9" s="26"/>
      <c r="X9" s="26"/>
      <c r="Y9" s="26"/>
      <c r="Z9" s="26"/>
      <c r="AA9" s="26"/>
      <c r="AB9" s="26"/>
      <c r="AC9" s="26"/>
      <c r="AD9" s="26"/>
      <c r="AE9" s="26"/>
      <c r="AF9" s="26"/>
      <c r="AG9" s="26"/>
      <c r="AH9" s="26"/>
      <c r="AI9" s="26"/>
      <c r="AJ9" s="26"/>
      <c r="AK9" s="26"/>
    </row>
    <row r="10" ht="12.75" customHeight="1">
      <c r="A10" s="23">
        <f t="shared" si="5"/>
        <v>8</v>
      </c>
      <c r="B10" s="27"/>
      <c r="C10" s="27">
        <f>VLOOKUP($A10,reporting!$A:$D,COLUMN(last_reporting_year),FALSE)</f>
        <v>2020</v>
      </c>
      <c r="D10" s="28" t="b">
        <f>VLOOKUP($A10,test1_1!$A:$Q,COLUMN(test1_1!$P:$P),FALSE)</f>
        <v>1</v>
      </c>
      <c r="E10" s="34" t="str">
        <f t="array" ref="E10">IFERROR(index(scope_3_bycategory_details,MATCH("id"&amp;$A10&amp;"year"&amp;$C10,ghg!$AR:$AR,0)),"no")</f>
        <v>cdp</v>
      </c>
      <c r="F10" s="34">
        <f t="array" ref="F10">IFERROR(index(scope_3_verif,MATCH("id"&amp;$A10&amp;"year"&amp;$C10,ghg!$AR:$AR,0)),0)</f>
        <v>0</v>
      </c>
      <c r="G10" s="27"/>
      <c r="H10" s="40">
        <f>IFERROR(VLOOKUP($E10,category_3_1,2,FALSE),0)</f>
        <v>1</v>
      </c>
      <c r="I10" s="26"/>
      <c r="J10" s="30">
        <f t="shared" si="1"/>
        <v>0.05</v>
      </c>
      <c r="K10" s="40">
        <f t="shared" si="2"/>
        <v>0</v>
      </c>
      <c r="L10" s="26"/>
      <c r="M10" s="30">
        <f t="shared" si="3"/>
        <v>0</v>
      </c>
      <c r="N10" s="26"/>
      <c r="O10" s="30">
        <f t="shared" si="4"/>
        <v>0.05</v>
      </c>
      <c r="P10" s="26"/>
      <c r="Q10" s="26"/>
      <c r="R10" s="26"/>
      <c r="S10" s="26"/>
      <c r="T10" s="26"/>
      <c r="U10" s="26"/>
      <c r="V10" s="26"/>
      <c r="W10" s="26"/>
      <c r="X10" s="26"/>
      <c r="Y10" s="26"/>
      <c r="Z10" s="26"/>
      <c r="AA10" s="26"/>
      <c r="AB10" s="26"/>
      <c r="AC10" s="26"/>
      <c r="AD10" s="26"/>
      <c r="AE10" s="26"/>
      <c r="AF10" s="26"/>
      <c r="AG10" s="26"/>
      <c r="AH10" s="26"/>
      <c r="AI10" s="26"/>
      <c r="AJ10" s="26"/>
      <c r="AK10" s="26"/>
    </row>
    <row r="11" ht="12.75" customHeight="1">
      <c r="A11" s="23">
        <f t="shared" si="5"/>
        <v>9</v>
      </c>
      <c r="B11" s="27"/>
      <c r="C11" s="27">
        <f>VLOOKUP($A11,reporting!$A:$D,COLUMN(last_reporting_year),FALSE)</f>
        <v>2020</v>
      </c>
      <c r="D11" s="28" t="b">
        <f>VLOOKUP($A11,test1_1!$A:$Q,COLUMN(test1_1!$P:$P),FALSE)</f>
        <v>1</v>
      </c>
      <c r="E11" s="34" t="str">
        <f t="array" ref="E11">IFERROR(index(scope_3_bycategory_details,MATCH("id"&amp;$A11&amp;"year"&amp;$C11,ghg!$AR:$AR,0)),"no")</f>
        <v>public</v>
      </c>
      <c r="F11" s="34">
        <f t="array" ref="F11">IFERROR(index(scope_3_verif,MATCH("id"&amp;$A11&amp;"year"&amp;$C11,ghg!$AR:$AR,0)),0)</f>
        <v>1</v>
      </c>
      <c r="G11" s="27"/>
      <c r="H11" s="40">
        <f>IFERROR(VLOOKUP($E11,category_3_1,2,FALSE),0)</f>
        <v>0.5</v>
      </c>
      <c r="I11" s="26"/>
      <c r="J11" s="30">
        <f t="shared" si="1"/>
        <v>0.025</v>
      </c>
      <c r="K11" s="40">
        <f t="shared" si="2"/>
        <v>1</v>
      </c>
      <c r="L11" s="26"/>
      <c r="M11" s="30">
        <f t="shared" si="3"/>
        <v>0.05</v>
      </c>
      <c r="N11" s="26"/>
      <c r="O11" s="30">
        <f t="shared" si="4"/>
        <v>0.075</v>
      </c>
      <c r="P11" s="26"/>
      <c r="Q11" s="26"/>
      <c r="R11" s="26"/>
      <c r="S11" s="26"/>
      <c r="T11" s="26"/>
      <c r="U11" s="26"/>
      <c r="V11" s="26"/>
      <c r="W11" s="26"/>
      <c r="X11" s="26"/>
      <c r="Y11" s="26"/>
      <c r="Z11" s="26"/>
      <c r="AA11" s="26"/>
      <c r="AB11" s="26"/>
      <c r="AC11" s="26"/>
      <c r="AD11" s="26"/>
      <c r="AE11" s="26"/>
      <c r="AF11" s="26"/>
      <c r="AG11" s="26"/>
      <c r="AH11" s="26"/>
      <c r="AI11" s="26"/>
      <c r="AJ11" s="26"/>
      <c r="AK11" s="26"/>
    </row>
    <row r="12" ht="12.75" customHeight="1">
      <c r="A12" s="23">
        <f t="shared" si="5"/>
        <v>10</v>
      </c>
      <c r="B12" s="27"/>
      <c r="C12" s="27">
        <f>VLOOKUP($A12,reporting!$A:$D,COLUMN(last_reporting_year),FALSE)</f>
        <v>2019</v>
      </c>
      <c r="D12" s="28" t="b">
        <f>VLOOKUP($A12,test1_1!$A:$Q,COLUMN(test1_1!$P:$P),FALSE)</f>
        <v>1</v>
      </c>
      <c r="E12" s="34" t="str">
        <f t="array" ref="E12">IFERROR(index(scope_3_bycategory_details,MATCH("id"&amp;$A12&amp;"year"&amp;$C12,ghg!$AR:$AR,0)),"no")</f>
        <v>cdp</v>
      </c>
      <c r="F12" s="34">
        <f t="array" ref="F12">IFERROR(index(scope_3_verif,MATCH("id"&amp;$A12&amp;"year"&amp;$C12,ghg!$AR:$AR,0)),0)</f>
        <v>0</v>
      </c>
      <c r="G12" s="27"/>
      <c r="H12" s="40">
        <f>IFERROR(VLOOKUP($E12,category_3_1,2,FALSE),0)</f>
        <v>1</v>
      </c>
      <c r="I12" s="26"/>
      <c r="J12" s="30">
        <f t="shared" si="1"/>
        <v>0.05</v>
      </c>
      <c r="K12" s="40">
        <f t="shared" si="2"/>
        <v>0</v>
      </c>
      <c r="L12" s="26"/>
      <c r="M12" s="30">
        <f t="shared" si="3"/>
        <v>0</v>
      </c>
      <c r="N12" s="26"/>
      <c r="O12" s="30">
        <f t="shared" si="4"/>
        <v>0.05</v>
      </c>
      <c r="P12" s="26"/>
      <c r="Q12" s="26"/>
      <c r="R12" s="26"/>
      <c r="S12" s="26"/>
      <c r="T12" s="26"/>
      <c r="U12" s="26"/>
      <c r="V12" s="26"/>
      <c r="W12" s="26"/>
      <c r="X12" s="26"/>
      <c r="Y12" s="26"/>
      <c r="Z12" s="26"/>
      <c r="AA12" s="26"/>
      <c r="AB12" s="26"/>
      <c r="AC12" s="26"/>
      <c r="AD12" s="26"/>
      <c r="AE12" s="26"/>
      <c r="AF12" s="26"/>
      <c r="AG12" s="26"/>
      <c r="AH12" s="26"/>
      <c r="AI12" s="26"/>
      <c r="AJ12" s="26"/>
      <c r="AK12" s="26"/>
    </row>
    <row r="13" ht="12.75" customHeight="1">
      <c r="A13" s="23">
        <f t="shared" si="5"/>
        <v>11</v>
      </c>
      <c r="B13" s="27"/>
      <c r="C13" s="27">
        <f>VLOOKUP($A13,reporting!$A:$D,COLUMN(last_reporting_year),FALSE)</f>
        <v>2020</v>
      </c>
      <c r="D13" s="28" t="b">
        <f>VLOOKUP($A13,test1_1!$A:$Q,COLUMN(test1_1!$P:$P),FALSE)</f>
        <v>1</v>
      </c>
      <c r="E13" s="34" t="str">
        <f t="array" ref="E13">IFERROR(index(scope_3_bycategory_details,MATCH("id"&amp;$A13&amp;"year"&amp;$C13,ghg!$AR:$AR,0)),"no")</f>
        <v>cdp</v>
      </c>
      <c r="F13" s="34">
        <f t="array" ref="F13">IFERROR(index(scope_3_verif,MATCH("id"&amp;$A13&amp;"year"&amp;$C13,ghg!$AR:$AR,0)),0)</f>
        <v>0</v>
      </c>
      <c r="G13" s="27"/>
      <c r="H13" s="40">
        <f>IFERROR(VLOOKUP($E13,category_3_1,2,FALSE),0)</f>
        <v>1</v>
      </c>
      <c r="I13" s="26"/>
      <c r="J13" s="30">
        <f t="shared" si="1"/>
        <v>0.05</v>
      </c>
      <c r="K13" s="40">
        <f t="shared" si="2"/>
        <v>0</v>
      </c>
      <c r="L13" s="26"/>
      <c r="M13" s="30">
        <f t="shared" si="3"/>
        <v>0</v>
      </c>
      <c r="N13" s="26"/>
      <c r="O13" s="30">
        <f t="shared" si="4"/>
        <v>0.05</v>
      </c>
      <c r="P13" s="26"/>
      <c r="Q13" s="26"/>
      <c r="R13" s="26"/>
      <c r="S13" s="26"/>
      <c r="T13" s="26"/>
      <c r="U13" s="26"/>
      <c r="V13" s="26"/>
      <c r="W13" s="26"/>
      <c r="X13" s="26"/>
      <c r="Y13" s="26"/>
      <c r="Z13" s="26"/>
      <c r="AA13" s="26"/>
      <c r="AB13" s="26"/>
      <c r="AC13" s="26"/>
      <c r="AD13" s="26"/>
      <c r="AE13" s="26"/>
      <c r="AF13" s="26"/>
      <c r="AG13" s="26"/>
      <c r="AH13" s="26"/>
      <c r="AI13" s="26"/>
      <c r="AJ13" s="26"/>
      <c r="AK13" s="26"/>
    </row>
    <row r="14" ht="12.75" customHeight="1">
      <c r="A14" s="23">
        <f t="shared" si="5"/>
        <v>12</v>
      </c>
      <c r="B14" s="27"/>
      <c r="C14" s="27">
        <f>VLOOKUP($A14,reporting!$A:$D,COLUMN(last_reporting_year),FALSE)</f>
        <v>2019</v>
      </c>
      <c r="D14" s="28" t="b">
        <f>VLOOKUP($A14,test1_1!$A:$Q,COLUMN(test1_1!$P:$P),FALSE)</f>
        <v>1</v>
      </c>
      <c r="E14" s="34" t="str">
        <f t="array" ref="E14">IFERROR(index(scope_3_bycategory_details,MATCH("id"&amp;$A14&amp;"year"&amp;$C14,ghg!$AR:$AR,0)),"no")</f>
        <v>cdp</v>
      </c>
      <c r="F14" s="34">
        <f t="array" ref="F14">IFERROR(index(scope_3_verif,MATCH("id"&amp;$A14&amp;"year"&amp;$C14,ghg!$AR:$AR,0)),0)</f>
        <v>0</v>
      </c>
      <c r="G14" s="27"/>
      <c r="H14" s="40">
        <f>IFERROR(VLOOKUP($E14,category_3_1,2,FALSE),0)</f>
        <v>1</v>
      </c>
      <c r="I14" s="26"/>
      <c r="J14" s="30">
        <f t="shared" si="1"/>
        <v>0.05</v>
      </c>
      <c r="K14" s="40">
        <f t="shared" si="2"/>
        <v>0</v>
      </c>
      <c r="L14" s="26"/>
      <c r="M14" s="30">
        <f t="shared" si="3"/>
        <v>0</v>
      </c>
      <c r="N14" s="26"/>
      <c r="O14" s="30">
        <f t="shared" si="4"/>
        <v>0.05</v>
      </c>
      <c r="P14" s="26"/>
      <c r="Q14" s="26"/>
      <c r="R14" s="26"/>
      <c r="S14" s="26"/>
      <c r="T14" s="26"/>
      <c r="U14" s="26"/>
      <c r="V14" s="26"/>
      <c r="W14" s="26"/>
      <c r="X14" s="26"/>
      <c r="Y14" s="26"/>
      <c r="Z14" s="26"/>
      <c r="AA14" s="26"/>
      <c r="AB14" s="26"/>
      <c r="AC14" s="26"/>
      <c r="AD14" s="26"/>
      <c r="AE14" s="26"/>
      <c r="AF14" s="26"/>
      <c r="AG14" s="26"/>
      <c r="AH14" s="26"/>
      <c r="AI14" s="26"/>
      <c r="AJ14" s="26"/>
      <c r="AK14" s="26"/>
    </row>
    <row r="15" ht="12.75" customHeight="1">
      <c r="A15" s="23">
        <f t="shared" si="5"/>
        <v>13</v>
      </c>
      <c r="B15" s="27"/>
      <c r="C15" s="27">
        <f>VLOOKUP($A15,reporting!$A:$D,COLUMN(last_reporting_year),FALSE)</f>
        <v>2019</v>
      </c>
      <c r="D15" s="28" t="b">
        <f>VLOOKUP($A15,test1_1!$A:$Q,COLUMN(test1_1!$P:$P),FALSE)</f>
        <v>1</v>
      </c>
      <c r="E15" s="34" t="str">
        <f t="array" ref="E15">IFERROR(index(scope_3_bycategory_details,MATCH("id"&amp;$A15&amp;"year"&amp;$C15,ghg!$AR:$AR,0)),"no")</f>
        <v>cdp</v>
      </c>
      <c r="F15" s="34">
        <f t="array" ref="F15">IFERROR(index(scope_3_verif,MATCH("id"&amp;$A15&amp;"year"&amp;$C15,ghg!$AR:$AR,0)),0)</f>
        <v>0</v>
      </c>
      <c r="G15" s="27"/>
      <c r="H15" s="40">
        <f>IFERROR(VLOOKUP($E15,category_3_1,2,FALSE),0)</f>
        <v>1</v>
      </c>
      <c r="I15" s="26"/>
      <c r="J15" s="30">
        <f t="shared" si="1"/>
        <v>0.05</v>
      </c>
      <c r="K15" s="40">
        <f t="shared" si="2"/>
        <v>0</v>
      </c>
      <c r="L15" s="26"/>
      <c r="M15" s="30">
        <f t="shared" si="3"/>
        <v>0</v>
      </c>
      <c r="N15" s="26"/>
      <c r="O15" s="30">
        <f t="shared" si="4"/>
        <v>0.05</v>
      </c>
      <c r="P15" s="26"/>
      <c r="Q15" s="26"/>
      <c r="R15" s="26"/>
      <c r="S15" s="26"/>
      <c r="T15" s="26"/>
      <c r="U15" s="26"/>
      <c r="V15" s="26"/>
      <c r="W15" s="26"/>
      <c r="X15" s="26"/>
      <c r="Y15" s="26"/>
      <c r="Z15" s="26"/>
      <c r="AA15" s="26"/>
      <c r="AB15" s="26"/>
      <c r="AC15" s="26"/>
      <c r="AD15" s="26"/>
      <c r="AE15" s="26"/>
      <c r="AF15" s="26"/>
      <c r="AG15" s="26"/>
      <c r="AH15" s="26"/>
      <c r="AI15" s="26"/>
      <c r="AJ15" s="26"/>
      <c r="AK15" s="26"/>
    </row>
    <row r="16" ht="12.75" customHeight="1">
      <c r="A16" s="23">
        <f t="shared" si="5"/>
        <v>14</v>
      </c>
      <c r="B16" s="27"/>
      <c r="C16" s="27">
        <f>VLOOKUP($A16,reporting!$A:$D,COLUMN(last_reporting_year),FALSE)</f>
        <v>2020</v>
      </c>
      <c r="D16" s="28" t="b">
        <f>VLOOKUP($A16,test1_1!$A:$Q,COLUMN(test1_1!$P:$P),FALSE)</f>
        <v>1</v>
      </c>
      <c r="E16" s="34" t="str">
        <f t="array" ref="E16">IFERROR(index(scope_3_bycategory_details,MATCH("id"&amp;$A16&amp;"year"&amp;$C16,ghg!$AR:$AR,0)),"no")</f>
        <v>cdp</v>
      </c>
      <c r="F16" s="34">
        <f t="array" ref="F16">IFERROR(index(scope_3_verif,MATCH("id"&amp;$A16&amp;"year"&amp;$C16,ghg!$AR:$AR,0)),0)</f>
        <v>1</v>
      </c>
      <c r="G16" s="27"/>
      <c r="H16" s="40">
        <f>IFERROR(VLOOKUP($E16,category_3_1,2,FALSE),0)</f>
        <v>1</v>
      </c>
      <c r="I16" s="26"/>
      <c r="J16" s="30">
        <f t="shared" si="1"/>
        <v>0.05</v>
      </c>
      <c r="K16" s="40">
        <f t="shared" si="2"/>
        <v>1</v>
      </c>
      <c r="L16" s="26"/>
      <c r="M16" s="30">
        <f t="shared" si="3"/>
        <v>0.05</v>
      </c>
      <c r="N16" s="26"/>
      <c r="O16" s="30">
        <f t="shared" si="4"/>
        <v>0.1</v>
      </c>
      <c r="P16" s="26"/>
      <c r="Q16" s="26"/>
      <c r="R16" s="26"/>
      <c r="S16" s="26"/>
      <c r="T16" s="26"/>
      <c r="U16" s="26"/>
      <c r="V16" s="26"/>
      <c r="W16" s="26"/>
      <c r="X16" s="26"/>
      <c r="Y16" s="26"/>
      <c r="Z16" s="26"/>
      <c r="AA16" s="26"/>
      <c r="AB16" s="26"/>
      <c r="AC16" s="26"/>
      <c r="AD16" s="26"/>
      <c r="AE16" s="26"/>
      <c r="AF16" s="26"/>
      <c r="AG16" s="26"/>
      <c r="AH16" s="26"/>
      <c r="AI16" s="26"/>
      <c r="AJ16" s="26"/>
      <c r="AK16" s="26"/>
    </row>
    <row r="17" ht="12.75" customHeight="1">
      <c r="A17" s="23">
        <f t="shared" si="5"/>
        <v>15</v>
      </c>
      <c r="B17" s="27"/>
      <c r="C17" s="27">
        <f>VLOOKUP($A17,reporting!$A:$D,COLUMN(last_reporting_year),FALSE)</f>
        <v>2019</v>
      </c>
      <c r="D17" s="28" t="b">
        <f>VLOOKUP($A17,test1_1!$A:$Q,COLUMN(test1_1!$P:$P),FALSE)</f>
        <v>1</v>
      </c>
      <c r="E17" s="34" t="str">
        <f t="array" ref="E17">IFERROR(index(scope_3_bycategory_details,MATCH("id"&amp;$A17&amp;"year"&amp;$C17,ghg!$AR:$AR,0)),"no")</f>
        <v>cdp</v>
      </c>
      <c r="F17" s="34">
        <f t="array" ref="F17">IFERROR(index(scope_3_verif,MATCH("id"&amp;$A17&amp;"year"&amp;$C17,ghg!$AR:$AR,0)),0)</f>
        <v>0</v>
      </c>
      <c r="G17" s="27"/>
      <c r="H17" s="40">
        <f>IFERROR(VLOOKUP($E17,category_3_1,2,FALSE),0)</f>
        <v>1</v>
      </c>
      <c r="I17" s="26"/>
      <c r="J17" s="30">
        <f t="shared" si="1"/>
        <v>0.05</v>
      </c>
      <c r="K17" s="40">
        <f t="shared" si="2"/>
        <v>0</v>
      </c>
      <c r="L17" s="26"/>
      <c r="M17" s="30">
        <f t="shared" si="3"/>
        <v>0</v>
      </c>
      <c r="N17" s="26"/>
      <c r="O17" s="30">
        <f t="shared" si="4"/>
        <v>0.05</v>
      </c>
      <c r="P17" s="26"/>
      <c r="Q17" s="26"/>
      <c r="R17" s="26"/>
      <c r="S17" s="26"/>
      <c r="T17" s="26"/>
      <c r="U17" s="26"/>
      <c r="V17" s="26"/>
      <c r="W17" s="26"/>
      <c r="X17" s="26"/>
      <c r="Y17" s="26"/>
      <c r="Z17" s="26"/>
      <c r="AA17" s="26"/>
      <c r="AB17" s="26"/>
      <c r="AC17" s="26"/>
      <c r="AD17" s="26"/>
      <c r="AE17" s="26"/>
      <c r="AF17" s="26"/>
      <c r="AG17" s="26"/>
      <c r="AH17" s="26"/>
      <c r="AI17" s="26"/>
      <c r="AJ17" s="26"/>
      <c r="AK17" s="26"/>
    </row>
    <row r="18" ht="12.75" customHeight="1">
      <c r="A18" s="23">
        <f t="shared" si="5"/>
        <v>16</v>
      </c>
      <c r="B18" s="27"/>
      <c r="C18" s="27">
        <f>VLOOKUP($A18,reporting!$A:$D,COLUMN(last_reporting_year),FALSE)</f>
        <v>2020</v>
      </c>
      <c r="D18" s="28" t="b">
        <f>VLOOKUP($A18,test1_1!$A:$Q,COLUMN(test1_1!$P:$P),FALSE)</f>
        <v>1</v>
      </c>
      <c r="E18" s="34" t="str">
        <f t="array" ref="E18">IFERROR(index(scope_3_bycategory_details,MATCH("id"&amp;$A18&amp;"year"&amp;$C18,ghg!$AR:$AR,0)),"no")</f>
        <v>cdp</v>
      </c>
      <c r="F18" s="34" t="str">
        <f t="array" ref="F18">IFERROR(index(scope_3_verif,MATCH("id"&amp;$A18&amp;"year"&amp;$C18,ghg!$AR:$AR,0)),0)</f>
        <v/>
      </c>
      <c r="G18" s="27"/>
      <c r="H18" s="40">
        <f>IFERROR(VLOOKUP($E18,category_3_1,2,FALSE),0)</f>
        <v>1</v>
      </c>
      <c r="I18" s="26"/>
      <c r="J18" s="30">
        <f t="shared" si="1"/>
        <v>0.05</v>
      </c>
      <c r="K18" s="40">
        <f t="shared" si="2"/>
        <v>0</v>
      </c>
      <c r="L18" s="26"/>
      <c r="M18" s="30">
        <f t="shared" si="3"/>
        <v>0</v>
      </c>
      <c r="N18" s="26"/>
      <c r="O18" s="30">
        <f t="shared" si="4"/>
        <v>0.05</v>
      </c>
      <c r="P18" s="26"/>
      <c r="Q18" s="26"/>
      <c r="R18" s="26"/>
      <c r="S18" s="26"/>
      <c r="T18" s="26"/>
      <c r="U18" s="26"/>
      <c r="V18" s="26"/>
      <c r="W18" s="26"/>
      <c r="X18" s="26"/>
      <c r="Y18" s="26"/>
      <c r="Z18" s="26"/>
      <c r="AA18" s="26"/>
      <c r="AB18" s="26"/>
      <c r="AC18" s="26"/>
      <c r="AD18" s="26"/>
      <c r="AE18" s="26"/>
      <c r="AF18" s="26"/>
      <c r="AG18" s="26"/>
      <c r="AH18" s="26"/>
      <c r="AI18" s="26"/>
      <c r="AJ18" s="26"/>
      <c r="AK18" s="26"/>
    </row>
    <row r="19" ht="12.75" customHeight="1">
      <c r="A19" s="23">
        <f t="shared" si="5"/>
        <v>17</v>
      </c>
      <c r="B19" s="27"/>
      <c r="C19" s="27" t="str">
        <f>VLOOKUP($A19,reporting!$A:$D,COLUMN(last_reporting_year),FALSE)</f>
        <v>NR</v>
      </c>
      <c r="D19" s="28" t="b">
        <f>VLOOKUP($A19,test1_1!$A:$Q,COLUMN(test1_1!$P:$P),FALSE)</f>
        <v>0</v>
      </c>
      <c r="E19" s="34" t="str">
        <f t="array" ref="E19">IFERROR(index(scope_3_bycategory_details,MATCH("id"&amp;$A19&amp;"year"&amp;$C19,ghg!$AR:$AR,0)),"no")</f>
        <v>no</v>
      </c>
      <c r="F19" s="34">
        <f t="array" ref="F19">IFERROR(index(scope_3_verif,MATCH("id"&amp;$A19&amp;"year"&amp;$C19,ghg!$AR:$AR,0)),0)</f>
        <v>0</v>
      </c>
      <c r="G19" s="27"/>
      <c r="H19" s="40">
        <f>IFERROR(VLOOKUP($E19,category_3_1,2,FALSE),0)</f>
        <v>0</v>
      </c>
      <c r="I19" s="26"/>
      <c r="J19" s="30">
        <f t="shared" si="1"/>
        <v>0</v>
      </c>
      <c r="K19" s="40">
        <f t="shared" si="2"/>
        <v>0</v>
      </c>
      <c r="L19" s="26"/>
      <c r="M19" s="30">
        <f t="shared" si="3"/>
        <v>0</v>
      </c>
      <c r="N19" s="26"/>
      <c r="O19" s="30">
        <f t="shared" si="4"/>
        <v>0</v>
      </c>
      <c r="P19" s="26"/>
      <c r="Q19" s="26"/>
      <c r="R19" s="26"/>
      <c r="S19" s="26"/>
      <c r="T19" s="26"/>
      <c r="U19" s="26"/>
      <c r="V19" s="26"/>
      <c r="W19" s="26"/>
      <c r="X19" s="26"/>
      <c r="Y19" s="26"/>
      <c r="Z19" s="26"/>
      <c r="AA19" s="26"/>
      <c r="AB19" s="26"/>
      <c r="AC19" s="26"/>
      <c r="AD19" s="26"/>
      <c r="AE19" s="26"/>
      <c r="AF19" s="26"/>
      <c r="AG19" s="26"/>
      <c r="AH19" s="26"/>
      <c r="AI19" s="26"/>
      <c r="AJ19" s="26"/>
      <c r="AK19" s="26"/>
    </row>
    <row r="20" ht="12.75" customHeight="1">
      <c r="A20" s="23">
        <f t="shared" si="5"/>
        <v>18</v>
      </c>
      <c r="B20" s="27"/>
      <c r="C20" s="27">
        <f>VLOOKUP($A20,reporting!$A:$D,COLUMN(last_reporting_year),FALSE)</f>
        <v>2020</v>
      </c>
      <c r="D20" s="28" t="b">
        <f>VLOOKUP($A20,test1_1!$A:$Q,COLUMN(test1_1!$P:$P),FALSE)</f>
        <v>1</v>
      </c>
      <c r="E20" s="34" t="str">
        <f t="array" ref="E20">IFERROR(index(scope_3_bycategory_details,MATCH("id"&amp;$A20&amp;"year"&amp;$C20,ghg!$AR:$AR,0)),"no")</f>
        <v>cdp</v>
      </c>
      <c r="F20" s="34">
        <f t="array" ref="F20">IFERROR(index(scope_3_verif,MATCH("id"&amp;$A20&amp;"year"&amp;$C20,ghg!$AR:$AR,0)),0)</f>
        <v>1</v>
      </c>
      <c r="G20" s="27"/>
      <c r="H20" s="40">
        <f>IFERROR(VLOOKUP($E20,category_3_1,2,FALSE),0)</f>
        <v>1</v>
      </c>
      <c r="I20" s="26"/>
      <c r="J20" s="30">
        <f t="shared" si="1"/>
        <v>0.05</v>
      </c>
      <c r="K20" s="40">
        <f t="shared" si="2"/>
        <v>1</v>
      </c>
      <c r="L20" s="26"/>
      <c r="M20" s="30">
        <f t="shared" si="3"/>
        <v>0.05</v>
      </c>
      <c r="N20" s="26"/>
      <c r="O20" s="30">
        <f t="shared" si="4"/>
        <v>0.1</v>
      </c>
      <c r="P20" s="26"/>
      <c r="Q20" s="26"/>
      <c r="R20" s="26"/>
      <c r="S20" s="26"/>
      <c r="T20" s="26"/>
      <c r="U20" s="26"/>
      <c r="V20" s="26"/>
      <c r="W20" s="26"/>
      <c r="X20" s="26"/>
      <c r="Y20" s="26"/>
      <c r="Z20" s="26"/>
      <c r="AA20" s="26"/>
      <c r="AB20" s="26"/>
      <c r="AC20" s="26"/>
      <c r="AD20" s="26"/>
      <c r="AE20" s="26"/>
      <c r="AF20" s="26"/>
      <c r="AG20" s="26"/>
      <c r="AH20" s="26"/>
      <c r="AI20" s="26"/>
      <c r="AJ20" s="26"/>
      <c r="AK20" s="26"/>
    </row>
    <row r="21" ht="12.75" customHeight="1">
      <c r="A21" s="23">
        <f t="shared" si="5"/>
        <v>19</v>
      </c>
      <c r="B21" s="27"/>
      <c r="C21" s="27">
        <f>VLOOKUP($A21,reporting!$A:$D,COLUMN(last_reporting_year),FALSE)</f>
        <v>2020</v>
      </c>
      <c r="D21" s="28" t="b">
        <f>VLOOKUP($A21,test1_1!$A:$Q,COLUMN(test1_1!$P:$P),FALSE)</f>
        <v>1</v>
      </c>
      <c r="E21" s="34" t="str">
        <f t="array" ref="E21">IFERROR(index(scope_3_bycategory_details,MATCH("id"&amp;$A21&amp;"year"&amp;$C21,ghg!$AR:$AR,0)),"no")</f>
        <v>public</v>
      </c>
      <c r="F21" s="34">
        <f t="array" ref="F21">IFERROR(index(scope_3_verif,MATCH("id"&amp;$A21&amp;"year"&amp;$C21,ghg!$AR:$AR,0)),0)</f>
        <v>0.2126617862</v>
      </c>
      <c r="G21" s="27"/>
      <c r="H21" s="40">
        <f>IFERROR(VLOOKUP($E21,category_3_1,2,FALSE),0)</f>
        <v>0.5</v>
      </c>
      <c r="I21" s="26"/>
      <c r="J21" s="30">
        <f t="shared" si="1"/>
        <v>0.025</v>
      </c>
      <c r="K21" s="40">
        <f t="shared" si="2"/>
        <v>0.21</v>
      </c>
      <c r="L21" s="26"/>
      <c r="M21" s="30">
        <f t="shared" si="3"/>
        <v>0.0105</v>
      </c>
      <c r="N21" s="26"/>
      <c r="O21" s="30">
        <f t="shared" si="4"/>
        <v>0.0355</v>
      </c>
      <c r="P21" s="26"/>
      <c r="Q21" s="26"/>
      <c r="R21" s="26"/>
      <c r="S21" s="26"/>
      <c r="T21" s="26"/>
      <c r="U21" s="26"/>
      <c r="V21" s="26"/>
      <c r="W21" s="26"/>
      <c r="X21" s="26"/>
      <c r="Y21" s="26"/>
      <c r="Z21" s="26"/>
      <c r="AA21" s="26"/>
      <c r="AB21" s="26"/>
      <c r="AC21" s="26"/>
      <c r="AD21" s="26"/>
      <c r="AE21" s="26"/>
      <c r="AF21" s="26"/>
      <c r="AG21" s="26"/>
      <c r="AH21" s="26"/>
      <c r="AI21" s="26"/>
      <c r="AJ21" s="26"/>
      <c r="AK21" s="26"/>
    </row>
    <row r="22" ht="12.75" customHeight="1">
      <c r="A22" s="31">
        <v>66.0</v>
      </c>
      <c r="B22" s="27"/>
      <c r="C22" s="27">
        <f>VLOOKUP($A22,reporting!$A:$D,COLUMN(last_reporting_year),FALSE)</f>
        <v>2020</v>
      </c>
      <c r="D22" s="28" t="b">
        <f>VLOOKUP($A22,test1_1!$A:$Q,COLUMN(test1_1!$P:$P),FALSE)</f>
        <v>1</v>
      </c>
      <c r="E22" s="34" t="str">
        <f t="array" ref="E22">IFERROR(index(scope_3_bycategory_details,MATCH("id"&amp;$A22&amp;"year"&amp;$C22,ghg!$AR:$AR,0)),"no")</f>
        <v>cdp</v>
      </c>
      <c r="F22" s="34">
        <f t="array" ref="F22">IFERROR(index(scope_3_verif,MATCH("id"&amp;$A22&amp;"year"&amp;$C22,ghg!$AR:$AR,0)),0)</f>
        <v>1</v>
      </c>
      <c r="G22" s="27"/>
      <c r="H22" s="40">
        <f>IFERROR(VLOOKUP($E22,category_3_1,2,FALSE),0)</f>
        <v>1</v>
      </c>
      <c r="I22" s="26"/>
      <c r="J22" s="30">
        <f t="shared" si="1"/>
        <v>0.05</v>
      </c>
      <c r="K22" s="40">
        <f t="shared" si="2"/>
        <v>1</v>
      </c>
      <c r="L22" s="26"/>
      <c r="M22" s="30">
        <f t="shared" si="3"/>
        <v>0.05</v>
      </c>
      <c r="N22" s="26"/>
      <c r="O22" s="30">
        <f t="shared" si="4"/>
        <v>0.1</v>
      </c>
      <c r="P22" s="26"/>
      <c r="Q22" s="26"/>
      <c r="R22" s="26"/>
      <c r="S22" s="26"/>
      <c r="T22" s="26"/>
      <c r="U22" s="26"/>
      <c r="V22" s="26"/>
      <c r="W22" s="26"/>
      <c r="X22" s="26"/>
      <c r="Y22" s="26"/>
      <c r="Z22" s="26"/>
      <c r="AA22" s="26"/>
      <c r="AB22" s="26"/>
      <c r="AC22" s="26"/>
      <c r="AD22" s="26"/>
      <c r="AE22" s="26"/>
      <c r="AF22" s="26"/>
      <c r="AG22" s="26"/>
      <c r="AH22" s="26"/>
      <c r="AI22" s="26"/>
      <c r="AJ22" s="26"/>
      <c r="AK22" s="26"/>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71"/>
    <col customWidth="1" min="2" max="2" width="9.57"/>
    <col customWidth="1" min="3" max="4" width="10.71"/>
    <col customWidth="1" min="5" max="6" width="5.71"/>
    <col customWidth="1" min="7" max="8" width="11.57"/>
    <col customWidth="1" min="9" max="30" width="8.71"/>
  </cols>
  <sheetData>
    <row r="1" ht="12.75" customHeight="1">
      <c r="A1" s="17" t="s">
        <v>2</v>
      </c>
      <c r="B1" s="18"/>
      <c r="C1" s="19"/>
      <c r="D1" s="19" t="s">
        <v>557</v>
      </c>
      <c r="E1" s="19"/>
      <c r="F1" s="19"/>
      <c r="G1" s="19" t="s">
        <v>583</v>
      </c>
      <c r="H1" s="21" t="s">
        <v>548</v>
      </c>
      <c r="I1" s="19" t="s">
        <v>584</v>
      </c>
      <c r="J1" s="19" t="s">
        <v>585</v>
      </c>
    </row>
    <row r="2">
      <c r="A2" s="23"/>
      <c r="B2" s="24"/>
      <c r="C2" s="24"/>
      <c r="D2" s="24"/>
      <c r="E2" s="19"/>
      <c r="F2" s="19"/>
      <c r="G2" s="43">
        <v>4.0</v>
      </c>
      <c r="H2" s="25">
        <v>0.1</v>
      </c>
      <c r="I2" s="24"/>
      <c r="J2" s="19"/>
      <c r="L2" s="26"/>
      <c r="M2" s="26"/>
      <c r="N2" s="26"/>
      <c r="O2" s="26"/>
      <c r="P2" s="26"/>
      <c r="Q2" s="26"/>
      <c r="R2" s="26"/>
      <c r="S2" s="26"/>
      <c r="T2" s="26"/>
      <c r="U2" s="26"/>
      <c r="V2" s="26"/>
      <c r="W2" s="26"/>
      <c r="X2" s="26"/>
      <c r="Y2" s="26"/>
      <c r="Z2" s="26"/>
      <c r="AA2" s="26"/>
      <c r="AB2" s="26"/>
      <c r="AC2" s="26"/>
      <c r="AD2" s="26"/>
    </row>
    <row r="3" ht="12.75" customHeight="1">
      <c r="A3" s="23">
        <v>1.0</v>
      </c>
      <c r="B3" s="27"/>
      <c r="C3" s="27"/>
      <c r="D3" s="44">
        <f>COUNTIF(progress!B:B,$A3)</f>
        <v>1</v>
      </c>
      <c r="E3" s="27"/>
      <c r="F3" s="27"/>
      <c r="G3" s="40"/>
      <c r="H3" s="26"/>
      <c r="I3" s="30">
        <f t="shared" ref="I3:I22" si="1">min(1,$D3/G$2)</f>
        <v>0.25</v>
      </c>
      <c r="J3" s="40">
        <f t="shared" ref="J3:J22" si="2">I3*H$2</f>
        <v>0.025</v>
      </c>
      <c r="L3" s="26"/>
      <c r="M3" s="26"/>
      <c r="N3" s="26"/>
      <c r="O3" s="26"/>
      <c r="P3" s="26"/>
      <c r="Q3" s="26"/>
      <c r="R3" s="26"/>
      <c r="S3" s="26"/>
      <c r="T3" s="26"/>
      <c r="U3" s="26"/>
      <c r="V3" s="26"/>
      <c r="W3" s="26"/>
      <c r="X3" s="26"/>
      <c r="Y3" s="26"/>
      <c r="Z3" s="26"/>
      <c r="AA3" s="26"/>
      <c r="AB3" s="26"/>
      <c r="AC3" s="26"/>
      <c r="AD3" s="26"/>
    </row>
    <row r="4" ht="12.75" customHeight="1">
      <c r="A4" s="23">
        <f t="shared" ref="A4:A21" si="3">A3+1</f>
        <v>2</v>
      </c>
      <c r="B4" s="27"/>
      <c r="C4" s="27"/>
      <c r="D4" s="44">
        <f>COUNTIF(progress!B:B,$A4)</f>
        <v>0</v>
      </c>
      <c r="E4" s="27"/>
      <c r="F4" s="27"/>
      <c r="G4" s="40"/>
      <c r="H4" s="26"/>
      <c r="I4" s="30">
        <f t="shared" si="1"/>
        <v>0</v>
      </c>
      <c r="J4" s="40">
        <f t="shared" si="2"/>
        <v>0</v>
      </c>
      <c r="L4" s="26"/>
      <c r="M4" s="26"/>
      <c r="N4" s="26"/>
      <c r="O4" s="26"/>
      <c r="P4" s="26"/>
      <c r="Q4" s="26"/>
      <c r="R4" s="26"/>
      <c r="S4" s="26"/>
      <c r="T4" s="26"/>
      <c r="U4" s="26"/>
      <c r="V4" s="26"/>
      <c r="W4" s="26"/>
      <c r="X4" s="26"/>
      <c r="Y4" s="26"/>
      <c r="Z4" s="26"/>
      <c r="AA4" s="26"/>
      <c r="AB4" s="26"/>
      <c r="AC4" s="26"/>
      <c r="AD4" s="26"/>
    </row>
    <row r="5" ht="12.75" customHeight="1">
      <c r="A5" s="23">
        <f t="shared" si="3"/>
        <v>3</v>
      </c>
      <c r="B5" s="27"/>
      <c r="C5" s="27"/>
      <c r="D5" s="45">
        <f>COUNTIF(progress!B:B,$A5)</f>
        <v>0</v>
      </c>
      <c r="E5" s="27"/>
      <c r="F5" s="27"/>
      <c r="G5" s="40"/>
      <c r="H5" s="26"/>
      <c r="I5" s="30">
        <f t="shared" si="1"/>
        <v>0</v>
      </c>
      <c r="J5" s="40">
        <f t="shared" si="2"/>
        <v>0</v>
      </c>
      <c r="L5" s="26"/>
      <c r="M5" s="26"/>
      <c r="N5" s="26"/>
      <c r="O5" s="26"/>
      <c r="P5" s="26"/>
      <c r="Q5" s="26"/>
      <c r="R5" s="26"/>
      <c r="S5" s="26"/>
      <c r="T5" s="26"/>
      <c r="U5" s="26"/>
      <c r="V5" s="26"/>
      <c r="W5" s="26"/>
      <c r="X5" s="26"/>
      <c r="Y5" s="26"/>
      <c r="Z5" s="26"/>
      <c r="AA5" s="26"/>
      <c r="AB5" s="26"/>
      <c r="AC5" s="26"/>
      <c r="AD5" s="26"/>
    </row>
    <row r="6" ht="12.75" customHeight="1">
      <c r="A6" s="23">
        <f t="shared" si="3"/>
        <v>4</v>
      </c>
      <c r="B6" s="27"/>
      <c r="C6" s="27"/>
      <c r="D6" s="44">
        <f>COUNTIF(progress!B:B,$A6)</f>
        <v>0</v>
      </c>
      <c r="E6" s="27"/>
      <c r="F6" s="27"/>
      <c r="G6" s="40"/>
      <c r="H6" s="26"/>
      <c r="I6" s="30">
        <f t="shared" si="1"/>
        <v>0</v>
      </c>
      <c r="J6" s="40">
        <f t="shared" si="2"/>
        <v>0</v>
      </c>
      <c r="L6" s="26"/>
      <c r="M6" s="26"/>
      <c r="N6" s="26"/>
      <c r="O6" s="26"/>
      <c r="P6" s="26"/>
      <c r="Q6" s="26"/>
      <c r="R6" s="26"/>
      <c r="S6" s="26"/>
      <c r="T6" s="26"/>
      <c r="U6" s="26"/>
      <c r="V6" s="26"/>
      <c r="W6" s="26"/>
      <c r="X6" s="26"/>
      <c r="Y6" s="26"/>
      <c r="Z6" s="26"/>
      <c r="AA6" s="26"/>
      <c r="AB6" s="26"/>
      <c r="AC6" s="26"/>
      <c r="AD6" s="26"/>
    </row>
    <row r="7" ht="12.75" customHeight="1">
      <c r="A7" s="23">
        <f t="shared" si="3"/>
        <v>5</v>
      </c>
      <c r="B7" s="27"/>
      <c r="C7" s="27"/>
      <c r="D7" s="44">
        <f>COUNTIF(progress!B:B,$A7)</f>
        <v>0</v>
      </c>
      <c r="E7" s="27"/>
      <c r="F7" s="27"/>
      <c r="G7" s="40"/>
      <c r="H7" s="26"/>
      <c r="I7" s="30">
        <f t="shared" si="1"/>
        <v>0</v>
      </c>
      <c r="J7" s="40">
        <f t="shared" si="2"/>
        <v>0</v>
      </c>
      <c r="L7" s="26"/>
      <c r="M7" s="26"/>
      <c r="N7" s="26"/>
      <c r="O7" s="26"/>
      <c r="P7" s="26"/>
      <c r="Q7" s="26"/>
      <c r="R7" s="26"/>
      <c r="S7" s="26"/>
      <c r="T7" s="26"/>
      <c r="U7" s="26"/>
      <c r="V7" s="26"/>
      <c r="W7" s="26"/>
      <c r="X7" s="26"/>
      <c r="Y7" s="26"/>
      <c r="Z7" s="26"/>
      <c r="AA7" s="26"/>
      <c r="AB7" s="26"/>
      <c r="AC7" s="26"/>
      <c r="AD7" s="26"/>
    </row>
    <row r="8" ht="12.75" customHeight="1">
      <c r="A8" s="23">
        <f t="shared" si="3"/>
        <v>6</v>
      </c>
      <c r="B8" s="27"/>
      <c r="C8" s="27"/>
      <c r="D8" s="44">
        <f>COUNTIF(progress!B:B,$A8)</f>
        <v>0</v>
      </c>
      <c r="E8" s="27"/>
      <c r="F8" s="27"/>
      <c r="G8" s="40"/>
      <c r="H8" s="26"/>
      <c r="I8" s="30">
        <f t="shared" si="1"/>
        <v>0</v>
      </c>
      <c r="J8" s="40">
        <f t="shared" si="2"/>
        <v>0</v>
      </c>
      <c r="K8" s="26"/>
      <c r="L8" s="26"/>
      <c r="M8" s="26"/>
      <c r="N8" s="26"/>
      <c r="O8" s="26"/>
      <c r="P8" s="26"/>
      <c r="Q8" s="26"/>
      <c r="R8" s="26"/>
      <c r="S8" s="26"/>
      <c r="T8" s="26"/>
      <c r="U8" s="26"/>
      <c r="V8" s="26"/>
      <c r="W8" s="26"/>
      <c r="X8" s="26"/>
      <c r="Y8" s="26"/>
      <c r="Z8" s="26"/>
      <c r="AA8" s="26"/>
      <c r="AB8" s="26"/>
      <c r="AC8" s="26"/>
      <c r="AD8" s="26"/>
    </row>
    <row r="9" ht="12.75" customHeight="1">
      <c r="A9" s="23">
        <f t="shared" si="3"/>
        <v>7</v>
      </c>
      <c r="B9" s="27"/>
      <c r="C9" s="27"/>
      <c r="D9" s="44">
        <f>COUNTIF(progress!B:B,$A9)</f>
        <v>0</v>
      </c>
      <c r="E9" s="27"/>
      <c r="F9" s="27"/>
      <c r="G9" s="40"/>
      <c r="H9" s="26"/>
      <c r="I9" s="30">
        <f t="shared" si="1"/>
        <v>0</v>
      </c>
      <c r="J9" s="40">
        <f t="shared" si="2"/>
        <v>0</v>
      </c>
      <c r="K9" s="26"/>
      <c r="L9" s="26"/>
      <c r="M9" s="26"/>
      <c r="N9" s="26"/>
      <c r="O9" s="26"/>
      <c r="P9" s="26"/>
      <c r="Q9" s="26"/>
      <c r="R9" s="26"/>
      <c r="S9" s="26"/>
      <c r="T9" s="26"/>
      <c r="U9" s="26"/>
      <c r="V9" s="26"/>
      <c r="W9" s="26"/>
      <c r="X9" s="26"/>
      <c r="Y9" s="26"/>
      <c r="Z9" s="26"/>
      <c r="AA9" s="26"/>
      <c r="AB9" s="26"/>
      <c r="AC9" s="26"/>
      <c r="AD9" s="26"/>
    </row>
    <row r="10" ht="12.75" customHeight="1">
      <c r="A10" s="23">
        <f t="shared" si="3"/>
        <v>8</v>
      </c>
      <c r="B10" s="27"/>
      <c r="C10" s="27"/>
      <c r="D10" s="44">
        <f>COUNTIF(progress!B:B,$A10)</f>
        <v>0</v>
      </c>
      <c r="E10" s="27"/>
      <c r="F10" s="27"/>
      <c r="G10" s="40"/>
      <c r="H10" s="26"/>
      <c r="I10" s="30">
        <f t="shared" si="1"/>
        <v>0</v>
      </c>
      <c r="J10" s="40">
        <f t="shared" si="2"/>
        <v>0</v>
      </c>
      <c r="K10" s="26"/>
      <c r="L10" s="26"/>
      <c r="M10" s="26"/>
      <c r="N10" s="26"/>
      <c r="O10" s="26"/>
      <c r="P10" s="26"/>
      <c r="Q10" s="26"/>
      <c r="R10" s="26"/>
      <c r="S10" s="26"/>
      <c r="T10" s="26"/>
      <c r="U10" s="26"/>
      <c r="V10" s="26"/>
      <c r="W10" s="26"/>
      <c r="X10" s="26"/>
      <c r="Y10" s="26"/>
      <c r="Z10" s="26"/>
      <c r="AA10" s="26"/>
      <c r="AB10" s="26"/>
      <c r="AC10" s="26"/>
      <c r="AD10" s="26"/>
    </row>
    <row r="11" ht="12.75" customHeight="1">
      <c r="A11" s="23">
        <f t="shared" si="3"/>
        <v>9</v>
      </c>
      <c r="B11" s="27"/>
      <c r="C11" s="27"/>
      <c r="D11" s="44">
        <f>COUNTIF(progress!B:B,$A11)</f>
        <v>0</v>
      </c>
      <c r="E11" s="27"/>
      <c r="F11" s="27"/>
      <c r="G11" s="40"/>
      <c r="H11" s="26"/>
      <c r="I11" s="30">
        <f t="shared" si="1"/>
        <v>0</v>
      </c>
      <c r="J11" s="40">
        <f t="shared" si="2"/>
        <v>0</v>
      </c>
      <c r="K11" s="26"/>
      <c r="L11" s="26"/>
      <c r="M11" s="26"/>
      <c r="N11" s="26"/>
      <c r="O11" s="26"/>
      <c r="P11" s="26"/>
      <c r="Q11" s="26"/>
      <c r="R11" s="26"/>
      <c r="S11" s="26"/>
      <c r="T11" s="26"/>
      <c r="U11" s="26"/>
      <c r="V11" s="26"/>
      <c r="W11" s="26"/>
      <c r="X11" s="26"/>
      <c r="Y11" s="26"/>
      <c r="Z11" s="26"/>
      <c r="AA11" s="26"/>
      <c r="AB11" s="26"/>
      <c r="AC11" s="26"/>
      <c r="AD11" s="26"/>
    </row>
    <row r="12" ht="12.75" customHeight="1">
      <c r="A12" s="23">
        <f t="shared" si="3"/>
        <v>10</v>
      </c>
      <c r="B12" s="27"/>
      <c r="C12" s="27"/>
      <c r="D12" s="44">
        <f>COUNTIF(progress!B:B,$A12)</f>
        <v>0</v>
      </c>
      <c r="E12" s="27"/>
      <c r="F12" s="27"/>
      <c r="G12" s="40"/>
      <c r="H12" s="26"/>
      <c r="I12" s="30">
        <f t="shared" si="1"/>
        <v>0</v>
      </c>
      <c r="J12" s="40">
        <f t="shared" si="2"/>
        <v>0</v>
      </c>
      <c r="K12" s="26"/>
      <c r="L12" s="26"/>
      <c r="M12" s="26"/>
      <c r="N12" s="26"/>
      <c r="O12" s="26"/>
      <c r="P12" s="26"/>
      <c r="Q12" s="26"/>
      <c r="R12" s="26"/>
      <c r="S12" s="26"/>
      <c r="T12" s="26"/>
      <c r="U12" s="26"/>
      <c r="V12" s="26"/>
      <c r="W12" s="26"/>
      <c r="X12" s="26"/>
      <c r="Y12" s="26"/>
      <c r="Z12" s="26"/>
      <c r="AA12" s="26"/>
      <c r="AB12" s="26"/>
      <c r="AC12" s="26"/>
      <c r="AD12" s="26"/>
    </row>
    <row r="13" ht="12.75" customHeight="1">
      <c r="A13" s="23">
        <f t="shared" si="3"/>
        <v>11</v>
      </c>
      <c r="B13" s="27"/>
      <c r="C13" s="27"/>
      <c r="D13" s="44">
        <f>COUNTIF(progress!B:B,$A13)</f>
        <v>0</v>
      </c>
      <c r="E13" s="27"/>
      <c r="F13" s="27"/>
      <c r="G13" s="40"/>
      <c r="H13" s="26"/>
      <c r="I13" s="30">
        <f t="shared" si="1"/>
        <v>0</v>
      </c>
      <c r="J13" s="40">
        <f t="shared" si="2"/>
        <v>0</v>
      </c>
      <c r="K13" s="26"/>
      <c r="L13" s="26"/>
      <c r="M13" s="26"/>
      <c r="N13" s="26"/>
      <c r="O13" s="26"/>
      <c r="P13" s="26"/>
      <c r="Q13" s="26"/>
      <c r="R13" s="26"/>
      <c r="S13" s="26"/>
      <c r="T13" s="26"/>
      <c r="U13" s="26"/>
      <c r="V13" s="26"/>
      <c r="W13" s="26"/>
      <c r="X13" s="26"/>
      <c r="Y13" s="26"/>
      <c r="Z13" s="26"/>
      <c r="AA13" s="26"/>
      <c r="AB13" s="26"/>
      <c r="AC13" s="26"/>
      <c r="AD13" s="26"/>
    </row>
    <row r="14" ht="12.75" customHeight="1">
      <c r="A14" s="23">
        <f t="shared" si="3"/>
        <v>12</v>
      </c>
      <c r="B14" s="27"/>
      <c r="C14" s="27"/>
      <c r="D14" s="44">
        <f>COUNTIF(progress!B:B,$A14)</f>
        <v>0</v>
      </c>
      <c r="E14" s="27"/>
      <c r="F14" s="27"/>
      <c r="G14" s="40"/>
      <c r="H14" s="26"/>
      <c r="I14" s="30">
        <f t="shared" si="1"/>
        <v>0</v>
      </c>
      <c r="J14" s="40">
        <f t="shared" si="2"/>
        <v>0</v>
      </c>
      <c r="K14" s="26"/>
      <c r="L14" s="26"/>
      <c r="M14" s="26"/>
      <c r="N14" s="26"/>
      <c r="O14" s="26"/>
      <c r="P14" s="26"/>
      <c r="Q14" s="26"/>
      <c r="R14" s="26"/>
      <c r="S14" s="26"/>
      <c r="T14" s="26"/>
      <c r="U14" s="26"/>
      <c r="V14" s="26"/>
      <c r="W14" s="26"/>
      <c r="X14" s="26"/>
      <c r="Y14" s="26"/>
      <c r="Z14" s="26"/>
      <c r="AA14" s="26"/>
      <c r="AB14" s="26"/>
      <c r="AC14" s="26"/>
      <c r="AD14" s="26"/>
    </row>
    <row r="15" ht="12.75" customHeight="1">
      <c r="A15" s="23">
        <f t="shared" si="3"/>
        <v>13</v>
      </c>
      <c r="B15" s="27"/>
      <c r="C15" s="27"/>
      <c r="D15" s="44">
        <f>COUNTIF(progress!B:B,$A15)</f>
        <v>0</v>
      </c>
      <c r="E15" s="27"/>
      <c r="F15" s="27"/>
      <c r="G15" s="40"/>
      <c r="H15" s="26"/>
      <c r="I15" s="30">
        <f t="shared" si="1"/>
        <v>0</v>
      </c>
      <c r="J15" s="40">
        <f t="shared" si="2"/>
        <v>0</v>
      </c>
      <c r="K15" s="26"/>
      <c r="L15" s="26"/>
      <c r="M15" s="26"/>
      <c r="N15" s="26"/>
      <c r="O15" s="26"/>
      <c r="P15" s="26"/>
      <c r="Q15" s="26"/>
      <c r="R15" s="26"/>
      <c r="S15" s="26"/>
      <c r="T15" s="26"/>
      <c r="U15" s="26"/>
      <c r="V15" s="26"/>
      <c r="W15" s="26"/>
      <c r="X15" s="26"/>
      <c r="Y15" s="26"/>
      <c r="Z15" s="26"/>
      <c r="AA15" s="26"/>
      <c r="AB15" s="26"/>
      <c r="AC15" s="26"/>
      <c r="AD15" s="26"/>
    </row>
    <row r="16" ht="12.75" customHeight="1">
      <c r="A16" s="23">
        <f t="shared" si="3"/>
        <v>14</v>
      </c>
      <c r="B16" s="27"/>
      <c r="C16" s="27"/>
      <c r="D16" s="44">
        <f>COUNTIF(progress!B:B,$A16)</f>
        <v>0</v>
      </c>
      <c r="E16" s="27"/>
      <c r="F16" s="27"/>
      <c r="G16" s="40"/>
      <c r="H16" s="26"/>
      <c r="I16" s="30">
        <f t="shared" si="1"/>
        <v>0</v>
      </c>
      <c r="J16" s="40">
        <f t="shared" si="2"/>
        <v>0</v>
      </c>
      <c r="K16" s="26"/>
      <c r="L16" s="26"/>
      <c r="M16" s="26"/>
      <c r="N16" s="26"/>
      <c r="O16" s="26"/>
      <c r="P16" s="26"/>
      <c r="Q16" s="26"/>
      <c r="R16" s="26"/>
      <c r="S16" s="26"/>
      <c r="T16" s="26"/>
      <c r="U16" s="26"/>
      <c r="V16" s="26"/>
      <c r="W16" s="26"/>
      <c r="X16" s="26"/>
      <c r="Y16" s="26"/>
      <c r="Z16" s="26"/>
      <c r="AA16" s="26"/>
      <c r="AB16" s="26"/>
      <c r="AC16" s="26"/>
      <c r="AD16" s="26"/>
    </row>
    <row r="17" ht="12.75" customHeight="1">
      <c r="A17" s="23">
        <f t="shared" si="3"/>
        <v>15</v>
      </c>
      <c r="B17" s="27"/>
      <c r="C17" s="27"/>
      <c r="D17" s="44">
        <f>COUNTIF(progress!B:B,$A17)</f>
        <v>0</v>
      </c>
      <c r="E17" s="27"/>
      <c r="F17" s="27"/>
      <c r="G17" s="40"/>
      <c r="H17" s="26"/>
      <c r="I17" s="30">
        <f t="shared" si="1"/>
        <v>0</v>
      </c>
      <c r="J17" s="40">
        <f t="shared" si="2"/>
        <v>0</v>
      </c>
      <c r="K17" s="26"/>
      <c r="L17" s="26"/>
      <c r="M17" s="26"/>
      <c r="N17" s="26"/>
      <c r="O17" s="26"/>
      <c r="P17" s="26"/>
      <c r="Q17" s="26"/>
      <c r="R17" s="26"/>
      <c r="S17" s="26"/>
      <c r="T17" s="26"/>
      <c r="U17" s="26"/>
      <c r="V17" s="26"/>
      <c r="W17" s="26"/>
      <c r="X17" s="26"/>
      <c r="Y17" s="26"/>
      <c r="Z17" s="26"/>
      <c r="AA17" s="26"/>
      <c r="AB17" s="26"/>
      <c r="AC17" s="26"/>
      <c r="AD17" s="26"/>
    </row>
    <row r="18" ht="12.75" customHeight="1">
      <c r="A18" s="23">
        <f t="shared" si="3"/>
        <v>16</v>
      </c>
      <c r="B18" s="27"/>
      <c r="C18" s="27"/>
      <c r="D18" s="44">
        <f>COUNTIF(progress!B:B,$A18)</f>
        <v>0</v>
      </c>
      <c r="E18" s="27"/>
      <c r="F18" s="27"/>
      <c r="G18" s="40"/>
      <c r="H18" s="26"/>
      <c r="I18" s="30">
        <f t="shared" si="1"/>
        <v>0</v>
      </c>
      <c r="J18" s="40">
        <f t="shared" si="2"/>
        <v>0</v>
      </c>
      <c r="K18" s="26"/>
      <c r="L18" s="26"/>
      <c r="M18" s="26"/>
      <c r="N18" s="26"/>
      <c r="O18" s="26"/>
      <c r="P18" s="26"/>
      <c r="Q18" s="26"/>
      <c r="R18" s="26"/>
      <c r="S18" s="26"/>
      <c r="T18" s="26"/>
      <c r="U18" s="26"/>
      <c r="V18" s="26"/>
      <c r="W18" s="26"/>
      <c r="X18" s="26"/>
      <c r="Y18" s="26"/>
      <c r="Z18" s="26"/>
      <c r="AA18" s="26"/>
      <c r="AB18" s="26"/>
      <c r="AC18" s="26"/>
      <c r="AD18" s="26"/>
    </row>
    <row r="19" ht="12.75" customHeight="1">
      <c r="A19" s="23">
        <f t="shared" si="3"/>
        <v>17</v>
      </c>
      <c r="B19" s="27"/>
      <c r="C19" s="27"/>
      <c r="D19" s="44">
        <f>COUNTIF(progress!B:B,$A19)</f>
        <v>0</v>
      </c>
      <c r="E19" s="27"/>
      <c r="F19" s="27"/>
      <c r="G19" s="40"/>
      <c r="H19" s="26"/>
      <c r="I19" s="30">
        <f t="shared" si="1"/>
        <v>0</v>
      </c>
      <c r="J19" s="40">
        <f t="shared" si="2"/>
        <v>0</v>
      </c>
      <c r="K19" s="26"/>
      <c r="L19" s="26"/>
      <c r="M19" s="26"/>
      <c r="N19" s="26"/>
      <c r="O19" s="26"/>
      <c r="P19" s="26"/>
      <c r="Q19" s="26"/>
      <c r="R19" s="26"/>
      <c r="S19" s="26"/>
      <c r="T19" s="26"/>
      <c r="U19" s="26"/>
      <c r="V19" s="26"/>
      <c r="W19" s="26"/>
      <c r="X19" s="26"/>
      <c r="Y19" s="26"/>
      <c r="Z19" s="26"/>
      <c r="AA19" s="26"/>
      <c r="AB19" s="26"/>
      <c r="AC19" s="26"/>
      <c r="AD19" s="26"/>
    </row>
    <row r="20" ht="12.75" customHeight="1">
      <c r="A20" s="23">
        <f t="shared" si="3"/>
        <v>18</v>
      </c>
      <c r="B20" s="27"/>
      <c r="C20" s="27"/>
      <c r="D20" s="44">
        <f>COUNTIF(progress!B:B,$A20)</f>
        <v>0</v>
      </c>
      <c r="E20" s="27"/>
      <c r="F20" s="27"/>
      <c r="G20" s="40"/>
      <c r="H20" s="26"/>
      <c r="I20" s="30">
        <f t="shared" si="1"/>
        <v>0</v>
      </c>
      <c r="J20" s="40">
        <f t="shared" si="2"/>
        <v>0</v>
      </c>
      <c r="K20" s="26"/>
      <c r="L20" s="26"/>
      <c r="M20" s="26"/>
      <c r="N20" s="26"/>
      <c r="O20" s="26"/>
      <c r="P20" s="26"/>
      <c r="Q20" s="26"/>
      <c r="R20" s="26"/>
      <c r="S20" s="26"/>
      <c r="T20" s="26"/>
      <c r="U20" s="26"/>
      <c r="V20" s="26"/>
      <c r="W20" s="26"/>
      <c r="X20" s="26"/>
      <c r="Y20" s="26"/>
      <c r="Z20" s="26"/>
      <c r="AA20" s="26"/>
      <c r="AB20" s="26"/>
      <c r="AC20" s="26"/>
      <c r="AD20" s="26"/>
    </row>
    <row r="21" ht="12.75" customHeight="1">
      <c r="A21" s="23">
        <f t="shared" si="3"/>
        <v>19</v>
      </c>
      <c r="B21" s="27"/>
      <c r="C21" s="27"/>
      <c r="D21" s="44">
        <f>COUNTIF(progress!B:B,$A21)</f>
        <v>0</v>
      </c>
      <c r="E21" s="27"/>
      <c r="F21" s="27"/>
      <c r="G21" s="40"/>
      <c r="H21" s="26"/>
      <c r="I21" s="30">
        <f t="shared" si="1"/>
        <v>0</v>
      </c>
      <c r="J21" s="40">
        <f t="shared" si="2"/>
        <v>0</v>
      </c>
      <c r="K21" s="26"/>
      <c r="L21" s="26"/>
      <c r="M21" s="26"/>
      <c r="N21" s="26"/>
      <c r="O21" s="26"/>
      <c r="P21" s="26"/>
      <c r="Q21" s="26"/>
      <c r="R21" s="26"/>
      <c r="S21" s="26"/>
      <c r="T21" s="26"/>
      <c r="U21" s="26"/>
      <c r="V21" s="26"/>
      <c r="W21" s="26"/>
      <c r="X21" s="26"/>
      <c r="Y21" s="26"/>
      <c r="Z21" s="26"/>
      <c r="AA21" s="26"/>
      <c r="AB21" s="26"/>
      <c r="AC21" s="26"/>
      <c r="AD21" s="26"/>
    </row>
    <row r="22" ht="12.75" customHeight="1">
      <c r="A22" s="31">
        <v>66.0</v>
      </c>
      <c r="B22" s="27"/>
      <c r="C22" s="27"/>
      <c r="D22" s="44">
        <f>COUNTIF(progress!B:B,$A22)</f>
        <v>3</v>
      </c>
      <c r="E22" s="27"/>
      <c r="F22" s="27"/>
      <c r="G22" s="40"/>
      <c r="H22" s="26"/>
      <c r="I22" s="30">
        <f t="shared" si="1"/>
        <v>0.75</v>
      </c>
      <c r="J22" s="40">
        <f t="shared" si="2"/>
        <v>0.075</v>
      </c>
      <c r="K22" s="26"/>
      <c r="L22" s="26"/>
      <c r="M22" s="26"/>
      <c r="N22" s="26"/>
      <c r="O22" s="26"/>
      <c r="P22" s="26"/>
      <c r="Q22" s="26"/>
      <c r="R22" s="26"/>
      <c r="S22" s="26"/>
      <c r="T22" s="26"/>
      <c r="U22" s="26"/>
      <c r="V22" s="26"/>
      <c r="W22" s="26"/>
      <c r="X22" s="26"/>
      <c r="Y22" s="26"/>
      <c r="Z22" s="26"/>
      <c r="AA22" s="26"/>
      <c r="AB22" s="26"/>
      <c r="AC22" s="26"/>
      <c r="AD22" s="26"/>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43"/>
    <col customWidth="1" min="2" max="2" width="5.43"/>
    <col customWidth="1" min="3" max="3" width="10.71"/>
    <col customWidth="1" min="4" max="4" width="11.71"/>
    <col customWidth="1" min="5" max="5" width="4.71"/>
    <col customWidth="1" min="6" max="6" width="9.57"/>
    <col customWidth="1" min="7" max="9" width="9.43"/>
    <col customWidth="1" min="10" max="10" width="11.71"/>
    <col customWidth="1" min="11" max="11" width="5.71"/>
    <col customWidth="1" min="12" max="12" width="9.43"/>
    <col customWidth="1" min="13" max="13" width="13.71"/>
    <col customWidth="1" min="14" max="14" width="10.29"/>
    <col customWidth="1" min="15" max="15" width="5.71"/>
    <col customWidth="1" min="16" max="16" width="14.29"/>
    <col customWidth="1" min="17" max="36" width="8.71"/>
  </cols>
  <sheetData>
    <row r="1" ht="12.75" customHeight="1">
      <c r="A1" s="17" t="s">
        <v>2</v>
      </c>
      <c r="B1" s="19"/>
      <c r="C1" s="20" t="s">
        <v>586</v>
      </c>
      <c r="D1" s="21" t="s">
        <v>548</v>
      </c>
      <c r="E1" s="46"/>
      <c r="F1" s="19" t="s">
        <v>557</v>
      </c>
      <c r="G1" s="19" t="s">
        <v>587</v>
      </c>
      <c r="H1" s="19" t="s">
        <v>588</v>
      </c>
      <c r="I1" s="20" t="s">
        <v>589</v>
      </c>
      <c r="J1" s="21" t="s">
        <v>548</v>
      </c>
      <c r="K1" s="46"/>
      <c r="L1" s="19" t="s">
        <v>590</v>
      </c>
      <c r="M1" s="20" t="s">
        <v>591</v>
      </c>
      <c r="N1" s="21" t="s">
        <v>548</v>
      </c>
      <c r="O1" s="46"/>
      <c r="P1" s="19" t="s">
        <v>592</v>
      </c>
    </row>
    <row r="2">
      <c r="A2" s="23"/>
      <c r="B2" s="24"/>
      <c r="C2" s="24"/>
      <c r="D2" s="25">
        <v>0.03</v>
      </c>
      <c r="E2" s="47"/>
      <c r="F2" s="48"/>
      <c r="G2" s="24">
        <v>2020.0</v>
      </c>
      <c r="H2" s="24">
        <v>2030.0</v>
      </c>
      <c r="I2" s="19"/>
      <c r="J2" s="25">
        <v>0.03</v>
      </c>
      <c r="K2" s="47"/>
      <c r="L2" s="24" t="s">
        <v>593</v>
      </c>
      <c r="M2" s="19"/>
      <c r="N2" s="33">
        <v>0.04</v>
      </c>
      <c r="O2" s="47"/>
      <c r="P2" s="19"/>
      <c r="R2" s="26"/>
      <c r="S2" s="26"/>
      <c r="T2" s="26"/>
      <c r="U2" s="26"/>
      <c r="V2" s="26"/>
      <c r="W2" s="26"/>
      <c r="X2" s="26"/>
      <c r="Y2" s="26"/>
      <c r="Z2" s="26"/>
      <c r="AA2" s="26"/>
      <c r="AB2" s="26"/>
      <c r="AC2" s="26"/>
      <c r="AD2" s="26"/>
      <c r="AE2" s="26"/>
      <c r="AF2" s="26"/>
      <c r="AG2" s="26"/>
      <c r="AH2" s="26"/>
      <c r="AI2" s="26"/>
      <c r="AJ2" s="26"/>
    </row>
    <row r="3" ht="12.75" customHeight="1">
      <c r="A3" s="23">
        <v>1.0</v>
      </c>
      <c r="B3" s="27"/>
      <c r="C3" s="30">
        <f>IFERROR(__xludf.DUMMYFUNCTION("if(IFERROR(filter(targets_state!$H:$H,(targets_state!$B:$B=$A3)*(targets_state!$H:$H=""yes"")),0)=""yes"",1,0)"),1.0)</f>
        <v>1</v>
      </c>
      <c r="D3" s="30">
        <f t="shared" ref="D3:D22" si="1">C3*D$2</f>
        <v>0.03</v>
      </c>
      <c r="E3" s="49"/>
      <c r="F3" s="50">
        <f>IFERROR(__xludf.DUMMYFUNCTION("iferror(min(filter(targets_quant!$P:$P,(targets_quant!$B:$B=$A3))),0)"),2030.0)</f>
        <v>2030</v>
      </c>
      <c r="G3" s="27"/>
      <c r="H3" s="27"/>
      <c r="I3" s="30">
        <f t="shared" ref="I3:I22" si="2">IF(AND($F3&lt;=$H$2,$F3&gt;=$G$2),1,0)</f>
        <v>1</v>
      </c>
      <c r="J3" s="30">
        <f t="shared" ref="J3:J22" si="3">I3*J$2</f>
        <v>0.03</v>
      </c>
      <c r="K3" s="49"/>
      <c r="L3" s="27"/>
      <c r="M3" s="30">
        <f>IFERROR(__xludf.DUMMYFUNCTION("IF(IFERROR(filter(targets_quant!$B:$B,(targets_quant!$N:$N=100%)*(targets_quant!$J:$J=$L$2)*(targets_quant!$B:$B=$A3)),0)=$A3,1,0)"),0.0)</f>
        <v>0</v>
      </c>
      <c r="N3" s="30">
        <f t="shared" ref="N3:N22" si="4">M3*N$2</f>
        <v>0</v>
      </c>
      <c r="O3" s="49"/>
      <c r="P3" s="40">
        <f t="shared" ref="P3:P22" si="5">N3+J3+D3</f>
        <v>0.06</v>
      </c>
      <c r="R3" s="26"/>
      <c r="S3" s="26"/>
      <c r="T3" s="26"/>
      <c r="U3" s="26"/>
      <c r="V3" s="26"/>
      <c r="W3" s="26"/>
      <c r="X3" s="26"/>
      <c r="Y3" s="26"/>
      <c r="Z3" s="26"/>
      <c r="AA3" s="26"/>
      <c r="AB3" s="26"/>
      <c r="AC3" s="26"/>
      <c r="AD3" s="26"/>
      <c r="AE3" s="26"/>
      <c r="AF3" s="26"/>
      <c r="AG3" s="26"/>
      <c r="AH3" s="26"/>
      <c r="AI3" s="26"/>
      <c r="AJ3" s="26"/>
    </row>
    <row r="4" ht="12.75" customHeight="1">
      <c r="A4" s="23">
        <f t="shared" ref="A4:A21" si="6">A3+1</f>
        <v>2</v>
      </c>
      <c r="B4" s="27"/>
      <c r="C4" s="30">
        <f>IFERROR(__xludf.DUMMYFUNCTION("if(IFERROR(filter(targets_state!$H:$H,(targets_state!$B:$B=$A4)*(targets_state!$H:$H=""yes"")),0)=""yes"",1,0)"),0.0)</f>
        <v>0</v>
      </c>
      <c r="D4" s="30">
        <f t="shared" si="1"/>
        <v>0</v>
      </c>
      <c r="E4" s="49"/>
      <c r="F4" s="50">
        <f>IFERROR(__xludf.DUMMYFUNCTION("iferror(min(filter(targets_quant!$P:$P,(targets_quant!$B:$B=$A4))),0)"),2030.0)</f>
        <v>2030</v>
      </c>
      <c r="G4" s="27"/>
      <c r="H4" s="27"/>
      <c r="I4" s="30">
        <f t="shared" si="2"/>
        <v>1</v>
      </c>
      <c r="J4" s="30">
        <f t="shared" si="3"/>
        <v>0.03</v>
      </c>
      <c r="K4" s="49"/>
      <c r="L4" s="27"/>
      <c r="M4" s="30">
        <f>IFERROR(__xludf.DUMMYFUNCTION("IF(IFERROR(filter(targets_quant!$B:$B,(targets_quant!$N:$N=100%)*(targets_quant!$J:$J=$L$2)*(targets_quant!$B:$B=$A4)),0)=$A4,1,0)"),0.0)</f>
        <v>0</v>
      </c>
      <c r="N4" s="30">
        <f t="shared" si="4"/>
        <v>0</v>
      </c>
      <c r="O4" s="49"/>
      <c r="P4" s="40">
        <f t="shared" si="5"/>
        <v>0.03</v>
      </c>
      <c r="R4" s="26"/>
      <c r="S4" s="26"/>
      <c r="T4" s="26"/>
      <c r="U4" s="26"/>
      <c r="V4" s="26"/>
      <c r="W4" s="26"/>
      <c r="X4" s="26"/>
      <c r="Y4" s="26"/>
      <c r="Z4" s="26"/>
      <c r="AA4" s="26"/>
      <c r="AB4" s="26"/>
      <c r="AC4" s="26"/>
      <c r="AD4" s="26"/>
      <c r="AE4" s="26"/>
      <c r="AF4" s="26"/>
      <c r="AG4" s="26"/>
      <c r="AH4" s="26"/>
      <c r="AI4" s="26"/>
      <c r="AJ4" s="26"/>
    </row>
    <row r="5" ht="12.75" customHeight="1">
      <c r="A5" s="23">
        <f t="shared" si="6"/>
        <v>3</v>
      </c>
      <c r="B5" s="27"/>
      <c r="C5" s="30">
        <f>IFERROR(__xludf.DUMMYFUNCTION("if(IFERROR(filter(targets_state!$H:$H,(targets_state!$B:$B=$A5)*(targets_state!$H:$H=""yes"")),0)=""yes"",1,0)"),0.0)</f>
        <v>0</v>
      </c>
      <c r="D5" s="30">
        <f t="shared" si="1"/>
        <v>0</v>
      </c>
      <c r="E5" s="49"/>
      <c r="F5" s="50">
        <f>IFERROR(__xludf.DUMMYFUNCTION("iferror(min(filter(targets_quant!$P:$P,(targets_quant!$B:$B=$A5))),0)"),2025.0)</f>
        <v>2025</v>
      </c>
      <c r="G5" s="27"/>
      <c r="H5" s="27"/>
      <c r="I5" s="30">
        <f t="shared" si="2"/>
        <v>1</v>
      </c>
      <c r="J5" s="30">
        <f t="shared" si="3"/>
        <v>0.03</v>
      </c>
      <c r="K5" s="49"/>
      <c r="L5" s="27"/>
      <c r="M5" s="30">
        <f>IFERROR(__xludf.DUMMYFUNCTION("IF(IFERROR(filter(targets_quant!$B:$B,(targets_quant!$N:$N=100%)*(targets_quant!$J:$J=$L$2)*(targets_quant!$B:$B=$A5)),0)=$A5,1,0)"),0.0)</f>
        <v>0</v>
      </c>
      <c r="N5" s="30">
        <f t="shared" si="4"/>
        <v>0</v>
      </c>
      <c r="O5" s="49"/>
      <c r="P5" s="40">
        <f t="shared" si="5"/>
        <v>0.03</v>
      </c>
      <c r="R5" s="26"/>
      <c r="S5" s="26"/>
      <c r="T5" s="26"/>
      <c r="U5" s="26"/>
      <c r="V5" s="26"/>
      <c r="W5" s="26"/>
      <c r="X5" s="26"/>
      <c r="Y5" s="26"/>
      <c r="Z5" s="26"/>
      <c r="AA5" s="26"/>
      <c r="AB5" s="26"/>
      <c r="AC5" s="26"/>
      <c r="AD5" s="26"/>
      <c r="AE5" s="26"/>
      <c r="AF5" s="26"/>
      <c r="AG5" s="26"/>
      <c r="AH5" s="26"/>
      <c r="AI5" s="26"/>
      <c r="AJ5" s="26"/>
    </row>
    <row r="6" ht="12.75" customHeight="1">
      <c r="A6" s="23">
        <f t="shared" si="6"/>
        <v>4</v>
      </c>
      <c r="B6" s="27"/>
      <c r="C6" s="30">
        <f>IFERROR(__xludf.DUMMYFUNCTION("if(IFERROR(filter(targets_state!$H:$H,(targets_state!$B:$B=$A6)*(targets_state!$H:$H=""yes"")),0)=""yes"",1,0)"),1.0)</f>
        <v>1</v>
      </c>
      <c r="D6" s="30">
        <f t="shared" si="1"/>
        <v>0.03</v>
      </c>
      <c r="E6" s="49"/>
      <c r="F6" s="50">
        <f>IFERROR(__xludf.DUMMYFUNCTION("iferror(min(filter(targets_quant!$P:$P,(targets_quant!$B:$B=$A6))),0)"),2025.0)</f>
        <v>2025</v>
      </c>
      <c r="G6" s="27"/>
      <c r="H6" s="27"/>
      <c r="I6" s="30">
        <f t="shared" si="2"/>
        <v>1</v>
      </c>
      <c r="J6" s="30">
        <f t="shared" si="3"/>
        <v>0.03</v>
      </c>
      <c r="K6" s="49"/>
      <c r="L6" s="27"/>
      <c r="M6" s="30">
        <f>IFERROR(__xludf.DUMMYFUNCTION("IF(IFERROR(filter(targets_quant!$B:$B,(targets_quant!$N:$N=100%)*(targets_quant!$J:$J=$L$2)*(targets_quant!$B:$B=$A6)),0)=$A6,1,0)"),0.0)</f>
        <v>0</v>
      </c>
      <c r="N6" s="30">
        <f t="shared" si="4"/>
        <v>0</v>
      </c>
      <c r="O6" s="49"/>
      <c r="P6" s="40">
        <f t="shared" si="5"/>
        <v>0.06</v>
      </c>
      <c r="R6" s="26"/>
      <c r="S6" s="26"/>
      <c r="T6" s="26"/>
      <c r="U6" s="26"/>
      <c r="V6" s="26"/>
      <c r="W6" s="26"/>
      <c r="X6" s="26"/>
      <c r="Y6" s="26"/>
      <c r="Z6" s="26"/>
      <c r="AA6" s="26"/>
      <c r="AB6" s="26"/>
      <c r="AC6" s="26"/>
      <c r="AD6" s="26"/>
      <c r="AE6" s="26"/>
      <c r="AF6" s="26"/>
      <c r="AG6" s="26"/>
      <c r="AH6" s="26"/>
      <c r="AI6" s="26"/>
      <c r="AJ6" s="26"/>
    </row>
    <row r="7" ht="12.75" customHeight="1">
      <c r="A7" s="23">
        <f t="shared" si="6"/>
        <v>5</v>
      </c>
      <c r="B7" s="27"/>
      <c r="C7" s="30">
        <f>IFERROR(__xludf.DUMMYFUNCTION("if(IFERROR(filter(targets_state!$H:$H,(targets_state!$B:$B=$A7)*(targets_state!$H:$H=""yes"")),0)=""yes"",1,0)"),0.0)</f>
        <v>0</v>
      </c>
      <c r="D7" s="30">
        <f t="shared" si="1"/>
        <v>0</v>
      </c>
      <c r="E7" s="49"/>
      <c r="F7" s="50">
        <f>IFERROR(__xludf.DUMMYFUNCTION("iferror(min(filter(targets_quant!$P:$P,(targets_quant!$B:$B=$A7))),0)"),2025.0)</f>
        <v>2025</v>
      </c>
      <c r="G7" s="27"/>
      <c r="H7" s="27"/>
      <c r="I7" s="30">
        <f t="shared" si="2"/>
        <v>1</v>
      </c>
      <c r="J7" s="30">
        <f t="shared" si="3"/>
        <v>0.03</v>
      </c>
      <c r="K7" s="49"/>
      <c r="L7" s="27"/>
      <c r="M7" s="30">
        <f>IFERROR(__xludf.DUMMYFUNCTION("IF(IFERROR(filter(targets_quant!$B:$B,(targets_quant!$N:$N=100%)*(targets_quant!$J:$J=$L$2)*(targets_quant!$B:$B=$A7)),0)=$A7,1,0)"),0.0)</f>
        <v>0</v>
      </c>
      <c r="N7" s="30">
        <f t="shared" si="4"/>
        <v>0</v>
      </c>
      <c r="O7" s="49"/>
      <c r="P7" s="40">
        <f t="shared" si="5"/>
        <v>0.03</v>
      </c>
      <c r="R7" s="26"/>
      <c r="S7" s="26"/>
      <c r="T7" s="26"/>
      <c r="U7" s="26"/>
      <c r="V7" s="26"/>
      <c r="W7" s="26"/>
      <c r="X7" s="26"/>
      <c r="Y7" s="26"/>
      <c r="Z7" s="26"/>
      <c r="AA7" s="26"/>
      <c r="AB7" s="26"/>
      <c r="AC7" s="26"/>
      <c r="AD7" s="26"/>
      <c r="AE7" s="26"/>
      <c r="AF7" s="26"/>
      <c r="AG7" s="26"/>
      <c r="AH7" s="26"/>
      <c r="AI7" s="26"/>
      <c r="AJ7" s="26"/>
    </row>
    <row r="8" ht="12.75" customHeight="1">
      <c r="A8" s="23">
        <f t="shared" si="6"/>
        <v>6</v>
      </c>
      <c r="B8" s="27"/>
      <c r="C8" s="30">
        <f>IFERROR(__xludf.DUMMYFUNCTION("if(IFERROR(filter(targets_state!$H:$H,(targets_state!$B:$B=$A8)*(targets_state!$H:$H=""yes"")),0)=""yes"",1,0)"),0.0)</f>
        <v>0</v>
      </c>
      <c r="D8" s="30">
        <f t="shared" si="1"/>
        <v>0</v>
      </c>
      <c r="E8" s="49"/>
      <c r="F8" s="50">
        <f>IFERROR(__xludf.DUMMYFUNCTION("iferror(min(filter(targets_quant!$P:$P,(targets_quant!$B:$B=$A8))),0)"),0.0)</f>
        <v>0</v>
      </c>
      <c r="G8" s="27"/>
      <c r="H8" s="27"/>
      <c r="I8" s="30">
        <f t="shared" si="2"/>
        <v>0</v>
      </c>
      <c r="J8" s="30">
        <f t="shared" si="3"/>
        <v>0</v>
      </c>
      <c r="K8" s="49"/>
      <c r="L8" s="27"/>
      <c r="M8" s="30">
        <f>IFERROR(__xludf.DUMMYFUNCTION("IF(IFERROR(filter(targets_quant!$B:$B,(targets_quant!$N:$N=100%)*(targets_quant!$J:$J=$L$2)*(targets_quant!$B:$B=$A8)),0)=$A8,1,0)"),0.0)</f>
        <v>0</v>
      </c>
      <c r="N8" s="30">
        <f t="shared" si="4"/>
        <v>0</v>
      </c>
      <c r="O8" s="49"/>
      <c r="P8" s="40">
        <f t="shared" si="5"/>
        <v>0</v>
      </c>
      <c r="Q8" s="26"/>
      <c r="R8" s="26"/>
      <c r="S8" s="26"/>
      <c r="T8" s="26"/>
      <c r="U8" s="26"/>
      <c r="V8" s="26"/>
      <c r="W8" s="26"/>
      <c r="X8" s="26"/>
      <c r="Y8" s="26"/>
      <c r="Z8" s="26"/>
      <c r="AA8" s="26"/>
      <c r="AB8" s="26"/>
      <c r="AC8" s="26"/>
      <c r="AD8" s="26"/>
      <c r="AE8" s="26"/>
      <c r="AF8" s="26"/>
      <c r="AG8" s="26"/>
      <c r="AH8" s="26"/>
      <c r="AI8" s="26"/>
      <c r="AJ8" s="26"/>
    </row>
    <row r="9" ht="12.75" customHeight="1">
      <c r="A9" s="23">
        <f t="shared" si="6"/>
        <v>7</v>
      </c>
      <c r="B9" s="27"/>
      <c r="C9" s="30">
        <f>IFERROR(__xludf.DUMMYFUNCTION("if(IFERROR(filter(targets_state!$H:$H,(targets_state!$B:$B=$A9)*(targets_state!$H:$H=""yes"")),0)=""yes"",1,0)"),1.0)</f>
        <v>1</v>
      </c>
      <c r="D9" s="30">
        <f t="shared" si="1"/>
        <v>0.03</v>
      </c>
      <c r="E9" s="49"/>
      <c r="F9" s="50">
        <f>IFERROR(__xludf.DUMMYFUNCTION("iferror(min(filter(targets_quant!$P:$P,(targets_quant!$B:$B=$A9))),0)"),0.0)</f>
        <v>0</v>
      </c>
      <c r="G9" s="27"/>
      <c r="H9" s="27"/>
      <c r="I9" s="30">
        <f t="shared" si="2"/>
        <v>0</v>
      </c>
      <c r="J9" s="30">
        <f t="shared" si="3"/>
        <v>0</v>
      </c>
      <c r="K9" s="49"/>
      <c r="L9" s="27"/>
      <c r="M9" s="30">
        <f>IFERROR(__xludf.DUMMYFUNCTION("IF(IFERROR(filter(targets_quant!$B:$B,(targets_quant!$N:$N=100%)*(targets_quant!$J:$J=$L$2)*(targets_quant!$B:$B=$A9)),0)=$A9,1,0)"),0.0)</f>
        <v>0</v>
      </c>
      <c r="N9" s="30">
        <f t="shared" si="4"/>
        <v>0</v>
      </c>
      <c r="O9" s="49"/>
      <c r="P9" s="40">
        <f t="shared" si="5"/>
        <v>0.03</v>
      </c>
      <c r="Q9" s="26"/>
      <c r="R9" s="26"/>
      <c r="S9" s="26"/>
      <c r="T9" s="26"/>
      <c r="U9" s="26"/>
      <c r="V9" s="26"/>
      <c r="W9" s="26"/>
      <c r="X9" s="26"/>
      <c r="Y9" s="26"/>
      <c r="Z9" s="26"/>
      <c r="AA9" s="26"/>
      <c r="AB9" s="26"/>
      <c r="AC9" s="26"/>
      <c r="AD9" s="26"/>
      <c r="AE9" s="26"/>
      <c r="AF9" s="26"/>
      <c r="AG9" s="26"/>
      <c r="AH9" s="26"/>
      <c r="AI9" s="26"/>
      <c r="AJ9" s="26"/>
    </row>
    <row r="10" ht="12.75" customHeight="1">
      <c r="A10" s="23">
        <f t="shared" si="6"/>
        <v>8</v>
      </c>
      <c r="B10" s="27"/>
      <c r="C10" s="30">
        <f>IFERROR(__xludf.DUMMYFUNCTION("if(IFERROR(filter(targets_state!$H:$H,(targets_state!$B:$B=$A10)*(targets_state!$H:$H=""yes"")),0)=""yes"",1,0)"),0.0)</f>
        <v>0</v>
      </c>
      <c r="D10" s="30">
        <f t="shared" si="1"/>
        <v>0</v>
      </c>
      <c r="E10" s="49"/>
      <c r="F10" s="50">
        <f>IFERROR(__xludf.DUMMYFUNCTION("iferror(min(filter(targets_quant!$P:$P,(targets_quant!$B:$B=$A10))),0)"),2030.0)</f>
        <v>2030</v>
      </c>
      <c r="G10" s="27"/>
      <c r="H10" s="27"/>
      <c r="I10" s="30">
        <f t="shared" si="2"/>
        <v>1</v>
      </c>
      <c r="J10" s="30">
        <f t="shared" si="3"/>
        <v>0.03</v>
      </c>
      <c r="K10" s="49"/>
      <c r="L10" s="27"/>
      <c r="M10" s="30">
        <f>IFERROR(__xludf.DUMMYFUNCTION("IF(IFERROR(filter(targets_quant!$B:$B,(targets_quant!$N:$N=100%)*(targets_quant!$J:$J=$L$2)*(targets_quant!$B:$B=$A10)),0)=$A10,1,0)"),0.0)</f>
        <v>0</v>
      </c>
      <c r="N10" s="30">
        <f t="shared" si="4"/>
        <v>0</v>
      </c>
      <c r="O10" s="49"/>
      <c r="P10" s="40">
        <f t="shared" si="5"/>
        <v>0.03</v>
      </c>
      <c r="Q10" s="26"/>
      <c r="R10" s="26"/>
      <c r="S10" s="26"/>
      <c r="T10" s="26"/>
      <c r="U10" s="26"/>
      <c r="V10" s="26"/>
      <c r="W10" s="26"/>
      <c r="X10" s="26"/>
      <c r="Y10" s="26"/>
      <c r="Z10" s="26"/>
      <c r="AA10" s="26"/>
      <c r="AB10" s="26"/>
      <c r="AC10" s="26"/>
      <c r="AD10" s="26"/>
      <c r="AE10" s="26"/>
      <c r="AF10" s="26"/>
      <c r="AG10" s="26"/>
      <c r="AH10" s="26"/>
      <c r="AI10" s="26"/>
      <c r="AJ10" s="26"/>
    </row>
    <row r="11" ht="12.75" customHeight="1">
      <c r="A11" s="23">
        <f t="shared" si="6"/>
        <v>9</v>
      </c>
      <c r="B11" s="27"/>
      <c r="C11" s="30">
        <f>IFERROR(__xludf.DUMMYFUNCTION("if(IFERROR(filter(targets_state!$H:$H,(targets_state!$B:$B=$A11)*(targets_state!$H:$H=""yes"")),0)=""yes"",1,0)"),1.0)</f>
        <v>1</v>
      </c>
      <c r="D11" s="30">
        <f t="shared" si="1"/>
        <v>0.03</v>
      </c>
      <c r="E11" s="49"/>
      <c r="F11" s="50">
        <f>IFERROR(__xludf.DUMMYFUNCTION("iferror(min(filter(targets_quant!$P:$P,(targets_quant!$B:$B=$A11))),0)"),2040.0)</f>
        <v>2040</v>
      </c>
      <c r="G11" s="27"/>
      <c r="H11" s="27"/>
      <c r="I11" s="30">
        <f t="shared" si="2"/>
        <v>0</v>
      </c>
      <c r="J11" s="30">
        <f t="shared" si="3"/>
        <v>0</v>
      </c>
      <c r="K11" s="49"/>
      <c r="L11" s="27"/>
      <c r="M11" s="30">
        <f>IFERROR(__xludf.DUMMYFUNCTION("IF(IFERROR(filter(targets_quant!$B:$B,(targets_quant!$N:$N=100%)*(targets_quant!$J:$J=$L$2)*(targets_quant!$B:$B=$A11)),0)=$A11,1,0)"),1.0)</f>
        <v>1</v>
      </c>
      <c r="N11" s="30">
        <f t="shared" si="4"/>
        <v>0.04</v>
      </c>
      <c r="O11" s="49"/>
      <c r="P11" s="40">
        <f t="shared" si="5"/>
        <v>0.07</v>
      </c>
      <c r="Q11" s="26"/>
      <c r="R11" s="26"/>
      <c r="S11" s="26"/>
      <c r="T11" s="26"/>
      <c r="U11" s="26"/>
      <c r="V11" s="26"/>
      <c r="W11" s="26"/>
      <c r="X11" s="26"/>
      <c r="Y11" s="26"/>
      <c r="Z11" s="26"/>
      <c r="AA11" s="26"/>
      <c r="AB11" s="26"/>
      <c r="AC11" s="26"/>
      <c r="AD11" s="26"/>
      <c r="AE11" s="26"/>
      <c r="AF11" s="26"/>
      <c r="AG11" s="26"/>
      <c r="AH11" s="26"/>
      <c r="AI11" s="26"/>
      <c r="AJ11" s="26"/>
    </row>
    <row r="12" ht="12.75" customHeight="1">
      <c r="A12" s="23">
        <f t="shared" si="6"/>
        <v>10</v>
      </c>
      <c r="B12" s="27"/>
      <c r="C12" s="30">
        <f>IFERROR(__xludf.DUMMYFUNCTION("if(IFERROR(filter(targets_state!$H:$H,(targets_state!$B:$B=$A12)*(targets_state!$H:$H=""yes"")),0)=""yes"",1,0)"),0.0)</f>
        <v>0</v>
      </c>
      <c r="D12" s="30">
        <f t="shared" si="1"/>
        <v>0</v>
      </c>
      <c r="E12" s="49"/>
      <c r="F12" s="50">
        <f>IFERROR(__xludf.DUMMYFUNCTION("iferror(min(filter(targets_quant!$P:$P,(targets_quant!$B:$B=$A12))),0)"),0.0)</f>
        <v>0</v>
      </c>
      <c r="G12" s="27"/>
      <c r="H12" s="27"/>
      <c r="I12" s="30">
        <f t="shared" si="2"/>
        <v>0</v>
      </c>
      <c r="J12" s="30">
        <f t="shared" si="3"/>
        <v>0</v>
      </c>
      <c r="K12" s="49"/>
      <c r="L12" s="27"/>
      <c r="M12" s="30">
        <f>IFERROR(__xludf.DUMMYFUNCTION("IF(IFERROR(filter(targets_quant!$B:$B,(targets_quant!$N:$N=100%)*(targets_quant!$J:$J=$L$2)*(targets_quant!$B:$B=$A12)),0)=$A12,1,0)"),0.0)</f>
        <v>0</v>
      </c>
      <c r="N12" s="30">
        <f t="shared" si="4"/>
        <v>0</v>
      </c>
      <c r="O12" s="49"/>
      <c r="P12" s="40">
        <f t="shared" si="5"/>
        <v>0</v>
      </c>
      <c r="Q12" s="26"/>
      <c r="R12" s="26"/>
      <c r="S12" s="26"/>
      <c r="T12" s="26"/>
      <c r="U12" s="26"/>
      <c r="V12" s="26"/>
      <c r="W12" s="26"/>
      <c r="X12" s="26"/>
      <c r="Y12" s="26"/>
      <c r="Z12" s="26"/>
      <c r="AA12" s="26"/>
      <c r="AB12" s="26"/>
      <c r="AC12" s="26"/>
      <c r="AD12" s="26"/>
      <c r="AE12" s="26"/>
      <c r="AF12" s="26"/>
      <c r="AG12" s="26"/>
      <c r="AH12" s="26"/>
      <c r="AI12" s="26"/>
      <c r="AJ12" s="26"/>
    </row>
    <row r="13" ht="12.75" customHeight="1">
      <c r="A13" s="23">
        <f t="shared" si="6"/>
        <v>11</v>
      </c>
      <c r="B13" s="27"/>
      <c r="C13" s="30">
        <f>IFERROR(__xludf.DUMMYFUNCTION("if(IFERROR(filter(targets_state!$H:$H,(targets_state!$B:$B=$A13)*(targets_state!$H:$H=""yes"")),0)=""yes"",1,0)"),1.0)</f>
        <v>1</v>
      </c>
      <c r="D13" s="30">
        <f t="shared" si="1"/>
        <v>0.03</v>
      </c>
      <c r="E13" s="49"/>
      <c r="F13" s="50">
        <f>IFERROR(__xludf.DUMMYFUNCTION("iferror(min(filter(targets_quant!$P:$P,(targets_quant!$B:$B=$A13))),0)"),0.0)</f>
        <v>0</v>
      </c>
      <c r="G13" s="27"/>
      <c r="H13" s="27"/>
      <c r="I13" s="30">
        <f t="shared" si="2"/>
        <v>0</v>
      </c>
      <c r="J13" s="30">
        <f t="shared" si="3"/>
        <v>0</v>
      </c>
      <c r="K13" s="49"/>
      <c r="L13" s="27"/>
      <c r="M13" s="30">
        <f>IFERROR(__xludf.DUMMYFUNCTION("IF(IFERROR(filter(targets_quant!$B:$B,(targets_quant!$N:$N=100%)*(targets_quant!$J:$J=$L$2)*(targets_quant!$B:$B=$A13)),0)=$A13,1,0)"),0.0)</f>
        <v>0</v>
      </c>
      <c r="N13" s="30">
        <f t="shared" si="4"/>
        <v>0</v>
      </c>
      <c r="O13" s="49"/>
      <c r="P13" s="40">
        <f t="shared" si="5"/>
        <v>0.03</v>
      </c>
      <c r="Q13" s="26"/>
      <c r="R13" s="26"/>
      <c r="S13" s="26"/>
      <c r="T13" s="26"/>
      <c r="U13" s="26"/>
      <c r="V13" s="26"/>
      <c r="W13" s="26"/>
      <c r="X13" s="26"/>
      <c r="Y13" s="26"/>
      <c r="Z13" s="26"/>
      <c r="AA13" s="26"/>
      <c r="AB13" s="26"/>
      <c r="AC13" s="26"/>
      <c r="AD13" s="26"/>
      <c r="AE13" s="26"/>
      <c r="AF13" s="26"/>
      <c r="AG13" s="26"/>
      <c r="AH13" s="26"/>
      <c r="AI13" s="26"/>
      <c r="AJ13" s="26"/>
    </row>
    <row r="14" ht="12.75" customHeight="1">
      <c r="A14" s="23">
        <f t="shared" si="6"/>
        <v>12</v>
      </c>
      <c r="B14" s="27"/>
      <c r="C14" s="30">
        <f>IFERROR(__xludf.DUMMYFUNCTION("if(IFERROR(filter(targets_state!$H:$H,(targets_state!$B:$B=$A14)*(targets_state!$H:$H=""yes"")),0)=""yes"",1,0)"),0.0)</f>
        <v>0</v>
      </c>
      <c r="D14" s="30">
        <f t="shared" si="1"/>
        <v>0</v>
      </c>
      <c r="E14" s="49"/>
      <c r="F14" s="50">
        <f>IFERROR(__xludf.DUMMYFUNCTION("iferror(min(filter(targets_quant!$P:$P,(targets_quant!$B:$B=$A14))),0)"),0.0)</f>
        <v>0</v>
      </c>
      <c r="G14" s="27"/>
      <c r="H14" s="27"/>
      <c r="I14" s="30">
        <f t="shared" si="2"/>
        <v>0</v>
      </c>
      <c r="J14" s="30">
        <f t="shared" si="3"/>
        <v>0</v>
      </c>
      <c r="K14" s="49"/>
      <c r="L14" s="27"/>
      <c r="M14" s="30">
        <f>IFERROR(__xludf.DUMMYFUNCTION("IF(IFERROR(filter(targets_quant!$B:$B,(targets_quant!$N:$N=100%)*(targets_quant!$J:$J=$L$2)*(targets_quant!$B:$B=$A14)),0)=$A14,1,0)"),0.0)</f>
        <v>0</v>
      </c>
      <c r="N14" s="30">
        <f t="shared" si="4"/>
        <v>0</v>
      </c>
      <c r="O14" s="49"/>
      <c r="P14" s="40">
        <f t="shared" si="5"/>
        <v>0</v>
      </c>
      <c r="Q14" s="26"/>
      <c r="R14" s="26"/>
      <c r="S14" s="26"/>
      <c r="T14" s="26"/>
      <c r="U14" s="26"/>
      <c r="V14" s="26"/>
      <c r="W14" s="26"/>
      <c r="X14" s="26"/>
      <c r="Y14" s="26"/>
      <c r="Z14" s="26"/>
      <c r="AA14" s="26"/>
      <c r="AB14" s="26"/>
      <c r="AC14" s="26"/>
      <c r="AD14" s="26"/>
      <c r="AE14" s="26"/>
      <c r="AF14" s="26"/>
      <c r="AG14" s="26"/>
      <c r="AH14" s="26"/>
      <c r="AI14" s="26"/>
      <c r="AJ14" s="26"/>
    </row>
    <row r="15" ht="12.75" customHeight="1">
      <c r="A15" s="23">
        <f t="shared" si="6"/>
        <v>13</v>
      </c>
      <c r="B15" s="27"/>
      <c r="C15" s="30">
        <f>IFERROR(__xludf.DUMMYFUNCTION("if(IFERROR(filter(targets_state!$H:$H,(targets_state!$B:$B=$A15)*(targets_state!$H:$H=""yes"")),0)=""yes"",1,0)"),1.0)</f>
        <v>1</v>
      </c>
      <c r="D15" s="30">
        <f t="shared" si="1"/>
        <v>0.03</v>
      </c>
      <c r="E15" s="49"/>
      <c r="F15" s="50">
        <f>IFERROR(__xludf.DUMMYFUNCTION("iferror(min(filter(targets_quant!$P:$P,(targets_quant!$B:$B=$A15))),0)"),2027.0)</f>
        <v>2027</v>
      </c>
      <c r="G15" s="27"/>
      <c r="H15" s="27"/>
      <c r="I15" s="30">
        <f t="shared" si="2"/>
        <v>1</v>
      </c>
      <c r="J15" s="30">
        <f t="shared" si="3"/>
        <v>0.03</v>
      </c>
      <c r="K15" s="49"/>
      <c r="L15" s="27"/>
      <c r="M15" s="30">
        <f>IFERROR(__xludf.DUMMYFUNCTION("IF(IFERROR(filter(targets_quant!$B:$B,(targets_quant!$N:$N=100%)*(targets_quant!$J:$J=$L$2)*(targets_quant!$B:$B=$A15)),0)=$A15,1,0)"),0.0)</f>
        <v>0</v>
      </c>
      <c r="N15" s="30">
        <f t="shared" si="4"/>
        <v>0</v>
      </c>
      <c r="O15" s="49"/>
      <c r="P15" s="40">
        <f t="shared" si="5"/>
        <v>0.06</v>
      </c>
      <c r="Q15" s="26"/>
      <c r="R15" s="26"/>
      <c r="S15" s="26"/>
      <c r="T15" s="26"/>
      <c r="U15" s="26"/>
      <c r="V15" s="26"/>
      <c r="W15" s="26"/>
      <c r="X15" s="26"/>
      <c r="Y15" s="26"/>
      <c r="Z15" s="26"/>
      <c r="AA15" s="26"/>
      <c r="AB15" s="26"/>
      <c r="AC15" s="26"/>
      <c r="AD15" s="26"/>
      <c r="AE15" s="26"/>
      <c r="AF15" s="26"/>
      <c r="AG15" s="26"/>
      <c r="AH15" s="26"/>
      <c r="AI15" s="26"/>
      <c r="AJ15" s="26"/>
    </row>
    <row r="16" ht="12.75" customHeight="1">
      <c r="A16" s="23">
        <f t="shared" si="6"/>
        <v>14</v>
      </c>
      <c r="B16" s="27"/>
      <c r="C16" s="30">
        <f>IFERROR(__xludf.DUMMYFUNCTION("if(IFERROR(filter(targets_state!$H:$H,(targets_state!$B:$B=$A16)*(targets_state!$H:$H=""yes"")),0)=""yes"",1,0)"),1.0)</f>
        <v>1</v>
      </c>
      <c r="D16" s="30">
        <f t="shared" si="1"/>
        <v>0.03</v>
      </c>
      <c r="E16" s="49"/>
      <c r="F16" s="50">
        <f>IFERROR(__xludf.DUMMYFUNCTION("iferror(min(filter(targets_quant!$P:$P,(targets_quant!$B:$B=$A16))),0)"),2030.0)</f>
        <v>2030</v>
      </c>
      <c r="G16" s="27"/>
      <c r="H16" s="27"/>
      <c r="I16" s="30">
        <f t="shared" si="2"/>
        <v>1</v>
      </c>
      <c r="J16" s="30">
        <f t="shared" si="3"/>
        <v>0.03</v>
      </c>
      <c r="K16" s="49"/>
      <c r="L16" s="27"/>
      <c r="M16" s="30">
        <f>IFERROR(__xludf.DUMMYFUNCTION("IF(IFERROR(filter(targets_quant!$B:$B,(targets_quant!$N:$N=100%)*(targets_quant!$J:$J=$L$2)*(targets_quant!$B:$B=$A16)),0)=$A16,1,0)"),0.0)</f>
        <v>0</v>
      </c>
      <c r="N16" s="30">
        <f t="shared" si="4"/>
        <v>0</v>
      </c>
      <c r="O16" s="49"/>
      <c r="P16" s="40">
        <f t="shared" si="5"/>
        <v>0.06</v>
      </c>
      <c r="Q16" s="26"/>
      <c r="R16" s="26"/>
      <c r="S16" s="26"/>
      <c r="T16" s="26"/>
      <c r="U16" s="26"/>
      <c r="V16" s="26"/>
      <c r="W16" s="26"/>
      <c r="X16" s="26"/>
      <c r="Y16" s="26"/>
      <c r="Z16" s="26"/>
      <c r="AA16" s="26"/>
      <c r="AB16" s="26"/>
      <c r="AC16" s="26"/>
      <c r="AD16" s="26"/>
      <c r="AE16" s="26"/>
      <c r="AF16" s="26"/>
      <c r="AG16" s="26"/>
      <c r="AH16" s="26"/>
      <c r="AI16" s="26"/>
      <c r="AJ16" s="26"/>
    </row>
    <row r="17" ht="12.75" customHeight="1">
      <c r="A17" s="23">
        <f t="shared" si="6"/>
        <v>15</v>
      </c>
      <c r="B17" s="27"/>
      <c r="C17" s="30">
        <f>IFERROR(__xludf.DUMMYFUNCTION("if(IFERROR(filter(targets_state!$H:$H,(targets_state!$B:$B=$A17)*(targets_state!$H:$H=""yes"")),0)=""yes"",1,0)"),1.0)</f>
        <v>1</v>
      </c>
      <c r="D17" s="30">
        <f t="shared" si="1"/>
        <v>0.03</v>
      </c>
      <c r="E17" s="49"/>
      <c r="F17" s="50">
        <f>IFERROR(__xludf.DUMMYFUNCTION("iferror(min(filter(targets_quant!$P:$P,(targets_quant!$B:$B=$A17))),0)"),2030.0)</f>
        <v>2030</v>
      </c>
      <c r="G17" s="27"/>
      <c r="H17" s="27"/>
      <c r="I17" s="30">
        <f t="shared" si="2"/>
        <v>1</v>
      </c>
      <c r="J17" s="30">
        <f t="shared" si="3"/>
        <v>0.03</v>
      </c>
      <c r="K17" s="49"/>
      <c r="L17" s="27"/>
      <c r="M17" s="30">
        <f>IFERROR(__xludf.DUMMYFUNCTION("IF(IFERROR(filter(targets_quant!$B:$B,(targets_quant!$N:$N=100%)*(targets_quant!$J:$J=$L$2)*(targets_quant!$B:$B=$A17)),0)=$A17,1,0)"),0.0)</f>
        <v>0</v>
      </c>
      <c r="N17" s="30">
        <f t="shared" si="4"/>
        <v>0</v>
      </c>
      <c r="O17" s="49"/>
      <c r="P17" s="40">
        <f t="shared" si="5"/>
        <v>0.06</v>
      </c>
      <c r="Q17" s="26"/>
      <c r="R17" s="26"/>
      <c r="S17" s="26"/>
      <c r="T17" s="26"/>
      <c r="U17" s="26"/>
      <c r="V17" s="26"/>
      <c r="W17" s="26"/>
      <c r="X17" s="26"/>
      <c r="Y17" s="26"/>
      <c r="Z17" s="26"/>
      <c r="AA17" s="26"/>
      <c r="AB17" s="26"/>
      <c r="AC17" s="26"/>
      <c r="AD17" s="26"/>
      <c r="AE17" s="26"/>
      <c r="AF17" s="26"/>
      <c r="AG17" s="26"/>
      <c r="AH17" s="26"/>
      <c r="AI17" s="26"/>
      <c r="AJ17" s="26"/>
    </row>
    <row r="18" ht="12.75" customHeight="1">
      <c r="A18" s="23">
        <f t="shared" si="6"/>
        <v>16</v>
      </c>
      <c r="B18" s="27"/>
      <c r="C18" s="30">
        <f>IFERROR(__xludf.DUMMYFUNCTION("if(IFERROR(filter(targets_state!$H:$H,(targets_state!$B:$B=$A18)*(targets_state!$H:$H=""yes"")),0)=""yes"",1,0)"),1.0)</f>
        <v>1</v>
      </c>
      <c r="D18" s="30">
        <f t="shared" si="1"/>
        <v>0.03</v>
      </c>
      <c r="E18" s="49"/>
      <c r="F18" s="50">
        <f>IFERROR(__xludf.DUMMYFUNCTION("iferror(min(filter(targets_quant!$P:$P,(targets_quant!$B:$B=$A18))),0)"),2050.0)</f>
        <v>2050</v>
      </c>
      <c r="G18" s="27"/>
      <c r="H18" s="27"/>
      <c r="I18" s="30">
        <f t="shared" si="2"/>
        <v>0</v>
      </c>
      <c r="J18" s="30">
        <f t="shared" si="3"/>
        <v>0</v>
      </c>
      <c r="K18" s="49"/>
      <c r="L18" s="27"/>
      <c r="M18" s="30">
        <f>IFERROR(__xludf.DUMMYFUNCTION("IF(IFERROR(filter(targets_quant!$B:$B,(targets_quant!$N:$N=100%)*(targets_quant!$J:$J=$L$2)*(targets_quant!$B:$B=$A18)),0)=$A18,1,0)"),1.0)</f>
        <v>1</v>
      </c>
      <c r="N18" s="30">
        <f t="shared" si="4"/>
        <v>0.04</v>
      </c>
      <c r="O18" s="49"/>
      <c r="P18" s="40">
        <f t="shared" si="5"/>
        <v>0.07</v>
      </c>
      <c r="Q18" s="26"/>
      <c r="R18" s="26"/>
      <c r="S18" s="26"/>
      <c r="T18" s="26"/>
      <c r="U18" s="26"/>
      <c r="V18" s="26"/>
      <c r="W18" s="26"/>
      <c r="X18" s="26"/>
      <c r="Y18" s="26"/>
      <c r="Z18" s="26"/>
      <c r="AA18" s="26"/>
      <c r="AB18" s="26"/>
      <c r="AC18" s="26"/>
      <c r="AD18" s="26"/>
      <c r="AE18" s="26"/>
      <c r="AF18" s="26"/>
      <c r="AG18" s="26"/>
      <c r="AH18" s="26"/>
      <c r="AI18" s="26"/>
      <c r="AJ18" s="26"/>
    </row>
    <row r="19" ht="12.75" customHeight="1">
      <c r="A19" s="23">
        <f t="shared" si="6"/>
        <v>17</v>
      </c>
      <c r="B19" s="27"/>
      <c r="C19" s="30">
        <f>IFERROR(__xludf.DUMMYFUNCTION("if(IFERROR(filter(targets_state!$H:$H,(targets_state!$B:$B=$A19)*(targets_state!$H:$H=""yes"")),0)=""yes"",1,0)"),0.0)</f>
        <v>0</v>
      </c>
      <c r="D19" s="30">
        <f t="shared" si="1"/>
        <v>0</v>
      </c>
      <c r="E19" s="49"/>
      <c r="F19" s="50">
        <f>IFERROR(__xludf.DUMMYFUNCTION("iferror(min(filter(targets_quant!$P:$P,(targets_quant!$B:$B=$A19))),0)"),0.0)</f>
        <v>0</v>
      </c>
      <c r="G19" s="27"/>
      <c r="H19" s="27"/>
      <c r="I19" s="30">
        <f t="shared" si="2"/>
        <v>0</v>
      </c>
      <c r="J19" s="30">
        <f t="shared" si="3"/>
        <v>0</v>
      </c>
      <c r="K19" s="49"/>
      <c r="L19" s="27"/>
      <c r="M19" s="30">
        <f>IFERROR(__xludf.DUMMYFUNCTION("IF(IFERROR(filter(targets_quant!$B:$B,(targets_quant!$N:$N=100%)*(targets_quant!$J:$J=$L$2)*(targets_quant!$B:$B=$A19)),0)=$A19,1,0)"),0.0)</f>
        <v>0</v>
      </c>
      <c r="N19" s="30">
        <f t="shared" si="4"/>
        <v>0</v>
      </c>
      <c r="O19" s="49"/>
      <c r="P19" s="40">
        <f t="shared" si="5"/>
        <v>0</v>
      </c>
      <c r="Q19" s="26"/>
      <c r="R19" s="26"/>
      <c r="S19" s="26"/>
      <c r="T19" s="26"/>
      <c r="U19" s="26"/>
      <c r="V19" s="26"/>
      <c r="W19" s="26"/>
      <c r="X19" s="26"/>
      <c r="Y19" s="26"/>
      <c r="Z19" s="26"/>
      <c r="AA19" s="26"/>
      <c r="AB19" s="26"/>
      <c r="AC19" s="26"/>
      <c r="AD19" s="26"/>
      <c r="AE19" s="26"/>
      <c r="AF19" s="26"/>
      <c r="AG19" s="26"/>
      <c r="AH19" s="26"/>
      <c r="AI19" s="26"/>
      <c r="AJ19" s="26"/>
    </row>
    <row r="20" ht="12.75" customHeight="1">
      <c r="A20" s="23">
        <f t="shared" si="6"/>
        <v>18</v>
      </c>
      <c r="B20" s="27"/>
      <c r="C20" s="30">
        <f>IFERROR(__xludf.DUMMYFUNCTION("if(IFERROR(filter(targets_state!$H:$H,(targets_state!$B:$B=$A20)*(targets_state!$H:$H=""yes"")),0)=""yes"",1,0)"),1.0)</f>
        <v>1</v>
      </c>
      <c r="D20" s="30">
        <f t="shared" si="1"/>
        <v>0.03</v>
      </c>
      <c r="E20" s="49"/>
      <c r="F20" s="50">
        <f>IFERROR(__xludf.DUMMYFUNCTION("iferror(min(filter(targets_quant!$P:$P,(targets_quant!$B:$B=$A20))),0)"),2032.0)</f>
        <v>2032</v>
      </c>
      <c r="G20" s="27"/>
      <c r="H20" s="27"/>
      <c r="I20" s="30">
        <f t="shared" si="2"/>
        <v>0</v>
      </c>
      <c r="J20" s="30">
        <f t="shared" si="3"/>
        <v>0</v>
      </c>
      <c r="K20" s="49"/>
      <c r="L20" s="27"/>
      <c r="M20" s="30">
        <f>IFERROR(__xludf.DUMMYFUNCTION("IF(IFERROR(filter(targets_quant!$B:$B,(targets_quant!$N:$N=100%)*(targets_quant!$J:$J=$L$2)*(targets_quant!$B:$B=$A20)),0)=$A20,1,0)"),1.0)</f>
        <v>1</v>
      </c>
      <c r="N20" s="30">
        <f t="shared" si="4"/>
        <v>0.04</v>
      </c>
      <c r="O20" s="49"/>
      <c r="P20" s="40">
        <f t="shared" si="5"/>
        <v>0.07</v>
      </c>
      <c r="Q20" s="26"/>
      <c r="R20" s="26"/>
      <c r="S20" s="26"/>
      <c r="T20" s="26"/>
      <c r="U20" s="26"/>
      <c r="V20" s="26"/>
      <c r="W20" s="26"/>
      <c r="X20" s="26"/>
      <c r="Y20" s="26"/>
      <c r="Z20" s="26"/>
      <c r="AA20" s="26"/>
      <c r="AB20" s="26"/>
      <c r="AC20" s="26"/>
      <c r="AD20" s="26"/>
      <c r="AE20" s="26"/>
      <c r="AF20" s="26"/>
      <c r="AG20" s="26"/>
      <c r="AH20" s="26"/>
      <c r="AI20" s="26"/>
      <c r="AJ20" s="26"/>
    </row>
    <row r="21" ht="12.75" customHeight="1">
      <c r="A21" s="23">
        <f t="shared" si="6"/>
        <v>19</v>
      </c>
      <c r="B21" s="27"/>
      <c r="C21" s="30">
        <f>IFERROR(__xludf.DUMMYFUNCTION("if(IFERROR(filter(targets_state!$H:$H,(targets_state!$B:$B=$A21)*(targets_state!$H:$H=""yes"")),0)=""yes"",1,0)"),1.0)</f>
        <v>1</v>
      </c>
      <c r="D21" s="30">
        <f t="shared" si="1"/>
        <v>0.03</v>
      </c>
      <c r="E21" s="49"/>
      <c r="F21" s="50">
        <f>IFERROR(__xludf.DUMMYFUNCTION("iferror(min(filter(targets_quant!$P:$P,(targets_quant!$B:$B=$A21))),0)"),0.0)</f>
        <v>0</v>
      </c>
      <c r="G21" s="27"/>
      <c r="H21" s="27"/>
      <c r="I21" s="30">
        <f t="shared" si="2"/>
        <v>0</v>
      </c>
      <c r="J21" s="30">
        <f t="shared" si="3"/>
        <v>0</v>
      </c>
      <c r="K21" s="49"/>
      <c r="L21" s="27"/>
      <c r="M21" s="30">
        <f>IFERROR(__xludf.DUMMYFUNCTION("IF(IFERROR(filter(targets_quant!$B:$B,(targets_quant!$N:$N=100%)*(targets_quant!$J:$J=$L$2)*(targets_quant!$B:$B=$A21)),0)=$A21,1,0)"),0.0)</f>
        <v>0</v>
      </c>
      <c r="N21" s="30">
        <f t="shared" si="4"/>
        <v>0</v>
      </c>
      <c r="O21" s="49"/>
      <c r="P21" s="40">
        <f t="shared" si="5"/>
        <v>0.03</v>
      </c>
      <c r="Q21" s="26"/>
      <c r="R21" s="26"/>
      <c r="S21" s="26"/>
      <c r="T21" s="26"/>
      <c r="U21" s="26"/>
      <c r="V21" s="26"/>
      <c r="W21" s="26"/>
      <c r="X21" s="26"/>
      <c r="Y21" s="26"/>
      <c r="Z21" s="26"/>
      <c r="AA21" s="26"/>
      <c r="AB21" s="26"/>
      <c r="AC21" s="26"/>
      <c r="AD21" s="26"/>
      <c r="AE21" s="26"/>
      <c r="AF21" s="26"/>
      <c r="AG21" s="26"/>
      <c r="AH21" s="26"/>
      <c r="AI21" s="26"/>
      <c r="AJ21" s="26"/>
    </row>
    <row r="22" ht="12.75" customHeight="1">
      <c r="A22" s="31">
        <v>66.0</v>
      </c>
      <c r="B22" s="27"/>
      <c r="C22" s="30">
        <f>IFERROR(__xludf.DUMMYFUNCTION("if(IFERROR(filter(targets_state!$H:$H,(targets_state!$B:$B=$A22)*(targets_state!$H:$H=""yes"")),0)=""yes"",1,0)"),1.0)</f>
        <v>1</v>
      </c>
      <c r="D22" s="30">
        <f t="shared" si="1"/>
        <v>0.03</v>
      </c>
      <c r="E22" s="49"/>
      <c r="F22" s="50">
        <f>IFERROR(__xludf.DUMMYFUNCTION("iferror(min(filter(targets_quant!$P:$P,(targets_quant!$B:$B=$A22))),0)"),2030.0)</f>
        <v>2030</v>
      </c>
      <c r="G22" s="27"/>
      <c r="H22" s="27"/>
      <c r="I22" s="30">
        <f t="shared" si="2"/>
        <v>1</v>
      </c>
      <c r="J22" s="30">
        <f t="shared" si="3"/>
        <v>0.03</v>
      </c>
      <c r="K22" s="49"/>
      <c r="L22" s="27"/>
      <c r="M22" s="30">
        <f>IFERROR(__xludf.DUMMYFUNCTION("IF(IFERROR(filter(targets_quant!$B:$B,(targets_quant!$N:$N=100%)*(targets_quant!$J:$J=$L$2)*(targets_quant!$B:$B=$A22)),0)=$A22,1,0)"),1.0)</f>
        <v>1</v>
      </c>
      <c r="N22" s="30">
        <f t="shared" si="4"/>
        <v>0.04</v>
      </c>
      <c r="O22" s="49"/>
      <c r="P22" s="40">
        <f t="shared" si="5"/>
        <v>0.1</v>
      </c>
      <c r="Q22" s="26"/>
      <c r="R22" s="26"/>
      <c r="S22" s="26"/>
      <c r="T22" s="26"/>
      <c r="U22" s="26"/>
      <c r="V22" s="26"/>
      <c r="W22" s="26"/>
      <c r="X22" s="26"/>
      <c r="Y22" s="26"/>
      <c r="Z22" s="26"/>
      <c r="AA22" s="26"/>
      <c r="AB22" s="26"/>
      <c r="AC22" s="26"/>
      <c r="AD22" s="26"/>
      <c r="AE22" s="26"/>
      <c r="AF22" s="26"/>
      <c r="AG22" s="26"/>
      <c r="AH22" s="26"/>
      <c r="AI22" s="26"/>
      <c r="AJ22" s="26"/>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43"/>
    <col customWidth="1" min="2" max="2" width="5.43"/>
    <col customWidth="1" min="3" max="5" width="10.0"/>
    <col customWidth="1" min="6" max="6" width="9.57"/>
    <col customWidth="1" min="7" max="10" width="9.43"/>
    <col customWidth="1" min="11" max="11" width="11.71"/>
    <col customWidth="1" min="12" max="12" width="5.71"/>
    <col customWidth="1" min="13" max="14" width="9.43"/>
    <col customWidth="1" min="15" max="15" width="13.71"/>
    <col customWidth="1" min="16" max="16" width="10.29"/>
    <col customWidth="1" min="17" max="17" width="10.86"/>
    <col customWidth="1" min="18" max="18" width="14.29"/>
    <col customWidth="1" min="19" max="38" width="8.71"/>
  </cols>
  <sheetData>
    <row r="1" ht="12.75" customHeight="1">
      <c r="A1" s="17" t="s">
        <v>2</v>
      </c>
      <c r="B1" s="19"/>
      <c r="C1" s="19" t="s">
        <v>557</v>
      </c>
      <c r="D1" s="19" t="s">
        <v>594</v>
      </c>
      <c r="E1" s="19" t="s">
        <v>595</v>
      </c>
      <c r="F1" s="19" t="s">
        <v>558</v>
      </c>
      <c r="G1" s="19" t="s">
        <v>587</v>
      </c>
      <c r="H1" s="19" t="s">
        <v>588</v>
      </c>
      <c r="I1" s="20" t="s">
        <v>586</v>
      </c>
      <c r="J1" s="20" t="s">
        <v>589</v>
      </c>
      <c r="K1" s="21" t="s">
        <v>548</v>
      </c>
      <c r="L1" s="46"/>
      <c r="M1" s="19" t="s">
        <v>557</v>
      </c>
      <c r="N1" s="19" t="s">
        <v>594</v>
      </c>
      <c r="O1" s="19" t="s">
        <v>595</v>
      </c>
      <c r="P1" s="19" t="s">
        <v>557</v>
      </c>
      <c r="Q1" s="19" t="s">
        <v>587</v>
      </c>
      <c r="R1" s="19" t="s">
        <v>588</v>
      </c>
      <c r="S1" s="20" t="s">
        <v>586</v>
      </c>
      <c r="T1" s="20" t="s">
        <v>589</v>
      </c>
      <c r="U1" s="21" t="s">
        <v>548</v>
      </c>
      <c r="V1" s="46"/>
      <c r="W1" s="19" t="s">
        <v>596</v>
      </c>
    </row>
    <row r="2">
      <c r="A2" s="23"/>
      <c r="B2" s="24"/>
      <c r="C2" s="24" t="s">
        <v>597</v>
      </c>
      <c r="D2" s="24" t="s">
        <v>598</v>
      </c>
      <c r="E2" s="51">
        <v>1.0</v>
      </c>
      <c r="F2" s="48"/>
      <c r="G2" s="24">
        <v>2020.0</v>
      </c>
      <c r="H2" s="24">
        <v>2050.0</v>
      </c>
      <c r="I2" s="19"/>
      <c r="J2" s="25"/>
      <c r="K2" s="25">
        <v>0.05</v>
      </c>
      <c r="L2" s="47"/>
      <c r="M2" s="24" t="s">
        <v>597</v>
      </c>
      <c r="N2" s="24" t="s">
        <v>593</v>
      </c>
      <c r="O2" s="51">
        <v>1.0</v>
      </c>
      <c r="P2" s="48"/>
      <c r="Q2" s="24">
        <v>2020.0</v>
      </c>
      <c r="R2" s="24">
        <v>2050.0</v>
      </c>
      <c r="S2" s="19"/>
      <c r="T2" s="25"/>
      <c r="U2" s="25">
        <v>0.05</v>
      </c>
      <c r="V2" s="47"/>
      <c r="W2" s="19"/>
      <c r="X2" s="26"/>
      <c r="Y2" s="26"/>
      <c r="Z2" s="26"/>
      <c r="AA2" s="26"/>
      <c r="AB2" s="26"/>
      <c r="AC2" s="26"/>
      <c r="AD2" s="26"/>
      <c r="AE2" s="26"/>
      <c r="AF2" s="26"/>
      <c r="AG2" s="26"/>
      <c r="AH2" s="26"/>
      <c r="AI2" s="26"/>
      <c r="AJ2" s="26"/>
      <c r="AK2" s="26"/>
      <c r="AL2" s="26"/>
    </row>
    <row r="3" ht="12.75" customHeight="1">
      <c r="A3" s="23">
        <v>1.0</v>
      </c>
      <c r="B3" s="27"/>
      <c r="C3" s="50">
        <f>IFERROR(__xludf.DUMMYFUNCTION("IF(IFERROR(filter(targets_quant!$N:$N,(targets_quant!$B:$B=$A3)*(targets_quant!$J:$J=D$2)*(targets_quant!$N:$N=""zero_policy"")),"""")=""zero_policy"",1,0)"),0.0)</f>
        <v>0</v>
      </c>
      <c r="D3" s="27"/>
      <c r="E3" s="27"/>
      <c r="F3" s="50">
        <f>IFERROR(__xludf.DUMMYFUNCTION("iferror(min(filter(targets_quant!$P:$P,(targets_quant!$J:$J=$D$2)*(targets_quant!$B:$B=$A3)*(targets_quant!$N:$N=$E$2))),0)"),2050.0)</f>
        <v>2050</v>
      </c>
      <c r="G3" s="27"/>
      <c r="H3" s="27"/>
      <c r="I3" s="30">
        <f t="shared" ref="I3:I22" si="1">IF(AND($F3&lt;=$H$2,$F3&gt;=$G$2),1,0)</f>
        <v>1</v>
      </c>
      <c r="J3" s="30">
        <f t="shared" ref="J3:J22" si="2">I3*($H$2-$F3)/($H$2-$G$2)+C3</f>
        <v>0</v>
      </c>
      <c r="K3" s="30">
        <f t="shared" ref="K3:K22" si="3">J3*K$2</f>
        <v>0</v>
      </c>
      <c r="L3" s="49"/>
      <c r="M3" s="50">
        <f>IFERROR(__xludf.DUMMYFUNCTION("IF(IFERROR(filter(targets_quant!$N:$N,(targets_quant!$B:$B=$A3)*(targets_quant!$J:$J=N$2)*(targets_quant!$N:$N=""zero_policy"")),"""")=""zero_policy"",1,0)"),0.0)</f>
        <v>0</v>
      </c>
      <c r="N3" s="27"/>
      <c r="O3" s="27"/>
      <c r="P3" s="50">
        <f>IFERROR(__xludf.DUMMYFUNCTION("IFERROR(min(filter(targets_quant!$P:$P,(targets_quant!$J:$J=$N$2)*(targets_quant!$B:$B=$A3)*(targets_quant!$N:$N=$O$2))),0)"),0.0)</f>
        <v>0</v>
      </c>
      <c r="Q3" s="27"/>
      <c r="R3" s="27"/>
      <c r="S3" s="30">
        <f t="shared" ref="S3:S22" si="4">IF(AND($P3&lt;=$R$2,$P3&gt;=$Q$2),1,0)</f>
        <v>0</v>
      </c>
      <c r="T3" s="30">
        <f t="shared" ref="T3:T22" si="5">S3*($R$2-$P3)/($R$2-$Q$2)+M3</f>
        <v>0</v>
      </c>
      <c r="U3" s="30">
        <f t="shared" ref="U3:U22" si="6">T3*U$2</f>
        <v>0</v>
      </c>
      <c r="V3" s="49"/>
      <c r="W3" s="40">
        <f t="shared" ref="W3:W22" si="7">U3+K3</f>
        <v>0</v>
      </c>
      <c r="X3" s="26"/>
      <c r="Y3" s="26"/>
      <c r="Z3" s="26"/>
      <c r="AA3" s="26"/>
      <c r="AB3" s="26"/>
      <c r="AC3" s="26"/>
      <c r="AD3" s="26"/>
      <c r="AE3" s="26"/>
      <c r="AF3" s="26"/>
      <c r="AG3" s="26"/>
      <c r="AH3" s="26"/>
      <c r="AI3" s="26"/>
      <c r="AJ3" s="26"/>
      <c r="AK3" s="26"/>
      <c r="AL3" s="26"/>
    </row>
    <row r="4" ht="12.75" customHeight="1">
      <c r="A4" s="23">
        <f t="shared" ref="A4:A21" si="8">A3+1</f>
        <v>2</v>
      </c>
      <c r="B4" s="27"/>
      <c r="C4" s="50">
        <f>IFERROR(__xludf.DUMMYFUNCTION("IF(IFERROR(filter(targets_quant!$N:$N,(targets_quant!$B:$B=$A4)*(targets_quant!$J:$J=D$2)*(targets_quant!$N:$N=""zero_policy"")),"""")=""zero_policy"",1,0)"),0.0)</f>
        <v>0</v>
      </c>
      <c r="D4" s="27"/>
      <c r="E4" s="27"/>
      <c r="F4" s="50">
        <f>IFERROR(__xludf.DUMMYFUNCTION("iferror(min(filter(targets_quant!$P:$P,(targets_quant!$J:$J=$D$2)*(targets_quant!$B:$B=$A4)*(targets_quant!$N:$N=$E$2))),0)"),0.0)</f>
        <v>0</v>
      </c>
      <c r="G4" s="27"/>
      <c r="H4" s="27"/>
      <c r="I4" s="30">
        <f t="shared" si="1"/>
        <v>0</v>
      </c>
      <c r="J4" s="30">
        <f t="shared" si="2"/>
        <v>0</v>
      </c>
      <c r="K4" s="30">
        <f t="shared" si="3"/>
        <v>0</v>
      </c>
      <c r="L4" s="49"/>
      <c r="M4" s="50">
        <f>IFERROR(__xludf.DUMMYFUNCTION("IF(IFERROR(filter(targets_quant!$N:$N,(targets_quant!$B:$B=$A4)*(targets_quant!$J:$J=N$2)*(targets_quant!$N:$N=""zero_policy"")),"""")=""zero_policy"",1,0)"),0.0)</f>
        <v>0</v>
      </c>
      <c r="N4" s="27"/>
      <c r="O4" s="27"/>
      <c r="P4" s="50">
        <f>IFERROR(__xludf.DUMMYFUNCTION("IFERROR(min(filter(targets_quant!$P:$P,(targets_quant!$J:$J=$N$2)*(targets_quant!$B:$B=$A4)*(targets_quant!$N:$N=$O$2))),0)"),0.0)</f>
        <v>0</v>
      </c>
      <c r="Q4" s="27"/>
      <c r="R4" s="27"/>
      <c r="S4" s="30">
        <f t="shared" si="4"/>
        <v>0</v>
      </c>
      <c r="T4" s="30">
        <f t="shared" si="5"/>
        <v>0</v>
      </c>
      <c r="U4" s="30">
        <f t="shared" si="6"/>
        <v>0</v>
      </c>
      <c r="V4" s="49"/>
      <c r="W4" s="40">
        <f t="shared" si="7"/>
        <v>0</v>
      </c>
      <c r="X4" s="26"/>
      <c r="Y4" s="26"/>
      <c r="Z4" s="26"/>
      <c r="AA4" s="26"/>
      <c r="AB4" s="26"/>
      <c r="AC4" s="26"/>
      <c r="AD4" s="26"/>
      <c r="AE4" s="26"/>
      <c r="AF4" s="26"/>
      <c r="AG4" s="26"/>
      <c r="AH4" s="26"/>
      <c r="AI4" s="26"/>
      <c r="AJ4" s="26"/>
      <c r="AK4" s="26"/>
      <c r="AL4" s="26"/>
    </row>
    <row r="5" ht="12.75" customHeight="1">
      <c r="A5" s="23">
        <f t="shared" si="8"/>
        <v>3</v>
      </c>
      <c r="B5" s="27"/>
      <c r="C5" s="50">
        <f>IFERROR(__xludf.DUMMYFUNCTION("IF(IFERROR(filter(targets_quant!$N:$N,(targets_quant!$B:$B=$A5)*(targets_quant!$J:$J=D$2)*(targets_quant!$N:$N=""zero_policy"")),"""")=""zero_policy"",1,0)"),0.0)</f>
        <v>0</v>
      </c>
      <c r="D5" s="27"/>
      <c r="E5" s="27"/>
      <c r="F5" s="50">
        <f>IFERROR(__xludf.DUMMYFUNCTION("iferror(min(filter(targets_quant!$P:$P,(targets_quant!$J:$J=$D$2)*(targets_quant!$B:$B=$A5)*(targets_quant!$N:$N=$E$2))),0)"),0.0)</f>
        <v>0</v>
      </c>
      <c r="G5" s="27"/>
      <c r="H5" s="27"/>
      <c r="I5" s="30">
        <f t="shared" si="1"/>
        <v>0</v>
      </c>
      <c r="J5" s="30">
        <f t="shared" si="2"/>
        <v>0</v>
      </c>
      <c r="K5" s="30">
        <f t="shared" si="3"/>
        <v>0</v>
      </c>
      <c r="L5" s="49"/>
      <c r="M5" s="50">
        <f>IFERROR(__xludf.DUMMYFUNCTION("IF(IFERROR(filter(targets_quant!$N:$N,(targets_quant!$B:$B=$A5)*(targets_quant!$J:$J=N$2)*(targets_quant!$N:$N=""zero_policy"")),"""")=""zero_policy"",1,0)"),0.0)</f>
        <v>0</v>
      </c>
      <c r="N5" s="27"/>
      <c r="O5" s="27"/>
      <c r="P5" s="50">
        <f>IFERROR(__xludf.DUMMYFUNCTION("IFERROR(min(filter(targets_quant!$P:$P,(targets_quant!$J:$J=$N$2)*(targets_quant!$B:$B=$A5)*(targets_quant!$N:$N=$O$2))),0)"),0.0)</f>
        <v>0</v>
      </c>
      <c r="Q5" s="27"/>
      <c r="R5" s="27"/>
      <c r="S5" s="30">
        <f t="shared" si="4"/>
        <v>0</v>
      </c>
      <c r="T5" s="30">
        <f t="shared" si="5"/>
        <v>0</v>
      </c>
      <c r="U5" s="30">
        <f t="shared" si="6"/>
        <v>0</v>
      </c>
      <c r="V5" s="49"/>
      <c r="W5" s="40">
        <f t="shared" si="7"/>
        <v>0</v>
      </c>
      <c r="X5" s="26"/>
      <c r="Y5" s="26"/>
      <c r="Z5" s="26"/>
      <c r="AA5" s="26"/>
      <c r="AB5" s="26"/>
      <c r="AC5" s="26"/>
      <c r="AD5" s="26"/>
      <c r="AE5" s="26"/>
      <c r="AF5" s="26"/>
      <c r="AG5" s="26"/>
      <c r="AH5" s="26"/>
      <c r="AI5" s="26"/>
      <c r="AJ5" s="26"/>
      <c r="AK5" s="26"/>
      <c r="AL5" s="26"/>
    </row>
    <row r="6" ht="12.75" customHeight="1">
      <c r="A6" s="23">
        <f t="shared" si="8"/>
        <v>4</v>
      </c>
      <c r="B6" s="27"/>
      <c r="C6" s="50">
        <f>IFERROR(__xludf.DUMMYFUNCTION("IF(IFERROR(filter(targets_quant!$N:$N,(targets_quant!$B:$B=$A6)*(targets_quant!$J:$J=D$2)*(targets_quant!$N:$N=""zero_policy"")),"""")=""zero_policy"",1,0)"),0.0)</f>
        <v>0</v>
      </c>
      <c r="D6" s="27"/>
      <c r="E6" s="27"/>
      <c r="F6" s="50">
        <f>IFERROR(__xludf.DUMMYFUNCTION("iferror(min(filter(targets_quant!$P:$P,(targets_quant!$J:$J=$D$2)*(targets_quant!$B:$B=$A6)*(targets_quant!$N:$N=$E$2))),0)"),2025.0)</f>
        <v>2025</v>
      </c>
      <c r="G6" s="27"/>
      <c r="H6" s="27"/>
      <c r="I6" s="30">
        <f t="shared" si="1"/>
        <v>1</v>
      </c>
      <c r="J6" s="30">
        <f t="shared" si="2"/>
        <v>0.8333333333</v>
      </c>
      <c r="K6" s="30">
        <f t="shared" si="3"/>
        <v>0.04166666667</v>
      </c>
      <c r="L6" s="49"/>
      <c r="M6" s="50">
        <f>IFERROR(__xludf.DUMMYFUNCTION("IF(IFERROR(filter(targets_quant!$N:$N,(targets_quant!$B:$B=$A6)*(targets_quant!$J:$J=N$2)*(targets_quant!$N:$N=""zero_policy"")),"""")=""zero_policy"",1,0)"),0.0)</f>
        <v>0</v>
      </c>
      <c r="N6" s="27"/>
      <c r="O6" s="27"/>
      <c r="P6" s="50">
        <f>IFERROR(__xludf.DUMMYFUNCTION("IFERROR(min(filter(targets_quant!$P:$P,(targets_quant!$J:$J=$N$2)*(targets_quant!$B:$B=$A6)*(targets_quant!$N:$N=$O$2))),0)"),0.0)</f>
        <v>0</v>
      </c>
      <c r="Q6" s="27"/>
      <c r="R6" s="27"/>
      <c r="S6" s="30">
        <f t="shared" si="4"/>
        <v>0</v>
      </c>
      <c r="T6" s="30">
        <f t="shared" si="5"/>
        <v>0</v>
      </c>
      <c r="U6" s="30">
        <f t="shared" si="6"/>
        <v>0</v>
      </c>
      <c r="V6" s="49"/>
      <c r="W6" s="40">
        <f t="shared" si="7"/>
        <v>0.04166666667</v>
      </c>
      <c r="X6" s="26"/>
      <c r="Y6" s="26"/>
      <c r="Z6" s="26"/>
      <c r="AA6" s="26"/>
      <c r="AB6" s="26"/>
      <c r="AC6" s="26"/>
      <c r="AD6" s="26"/>
      <c r="AE6" s="26"/>
      <c r="AF6" s="26"/>
      <c r="AG6" s="26"/>
      <c r="AH6" s="26"/>
      <c r="AI6" s="26"/>
      <c r="AJ6" s="26"/>
      <c r="AK6" s="26"/>
      <c r="AL6" s="26"/>
    </row>
    <row r="7" ht="12.75" customHeight="1">
      <c r="A7" s="23">
        <f t="shared" si="8"/>
        <v>5</v>
      </c>
      <c r="B7" s="27"/>
      <c r="C7" s="50">
        <f>IFERROR(__xludf.DUMMYFUNCTION("IF(IFERROR(filter(targets_quant!$N:$N,(targets_quant!$B:$B=$A7)*(targets_quant!$J:$J=D$2)*(targets_quant!$N:$N=""zero_policy"")),"""")=""zero_policy"",1,0)"),0.0)</f>
        <v>0</v>
      </c>
      <c r="D7" s="27"/>
      <c r="E7" s="27"/>
      <c r="F7" s="50">
        <f>IFERROR(__xludf.DUMMYFUNCTION("iferror(min(filter(targets_quant!$P:$P,(targets_quant!$J:$J=$D$2)*(targets_quant!$B:$B=$A7)*(targets_quant!$N:$N=$E$2))),0)"),2050.0)</f>
        <v>2050</v>
      </c>
      <c r="G7" s="27"/>
      <c r="H7" s="27"/>
      <c r="I7" s="30">
        <f t="shared" si="1"/>
        <v>1</v>
      </c>
      <c r="J7" s="30">
        <f t="shared" si="2"/>
        <v>0</v>
      </c>
      <c r="K7" s="30">
        <f t="shared" si="3"/>
        <v>0</v>
      </c>
      <c r="L7" s="49"/>
      <c r="M7" s="50">
        <f>IFERROR(__xludf.DUMMYFUNCTION("IF(IFERROR(filter(targets_quant!$N:$N,(targets_quant!$B:$B=$A7)*(targets_quant!$J:$J=N$2)*(targets_quant!$N:$N=""zero_policy"")),"""")=""zero_policy"",1,0)"),0.0)</f>
        <v>0</v>
      </c>
      <c r="N7" s="27"/>
      <c r="O7" s="27"/>
      <c r="P7" s="50">
        <f>IFERROR(__xludf.DUMMYFUNCTION("IFERROR(min(filter(targets_quant!$P:$P,(targets_quant!$J:$J=$N$2)*(targets_quant!$B:$B=$A7)*(targets_quant!$N:$N=$O$2))),0)"),0.0)</f>
        <v>0</v>
      </c>
      <c r="Q7" s="27"/>
      <c r="R7" s="27"/>
      <c r="S7" s="30">
        <f t="shared" si="4"/>
        <v>0</v>
      </c>
      <c r="T7" s="30">
        <f t="shared" si="5"/>
        <v>0</v>
      </c>
      <c r="U7" s="30">
        <f t="shared" si="6"/>
        <v>0</v>
      </c>
      <c r="V7" s="49"/>
      <c r="W7" s="40">
        <f t="shared" si="7"/>
        <v>0</v>
      </c>
      <c r="X7" s="26"/>
      <c r="Y7" s="26"/>
      <c r="Z7" s="26"/>
      <c r="AA7" s="26"/>
      <c r="AB7" s="26"/>
      <c r="AC7" s="26"/>
      <c r="AD7" s="26"/>
      <c r="AE7" s="26"/>
      <c r="AF7" s="26"/>
      <c r="AG7" s="26"/>
      <c r="AH7" s="26"/>
      <c r="AI7" s="26"/>
      <c r="AJ7" s="26"/>
      <c r="AK7" s="26"/>
      <c r="AL7" s="26"/>
    </row>
    <row r="8" ht="12.75" customHeight="1">
      <c r="A8" s="23">
        <f t="shared" si="8"/>
        <v>6</v>
      </c>
      <c r="B8" s="27"/>
      <c r="C8" s="50">
        <f>IFERROR(__xludf.DUMMYFUNCTION("IF(IFERROR(filter(targets_quant!$N:$N,(targets_quant!$B:$B=$A8)*(targets_quant!$J:$J=D$2)*(targets_quant!$N:$N=""zero_policy"")),"""")=""zero_policy"",1,0)"),0.0)</f>
        <v>0</v>
      </c>
      <c r="D8" s="27"/>
      <c r="E8" s="27"/>
      <c r="F8" s="50">
        <f>IFERROR(__xludf.DUMMYFUNCTION("iferror(min(filter(targets_quant!$P:$P,(targets_quant!$J:$J=$D$2)*(targets_quant!$B:$B=$A8)*(targets_quant!$N:$N=$E$2))),0)"),0.0)</f>
        <v>0</v>
      </c>
      <c r="G8" s="27"/>
      <c r="H8" s="27"/>
      <c r="I8" s="30">
        <f t="shared" si="1"/>
        <v>0</v>
      </c>
      <c r="J8" s="30">
        <f t="shared" si="2"/>
        <v>0</v>
      </c>
      <c r="K8" s="30">
        <f t="shared" si="3"/>
        <v>0</v>
      </c>
      <c r="L8" s="49"/>
      <c r="M8" s="50">
        <f>IFERROR(__xludf.DUMMYFUNCTION("IF(IFERROR(filter(targets_quant!$N:$N,(targets_quant!$B:$B=$A8)*(targets_quant!$J:$J=N$2)*(targets_quant!$N:$N=""zero_policy"")),"""")=""zero_policy"",1,0)"),0.0)</f>
        <v>0</v>
      </c>
      <c r="N8" s="27"/>
      <c r="O8" s="27"/>
      <c r="P8" s="50">
        <f>IFERROR(__xludf.DUMMYFUNCTION("IFERROR(min(filter(targets_quant!$P:$P,(targets_quant!$J:$J=$N$2)*(targets_quant!$B:$B=$A8)*(targets_quant!$N:$N=$O$2))),0)"),0.0)</f>
        <v>0</v>
      </c>
      <c r="Q8" s="27"/>
      <c r="R8" s="27"/>
      <c r="S8" s="30">
        <f t="shared" si="4"/>
        <v>0</v>
      </c>
      <c r="T8" s="30">
        <f t="shared" si="5"/>
        <v>0</v>
      </c>
      <c r="U8" s="30">
        <f t="shared" si="6"/>
        <v>0</v>
      </c>
      <c r="V8" s="49"/>
      <c r="W8" s="40">
        <f t="shared" si="7"/>
        <v>0</v>
      </c>
      <c r="X8" s="26"/>
      <c r="Y8" s="26"/>
      <c r="Z8" s="26"/>
      <c r="AA8" s="26"/>
      <c r="AB8" s="26"/>
      <c r="AC8" s="26"/>
      <c r="AD8" s="26"/>
      <c r="AE8" s="26"/>
      <c r="AF8" s="26"/>
      <c r="AG8" s="26"/>
      <c r="AH8" s="26"/>
      <c r="AI8" s="26"/>
      <c r="AJ8" s="26"/>
      <c r="AK8" s="26"/>
      <c r="AL8" s="26"/>
    </row>
    <row r="9" ht="12.75" customHeight="1">
      <c r="A9" s="23">
        <f t="shared" si="8"/>
        <v>7</v>
      </c>
      <c r="B9" s="27"/>
      <c r="C9" s="50">
        <f>IFERROR(__xludf.DUMMYFUNCTION("IF(IFERROR(filter(targets_quant!$N:$N,(targets_quant!$B:$B=$A9)*(targets_quant!$J:$J=D$2)*(targets_quant!$N:$N=""zero_policy"")),"""")=""zero_policy"",1,0)"),1.0)</f>
        <v>1</v>
      </c>
      <c r="D9" s="27"/>
      <c r="E9" s="27"/>
      <c r="F9" s="50">
        <f>IFERROR(__xludf.DUMMYFUNCTION("iferror(min(filter(targets_quant!$P:$P,(targets_quant!$J:$J=$D$2)*(targets_quant!$B:$B=$A9)*(targets_quant!$N:$N=$E$2))),0)"),0.0)</f>
        <v>0</v>
      </c>
      <c r="G9" s="27"/>
      <c r="H9" s="27"/>
      <c r="I9" s="30">
        <f t="shared" si="1"/>
        <v>0</v>
      </c>
      <c r="J9" s="30">
        <f t="shared" si="2"/>
        <v>1</v>
      </c>
      <c r="K9" s="30">
        <f t="shared" si="3"/>
        <v>0.05</v>
      </c>
      <c r="L9" s="49"/>
      <c r="M9" s="50">
        <f>IFERROR(__xludf.DUMMYFUNCTION("IF(IFERROR(filter(targets_quant!$N:$N,(targets_quant!$B:$B=$A9)*(targets_quant!$J:$J=N$2)*(targets_quant!$N:$N=""zero_policy"")),"""")=""zero_policy"",1,0)"),0.0)</f>
        <v>0</v>
      </c>
      <c r="N9" s="27"/>
      <c r="O9" s="27"/>
      <c r="P9" s="50">
        <f>IFERROR(__xludf.DUMMYFUNCTION("IFERROR(min(filter(targets_quant!$P:$P,(targets_quant!$J:$J=$N$2)*(targets_quant!$B:$B=$A9)*(targets_quant!$N:$N=$O$2))),0)"),0.0)</f>
        <v>0</v>
      </c>
      <c r="Q9" s="27"/>
      <c r="R9" s="27"/>
      <c r="S9" s="30">
        <f t="shared" si="4"/>
        <v>0</v>
      </c>
      <c r="T9" s="30">
        <f t="shared" si="5"/>
        <v>0</v>
      </c>
      <c r="U9" s="30">
        <f t="shared" si="6"/>
        <v>0</v>
      </c>
      <c r="V9" s="49"/>
      <c r="W9" s="40">
        <f t="shared" si="7"/>
        <v>0.05</v>
      </c>
      <c r="X9" s="26"/>
      <c r="Y9" s="26"/>
      <c r="Z9" s="26"/>
      <c r="AA9" s="26"/>
      <c r="AB9" s="26"/>
      <c r="AC9" s="26"/>
      <c r="AD9" s="26"/>
      <c r="AE9" s="26"/>
      <c r="AF9" s="26"/>
      <c r="AG9" s="26"/>
      <c r="AH9" s="26"/>
      <c r="AI9" s="26"/>
      <c r="AJ9" s="26"/>
      <c r="AK9" s="26"/>
      <c r="AL9" s="26"/>
    </row>
    <row r="10" ht="12.75" customHeight="1">
      <c r="A10" s="23">
        <f t="shared" si="8"/>
        <v>8</v>
      </c>
      <c r="B10" s="27"/>
      <c r="C10" s="50">
        <f>IFERROR(__xludf.DUMMYFUNCTION("IF(IFERROR(filter(targets_quant!$N:$N,(targets_quant!$B:$B=$A10)*(targets_quant!$J:$J=D$2)*(targets_quant!$N:$N=""zero_policy"")),"""")=""zero_policy"",1,0)"),0.0)</f>
        <v>0</v>
      </c>
      <c r="D10" s="27"/>
      <c r="E10" s="27"/>
      <c r="F10" s="50">
        <f>IFERROR(__xludf.DUMMYFUNCTION("iferror(min(filter(targets_quant!$P:$P,(targets_quant!$J:$J=$D$2)*(targets_quant!$B:$B=$A10)*(targets_quant!$N:$N=$E$2))),0)"),0.0)</f>
        <v>0</v>
      </c>
      <c r="G10" s="27"/>
      <c r="H10" s="27"/>
      <c r="I10" s="30">
        <f t="shared" si="1"/>
        <v>0</v>
      </c>
      <c r="J10" s="30">
        <f t="shared" si="2"/>
        <v>0</v>
      </c>
      <c r="K10" s="30">
        <f t="shared" si="3"/>
        <v>0</v>
      </c>
      <c r="L10" s="49"/>
      <c r="M10" s="50">
        <f>IFERROR(__xludf.DUMMYFUNCTION("IF(IFERROR(filter(targets_quant!$N:$N,(targets_quant!$B:$B=$A10)*(targets_quant!$J:$J=N$2)*(targets_quant!$N:$N=""zero_policy"")),"""")=""zero_policy"",1,0)"),0.0)</f>
        <v>0</v>
      </c>
      <c r="N10" s="27"/>
      <c r="O10" s="27"/>
      <c r="P10" s="50">
        <f>IFERROR(__xludf.DUMMYFUNCTION("IFERROR(min(filter(targets_quant!$P:$P,(targets_quant!$J:$J=$N$2)*(targets_quant!$B:$B=$A10)*(targets_quant!$N:$N=$O$2))),0)"),0.0)</f>
        <v>0</v>
      </c>
      <c r="Q10" s="27"/>
      <c r="R10" s="27"/>
      <c r="S10" s="30">
        <f t="shared" si="4"/>
        <v>0</v>
      </c>
      <c r="T10" s="30">
        <f t="shared" si="5"/>
        <v>0</v>
      </c>
      <c r="U10" s="30">
        <f t="shared" si="6"/>
        <v>0</v>
      </c>
      <c r="V10" s="49"/>
      <c r="W10" s="40">
        <f t="shared" si="7"/>
        <v>0</v>
      </c>
      <c r="X10" s="26"/>
      <c r="Y10" s="26"/>
      <c r="Z10" s="26"/>
      <c r="AA10" s="26"/>
      <c r="AB10" s="26"/>
      <c r="AC10" s="26"/>
      <c r="AD10" s="26"/>
      <c r="AE10" s="26"/>
      <c r="AF10" s="26"/>
      <c r="AG10" s="26"/>
      <c r="AH10" s="26"/>
      <c r="AI10" s="26"/>
      <c r="AJ10" s="26"/>
      <c r="AK10" s="26"/>
      <c r="AL10" s="26"/>
    </row>
    <row r="11" ht="12.75" customHeight="1">
      <c r="A11" s="23">
        <f t="shared" si="8"/>
        <v>9</v>
      </c>
      <c r="B11" s="27"/>
      <c r="C11" s="50">
        <f>IFERROR(__xludf.DUMMYFUNCTION("IF(IFERROR(filter(targets_quant!$N:$N,(targets_quant!$B:$B=$A11)*(targets_quant!$J:$J=D$2)*(targets_quant!$N:$N=""zero_policy"")),"""")=""zero_policy"",1,0)"),1.0)</f>
        <v>1</v>
      </c>
      <c r="D11" s="27"/>
      <c r="E11" s="27"/>
      <c r="F11" s="50">
        <f>IFERROR(__xludf.DUMMYFUNCTION("iferror(min(filter(targets_quant!$P:$P,(targets_quant!$J:$J=$D$2)*(targets_quant!$B:$B=$A11)*(targets_quant!$N:$N=$E$2))),0)"),0.0)</f>
        <v>0</v>
      </c>
      <c r="G11" s="27"/>
      <c r="H11" s="27"/>
      <c r="I11" s="30">
        <f t="shared" si="1"/>
        <v>0</v>
      </c>
      <c r="J11" s="30">
        <f t="shared" si="2"/>
        <v>1</v>
      </c>
      <c r="K11" s="30">
        <f t="shared" si="3"/>
        <v>0.05</v>
      </c>
      <c r="L11" s="49"/>
      <c r="M11" s="50">
        <f>IFERROR(__xludf.DUMMYFUNCTION("IF(IFERROR(filter(targets_quant!$N:$N,(targets_quant!$B:$B=$A11)*(targets_quant!$J:$J=N$2)*(targets_quant!$N:$N=""zero_policy"")),"""")=""zero_policy"",1,0)"),0.0)</f>
        <v>0</v>
      </c>
      <c r="N11" s="27"/>
      <c r="O11" s="27"/>
      <c r="P11" s="50">
        <f>IFERROR(__xludf.DUMMYFUNCTION("IFERROR(min(filter(targets_quant!$P:$P,(targets_quant!$J:$J=$N$2)*(targets_quant!$B:$B=$A11)*(targets_quant!$N:$N=$O$2))),0)"),2040.0)</f>
        <v>2040</v>
      </c>
      <c r="Q11" s="27"/>
      <c r="R11" s="27"/>
      <c r="S11" s="30">
        <f t="shared" si="4"/>
        <v>1</v>
      </c>
      <c r="T11" s="30">
        <f t="shared" si="5"/>
        <v>0.3333333333</v>
      </c>
      <c r="U11" s="30">
        <f t="shared" si="6"/>
        <v>0.01666666667</v>
      </c>
      <c r="V11" s="49"/>
      <c r="W11" s="40">
        <f t="shared" si="7"/>
        <v>0.06666666667</v>
      </c>
      <c r="X11" s="26"/>
      <c r="Y11" s="26"/>
      <c r="Z11" s="26"/>
      <c r="AA11" s="26"/>
      <c r="AB11" s="26"/>
      <c r="AC11" s="26"/>
      <c r="AD11" s="26"/>
      <c r="AE11" s="26"/>
      <c r="AF11" s="26"/>
      <c r="AG11" s="26"/>
      <c r="AH11" s="26"/>
      <c r="AI11" s="26"/>
      <c r="AJ11" s="26"/>
      <c r="AK11" s="26"/>
      <c r="AL11" s="26"/>
    </row>
    <row r="12" ht="12.75" customHeight="1">
      <c r="A12" s="23">
        <f t="shared" si="8"/>
        <v>10</v>
      </c>
      <c r="B12" s="27"/>
      <c r="C12" s="50">
        <f>IFERROR(__xludf.DUMMYFUNCTION("IF(IFERROR(filter(targets_quant!$N:$N,(targets_quant!$B:$B=$A12)*(targets_quant!$J:$J=D$2)*(targets_quant!$N:$N=""zero_policy"")),"""")=""zero_policy"",1,0)"),0.0)</f>
        <v>0</v>
      </c>
      <c r="D12" s="27"/>
      <c r="E12" s="27"/>
      <c r="F12" s="50">
        <f>IFERROR(__xludf.DUMMYFUNCTION("iferror(min(filter(targets_quant!$P:$P,(targets_quant!$J:$J=$D$2)*(targets_quant!$B:$B=$A12)*(targets_quant!$N:$N=$E$2))),0)"),0.0)</f>
        <v>0</v>
      </c>
      <c r="G12" s="27"/>
      <c r="H12" s="27"/>
      <c r="I12" s="30">
        <f t="shared" si="1"/>
        <v>0</v>
      </c>
      <c r="J12" s="30">
        <f t="shared" si="2"/>
        <v>0</v>
      </c>
      <c r="K12" s="30">
        <f t="shared" si="3"/>
        <v>0</v>
      </c>
      <c r="L12" s="49"/>
      <c r="M12" s="50">
        <f>IFERROR(__xludf.DUMMYFUNCTION("IF(IFERROR(filter(targets_quant!$N:$N,(targets_quant!$B:$B=$A12)*(targets_quant!$J:$J=N$2)*(targets_quant!$N:$N=""zero_policy"")),"""")=""zero_policy"",1,0)"),0.0)</f>
        <v>0</v>
      </c>
      <c r="N12" s="27"/>
      <c r="O12" s="27"/>
      <c r="P12" s="50">
        <f>IFERROR(__xludf.DUMMYFUNCTION("IFERROR(min(filter(targets_quant!$P:$P,(targets_quant!$J:$J=$N$2)*(targets_quant!$B:$B=$A12)*(targets_quant!$N:$N=$O$2))),0)"),0.0)</f>
        <v>0</v>
      </c>
      <c r="Q12" s="27"/>
      <c r="R12" s="27"/>
      <c r="S12" s="30">
        <f t="shared" si="4"/>
        <v>0</v>
      </c>
      <c r="T12" s="30">
        <f t="shared" si="5"/>
        <v>0</v>
      </c>
      <c r="U12" s="30">
        <f t="shared" si="6"/>
        <v>0</v>
      </c>
      <c r="V12" s="49"/>
      <c r="W12" s="40">
        <f t="shared" si="7"/>
        <v>0</v>
      </c>
      <c r="X12" s="26"/>
      <c r="Y12" s="26"/>
      <c r="Z12" s="26"/>
      <c r="AA12" s="26"/>
      <c r="AB12" s="26"/>
      <c r="AC12" s="26"/>
      <c r="AD12" s="26"/>
      <c r="AE12" s="26"/>
      <c r="AF12" s="26"/>
      <c r="AG12" s="26"/>
      <c r="AH12" s="26"/>
      <c r="AI12" s="26"/>
      <c r="AJ12" s="26"/>
      <c r="AK12" s="26"/>
      <c r="AL12" s="26"/>
    </row>
    <row r="13" ht="12.75" customHeight="1">
      <c r="A13" s="23">
        <f t="shared" si="8"/>
        <v>11</v>
      </c>
      <c r="B13" s="27"/>
      <c r="C13" s="50">
        <f>IFERROR(__xludf.DUMMYFUNCTION("IF(IFERROR(filter(targets_quant!$N:$N,(targets_quant!$B:$B=$A13)*(targets_quant!$J:$J=D$2)*(targets_quant!$N:$N=""zero_policy"")),"""")=""zero_policy"",1,0)"),0.0)</f>
        <v>0</v>
      </c>
      <c r="D13" s="27"/>
      <c r="E13" s="27"/>
      <c r="F13" s="50">
        <f>IFERROR(__xludf.DUMMYFUNCTION("iferror(min(filter(targets_quant!$P:$P,(targets_quant!$J:$J=$D$2)*(targets_quant!$B:$B=$A13)*(targets_quant!$N:$N=$E$2))),0)"),0.0)</f>
        <v>0</v>
      </c>
      <c r="G13" s="27"/>
      <c r="H13" s="27"/>
      <c r="I13" s="30">
        <f t="shared" si="1"/>
        <v>0</v>
      </c>
      <c r="J13" s="30">
        <f t="shared" si="2"/>
        <v>0</v>
      </c>
      <c r="K13" s="30">
        <f t="shared" si="3"/>
        <v>0</v>
      </c>
      <c r="L13" s="49"/>
      <c r="M13" s="50">
        <f>IFERROR(__xludf.DUMMYFUNCTION("IF(IFERROR(filter(targets_quant!$N:$N,(targets_quant!$B:$B=$A13)*(targets_quant!$J:$J=N$2)*(targets_quant!$N:$N=""zero_policy"")),"""")=""zero_policy"",1,0)"),0.0)</f>
        <v>0</v>
      </c>
      <c r="N13" s="27"/>
      <c r="O13" s="27"/>
      <c r="P13" s="50">
        <f>IFERROR(__xludf.DUMMYFUNCTION("IFERROR(min(filter(targets_quant!$P:$P,(targets_quant!$J:$J=$N$2)*(targets_quant!$B:$B=$A13)*(targets_quant!$N:$N=$O$2))),0)"),0.0)</f>
        <v>0</v>
      </c>
      <c r="Q13" s="27"/>
      <c r="R13" s="27"/>
      <c r="S13" s="30">
        <f t="shared" si="4"/>
        <v>0</v>
      </c>
      <c r="T13" s="30">
        <f t="shared" si="5"/>
        <v>0</v>
      </c>
      <c r="U13" s="30">
        <f t="shared" si="6"/>
        <v>0</v>
      </c>
      <c r="V13" s="49"/>
      <c r="W13" s="40">
        <f t="shared" si="7"/>
        <v>0</v>
      </c>
      <c r="X13" s="26"/>
      <c r="Y13" s="26"/>
      <c r="Z13" s="26"/>
      <c r="AA13" s="26"/>
      <c r="AB13" s="26"/>
      <c r="AC13" s="26"/>
      <c r="AD13" s="26"/>
      <c r="AE13" s="26"/>
      <c r="AF13" s="26"/>
      <c r="AG13" s="26"/>
      <c r="AH13" s="26"/>
      <c r="AI13" s="26"/>
      <c r="AJ13" s="26"/>
      <c r="AK13" s="26"/>
      <c r="AL13" s="26"/>
    </row>
    <row r="14" ht="12.75" customHeight="1">
      <c r="A14" s="23">
        <f t="shared" si="8"/>
        <v>12</v>
      </c>
      <c r="B14" s="27"/>
      <c r="C14" s="50">
        <f>IFERROR(__xludf.DUMMYFUNCTION("IF(IFERROR(filter(targets_quant!$N:$N,(targets_quant!$B:$B=$A14)*(targets_quant!$J:$J=D$2)*(targets_quant!$N:$N=""zero_policy"")),"""")=""zero_policy"",1,0)"),0.0)</f>
        <v>0</v>
      </c>
      <c r="D14" s="27"/>
      <c r="E14" s="27"/>
      <c r="F14" s="50">
        <f>IFERROR(__xludf.DUMMYFUNCTION("iferror(min(filter(targets_quant!$P:$P,(targets_quant!$J:$J=$D$2)*(targets_quant!$B:$B=$A14)*(targets_quant!$N:$N=$E$2))),0)"),0.0)</f>
        <v>0</v>
      </c>
      <c r="G14" s="27"/>
      <c r="H14" s="27"/>
      <c r="I14" s="30">
        <f t="shared" si="1"/>
        <v>0</v>
      </c>
      <c r="J14" s="30">
        <f t="shared" si="2"/>
        <v>0</v>
      </c>
      <c r="K14" s="30">
        <f t="shared" si="3"/>
        <v>0</v>
      </c>
      <c r="L14" s="49"/>
      <c r="M14" s="50">
        <f>IFERROR(__xludf.DUMMYFUNCTION("IF(IFERROR(filter(targets_quant!$N:$N,(targets_quant!$B:$B=$A14)*(targets_quant!$J:$J=N$2)*(targets_quant!$N:$N=""zero_policy"")),"""")=""zero_policy"",1,0)"),0.0)</f>
        <v>0</v>
      </c>
      <c r="N14" s="27"/>
      <c r="O14" s="27"/>
      <c r="P14" s="50">
        <f>IFERROR(__xludf.DUMMYFUNCTION("IFERROR(min(filter(targets_quant!$P:$P,(targets_quant!$J:$J=$N$2)*(targets_quant!$B:$B=$A14)*(targets_quant!$N:$N=$O$2))),0)"),0.0)</f>
        <v>0</v>
      </c>
      <c r="Q14" s="27"/>
      <c r="R14" s="27"/>
      <c r="S14" s="30">
        <f t="shared" si="4"/>
        <v>0</v>
      </c>
      <c r="T14" s="30">
        <f t="shared" si="5"/>
        <v>0</v>
      </c>
      <c r="U14" s="30">
        <f t="shared" si="6"/>
        <v>0</v>
      </c>
      <c r="V14" s="49"/>
      <c r="W14" s="40">
        <f t="shared" si="7"/>
        <v>0</v>
      </c>
      <c r="X14" s="26"/>
      <c r="Y14" s="26"/>
      <c r="Z14" s="26"/>
      <c r="AA14" s="26"/>
      <c r="AB14" s="26"/>
      <c r="AC14" s="26"/>
      <c r="AD14" s="26"/>
      <c r="AE14" s="26"/>
      <c r="AF14" s="26"/>
      <c r="AG14" s="26"/>
      <c r="AH14" s="26"/>
      <c r="AI14" s="26"/>
      <c r="AJ14" s="26"/>
      <c r="AK14" s="26"/>
      <c r="AL14" s="26"/>
    </row>
    <row r="15" ht="12.75" customHeight="1">
      <c r="A15" s="23">
        <f t="shared" si="8"/>
        <v>13</v>
      </c>
      <c r="B15" s="27"/>
      <c r="C15" s="50">
        <f>IFERROR(__xludf.DUMMYFUNCTION("IF(IFERROR(filter(targets_quant!$N:$N,(targets_quant!$B:$B=$A15)*(targets_quant!$J:$J=D$2)*(targets_quant!$N:$N=""zero_policy"")),"""")=""zero_policy"",1,0)"),0.0)</f>
        <v>0</v>
      </c>
      <c r="D15" s="27"/>
      <c r="E15" s="27"/>
      <c r="F15" s="50">
        <f>IFERROR(__xludf.DUMMYFUNCTION("iferror(min(filter(targets_quant!$P:$P,(targets_quant!$J:$J=$D$2)*(targets_quant!$B:$B=$A15)*(targets_quant!$N:$N=$E$2))),0)"),2027.0)</f>
        <v>2027</v>
      </c>
      <c r="G15" s="27"/>
      <c r="H15" s="27"/>
      <c r="I15" s="30">
        <f t="shared" si="1"/>
        <v>1</v>
      </c>
      <c r="J15" s="30">
        <f t="shared" si="2"/>
        <v>0.7666666667</v>
      </c>
      <c r="K15" s="30">
        <f t="shared" si="3"/>
        <v>0.03833333333</v>
      </c>
      <c r="L15" s="49"/>
      <c r="M15" s="50">
        <f>IFERROR(__xludf.DUMMYFUNCTION("IF(IFERROR(filter(targets_quant!$N:$N,(targets_quant!$B:$B=$A15)*(targets_quant!$J:$J=N$2)*(targets_quant!$N:$N=""zero_policy"")),"""")=""zero_policy"",1,0)"),0.0)</f>
        <v>0</v>
      </c>
      <c r="N15" s="27"/>
      <c r="O15" s="27"/>
      <c r="P15" s="50">
        <f>IFERROR(__xludf.DUMMYFUNCTION("IFERROR(min(filter(targets_quant!$P:$P,(targets_quant!$J:$J=$N$2)*(targets_quant!$B:$B=$A15)*(targets_quant!$N:$N=$O$2))),0)"),0.0)</f>
        <v>0</v>
      </c>
      <c r="Q15" s="27"/>
      <c r="R15" s="27"/>
      <c r="S15" s="30">
        <f t="shared" si="4"/>
        <v>0</v>
      </c>
      <c r="T15" s="30">
        <f t="shared" si="5"/>
        <v>0</v>
      </c>
      <c r="U15" s="30">
        <f t="shared" si="6"/>
        <v>0</v>
      </c>
      <c r="V15" s="49"/>
      <c r="W15" s="40">
        <f t="shared" si="7"/>
        <v>0.03833333333</v>
      </c>
      <c r="X15" s="26"/>
      <c r="Y15" s="26"/>
      <c r="Z15" s="26"/>
      <c r="AA15" s="26"/>
      <c r="AB15" s="26"/>
      <c r="AC15" s="26"/>
      <c r="AD15" s="26"/>
      <c r="AE15" s="26"/>
      <c r="AF15" s="26"/>
      <c r="AG15" s="26"/>
      <c r="AH15" s="26"/>
      <c r="AI15" s="26"/>
      <c r="AJ15" s="26"/>
      <c r="AK15" s="26"/>
      <c r="AL15" s="26"/>
    </row>
    <row r="16" ht="12.75" customHeight="1">
      <c r="A16" s="23">
        <f t="shared" si="8"/>
        <v>14</v>
      </c>
      <c r="B16" s="27"/>
      <c r="C16" s="50">
        <f>IFERROR(__xludf.DUMMYFUNCTION("IF(IFERROR(filter(targets_quant!$N:$N,(targets_quant!$B:$B=$A16)*(targets_quant!$J:$J=D$2)*(targets_quant!$N:$N=""zero_policy"")),"""")=""zero_policy"",1,0)"),0.0)</f>
        <v>0</v>
      </c>
      <c r="D16" s="27"/>
      <c r="E16" s="27"/>
      <c r="F16" s="50">
        <f>IFERROR(__xludf.DUMMYFUNCTION("iferror(min(filter(targets_quant!$P:$P,(targets_quant!$J:$J=$D$2)*(targets_quant!$B:$B=$A16)*(targets_quant!$N:$N=$E$2))),0)"),0.0)</f>
        <v>0</v>
      </c>
      <c r="G16" s="27"/>
      <c r="H16" s="27"/>
      <c r="I16" s="30">
        <f t="shared" si="1"/>
        <v>0</v>
      </c>
      <c r="J16" s="30">
        <f t="shared" si="2"/>
        <v>0</v>
      </c>
      <c r="K16" s="30">
        <f t="shared" si="3"/>
        <v>0</v>
      </c>
      <c r="L16" s="49"/>
      <c r="M16" s="50">
        <f>IFERROR(__xludf.DUMMYFUNCTION("IF(IFERROR(filter(targets_quant!$N:$N,(targets_quant!$B:$B=$A16)*(targets_quant!$J:$J=N$2)*(targets_quant!$N:$N=""zero_policy"")),"""")=""zero_policy"",1,0)"),0.0)</f>
        <v>0</v>
      </c>
      <c r="N16" s="27"/>
      <c r="O16" s="27"/>
      <c r="P16" s="50">
        <f>IFERROR(__xludf.DUMMYFUNCTION("IFERROR(min(filter(targets_quant!$P:$P,(targets_quant!$J:$J=$N$2)*(targets_quant!$B:$B=$A16)*(targets_quant!$N:$N=$O$2))),0)"),0.0)</f>
        <v>0</v>
      </c>
      <c r="Q16" s="27"/>
      <c r="R16" s="27"/>
      <c r="S16" s="30">
        <f t="shared" si="4"/>
        <v>0</v>
      </c>
      <c r="T16" s="30">
        <f t="shared" si="5"/>
        <v>0</v>
      </c>
      <c r="U16" s="30">
        <f t="shared" si="6"/>
        <v>0</v>
      </c>
      <c r="V16" s="49"/>
      <c r="W16" s="40">
        <f t="shared" si="7"/>
        <v>0</v>
      </c>
      <c r="X16" s="26"/>
      <c r="Y16" s="26"/>
      <c r="Z16" s="26"/>
      <c r="AA16" s="26"/>
      <c r="AB16" s="26"/>
      <c r="AC16" s="26"/>
      <c r="AD16" s="26"/>
      <c r="AE16" s="26"/>
      <c r="AF16" s="26"/>
      <c r="AG16" s="26"/>
      <c r="AH16" s="26"/>
      <c r="AI16" s="26"/>
      <c r="AJ16" s="26"/>
      <c r="AK16" s="26"/>
      <c r="AL16" s="26"/>
    </row>
    <row r="17" ht="12.75" customHeight="1">
      <c r="A17" s="23">
        <f t="shared" si="8"/>
        <v>15</v>
      </c>
      <c r="B17" s="27"/>
      <c r="C17" s="50">
        <f>IFERROR(__xludf.DUMMYFUNCTION("IF(IFERROR(filter(targets_quant!$N:$N,(targets_quant!$B:$B=$A17)*(targets_quant!$J:$J=D$2)*(targets_quant!$N:$N=""zero_policy"")),"""")=""zero_policy"",1,0)"),0.0)</f>
        <v>0</v>
      </c>
      <c r="D17" s="27"/>
      <c r="E17" s="27"/>
      <c r="F17" s="50">
        <f>IFERROR(__xludf.DUMMYFUNCTION("iferror(min(filter(targets_quant!$P:$P,(targets_quant!$J:$J=$D$2)*(targets_quant!$B:$B=$A17)*(targets_quant!$N:$N=$E$2))),0)"),2035.0)</f>
        <v>2035</v>
      </c>
      <c r="G17" s="27"/>
      <c r="H17" s="27"/>
      <c r="I17" s="30">
        <f t="shared" si="1"/>
        <v>1</v>
      </c>
      <c r="J17" s="30">
        <f t="shared" si="2"/>
        <v>0.5</v>
      </c>
      <c r="K17" s="30">
        <f t="shared" si="3"/>
        <v>0.025</v>
      </c>
      <c r="L17" s="49"/>
      <c r="M17" s="50">
        <f>IFERROR(__xludf.DUMMYFUNCTION("IF(IFERROR(filter(targets_quant!$N:$N,(targets_quant!$B:$B=$A17)*(targets_quant!$J:$J=N$2)*(targets_quant!$N:$N=""zero_policy"")),"""")=""zero_policy"",1,0)"),0.0)</f>
        <v>0</v>
      </c>
      <c r="N17" s="27"/>
      <c r="O17" s="27"/>
      <c r="P17" s="50">
        <f>IFERROR(__xludf.DUMMYFUNCTION("IFERROR(min(filter(targets_quant!$P:$P,(targets_quant!$J:$J=$N$2)*(targets_quant!$B:$B=$A17)*(targets_quant!$N:$N=$O$2))),0)"),0.0)</f>
        <v>0</v>
      </c>
      <c r="Q17" s="27"/>
      <c r="R17" s="27"/>
      <c r="S17" s="30">
        <f t="shared" si="4"/>
        <v>0</v>
      </c>
      <c r="T17" s="30">
        <f t="shared" si="5"/>
        <v>0</v>
      </c>
      <c r="U17" s="30">
        <f t="shared" si="6"/>
        <v>0</v>
      </c>
      <c r="V17" s="49"/>
      <c r="W17" s="40">
        <f t="shared" si="7"/>
        <v>0.025</v>
      </c>
      <c r="X17" s="26"/>
      <c r="Y17" s="26"/>
      <c r="Z17" s="26"/>
      <c r="AA17" s="26"/>
      <c r="AB17" s="26"/>
      <c r="AC17" s="26"/>
      <c r="AD17" s="26"/>
      <c r="AE17" s="26"/>
      <c r="AF17" s="26"/>
      <c r="AG17" s="26"/>
      <c r="AH17" s="26"/>
      <c r="AI17" s="26"/>
      <c r="AJ17" s="26"/>
      <c r="AK17" s="26"/>
      <c r="AL17" s="26"/>
    </row>
    <row r="18" ht="12.75" customHeight="1">
      <c r="A18" s="23">
        <f t="shared" si="8"/>
        <v>16</v>
      </c>
      <c r="B18" s="27"/>
      <c r="C18" s="50">
        <f>IFERROR(__xludf.DUMMYFUNCTION("IF(IFERROR(filter(targets_quant!$N:$N,(targets_quant!$B:$B=$A18)*(targets_quant!$J:$J=D$2)*(targets_quant!$N:$N=""zero_policy"")),"""")=""zero_policy"",1,0)"),0.0)</f>
        <v>0</v>
      </c>
      <c r="D18" s="27"/>
      <c r="E18" s="27"/>
      <c r="F18" s="50">
        <f>IFERROR(__xludf.DUMMYFUNCTION("iferror(min(filter(targets_quant!$P:$P,(targets_quant!$J:$J=$D$2)*(targets_quant!$B:$B=$A18)*(targets_quant!$N:$N=$E$2))),0)"),0.0)</f>
        <v>0</v>
      </c>
      <c r="G18" s="27"/>
      <c r="H18" s="27"/>
      <c r="I18" s="30">
        <f t="shared" si="1"/>
        <v>0</v>
      </c>
      <c r="J18" s="30">
        <f t="shared" si="2"/>
        <v>0</v>
      </c>
      <c r="K18" s="30">
        <f t="shared" si="3"/>
        <v>0</v>
      </c>
      <c r="L18" s="49"/>
      <c r="M18" s="50">
        <f>IFERROR(__xludf.DUMMYFUNCTION("IF(IFERROR(filter(targets_quant!$N:$N,(targets_quant!$B:$B=$A18)*(targets_quant!$J:$J=N$2)*(targets_quant!$N:$N=""zero_policy"")),"""")=""zero_policy"",1,0)"),0.0)</f>
        <v>0</v>
      </c>
      <c r="N18" s="27"/>
      <c r="O18" s="27"/>
      <c r="P18" s="50">
        <f>IFERROR(__xludf.DUMMYFUNCTION("IFERROR(min(filter(targets_quant!$P:$P,(targets_quant!$J:$J=$N$2)*(targets_quant!$B:$B=$A18)*(targets_quant!$N:$N=$O$2))),0)"),2050.0)</f>
        <v>2050</v>
      </c>
      <c r="Q18" s="27"/>
      <c r="R18" s="27"/>
      <c r="S18" s="30">
        <f t="shared" si="4"/>
        <v>1</v>
      </c>
      <c r="T18" s="30">
        <f t="shared" si="5"/>
        <v>0</v>
      </c>
      <c r="U18" s="30">
        <f t="shared" si="6"/>
        <v>0</v>
      </c>
      <c r="V18" s="49"/>
      <c r="W18" s="40">
        <f t="shared" si="7"/>
        <v>0</v>
      </c>
      <c r="X18" s="26"/>
      <c r="Y18" s="26"/>
      <c r="Z18" s="26"/>
      <c r="AA18" s="26"/>
      <c r="AB18" s="26"/>
      <c r="AC18" s="26"/>
      <c r="AD18" s="26"/>
      <c r="AE18" s="26"/>
      <c r="AF18" s="26"/>
      <c r="AG18" s="26"/>
      <c r="AH18" s="26"/>
      <c r="AI18" s="26"/>
      <c r="AJ18" s="26"/>
      <c r="AK18" s="26"/>
      <c r="AL18" s="26"/>
    </row>
    <row r="19" ht="12.75" customHeight="1">
      <c r="A19" s="23">
        <f t="shared" si="8"/>
        <v>17</v>
      </c>
      <c r="B19" s="27"/>
      <c r="C19" s="50">
        <f>IFERROR(__xludf.DUMMYFUNCTION("IF(IFERROR(filter(targets_quant!$N:$N,(targets_quant!$B:$B=$A19)*(targets_quant!$J:$J=D$2)*(targets_quant!$N:$N=""zero_policy"")),"""")=""zero_policy"",1,0)"),0.0)</f>
        <v>0</v>
      </c>
      <c r="D19" s="27"/>
      <c r="E19" s="27"/>
      <c r="F19" s="50">
        <f>IFERROR(__xludf.DUMMYFUNCTION("iferror(min(filter(targets_quant!$P:$P,(targets_quant!$J:$J=$D$2)*(targets_quant!$B:$B=$A19)*(targets_quant!$N:$N=$E$2))),0)"),0.0)</f>
        <v>0</v>
      </c>
      <c r="G19" s="27"/>
      <c r="H19" s="27"/>
      <c r="I19" s="30">
        <f t="shared" si="1"/>
        <v>0</v>
      </c>
      <c r="J19" s="30">
        <f t="shared" si="2"/>
        <v>0</v>
      </c>
      <c r="K19" s="30">
        <f t="shared" si="3"/>
        <v>0</v>
      </c>
      <c r="L19" s="49"/>
      <c r="M19" s="50">
        <f>IFERROR(__xludf.DUMMYFUNCTION("IF(IFERROR(filter(targets_quant!$N:$N,(targets_quant!$B:$B=$A19)*(targets_quant!$J:$J=N$2)*(targets_quant!$N:$N=""zero_policy"")),"""")=""zero_policy"",1,0)"),0.0)</f>
        <v>0</v>
      </c>
      <c r="N19" s="27"/>
      <c r="O19" s="27"/>
      <c r="P19" s="50">
        <f>IFERROR(__xludf.DUMMYFUNCTION("IFERROR(min(filter(targets_quant!$P:$P,(targets_quant!$J:$J=$N$2)*(targets_quant!$B:$B=$A19)*(targets_quant!$N:$N=$O$2))),0)"),0.0)</f>
        <v>0</v>
      </c>
      <c r="Q19" s="27"/>
      <c r="R19" s="27"/>
      <c r="S19" s="30">
        <f t="shared" si="4"/>
        <v>0</v>
      </c>
      <c r="T19" s="30">
        <f t="shared" si="5"/>
        <v>0</v>
      </c>
      <c r="U19" s="30">
        <f t="shared" si="6"/>
        <v>0</v>
      </c>
      <c r="V19" s="49"/>
      <c r="W19" s="40">
        <f t="shared" si="7"/>
        <v>0</v>
      </c>
      <c r="X19" s="26"/>
      <c r="Y19" s="26"/>
      <c r="Z19" s="26"/>
      <c r="AA19" s="26"/>
      <c r="AB19" s="26"/>
      <c r="AC19" s="26"/>
      <c r="AD19" s="26"/>
      <c r="AE19" s="26"/>
      <c r="AF19" s="26"/>
      <c r="AG19" s="26"/>
      <c r="AH19" s="26"/>
      <c r="AI19" s="26"/>
      <c r="AJ19" s="26"/>
      <c r="AK19" s="26"/>
      <c r="AL19" s="26"/>
    </row>
    <row r="20" ht="12.75" customHeight="1">
      <c r="A20" s="23">
        <f t="shared" si="8"/>
        <v>18</v>
      </c>
      <c r="B20" s="27"/>
      <c r="C20" s="50">
        <f>IFERROR(__xludf.DUMMYFUNCTION("IF(IFERROR(filter(targets_quant!$N:$N,(targets_quant!$B:$B=$A20)*(targets_quant!$J:$J=D$2)*(targets_quant!$N:$N=""zero_policy"")),"""")=""zero_policy"",1,0)"),1.0)</f>
        <v>1</v>
      </c>
      <c r="D20" s="27"/>
      <c r="E20" s="27"/>
      <c r="F20" s="50">
        <f>IFERROR(__xludf.DUMMYFUNCTION("iferror(min(filter(targets_quant!$P:$P,(targets_quant!$J:$J=$D$2)*(targets_quant!$B:$B=$A20)*(targets_quant!$N:$N=$E$2))),0)"),2040.0)</f>
        <v>2040</v>
      </c>
      <c r="G20" s="27"/>
      <c r="H20" s="27"/>
      <c r="I20" s="30">
        <f t="shared" si="1"/>
        <v>1</v>
      </c>
      <c r="J20" s="30">
        <f t="shared" si="2"/>
        <v>1.333333333</v>
      </c>
      <c r="K20" s="30">
        <f t="shared" si="3"/>
        <v>0.06666666667</v>
      </c>
      <c r="L20" s="49"/>
      <c r="M20" s="50">
        <f>IFERROR(__xludf.DUMMYFUNCTION("IF(IFERROR(filter(targets_quant!$N:$N,(targets_quant!$B:$B=$A20)*(targets_quant!$J:$J=N$2)*(targets_quant!$N:$N=""zero_policy"")),"""")=""zero_policy"",1,0)"),0.0)</f>
        <v>0</v>
      </c>
      <c r="N20" s="27"/>
      <c r="O20" s="27"/>
      <c r="P20" s="50">
        <f>IFERROR(__xludf.DUMMYFUNCTION("IFERROR(min(filter(targets_quant!$P:$P,(targets_quant!$J:$J=$N$2)*(targets_quant!$B:$B=$A20)*(targets_quant!$N:$N=$O$2))),0)"),2050.0)</f>
        <v>2050</v>
      </c>
      <c r="Q20" s="27"/>
      <c r="R20" s="27"/>
      <c r="S20" s="30">
        <f t="shared" si="4"/>
        <v>1</v>
      </c>
      <c r="T20" s="30">
        <f t="shared" si="5"/>
        <v>0</v>
      </c>
      <c r="U20" s="30">
        <f t="shared" si="6"/>
        <v>0</v>
      </c>
      <c r="V20" s="49"/>
      <c r="W20" s="40">
        <f t="shared" si="7"/>
        <v>0.06666666667</v>
      </c>
      <c r="X20" s="26"/>
      <c r="Y20" s="26"/>
      <c r="Z20" s="26"/>
      <c r="AA20" s="26"/>
      <c r="AB20" s="26"/>
      <c r="AC20" s="26"/>
      <c r="AD20" s="26"/>
      <c r="AE20" s="26"/>
      <c r="AF20" s="26"/>
      <c r="AG20" s="26"/>
      <c r="AH20" s="26"/>
      <c r="AI20" s="26"/>
      <c r="AJ20" s="26"/>
      <c r="AK20" s="26"/>
      <c r="AL20" s="26"/>
    </row>
    <row r="21" ht="12.75" customHeight="1">
      <c r="A21" s="23">
        <f t="shared" si="8"/>
        <v>19</v>
      </c>
      <c r="B21" s="27"/>
      <c r="C21" s="50">
        <f>IFERROR(__xludf.DUMMYFUNCTION("IF(IFERROR(filter(targets_quant!$N:$N,(targets_quant!$B:$B=$A21)*(targets_quant!$J:$J=D$2)*(targets_quant!$N:$N=""zero_policy"")),"""")=""zero_policy"",1,0)"),0.0)</f>
        <v>0</v>
      </c>
      <c r="D21" s="27"/>
      <c r="E21" s="27"/>
      <c r="F21" s="50">
        <f>IFERROR(__xludf.DUMMYFUNCTION("iferror(min(filter(targets_quant!$P:$P,(targets_quant!$J:$J=$D$2)*(targets_quant!$B:$B=$A21)*(targets_quant!$N:$N=$E$2))),0)"),0.0)</f>
        <v>0</v>
      </c>
      <c r="G21" s="27"/>
      <c r="H21" s="27"/>
      <c r="I21" s="30">
        <f t="shared" si="1"/>
        <v>0</v>
      </c>
      <c r="J21" s="30">
        <f t="shared" si="2"/>
        <v>0</v>
      </c>
      <c r="K21" s="30">
        <f t="shared" si="3"/>
        <v>0</v>
      </c>
      <c r="L21" s="49"/>
      <c r="M21" s="50">
        <f>IFERROR(__xludf.DUMMYFUNCTION("IF(IFERROR(filter(targets_quant!$N:$N,(targets_quant!$B:$B=$A21)*(targets_quant!$J:$J=N$2)*(targets_quant!$N:$N=""zero_policy"")),"""")=""zero_policy"",1,0)"),0.0)</f>
        <v>0</v>
      </c>
      <c r="N21" s="27"/>
      <c r="O21" s="27"/>
      <c r="P21" s="50">
        <f>IFERROR(__xludf.DUMMYFUNCTION("IFERROR(min(filter(targets_quant!$P:$P,(targets_quant!$J:$J=$N$2)*(targets_quant!$B:$B=$A21)*(targets_quant!$N:$N=$O$2))),0)"),0.0)</f>
        <v>0</v>
      </c>
      <c r="Q21" s="27"/>
      <c r="R21" s="27"/>
      <c r="S21" s="30">
        <f t="shared" si="4"/>
        <v>0</v>
      </c>
      <c r="T21" s="30">
        <f t="shared" si="5"/>
        <v>0</v>
      </c>
      <c r="U21" s="30">
        <f t="shared" si="6"/>
        <v>0</v>
      </c>
      <c r="V21" s="49"/>
      <c r="W21" s="40">
        <f t="shared" si="7"/>
        <v>0</v>
      </c>
      <c r="X21" s="26"/>
      <c r="Y21" s="26"/>
      <c r="Z21" s="26"/>
      <c r="AA21" s="26"/>
      <c r="AB21" s="26"/>
      <c r="AC21" s="26"/>
      <c r="AD21" s="26"/>
      <c r="AE21" s="26"/>
      <c r="AF21" s="26"/>
      <c r="AG21" s="26"/>
      <c r="AH21" s="26"/>
      <c r="AI21" s="26"/>
      <c r="AJ21" s="26"/>
      <c r="AK21" s="26"/>
      <c r="AL21" s="26"/>
    </row>
    <row r="22" ht="12.75" customHeight="1">
      <c r="A22" s="31">
        <v>66.0</v>
      </c>
      <c r="B22" s="27"/>
      <c r="C22" s="50">
        <f>IFERROR(__xludf.DUMMYFUNCTION("IF(IFERROR(filter(targets_quant!$N:$N,(targets_quant!$B:$B=$A22)*(targets_quant!$J:$J=D$2)*(targets_quant!$N:$N=""zero_policy"")),"""")=""zero_policy"",1,0)"),1.0)</f>
        <v>1</v>
      </c>
      <c r="D22" s="27"/>
      <c r="E22" s="27"/>
      <c r="F22" s="50">
        <f>IFERROR(__xludf.DUMMYFUNCTION("iferror(min(filter(targets_quant!$P:$P,(targets_quant!$J:$J=$D$2)*(targets_quant!$B:$B=$A22)*(targets_quant!$N:$N=$E$2))),0)"),0.0)</f>
        <v>0</v>
      </c>
      <c r="G22" s="27"/>
      <c r="H22" s="27"/>
      <c r="I22" s="30">
        <f t="shared" si="1"/>
        <v>0</v>
      </c>
      <c r="J22" s="30">
        <f t="shared" si="2"/>
        <v>1</v>
      </c>
      <c r="K22" s="30">
        <f t="shared" si="3"/>
        <v>0.05</v>
      </c>
      <c r="L22" s="49"/>
      <c r="M22" s="50">
        <f>IFERROR(__xludf.DUMMYFUNCTION("IF(IFERROR(filter(targets_quant!$N:$N,(targets_quant!$B:$B=$A22)*(targets_quant!$J:$J=N$2)*(targets_quant!$N:$N=""zero_policy"")),"""")=""zero_policy"",1,0)"),0.0)</f>
        <v>0</v>
      </c>
      <c r="N22" s="27"/>
      <c r="O22" s="27"/>
      <c r="P22" s="50">
        <f>IFERROR(__xludf.DUMMYFUNCTION("IFERROR(min(filter(targets_quant!$P:$P,(targets_quant!$J:$J=$N$2)*(targets_quant!$B:$B=$A22)*(targets_quant!$N:$N=$O$2))),0)"),2030.0)</f>
        <v>2030</v>
      </c>
      <c r="Q22" s="27"/>
      <c r="R22" s="27"/>
      <c r="S22" s="30">
        <f t="shared" si="4"/>
        <v>1</v>
      </c>
      <c r="T22" s="30">
        <f t="shared" si="5"/>
        <v>0.6666666667</v>
      </c>
      <c r="U22" s="30">
        <f t="shared" si="6"/>
        <v>0.03333333333</v>
      </c>
      <c r="V22" s="49"/>
      <c r="W22" s="40">
        <f t="shared" si="7"/>
        <v>0.08333333333</v>
      </c>
      <c r="X22" s="26"/>
      <c r="Y22" s="26"/>
      <c r="Z22" s="26"/>
      <c r="AA22" s="26"/>
      <c r="AB22" s="26"/>
      <c r="AC22" s="26"/>
      <c r="AD22" s="26"/>
      <c r="AE22" s="26"/>
      <c r="AF22" s="26"/>
      <c r="AG22" s="26"/>
      <c r="AH22" s="26"/>
      <c r="AI22" s="26"/>
      <c r="AJ22" s="26"/>
      <c r="AK22" s="26"/>
      <c r="AL22" s="26"/>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43"/>
    <col customWidth="1" min="2" max="2" width="5.43"/>
    <col customWidth="1" min="3" max="5" width="10.0"/>
    <col customWidth="1" min="6" max="6" width="13.86"/>
    <col customWidth="1" min="7" max="7" width="17.71"/>
    <col customWidth="1" min="8" max="8" width="17.0"/>
    <col customWidth="1" min="9" max="9" width="9.86"/>
    <col customWidth="1" min="10" max="10" width="19.14"/>
    <col customWidth="1" min="11" max="15" width="19.86"/>
    <col customWidth="1" min="16" max="16" width="17.0"/>
    <col customWidth="1" min="17" max="17" width="26.29"/>
    <col customWidth="1" min="18" max="21" width="17.14"/>
    <col customWidth="1" min="22" max="27" width="9.43"/>
    <col customWidth="1" min="28" max="28" width="11.71"/>
    <col customWidth="1" min="29" max="29" width="5.71"/>
    <col customWidth="1" min="30" max="35" width="8.71"/>
  </cols>
  <sheetData>
    <row r="1" ht="12.75" customHeight="1">
      <c r="A1" s="17" t="s">
        <v>2</v>
      </c>
      <c r="B1" s="19"/>
      <c r="C1" s="19" t="s">
        <v>599</v>
      </c>
      <c r="D1" s="19" t="s">
        <v>594</v>
      </c>
      <c r="E1" s="19" t="s">
        <v>600</v>
      </c>
      <c r="F1" s="19" t="s">
        <v>601</v>
      </c>
      <c r="G1" s="19" t="s">
        <v>557</v>
      </c>
      <c r="H1" s="19"/>
      <c r="I1" s="19"/>
      <c r="J1" s="19"/>
      <c r="K1" s="19"/>
      <c r="L1" s="19"/>
      <c r="M1" s="19"/>
      <c r="N1" s="19"/>
      <c r="O1" s="19"/>
      <c r="P1" s="19"/>
      <c r="Q1" s="19"/>
      <c r="R1" s="19"/>
      <c r="S1" s="19"/>
      <c r="T1" s="19"/>
      <c r="U1" s="19"/>
      <c r="V1" s="19"/>
      <c r="W1" s="19"/>
      <c r="X1" s="19" t="s">
        <v>602</v>
      </c>
      <c r="Y1" s="19" t="s">
        <v>587</v>
      </c>
      <c r="Z1" s="19" t="s">
        <v>588</v>
      </c>
      <c r="AA1" s="20" t="s">
        <v>531</v>
      </c>
      <c r="AB1" s="21" t="s">
        <v>548</v>
      </c>
      <c r="AC1" s="46"/>
    </row>
    <row r="2">
      <c r="A2" s="23"/>
      <c r="B2" s="24"/>
      <c r="C2" s="24" t="s">
        <v>603</v>
      </c>
      <c r="D2" s="24" t="s">
        <v>598</v>
      </c>
      <c r="E2" s="48" t="s">
        <v>582</v>
      </c>
      <c r="F2" s="48" t="s">
        <v>604</v>
      </c>
      <c r="G2" s="48" t="s">
        <v>601</v>
      </c>
      <c r="H2" s="48" t="s">
        <v>605</v>
      </c>
      <c r="I2" s="48" t="s">
        <v>606</v>
      </c>
      <c r="J2" s="48" t="s">
        <v>607</v>
      </c>
      <c r="K2" s="48" t="s">
        <v>608</v>
      </c>
      <c r="L2" s="48" t="s">
        <v>609</v>
      </c>
      <c r="M2" s="48" t="s">
        <v>610</v>
      </c>
      <c r="N2" s="48" t="s">
        <v>611</v>
      </c>
      <c r="O2" s="48" t="s">
        <v>612</v>
      </c>
      <c r="P2" s="48" t="s">
        <v>534</v>
      </c>
      <c r="Q2" s="48" t="s">
        <v>613</v>
      </c>
      <c r="R2" s="48" t="s">
        <v>614</v>
      </c>
      <c r="S2" s="48" t="s">
        <v>615</v>
      </c>
      <c r="T2" s="48" t="s">
        <v>616</v>
      </c>
      <c r="U2" s="48" t="s">
        <v>617</v>
      </c>
      <c r="V2" s="48"/>
      <c r="W2" s="48"/>
      <c r="X2" s="48"/>
      <c r="Y2" s="52">
        <v>0.0</v>
      </c>
      <c r="Z2" s="52">
        <v>0.05</v>
      </c>
      <c r="AA2" s="25"/>
      <c r="AB2" s="25">
        <v>0.05</v>
      </c>
      <c r="AC2" s="47"/>
      <c r="AD2" s="26"/>
      <c r="AE2" s="26"/>
      <c r="AF2" s="26"/>
      <c r="AG2" s="26"/>
      <c r="AH2" s="26"/>
      <c r="AI2" s="26"/>
    </row>
    <row r="3" ht="12.75" customHeight="1">
      <c r="A3" s="23">
        <v>1.0</v>
      </c>
      <c r="B3" s="27"/>
      <c r="C3" s="27"/>
      <c r="D3" s="27"/>
      <c r="E3" s="27"/>
      <c r="F3" s="27"/>
      <c r="G3" s="50">
        <f>IFERROR(__xludf.DUMMYFUNCTION("IFERROR(min(filter(targets_quant!$P:$P,(targets_quant!$B:$B=test6_1!$A3)*(targets_quant!$F:$F=C$2)*(targets_quant!$J:$J=D$2)*(targets_quant!$G:$G=E$2))),"""")"),2030.0)</f>
        <v>2030</v>
      </c>
      <c r="H3" s="27">
        <f>IFERROR(__xludf.DUMMYFUNCTION("IF(G3, max(filter(targets_quant!$A:$A,(targets_quant!$B:$B=$A3)*(targets_quant!$P:$P=$G3)*(targets_quant!$F:$F=C$2)*(targets_quant!$G:$G=$E$2)*(targets_quant!$J:$J=$D$2))),"""")"),5.0)</f>
        <v>5</v>
      </c>
      <c r="I3" s="27">
        <f>IFERROR(__xludf.DUMMYFUNCTION("if(G3, filter(targets_quant!$O:$O,targets_quant!$A:$A=$H3),"""")"),2019.0)</f>
        <v>2019</v>
      </c>
      <c r="J3" s="27">
        <f>IFERROR(__xludf.DUMMYFUNCTION("IF($G3, filter(ghg!$F:$F,(ghg!$B:$B=$A3)*(ghg!$E:$E=$I3)),"""")"),4050000.0)</f>
        <v>4050000</v>
      </c>
      <c r="K3" s="27">
        <f>IFERROR(__xludf.DUMMYFUNCTION("IF($G3, filter(ghg!$G:$G,(ghg!$B:$B=$A3)*(ghg!$E:$E=$I3)),"""")"),1780000.0)</f>
        <v>1780000</v>
      </c>
      <c r="L3" s="27">
        <f>IFERROR(__xludf.DUMMYFUNCTION("IF($G3, filter(ghg!$H:$H,(ghg!$B:$B=$A3)*(ghg!$E:$E=$I3)),"""")"),1320000.0)</f>
        <v>1320000</v>
      </c>
      <c r="M3" s="27">
        <f t="shared" ref="M3:M22" si="1">J3+min(K3:L3)</f>
        <v>5370000</v>
      </c>
      <c r="N3" s="53">
        <f>IFERROR(__xludf.DUMMYFUNCTION("IF($G3, filter(targets_quant!$N:$N,targets_quant!$A:$A=$H3),"""")"),0.5)</f>
        <v>0.5</v>
      </c>
      <c r="O3" s="27">
        <f t="shared" ref="O3:O22" si="2">(1-N3)*M3</f>
        <v>2685000</v>
      </c>
      <c r="P3" s="27">
        <f>VLOOKUP($A3,reporting!$A:$D,COLUMN(reporting!$D:$D),FALSE)</f>
        <v>2020</v>
      </c>
      <c r="Q3" s="27">
        <f>IFERROR(__xludf.DUMMYFUNCTION("IF($G3, filter(ghg!$F:$F,(ghg!$B:$B=$A3)*(ghg!$E:$E=$P3)),"""")"),3600000.0)</f>
        <v>3600000</v>
      </c>
      <c r="R3" s="27">
        <f>IFERROR(__xludf.DUMMYFUNCTION("IF($G3, filter(ghg!$G:$G,(ghg!$B:$B=$A3)*(ghg!$E:$E=$P3)),"""")"),1680000.0)</f>
        <v>1680000</v>
      </c>
      <c r="S3" s="27">
        <f>IFERROR(__xludf.DUMMYFUNCTION("IF($G3, filter(ghg!$H:$H,(ghg!$B:$B=$A3)*(ghg!$E:$E=$P3)),"""")"),1250000.0)</f>
        <v>1250000</v>
      </c>
      <c r="T3" s="27">
        <f t="shared" ref="T3:T22" si="3">Q3+min(R3:S3)</f>
        <v>4850000</v>
      </c>
      <c r="U3" s="54">
        <f t="shared" ref="U3:U22" si="4">if($G3,((T3-O3)/T3)/(G3-P3),"")</f>
        <v>0.04463917526</v>
      </c>
      <c r="V3" s="27"/>
      <c r="W3" s="27"/>
      <c r="X3" s="27"/>
      <c r="Y3" s="27"/>
      <c r="Z3" s="27"/>
      <c r="AA3" s="30">
        <f t="shared" ref="AA3:AA22" si="5">max(0,min(1,($U3-$Y$2)/$Z$2))</f>
        <v>0.8927835052</v>
      </c>
      <c r="AB3" s="30">
        <f t="shared" ref="AB3:AB22" si="6">AB$2*AA3</f>
        <v>0.04463917526</v>
      </c>
      <c r="AC3" s="49"/>
      <c r="AD3" s="26"/>
      <c r="AE3" s="26"/>
      <c r="AF3" s="26"/>
      <c r="AG3" s="26"/>
      <c r="AH3" s="26"/>
      <c r="AI3" s="26"/>
    </row>
    <row r="4" ht="12.75" customHeight="1">
      <c r="A4" s="23">
        <f t="shared" ref="A4:A21" si="7">A3+1</f>
        <v>2</v>
      </c>
      <c r="B4" s="27"/>
      <c r="C4" s="27"/>
      <c r="D4" s="27"/>
      <c r="E4" s="27"/>
      <c r="F4" s="27"/>
      <c r="G4" s="50">
        <f>IFERROR(__xludf.DUMMYFUNCTION("IFERROR(min(filter(targets_quant!$P:$P,(targets_quant!$B:$B=test6_1!$A4)*(targets_quant!$F:$F=C$2)*(targets_quant!$J:$J=D$2)*(targets_quant!$G:$G=E$2))),"""")"),2030.0)</f>
        <v>2030</v>
      </c>
      <c r="H4" s="27">
        <f>IFERROR(__xludf.DUMMYFUNCTION("IF(G4, max(filter(targets_quant!$A:$A,(targets_quant!$B:$B=$A4)*(targets_quant!$P:$P=$G4)*(targets_quant!$F:$F=C$2)*(targets_quant!$G:$G=$E$2)*(targets_quant!$J:$J=$D$2))),"""")"),8.0)</f>
        <v>8</v>
      </c>
      <c r="I4" s="27">
        <f>IFERROR(__xludf.DUMMYFUNCTION("if(G4, filter(targets_quant!$O:$O,targets_quant!$A:$A=$H4),"""")"),2018.0)</f>
        <v>2018</v>
      </c>
      <c r="J4" s="27">
        <f>IFERROR(__xludf.DUMMYFUNCTION("if(G4, filter(ghg!$F:$F,(ghg!$B:$B=$A4)*(ghg!$E:$E=$I4)),"""")"),539000.0)</f>
        <v>539000</v>
      </c>
      <c r="K4" s="27">
        <f>IFERROR(__xludf.DUMMYFUNCTION("IF($G4, filter(ghg!$G:$G,(ghg!$B:$B=$A4)*(ghg!$E:$E=$I4)),"""")"),517000.0)</f>
        <v>517000</v>
      </c>
      <c r="L4" s="27">
        <f>IFERROR(__xludf.DUMMYFUNCTION("IF($G4, filter(ghg!$H:$H,(ghg!$B:$B=$A4)*(ghg!$E:$E=$I4)),"""")"),441000.0)</f>
        <v>441000</v>
      </c>
      <c r="M4" s="27">
        <f t="shared" si="1"/>
        <v>980000</v>
      </c>
      <c r="N4" s="53">
        <f>IFERROR(__xludf.DUMMYFUNCTION("IF($G4, filter(targets_quant!$N:$N,targets_quant!$A:$A=$H4),"""")"),0.3)</f>
        <v>0.3</v>
      </c>
      <c r="O4" s="27">
        <f t="shared" si="2"/>
        <v>686000</v>
      </c>
      <c r="P4" s="27">
        <f>VLOOKUP($A4,reporting!$A:$D,COLUMN(reporting!$D:$D),FALSE)</f>
        <v>2020</v>
      </c>
      <c r="Q4" s="27">
        <f>IFERROR(__xludf.DUMMYFUNCTION("IF($G4, filter(ghg!$F:$F,(ghg!$B:$B=$A4)*(ghg!$E:$E=$P4)),"""")"),500000.0)</f>
        <v>500000</v>
      </c>
      <c r="R4" s="27">
        <f>IFERROR(__xludf.DUMMYFUNCTION("IF($G4, filter(ghg!$G:$G,(ghg!$B:$B=$A4)*(ghg!$E:$E=$P4)),"""")"),480000.0)</f>
        <v>480000</v>
      </c>
      <c r="S4" s="27">
        <f>IFERROR(__xludf.DUMMYFUNCTION("IF($G4, filter(ghg!$H:$H,(ghg!$B:$B=$A4)*(ghg!$E:$E=$P4)),"""")"),406000.0)</f>
        <v>406000</v>
      </c>
      <c r="T4" s="27">
        <f t="shared" si="3"/>
        <v>906000</v>
      </c>
      <c r="U4" s="54">
        <f t="shared" si="4"/>
        <v>0.02428256071</v>
      </c>
      <c r="V4" s="27"/>
      <c r="W4" s="27"/>
      <c r="X4" s="27"/>
      <c r="Y4" s="27"/>
      <c r="Z4" s="27"/>
      <c r="AA4" s="30">
        <f t="shared" si="5"/>
        <v>0.4856512141</v>
      </c>
      <c r="AB4" s="30">
        <f t="shared" si="6"/>
        <v>0.02428256071</v>
      </c>
      <c r="AC4" s="49"/>
      <c r="AD4" s="26"/>
      <c r="AE4" s="26"/>
      <c r="AF4" s="26"/>
      <c r="AG4" s="26"/>
      <c r="AH4" s="26"/>
      <c r="AI4" s="26"/>
    </row>
    <row r="5" ht="12.75" customHeight="1">
      <c r="A5" s="23">
        <f t="shared" si="7"/>
        <v>3</v>
      </c>
      <c r="B5" s="27"/>
      <c r="C5" s="27"/>
      <c r="D5" s="27"/>
      <c r="E5" s="27"/>
      <c r="F5" s="27"/>
      <c r="G5" s="50">
        <f>IFERROR(__xludf.DUMMYFUNCTION("IFERROR(min(filter(targets_quant!$P:$P,(targets_quant!$B:$B=test6_1!$A5)*(targets_quant!$F:$F=C$2)*(targets_quant!$J:$J=D$2)*(targets_quant!$G:$G=E$2))),"""")"),2025.0)</f>
        <v>2025</v>
      </c>
      <c r="H5" s="27">
        <f>IFERROR(__xludf.DUMMYFUNCTION("IF(G5, max(filter(targets_quant!$A:$A,(targets_quant!$B:$B=$A5)*(targets_quant!$P:$P=$G5)*(targets_quant!$F:$F=C$2)*(targets_quant!$G:$G=$E$2)*(targets_quant!$J:$J=$D$2))),"""")"),9.0)</f>
        <v>9</v>
      </c>
      <c r="I5" s="27">
        <f>IFERROR(__xludf.DUMMYFUNCTION("if(G5, filter(targets_quant!$O:$O,targets_quant!$A:$A=$H5),"""")"),2015.0)</f>
        <v>2015</v>
      </c>
      <c r="J5" s="55">
        <f>IFERROR(__xludf.DUMMYFUNCTION("if(G5, filter(ghg!$F:$F,(ghg!$B:$B=$A5)*(ghg!$E:$E=$I5)),"""")"),305000.0)</f>
        <v>305000</v>
      </c>
      <c r="K5" s="27" t="str">
        <f>IFERROR(__xludf.DUMMYFUNCTION("IF($G5, filter(ghg!$G:$G,(ghg!$B:$B=$A5)*(ghg!$E:$E=$I5)),"""")"),"")</f>
        <v/>
      </c>
      <c r="L5" s="27">
        <f>IFERROR(__xludf.DUMMYFUNCTION("IF($G5, filter(ghg!$H:$H,(ghg!$B:$B=$A5)*(ghg!$E:$E=$I5)),"""")"),305000.0)</f>
        <v>305000</v>
      </c>
      <c r="M5" s="27">
        <f t="shared" si="1"/>
        <v>610000</v>
      </c>
      <c r="N5" s="53">
        <f>IFERROR(__xludf.DUMMYFUNCTION("IF($G5, filter(targets_quant!$N:$N,targets_quant!$A:$A=$H5),"""")"),0.25)</f>
        <v>0.25</v>
      </c>
      <c r="O5" s="27">
        <f t="shared" si="2"/>
        <v>457500</v>
      </c>
      <c r="P5" s="27">
        <f>VLOOKUP($A5,reporting!$A:$D,COLUMN(reporting!$D:$D),FALSE)</f>
        <v>2020</v>
      </c>
      <c r="Q5" s="27">
        <f>IFERROR(__xludf.DUMMYFUNCTION("IF($G5, filter(ghg!$F:$F,(ghg!$B:$B=$A5)*(ghg!$E:$E=$P5)),"""")"),265000.0)</f>
        <v>265000</v>
      </c>
      <c r="R5" s="27">
        <f>IFERROR(__xludf.DUMMYFUNCTION("IF($G5, filter(ghg!$G:$G,(ghg!$B:$B=$A5)*(ghg!$E:$E=$P5)),"""")"),313000.0)</f>
        <v>313000</v>
      </c>
      <c r="S5" s="27">
        <f>IFERROR(__xludf.DUMMYFUNCTION("IF($G5, filter(ghg!$H:$H,(ghg!$B:$B=$A5)*(ghg!$E:$E=$P5)),"""")"),243000.0)</f>
        <v>243000</v>
      </c>
      <c r="T5" s="27">
        <f t="shared" si="3"/>
        <v>508000</v>
      </c>
      <c r="U5" s="54">
        <f t="shared" si="4"/>
        <v>0.01988188976</v>
      </c>
      <c r="V5" s="27"/>
      <c r="W5" s="27"/>
      <c r="X5" s="27"/>
      <c r="Y5" s="27"/>
      <c r="Z5" s="27"/>
      <c r="AA5" s="30">
        <f t="shared" si="5"/>
        <v>0.3976377953</v>
      </c>
      <c r="AB5" s="30">
        <f t="shared" si="6"/>
        <v>0.01988188976</v>
      </c>
      <c r="AC5" s="49"/>
      <c r="AD5" s="26"/>
      <c r="AE5" s="26"/>
      <c r="AF5" s="26"/>
      <c r="AG5" s="26"/>
      <c r="AH5" s="26"/>
      <c r="AI5" s="26"/>
    </row>
    <row r="6" ht="12.75" customHeight="1">
      <c r="A6" s="23">
        <f t="shared" si="7"/>
        <v>4</v>
      </c>
      <c r="B6" s="27"/>
      <c r="C6" s="27"/>
      <c r="D6" s="27"/>
      <c r="E6" s="27"/>
      <c r="F6" s="27"/>
      <c r="G6" s="50">
        <f>IFERROR(__xludf.DUMMYFUNCTION("IFERROR(min(filter(targets_quant!$P:$P,(targets_quant!$B:$B=test6_1!$A6)*(targets_quant!$F:$F=C$2)*(targets_quant!$J:$J=D$2)*(targets_quant!$G:$G=E$2))),"""")"),2025.0)</f>
        <v>2025</v>
      </c>
      <c r="H6" s="27">
        <f>IFERROR(__xludf.DUMMYFUNCTION("IF(G6, max(filter(targets_quant!$A:$A,(targets_quant!$B:$B=$A6)*(targets_quant!$P:$P=$G6)*(targets_quant!$F:$F=C$2)*(targets_quant!$G:$G=$E$2)*(targets_quant!$J:$J=$D$2))),"""")"),12.0)</f>
        <v>12</v>
      </c>
      <c r="I6" s="27">
        <f>IFERROR(__xludf.DUMMYFUNCTION("if(G6, filter(targets_quant!$O:$O,targets_quant!$A:$A=$H6),"""")"),2016.0)</f>
        <v>2016</v>
      </c>
      <c r="J6" s="55">
        <f>IFERROR(__xludf.DUMMYFUNCTION("if(G6, filter(ghg!$F:$F,(ghg!$B:$B=$A6)*(ghg!$E:$E=$I6)),"""")"),22183.0)</f>
        <v>22183</v>
      </c>
      <c r="K6" s="27" t="str">
        <f>IFERROR(__xludf.DUMMYFUNCTION("IF($G6, filter(ghg!$G:$G,(ghg!$B:$B=$A6)*(ghg!$E:$E=$I6)),"""")"),"")</f>
        <v/>
      </c>
      <c r="L6" s="27">
        <f>IFERROR(__xludf.DUMMYFUNCTION("IF($G6, filter(ghg!$H:$H,(ghg!$B:$B=$A6)*(ghg!$E:$E=$I6)),"""")"),218855.0)</f>
        <v>218855</v>
      </c>
      <c r="M6" s="27">
        <f t="shared" si="1"/>
        <v>241038</v>
      </c>
      <c r="N6" s="53">
        <f>IFERROR(__xludf.DUMMYFUNCTION("IF($G6, filter(targets_quant!$N:$N,targets_quant!$A:$A=$H6),"""")"),0.65)</f>
        <v>0.65</v>
      </c>
      <c r="O6" s="27">
        <f t="shared" si="2"/>
        <v>84363.3</v>
      </c>
      <c r="P6" s="27">
        <f>VLOOKUP($A6,reporting!$A:$D,COLUMN(reporting!$D:$D),FALSE)</f>
        <v>2020</v>
      </c>
      <c r="Q6" s="27">
        <f>IFERROR(__xludf.DUMMYFUNCTION("IF($G6, filter(ghg!$F:$F,(ghg!$B:$B=$A6)*(ghg!$E:$E=$P6)),"""")"),13945.0)</f>
        <v>13945</v>
      </c>
      <c r="R6" s="27">
        <f>IFERROR(__xludf.DUMMYFUNCTION("IF($G6, filter(ghg!$G:$G,(ghg!$B:$B=$A6)*(ghg!$E:$E=$P6)),"""")"),228373.0)</f>
        <v>228373</v>
      </c>
      <c r="S6" s="27">
        <f>IFERROR(__xludf.DUMMYFUNCTION("IF($G6, filter(ghg!$H:$H,(ghg!$B:$B=$A6)*(ghg!$E:$E=$P6)),"""")"),162983.0)</f>
        <v>162983</v>
      </c>
      <c r="T6" s="27">
        <f t="shared" si="3"/>
        <v>176928</v>
      </c>
      <c r="U6" s="54">
        <f t="shared" si="4"/>
        <v>0.1046354449</v>
      </c>
      <c r="V6" s="27"/>
      <c r="W6" s="27"/>
      <c r="X6" s="27"/>
      <c r="Y6" s="27"/>
      <c r="Z6" s="27"/>
      <c r="AA6" s="30">
        <f t="shared" si="5"/>
        <v>1</v>
      </c>
      <c r="AB6" s="30">
        <f t="shared" si="6"/>
        <v>0.05</v>
      </c>
      <c r="AC6" s="49"/>
      <c r="AD6" s="26"/>
      <c r="AE6" s="26"/>
      <c r="AF6" s="26"/>
      <c r="AG6" s="26"/>
      <c r="AH6" s="26"/>
      <c r="AI6" s="26"/>
    </row>
    <row r="7" ht="12.75" customHeight="1">
      <c r="A7" s="23">
        <f t="shared" si="7"/>
        <v>5</v>
      </c>
      <c r="B7" s="27"/>
      <c r="C7" s="27"/>
      <c r="D7" s="27"/>
      <c r="E7" s="27"/>
      <c r="F7" s="27"/>
      <c r="G7" s="50">
        <f>IFERROR(__xludf.DUMMYFUNCTION("IFERROR(min(filter(targets_quant!$P:$P,(targets_quant!$B:$B=test6_1!$A7)*(targets_quant!$F:$F=C$2)*(targets_quant!$J:$J=D$2)*(targets_quant!$G:$G=E$2))),"""")"),2025.0)</f>
        <v>2025</v>
      </c>
      <c r="H7" s="27">
        <f>IFERROR(__xludf.DUMMYFUNCTION("IF(G7, max(filter(targets_quant!$A:$A,(targets_quant!$B:$B=$A7)*(targets_quant!$P:$P=$G7)*(targets_quant!$F:$F=C$2)*(targets_quant!$G:$G=$E$2)*(targets_quant!$J:$J=$D$2))),"""")"),15.0)</f>
        <v>15</v>
      </c>
      <c r="I7" s="27">
        <f>IFERROR(__xludf.DUMMYFUNCTION("if(G7, filter(targets_quant!$O:$O,targets_quant!$A:$A=$H7),"""")"),2018.0)</f>
        <v>2018</v>
      </c>
      <c r="J7" s="27">
        <f>IFERROR(__xludf.DUMMYFUNCTION("if(G7, filter(ghg!$F:$F,(ghg!$B:$B=$A7)*(ghg!$E:$E=$I7)),"""")"),12119.0)</f>
        <v>12119</v>
      </c>
      <c r="K7" s="27">
        <f>IFERROR(__xludf.DUMMYFUNCTION("IF($G7, filter(ghg!$G:$G,(ghg!$B:$B=$A7)*(ghg!$E:$E=$I7)),"""")"),58874.0)</f>
        <v>58874</v>
      </c>
      <c r="L7" s="27">
        <f>IFERROR(__xludf.DUMMYFUNCTION("IF($G7, filter(ghg!$H:$H,(ghg!$B:$B=$A7)*(ghg!$E:$E=$I7)),"""")"),47871.0)</f>
        <v>47871</v>
      </c>
      <c r="M7" s="27">
        <f t="shared" si="1"/>
        <v>59990</v>
      </c>
      <c r="N7" s="53">
        <f>IFERROR(__xludf.DUMMYFUNCTION("IF($G7, filter(targets_quant!$N:$N,targets_quant!$A:$A=$H7),"""")"),0.35)</f>
        <v>0.35</v>
      </c>
      <c r="O7" s="27">
        <f t="shared" si="2"/>
        <v>38993.5</v>
      </c>
      <c r="P7" s="27">
        <f>VLOOKUP($A7,reporting!$A:$D,COLUMN(reporting!$D:$D),FALSE)</f>
        <v>2020</v>
      </c>
      <c r="Q7" s="27">
        <f>IFERROR(__xludf.DUMMYFUNCTION("IF($G7, filter(ghg!$F:$F,(ghg!$B:$B=$A7)*(ghg!$E:$E=$P7)),"""")"),9842.0)</f>
        <v>9842</v>
      </c>
      <c r="R7" s="27">
        <f>IFERROR(__xludf.DUMMYFUNCTION("IF($G7, filter(ghg!$G:$G,(ghg!$B:$B=$A7)*(ghg!$E:$E=$P7)),"""")"),51176.0)</f>
        <v>51176</v>
      </c>
      <c r="S7" s="27">
        <f>IFERROR(__xludf.DUMMYFUNCTION("IF($G7, filter(ghg!$H:$H,(ghg!$B:$B=$A7)*(ghg!$E:$E=$P7)),"""")"),34540.0)</f>
        <v>34540</v>
      </c>
      <c r="T7" s="27">
        <f t="shared" si="3"/>
        <v>44382</v>
      </c>
      <c r="U7" s="54">
        <f t="shared" si="4"/>
        <v>0.02428236673</v>
      </c>
      <c r="V7" s="27"/>
      <c r="W7" s="27"/>
      <c r="X7" s="27"/>
      <c r="Y7" s="27"/>
      <c r="Z7" s="27"/>
      <c r="AA7" s="30">
        <f t="shared" si="5"/>
        <v>0.4856473345</v>
      </c>
      <c r="AB7" s="30">
        <f t="shared" si="6"/>
        <v>0.02428236673</v>
      </c>
      <c r="AC7" s="49"/>
      <c r="AD7" s="26"/>
      <c r="AE7" s="26"/>
      <c r="AF7" s="26"/>
      <c r="AG7" s="26"/>
      <c r="AH7" s="26"/>
      <c r="AI7" s="26"/>
    </row>
    <row r="8" ht="12.75" customHeight="1">
      <c r="A8" s="23">
        <f t="shared" si="7"/>
        <v>6</v>
      </c>
      <c r="B8" s="27"/>
      <c r="C8" s="27"/>
      <c r="D8" s="27"/>
      <c r="E8" s="27"/>
      <c r="F8" s="27"/>
      <c r="G8" s="50" t="str">
        <f>IFERROR(__xludf.DUMMYFUNCTION("IFERROR(min(filter(targets_quant!$P:$P,(targets_quant!$B:$B=test6_1!$A8)*(targets_quant!$F:$F=C$2)*(targets_quant!$J:$J=D$2)*(targets_quant!$G:$G=E$2))),"""")"),"")</f>
        <v/>
      </c>
      <c r="H8" s="27" t="str">
        <f>IFERROR(__xludf.DUMMYFUNCTION("IF(G8, max(filter(targets_quant!$A:$A,(targets_quant!$B:$B=$A8)*(targets_quant!$P:$P=$G8)*(targets_quant!$F:$F=C$2)*(targets_quant!$G:$G=$E$2)*(targets_quant!$J:$J=$D$2))),"""")"),"")</f>
        <v/>
      </c>
      <c r="I8" s="27" t="str">
        <f>IFERROR(__xludf.DUMMYFUNCTION("if(G8, filter(targets_quant!$O:$O,targets_quant!$A:$A=$H8),"""")"),"")</f>
        <v/>
      </c>
      <c r="J8" s="27" t="str">
        <f>IFERROR(__xludf.DUMMYFUNCTION("if(G8, filter(ghg!$F:$F,(ghg!$B:$B=$A8)*(ghg!$E:$E=$I8)),"""")"),"")</f>
        <v/>
      </c>
      <c r="K8" s="27" t="str">
        <f>IFERROR(__xludf.DUMMYFUNCTION("IF($G8, filter(ghg!$G:$G,(ghg!$B:$B=$A8)*(ghg!$E:$E=$I8)),"""")"),"")</f>
        <v/>
      </c>
      <c r="L8" s="27" t="str">
        <f>IFERROR(__xludf.DUMMYFUNCTION("IF($G8, filter(ghg!$H:$H,(ghg!$B:$B=$A8)*(ghg!$E:$E=$I8)),"""")"),"")</f>
        <v/>
      </c>
      <c r="M8" s="27">
        <f t="shared" si="1"/>
        <v>0</v>
      </c>
      <c r="N8" s="27" t="str">
        <f>IFERROR(__xludf.DUMMYFUNCTION("IF($G8, filter(targets_quant!$N:$N,targets_quant!$A:$A=$H8),"""")"),"")</f>
        <v/>
      </c>
      <c r="O8" s="27">
        <f t="shared" si="2"/>
        <v>0</v>
      </c>
      <c r="P8" s="27">
        <f>VLOOKUP($A8,reporting!$A:$D,COLUMN(reporting!$D:$D),FALSE)</f>
        <v>2020</v>
      </c>
      <c r="Q8" s="27" t="str">
        <f>IFERROR(__xludf.DUMMYFUNCTION("IF($G8, filter(ghg!$F:$F,(ghg!$B:$B=$A8)*(ghg!$E:$E=$P8)),"""")"),"")</f>
        <v/>
      </c>
      <c r="R8" s="27" t="str">
        <f>IFERROR(__xludf.DUMMYFUNCTION("IF($G8, filter(ghg!$G:$G,(ghg!$B:$B=$A8)*(ghg!$E:$E=$P8)),"""")"),"")</f>
        <v/>
      </c>
      <c r="S8" s="27" t="str">
        <f>IFERROR(__xludf.DUMMYFUNCTION("IF($G8, filter(ghg!$H:$H,(ghg!$B:$B=$A8)*(ghg!$E:$E=$P8)),"""")"),"")</f>
        <v/>
      </c>
      <c r="T8" s="27">
        <f t="shared" si="3"/>
        <v>0</v>
      </c>
      <c r="U8" s="54" t="str">
        <f t="shared" si="4"/>
        <v/>
      </c>
      <c r="V8" s="27"/>
      <c r="W8" s="27"/>
      <c r="X8" s="27"/>
      <c r="Y8" s="27"/>
      <c r="Z8" s="27"/>
      <c r="AA8" s="30">
        <f t="shared" si="5"/>
        <v>0</v>
      </c>
      <c r="AB8" s="30">
        <f t="shared" si="6"/>
        <v>0</v>
      </c>
      <c r="AC8" s="49"/>
      <c r="AD8" s="26"/>
      <c r="AE8" s="26"/>
      <c r="AF8" s="26"/>
      <c r="AG8" s="26"/>
      <c r="AH8" s="26"/>
      <c r="AI8" s="26"/>
    </row>
    <row r="9" ht="12.75" customHeight="1">
      <c r="A9" s="23">
        <f t="shared" si="7"/>
        <v>7</v>
      </c>
      <c r="B9" s="27"/>
      <c r="C9" s="27"/>
      <c r="D9" s="27"/>
      <c r="E9" s="27"/>
      <c r="F9" s="27"/>
      <c r="G9" s="50" t="str">
        <f>IFERROR(__xludf.DUMMYFUNCTION("IFERROR(min(filter(targets_quant!$P:$P,(targets_quant!$B:$B=test6_1!$A9)*(targets_quant!$F:$F=C$2)*(targets_quant!$J:$J=D$2)*(targets_quant!$G:$G=E$2))),"""")"),"")</f>
        <v/>
      </c>
      <c r="H9" s="27" t="str">
        <f>IFERROR(__xludf.DUMMYFUNCTION("IF(G9, max(filter(targets_quant!$A:$A,(targets_quant!$B:$B=$A9)*(targets_quant!$P:$P=$G9)*(targets_quant!$F:$F=C$2)*(targets_quant!$G:$G=$E$2)*(targets_quant!$J:$J=$D$2))),"""")"),"")</f>
        <v/>
      </c>
      <c r="I9" s="27" t="str">
        <f>IFERROR(__xludf.DUMMYFUNCTION("if(G9, filter(targets_quant!$O:$O,targets_quant!$A:$A=$H9),"""")"),"")</f>
        <v/>
      </c>
      <c r="J9" s="27" t="str">
        <f>IFERROR(__xludf.DUMMYFUNCTION("if(G9, filter(ghg!$F:$F,(ghg!$B:$B=$A9)*(ghg!$E:$E=$I9)),"""")"),"")</f>
        <v/>
      </c>
      <c r="K9" s="27" t="str">
        <f>IFERROR(__xludf.DUMMYFUNCTION("IF($G9, filter(ghg!$G:$G,(ghg!$B:$B=$A9)*(ghg!$E:$E=$I9)),"""")"),"")</f>
        <v/>
      </c>
      <c r="L9" s="27" t="str">
        <f>IFERROR(__xludf.DUMMYFUNCTION("IF($G9, filter(ghg!$H:$H,(ghg!$B:$B=$A9)*(ghg!$E:$E=$I9)),"""")"),"")</f>
        <v/>
      </c>
      <c r="M9" s="27">
        <f t="shared" si="1"/>
        <v>0</v>
      </c>
      <c r="N9" s="27" t="str">
        <f>IFERROR(__xludf.DUMMYFUNCTION("IF($G9, filter(targets_quant!$N:$N,targets_quant!$A:$A=$H9),"""")"),"")</f>
        <v/>
      </c>
      <c r="O9" s="27">
        <f t="shared" si="2"/>
        <v>0</v>
      </c>
      <c r="P9" s="27">
        <f>VLOOKUP($A9,reporting!$A:$D,COLUMN(reporting!$D:$D),FALSE)</f>
        <v>2019</v>
      </c>
      <c r="Q9" s="27" t="str">
        <f>IFERROR(__xludf.DUMMYFUNCTION("IF($G9, filter(ghg!$F:$F,(ghg!$B:$B=$A9)*(ghg!$E:$E=$P9)),"""")"),"")</f>
        <v/>
      </c>
      <c r="R9" s="27" t="str">
        <f>IFERROR(__xludf.DUMMYFUNCTION("IF($G9, filter(ghg!$G:$G,(ghg!$B:$B=$A9)*(ghg!$E:$E=$P9)),"""")"),"")</f>
        <v/>
      </c>
      <c r="S9" s="27" t="str">
        <f>IFERROR(__xludf.DUMMYFUNCTION("IF($G9, filter(ghg!$H:$H,(ghg!$B:$B=$A9)*(ghg!$E:$E=$P9)),"""")"),"")</f>
        <v/>
      </c>
      <c r="T9" s="27">
        <f t="shared" si="3"/>
        <v>0</v>
      </c>
      <c r="U9" s="54" t="str">
        <f t="shared" si="4"/>
        <v/>
      </c>
      <c r="V9" s="27"/>
      <c r="W9" s="27"/>
      <c r="X9" s="27"/>
      <c r="Y9" s="27"/>
      <c r="Z9" s="27"/>
      <c r="AA9" s="30">
        <f t="shared" si="5"/>
        <v>0</v>
      </c>
      <c r="AB9" s="30">
        <f t="shared" si="6"/>
        <v>0</v>
      </c>
      <c r="AC9" s="49"/>
      <c r="AD9" s="26"/>
      <c r="AE9" s="26"/>
      <c r="AF9" s="26"/>
      <c r="AG9" s="26"/>
      <c r="AH9" s="26"/>
      <c r="AI9" s="26"/>
    </row>
    <row r="10" ht="12.75" customHeight="1">
      <c r="A10" s="23">
        <f t="shared" si="7"/>
        <v>8</v>
      </c>
      <c r="B10" s="27"/>
      <c r="C10" s="27"/>
      <c r="D10" s="27"/>
      <c r="E10" s="27"/>
      <c r="F10" s="27"/>
      <c r="G10" s="50">
        <f>IFERROR(__xludf.DUMMYFUNCTION("IFERROR(min(filter(targets_quant!$P:$P,(targets_quant!$B:$B=test6_1!$A10)*(targets_quant!$F:$F=C$2)*(targets_quant!$J:$J=D$2)*(targets_quant!$G:$G=E$2))),"""")"),2030.0)</f>
        <v>2030</v>
      </c>
      <c r="H10" s="27">
        <f>IFERROR(__xludf.DUMMYFUNCTION("IF(G10, max(filter(targets_quant!$A:$A,(targets_quant!$B:$B=$A10)*(targets_quant!$P:$P=$G10)*(targets_quant!$F:$F=C$2)*(targets_quant!$G:$G=$E$2)*(targets_quant!$J:$J=$D$2))),"""")"),21.0)</f>
        <v>21</v>
      </c>
      <c r="I10" s="27">
        <f>IFERROR(__xludf.DUMMYFUNCTION("if(G10, filter(targets_quant!$O:$O,targets_quant!$A:$A=$H10),"""")"),2017.0)</f>
        <v>2017</v>
      </c>
      <c r="J10" s="27">
        <f>IFERROR(__xludf.DUMMYFUNCTION("if(G10, filter(ghg!$F:$F,(ghg!$B:$B=$A10)*(ghg!$E:$E=$I10)),"""")"),167720.0)</f>
        <v>167720</v>
      </c>
      <c r="K10" s="27" t="str">
        <f>IFERROR(__xludf.DUMMYFUNCTION("IF($G10, filter(ghg!$G:$G,(ghg!$B:$B=$A10)*(ghg!$E:$E=$I10)),"""")"),"")</f>
        <v/>
      </c>
      <c r="L10" s="27">
        <f>IFERROR(__xludf.DUMMYFUNCTION("IF($G10, filter(ghg!$H:$H,(ghg!$B:$B=$A10)*(ghg!$E:$E=$I10)),"""")"),169287.0)</f>
        <v>169287</v>
      </c>
      <c r="M10" s="27">
        <f t="shared" si="1"/>
        <v>337007</v>
      </c>
      <c r="N10" s="53">
        <f>IFERROR(__xludf.DUMMYFUNCTION("IF($G10, filter(targets_quant!$N:$N,targets_quant!$A:$A=$H10),"""")"),0.55)</f>
        <v>0.55</v>
      </c>
      <c r="O10" s="27">
        <f t="shared" si="2"/>
        <v>151653.15</v>
      </c>
      <c r="P10" s="27">
        <f>VLOOKUP($A10,reporting!$A:$D,COLUMN(reporting!$D:$D),FALSE)</f>
        <v>2020</v>
      </c>
      <c r="Q10" s="27">
        <f>IFERROR(__xludf.DUMMYFUNCTION("IF($G10, filter(ghg!$F:$F,(ghg!$B:$B=$A10)*(ghg!$E:$E=$P10)),"""")"),139868.0)</f>
        <v>139868</v>
      </c>
      <c r="R10" s="27">
        <f>IFERROR(__xludf.DUMMYFUNCTION("IF($G10, filter(ghg!$G:$G,(ghg!$B:$B=$A10)*(ghg!$E:$E=$P10)),"""")"),144140.0)</f>
        <v>144140</v>
      </c>
      <c r="S10" s="27">
        <f>IFERROR(__xludf.DUMMYFUNCTION("IF($G10, filter(ghg!$H:$H,(ghg!$B:$B=$A10)*(ghg!$E:$E=$P10)),"""")"),141100.0)</f>
        <v>141100</v>
      </c>
      <c r="T10" s="27">
        <f t="shared" si="3"/>
        <v>280968</v>
      </c>
      <c r="U10" s="54">
        <f t="shared" si="4"/>
        <v>0.04602476083</v>
      </c>
      <c r="V10" s="27"/>
      <c r="W10" s="27"/>
      <c r="X10" s="27"/>
      <c r="Y10" s="27"/>
      <c r="Z10" s="27"/>
      <c r="AA10" s="30">
        <f t="shared" si="5"/>
        <v>0.9204952165</v>
      </c>
      <c r="AB10" s="30">
        <f t="shared" si="6"/>
        <v>0.04602476083</v>
      </c>
      <c r="AC10" s="49"/>
      <c r="AD10" s="26"/>
      <c r="AE10" s="26"/>
      <c r="AF10" s="26"/>
      <c r="AG10" s="26"/>
      <c r="AH10" s="26"/>
      <c r="AI10" s="26"/>
    </row>
    <row r="11" ht="12.75" customHeight="1">
      <c r="A11" s="23">
        <f t="shared" si="7"/>
        <v>9</v>
      </c>
      <c r="B11" s="27"/>
      <c r="C11" s="27"/>
      <c r="D11" s="27"/>
      <c r="E11" s="27"/>
      <c r="F11" s="27"/>
      <c r="G11" s="50" t="str">
        <f>IFERROR(__xludf.DUMMYFUNCTION("IFERROR(min(filter(targets_quant!$P:$P,(targets_quant!$B:$B=test6_1!$A11)*(targets_quant!$F:$F=C$2)*(targets_quant!$J:$J=D$2)*(targets_quant!$G:$G=E$2))),"""")"),"")</f>
        <v/>
      </c>
      <c r="H11" s="27" t="str">
        <f>IFERROR(__xludf.DUMMYFUNCTION("IF(G11, max(filter(targets_quant!$A:$A,(targets_quant!$B:$B=$A11)*(targets_quant!$P:$P=$G11)*(targets_quant!$F:$F=C$2)*(targets_quant!$G:$G=$E$2)*(targets_quant!$J:$J=$D$2))),"""")"),"")</f>
        <v/>
      </c>
      <c r="I11" s="27" t="str">
        <f>IFERROR(__xludf.DUMMYFUNCTION("if(G11, filter(targets_quant!$O:$O,targets_quant!$A:$A=$H11),"""")"),"")</f>
        <v/>
      </c>
      <c r="J11" s="27" t="str">
        <f>IFERROR(__xludf.DUMMYFUNCTION("if(G11, filter(ghg!$F:$F,(ghg!$B:$B=$A11)*(ghg!$E:$E=$I11)),"""")"),"")</f>
        <v/>
      </c>
      <c r="K11" s="27" t="str">
        <f>IFERROR(__xludf.DUMMYFUNCTION("IF($G11, filter(ghg!$G:$G,(ghg!$B:$B=$A11)*(ghg!$E:$E=$I11)),"""")"),"")</f>
        <v/>
      </c>
      <c r="L11" s="27" t="str">
        <f>IFERROR(__xludf.DUMMYFUNCTION("IF($G11, filter(ghg!$H:$H,(ghg!$B:$B=$A11)*(ghg!$E:$E=$I11)),"""")"),"")</f>
        <v/>
      </c>
      <c r="M11" s="27">
        <f t="shared" si="1"/>
        <v>0</v>
      </c>
      <c r="N11" s="27" t="str">
        <f>IFERROR(__xludf.DUMMYFUNCTION("IF($G11, filter(targets_quant!$N:$N,targets_quant!$A:$A=$H11),"""")"),"")</f>
        <v/>
      </c>
      <c r="O11" s="27">
        <f t="shared" si="2"/>
        <v>0</v>
      </c>
      <c r="P11" s="27">
        <f>VLOOKUP($A11,reporting!$A:$D,COLUMN(reporting!$D:$D),FALSE)</f>
        <v>2020</v>
      </c>
      <c r="Q11" s="27" t="str">
        <f>IFERROR(__xludf.DUMMYFUNCTION("IF($G11, filter(ghg!$F:$F,(ghg!$B:$B=$A11)*(ghg!$E:$E=$P11)),"""")"),"")</f>
        <v/>
      </c>
      <c r="R11" s="27" t="str">
        <f>IFERROR(__xludf.DUMMYFUNCTION("IF($G11, filter(ghg!$G:$G,(ghg!$B:$B=$A11)*(ghg!$E:$E=$P11)),"""")"),"")</f>
        <v/>
      </c>
      <c r="S11" s="27" t="str">
        <f>IFERROR(__xludf.DUMMYFUNCTION("IF($G11, filter(ghg!$H:$H,(ghg!$B:$B=$A11)*(ghg!$E:$E=$P11)),"""")"),"")</f>
        <v/>
      </c>
      <c r="T11" s="27">
        <f t="shared" si="3"/>
        <v>0</v>
      </c>
      <c r="U11" s="54" t="str">
        <f t="shared" si="4"/>
        <v/>
      </c>
      <c r="V11" s="27"/>
      <c r="W11" s="27"/>
      <c r="X11" s="27"/>
      <c r="Y11" s="27"/>
      <c r="Z11" s="27"/>
      <c r="AA11" s="30">
        <f t="shared" si="5"/>
        <v>0</v>
      </c>
      <c r="AB11" s="30">
        <f t="shared" si="6"/>
        <v>0</v>
      </c>
      <c r="AC11" s="49"/>
      <c r="AD11" s="26"/>
      <c r="AE11" s="26"/>
      <c r="AF11" s="26"/>
      <c r="AG11" s="26"/>
      <c r="AH11" s="26"/>
      <c r="AI11" s="26"/>
    </row>
    <row r="12" ht="12.75" customHeight="1">
      <c r="A12" s="23">
        <f t="shared" si="7"/>
        <v>10</v>
      </c>
      <c r="B12" s="27"/>
      <c r="C12" s="27"/>
      <c r="D12" s="27"/>
      <c r="E12" s="27"/>
      <c r="F12" s="27"/>
      <c r="G12" s="50" t="str">
        <f>IFERROR(__xludf.DUMMYFUNCTION("IFERROR(min(filter(targets_quant!$P:$P,(targets_quant!$B:$B=test6_1!$A12)*(targets_quant!$F:$F=C$2)*(targets_quant!$J:$J=D$2)*(targets_quant!$G:$G=E$2))),"""")"),"")</f>
        <v/>
      </c>
      <c r="H12" s="27" t="str">
        <f>IFERROR(__xludf.DUMMYFUNCTION("IF(G12, max(filter(targets_quant!$A:$A,(targets_quant!$B:$B=$A12)*(targets_quant!$P:$P=$G12)*(targets_quant!$F:$F=C$2)*(targets_quant!$G:$G=$E$2)*(targets_quant!$J:$J=$D$2))),"""")"),"")</f>
        <v/>
      </c>
      <c r="I12" s="27" t="str">
        <f>IFERROR(__xludf.DUMMYFUNCTION("if(G12, filter(targets_quant!$O:$O,targets_quant!$A:$A=$H12),"""")"),"")</f>
        <v/>
      </c>
      <c r="J12" s="27" t="str">
        <f>IFERROR(__xludf.DUMMYFUNCTION("if(G12, filter(ghg!$F:$F,(ghg!$B:$B=$A12)*(ghg!$E:$E=$I12)),"""")"),"")</f>
        <v/>
      </c>
      <c r="K12" s="27" t="str">
        <f>IFERROR(__xludf.DUMMYFUNCTION("IF($G12, filter(ghg!$G:$G,(ghg!$B:$B=$A12)*(ghg!$E:$E=$I12)),"""")"),"")</f>
        <v/>
      </c>
      <c r="L12" s="27" t="str">
        <f>IFERROR(__xludf.DUMMYFUNCTION("IF($G12, filter(ghg!$H:$H,(ghg!$B:$B=$A12)*(ghg!$E:$E=$I12)),"""")"),"")</f>
        <v/>
      </c>
      <c r="M12" s="27">
        <f t="shared" si="1"/>
        <v>0</v>
      </c>
      <c r="N12" s="27" t="str">
        <f>IFERROR(__xludf.DUMMYFUNCTION("IF($G12, filter(targets_quant!$N:$N,targets_quant!$A:$A=$H12),"""")"),"")</f>
        <v/>
      </c>
      <c r="O12" s="27">
        <f t="shared" si="2"/>
        <v>0</v>
      </c>
      <c r="P12" s="27">
        <f>VLOOKUP($A12,reporting!$A:$D,COLUMN(reporting!$D:$D),FALSE)</f>
        <v>2019</v>
      </c>
      <c r="Q12" s="27" t="str">
        <f>IFERROR(__xludf.DUMMYFUNCTION("IF($G12, filter(ghg!$F:$F,(ghg!$B:$B=$A12)*(ghg!$E:$E=$P12)),"""")"),"")</f>
        <v/>
      </c>
      <c r="R12" s="27" t="str">
        <f>IFERROR(__xludf.DUMMYFUNCTION("IF($G12, filter(ghg!$G:$G,(ghg!$B:$B=$A12)*(ghg!$E:$E=$P12)),"""")"),"")</f>
        <v/>
      </c>
      <c r="S12" s="27" t="str">
        <f>IFERROR(__xludf.DUMMYFUNCTION("IF($G12, filter(ghg!$H:$H,(ghg!$B:$B=$A12)*(ghg!$E:$E=$P12)),"""")"),"")</f>
        <v/>
      </c>
      <c r="T12" s="27">
        <f t="shared" si="3"/>
        <v>0</v>
      </c>
      <c r="U12" s="54" t="str">
        <f t="shared" si="4"/>
        <v/>
      </c>
      <c r="V12" s="27"/>
      <c r="W12" s="27"/>
      <c r="X12" s="27"/>
      <c r="Y12" s="27"/>
      <c r="Z12" s="27"/>
      <c r="AA12" s="30">
        <f t="shared" si="5"/>
        <v>0</v>
      </c>
      <c r="AB12" s="30">
        <f t="shared" si="6"/>
        <v>0</v>
      </c>
      <c r="AC12" s="49"/>
      <c r="AD12" s="26"/>
      <c r="AE12" s="26"/>
      <c r="AF12" s="26"/>
      <c r="AG12" s="26"/>
      <c r="AH12" s="26"/>
      <c r="AI12" s="26"/>
    </row>
    <row r="13" ht="12.75" customHeight="1">
      <c r="A13" s="23">
        <f t="shared" si="7"/>
        <v>11</v>
      </c>
      <c r="B13" s="27"/>
      <c r="C13" s="27"/>
      <c r="D13" s="27"/>
      <c r="E13" s="27"/>
      <c r="F13" s="27"/>
      <c r="G13" s="50" t="str">
        <f>IFERROR(__xludf.DUMMYFUNCTION("IFERROR(min(filter(targets_quant!$P:$P,(targets_quant!$B:$B=test6_1!$A13)*(targets_quant!$F:$F=C$2)*(targets_quant!$J:$J=D$2)*(targets_quant!$G:$G=E$2))),"""")"),"")</f>
        <v/>
      </c>
      <c r="H13" s="27" t="str">
        <f>IFERROR(__xludf.DUMMYFUNCTION("IF(G13, max(filter(targets_quant!$A:$A,(targets_quant!$B:$B=$A13)*(targets_quant!$P:$P=$G13)*(targets_quant!$F:$F=C$2)*(targets_quant!$G:$G=$E$2)*(targets_quant!$J:$J=$D$2))),"""")"),"")</f>
        <v/>
      </c>
      <c r="I13" s="27" t="str">
        <f>IFERROR(__xludf.DUMMYFUNCTION("if(G13, filter(targets_quant!$O:$O,targets_quant!$A:$A=$H13),"""")"),"")</f>
        <v/>
      </c>
      <c r="J13" s="27" t="str">
        <f>IFERROR(__xludf.DUMMYFUNCTION("if(G13, filter(ghg!$F:$F,(ghg!$B:$B=$A13)*(ghg!$E:$E=$I13)),"""")"),"")</f>
        <v/>
      </c>
      <c r="K13" s="27" t="str">
        <f>IFERROR(__xludf.DUMMYFUNCTION("IF($G13, filter(ghg!$G:$G,(ghg!$B:$B=$A13)*(ghg!$E:$E=$I13)),"""")"),"")</f>
        <v/>
      </c>
      <c r="L13" s="27" t="str">
        <f>IFERROR(__xludf.DUMMYFUNCTION("IF($G13, filter(ghg!$H:$H,(ghg!$B:$B=$A13)*(ghg!$E:$E=$I13)),"""")"),"")</f>
        <v/>
      </c>
      <c r="M13" s="27">
        <f t="shared" si="1"/>
        <v>0</v>
      </c>
      <c r="N13" s="27" t="str">
        <f>IFERROR(__xludf.DUMMYFUNCTION("IF($G13, filter(targets_quant!$N:$N,targets_quant!$A:$A=$H13),"""")"),"")</f>
        <v/>
      </c>
      <c r="O13" s="27">
        <f t="shared" si="2"/>
        <v>0</v>
      </c>
      <c r="P13" s="27">
        <f>VLOOKUP($A13,reporting!$A:$D,COLUMN(reporting!$D:$D),FALSE)</f>
        <v>2020</v>
      </c>
      <c r="Q13" s="27" t="str">
        <f>IFERROR(__xludf.DUMMYFUNCTION("IF($G13, filter(ghg!$F:$F,(ghg!$B:$B=$A13)*(ghg!$E:$E=$P13)),"""")"),"")</f>
        <v/>
      </c>
      <c r="R13" s="27" t="str">
        <f>IFERROR(__xludf.DUMMYFUNCTION("IF($G13, filter(ghg!$G:$G,(ghg!$B:$B=$A13)*(ghg!$E:$E=$P13)),"""")"),"")</f>
        <v/>
      </c>
      <c r="S13" s="27" t="str">
        <f>IFERROR(__xludf.DUMMYFUNCTION("IF($G13, filter(ghg!$H:$H,(ghg!$B:$B=$A13)*(ghg!$E:$E=$P13)),"""")"),"")</f>
        <v/>
      </c>
      <c r="T13" s="27">
        <f t="shared" si="3"/>
        <v>0</v>
      </c>
      <c r="U13" s="54" t="str">
        <f t="shared" si="4"/>
        <v/>
      </c>
      <c r="V13" s="27"/>
      <c r="W13" s="27"/>
      <c r="X13" s="27"/>
      <c r="Y13" s="27"/>
      <c r="Z13" s="27"/>
      <c r="AA13" s="30">
        <f t="shared" si="5"/>
        <v>0</v>
      </c>
      <c r="AB13" s="30">
        <f t="shared" si="6"/>
        <v>0</v>
      </c>
      <c r="AC13" s="49"/>
      <c r="AD13" s="26"/>
      <c r="AE13" s="26"/>
      <c r="AF13" s="26"/>
      <c r="AG13" s="26"/>
      <c r="AH13" s="26"/>
      <c r="AI13" s="26"/>
    </row>
    <row r="14" ht="12.75" customHeight="1">
      <c r="A14" s="23">
        <f t="shared" si="7"/>
        <v>12</v>
      </c>
      <c r="B14" s="27"/>
      <c r="C14" s="27"/>
      <c r="D14" s="27"/>
      <c r="E14" s="27"/>
      <c r="F14" s="27"/>
      <c r="G14" s="50" t="str">
        <f>IFERROR(__xludf.DUMMYFUNCTION("IFERROR(min(filter(targets_quant!$P:$P,(targets_quant!$B:$B=test6_1!$A14)*(targets_quant!$F:$F=C$2)*(targets_quant!$J:$J=D$2)*(targets_quant!$G:$G=E$2))),"""")"),"")</f>
        <v/>
      </c>
      <c r="H14" s="27" t="str">
        <f>IFERROR(__xludf.DUMMYFUNCTION("IF(G14, max(filter(targets_quant!$A:$A,(targets_quant!$B:$B=$A14)*(targets_quant!$P:$P=$G14)*(targets_quant!$F:$F=C$2)*(targets_quant!$G:$G=$E$2)*(targets_quant!$J:$J=$D$2))),"""")"),"")</f>
        <v/>
      </c>
      <c r="I14" s="27" t="str">
        <f>IFERROR(__xludf.DUMMYFUNCTION("if(G14, filter(targets_quant!$O:$O,targets_quant!$A:$A=$H14),"""")"),"")</f>
        <v/>
      </c>
      <c r="J14" s="27" t="str">
        <f>IFERROR(__xludf.DUMMYFUNCTION("if(G14, filter(ghg!$F:$F,(ghg!$B:$B=$A14)*(ghg!$E:$E=$I14)),"""")"),"")</f>
        <v/>
      </c>
      <c r="K14" s="27" t="str">
        <f>IFERROR(__xludf.DUMMYFUNCTION("IF($G14, filter(ghg!$G:$G,(ghg!$B:$B=$A14)*(ghg!$E:$E=$I14)),"""")"),"")</f>
        <v/>
      </c>
      <c r="L14" s="27" t="str">
        <f>IFERROR(__xludf.DUMMYFUNCTION("IF($G14, filter(ghg!$H:$H,(ghg!$B:$B=$A14)*(ghg!$E:$E=$I14)),"""")"),"")</f>
        <v/>
      </c>
      <c r="M14" s="27">
        <f t="shared" si="1"/>
        <v>0</v>
      </c>
      <c r="N14" s="27" t="str">
        <f>IFERROR(__xludf.DUMMYFUNCTION("IF($G14, filter(targets_quant!$N:$N,targets_quant!$A:$A=$H14),"""")"),"")</f>
        <v/>
      </c>
      <c r="O14" s="27">
        <f t="shared" si="2"/>
        <v>0</v>
      </c>
      <c r="P14" s="27">
        <f>VLOOKUP($A14,reporting!$A:$D,COLUMN(reporting!$D:$D),FALSE)</f>
        <v>2019</v>
      </c>
      <c r="Q14" s="27" t="str">
        <f>IFERROR(__xludf.DUMMYFUNCTION("IF($G14, filter(ghg!$F:$F,(ghg!$B:$B=$A14)*(ghg!$E:$E=$P14)),"""")"),"")</f>
        <v/>
      </c>
      <c r="R14" s="27" t="str">
        <f>IFERROR(__xludf.DUMMYFUNCTION("IF($G14, filter(ghg!$G:$G,(ghg!$B:$B=$A14)*(ghg!$E:$E=$P14)),"""")"),"")</f>
        <v/>
      </c>
      <c r="S14" s="27" t="str">
        <f>IFERROR(__xludf.DUMMYFUNCTION("IF($G14, filter(ghg!$H:$H,(ghg!$B:$B=$A14)*(ghg!$E:$E=$P14)),"""")"),"")</f>
        <v/>
      </c>
      <c r="T14" s="27">
        <f t="shared" si="3"/>
        <v>0</v>
      </c>
      <c r="U14" s="54" t="str">
        <f t="shared" si="4"/>
        <v/>
      </c>
      <c r="V14" s="27"/>
      <c r="W14" s="27"/>
      <c r="X14" s="27"/>
      <c r="Y14" s="27"/>
      <c r="Z14" s="27"/>
      <c r="AA14" s="30">
        <f t="shared" si="5"/>
        <v>0</v>
      </c>
      <c r="AB14" s="30">
        <f t="shared" si="6"/>
        <v>0</v>
      </c>
      <c r="AC14" s="49"/>
      <c r="AD14" s="26"/>
      <c r="AE14" s="26"/>
      <c r="AF14" s="26"/>
      <c r="AG14" s="26"/>
      <c r="AH14" s="26"/>
      <c r="AI14" s="26"/>
    </row>
    <row r="15" ht="12.75" customHeight="1">
      <c r="A15" s="23">
        <f t="shared" si="7"/>
        <v>13</v>
      </c>
      <c r="B15" s="27"/>
      <c r="C15" s="27"/>
      <c r="D15" s="27"/>
      <c r="E15" s="27"/>
      <c r="F15" s="27"/>
      <c r="G15" s="50">
        <f>IFERROR(__xludf.DUMMYFUNCTION("IFERROR(min(filter(targets_quant!$P:$P,(targets_quant!$B:$B=test6_1!$A15)*(targets_quant!$F:$F=C$2)*(targets_quant!$J:$J=D$2)*(targets_quant!$G:$G=E$2))),"""")"),2027.0)</f>
        <v>2027</v>
      </c>
      <c r="H15" s="27">
        <f>IFERROR(__xludf.DUMMYFUNCTION("IF(G15, max(filter(targets_quant!$A:$A,(targets_quant!$B:$B=$A15)*(targets_quant!$P:$P=$G15)*(targets_quant!$F:$F=C$2)*(targets_quant!$G:$G=$E$2)*(targets_quant!$J:$J=$D$2))),"""")"),23.0)</f>
        <v>23</v>
      </c>
      <c r="I15" s="27">
        <f>IFERROR(__xludf.DUMMYFUNCTION("if(G15, filter(targets_quant!$O:$O,targets_quant!$A:$A=$H15),"""")"),2019.0)</f>
        <v>2019</v>
      </c>
      <c r="J15" s="27">
        <f>IFERROR(__xludf.DUMMYFUNCTION("if(G15, filter(ghg!$F:$F,(ghg!$B:$B=$A15)*(ghg!$E:$E=$I15)),"""")"),135954.0)</f>
        <v>135954</v>
      </c>
      <c r="K15" s="27">
        <f>IFERROR(__xludf.DUMMYFUNCTION("IF($G15, filter(ghg!$G:$G,(ghg!$B:$B=$A15)*(ghg!$E:$E=$I15)),"""")"),173922.0)</f>
        <v>173922</v>
      </c>
      <c r="L15" s="27">
        <f>IFERROR(__xludf.DUMMYFUNCTION("IF($G15, filter(ghg!$H:$H,(ghg!$B:$B=$A15)*(ghg!$E:$E=$I15)),"""")"),160360.0)</f>
        <v>160360</v>
      </c>
      <c r="M15" s="27">
        <f t="shared" si="1"/>
        <v>296314</v>
      </c>
      <c r="N15" s="53">
        <f>IFERROR(__xludf.DUMMYFUNCTION("IF($G15, filter(targets_quant!$N:$N,targets_quant!$A:$A=$H15),"""")"),1.0)</f>
        <v>1</v>
      </c>
      <c r="O15" s="27">
        <f t="shared" si="2"/>
        <v>0</v>
      </c>
      <c r="P15" s="27">
        <f>VLOOKUP($A15,reporting!$A:$D,COLUMN(reporting!$D:$D),FALSE)</f>
        <v>2019</v>
      </c>
      <c r="Q15" s="27">
        <f>IFERROR(__xludf.DUMMYFUNCTION("IF($G15, filter(ghg!$F:$F,(ghg!$B:$B=$A15)*(ghg!$E:$E=$P15)),"""")"),135954.0)</f>
        <v>135954</v>
      </c>
      <c r="R15" s="27">
        <f>IFERROR(__xludf.DUMMYFUNCTION("IF($G15, filter(ghg!$G:$G,(ghg!$B:$B=$A15)*(ghg!$E:$E=$P15)),"""")"),173922.0)</f>
        <v>173922</v>
      </c>
      <c r="S15" s="27">
        <f>IFERROR(__xludf.DUMMYFUNCTION("IF($G15, filter(ghg!$H:$H,(ghg!$B:$B=$A15)*(ghg!$E:$E=$P15)),"""")"),160360.0)</f>
        <v>160360</v>
      </c>
      <c r="T15" s="27">
        <f t="shared" si="3"/>
        <v>296314</v>
      </c>
      <c r="U15" s="54">
        <f t="shared" si="4"/>
        <v>0.125</v>
      </c>
      <c r="V15" s="27"/>
      <c r="W15" s="27"/>
      <c r="X15" s="27"/>
      <c r="Y15" s="27"/>
      <c r="Z15" s="27"/>
      <c r="AA15" s="30">
        <f t="shared" si="5"/>
        <v>1</v>
      </c>
      <c r="AB15" s="30">
        <f t="shared" si="6"/>
        <v>0.05</v>
      </c>
      <c r="AC15" s="49"/>
      <c r="AD15" s="26"/>
      <c r="AE15" s="26"/>
      <c r="AF15" s="26"/>
      <c r="AG15" s="26"/>
      <c r="AH15" s="26"/>
      <c r="AI15" s="26"/>
    </row>
    <row r="16" ht="12.75" customHeight="1">
      <c r="A16" s="23">
        <f t="shared" si="7"/>
        <v>14</v>
      </c>
      <c r="B16" s="27"/>
      <c r="C16" s="27"/>
      <c r="D16" s="27"/>
      <c r="E16" s="27"/>
      <c r="F16" s="27"/>
      <c r="G16" s="50" t="str">
        <f>IFERROR(__xludf.DUMMYFUNCTION("IFERROR(min(filter(targets_quant!$P:$P,(targets_quant!$B:$B=test6_1!$A16)*(targets_quant!$F:$F=C$2)*(targets_quant!$J:$J=D$2)*(targets_quant!$G:$G=E$2))),"""")"),"")</f>
        <v/>
      </c>
      <c r="H16" s="27" t="str">
        <f>IFERROR(__xludf.DUMMYFUNCTION("IF(G16, max(filter(targets_quant!$A:$A,(targets_quant!$B:$B=$A16)*(targets_quant!$P:$P=$G16)*(targets_quant!$F:$F=C$2)*(targets_quant!$G:$G=$E$2)*(targets_quant!$J:$J=$D$2))),"""")"),"")</f>
        <v/>
      </c>
      <c r="I16" s="27" t="str">
        <f>IFERROR(__xludf.DUMMYFUNCTION("if(G16, filter(targets_quant!$O:$O,targets_quant!$A:$A=$H16),"""")"),"")</f>
        <v/>
      </c>
      <c r="J16" s="27" t="str">
        <f>IFERROR(__xludf.DUMMYFUNCTION("if(G16, filter(ghg!$F:$F,(ghg!$B:$B=$A16)*(ghg!$E:$E=$I16)),"""")"),"")</f>
        <v/>
      </c>
      <c r="K16" s="27" t="str">
        <f>IFERROR(__xludf.DUMMYFUNCTION("IF($G16, filter(ghg!$G:$G,(ghg!$B:$B=$A16)*(ghg!$E:$E=$I16)),"""")"),"")</f>
        <v/>
      </c>
      <c r="L16" s="27" t="str">
        <f>IFERROR(__xludf.DUMMYFUNCTION("IF($G16, filter(ghg!$H:$H,(ghg!$B:$B=$A16)*(ghg!$E:$E=$I16)),"""")"),"")</f>
        <v/>
      </c>
      <c r="M16" s="27">
        <f t="shared" si="1"/>
        <v>0</v>
      </c>
      <c r="N16" s="27" t="str">
        <f>IFERROR(__xludf.DUMMYFUNCTION("IF($G16, filter(targets_quant!$N:$N,targets_quant!$A:$A=$H16),"""")"),"")</f>
        <v/>
      </c>
      <c r="O16" s="27">
        <f t="shared" si="2"/>
        <v>0</v>
      </c>
      <c r="P16" s="27">
        <f>VLOOKUP($A16,reporting!$A:$D,COLUMN(reporting!$D:$D),FALSE)</f>
        <v>2020</v>
      </c>
      <c r="Q16" s="27" t="str">
        <f>IFERROR(__xludf.DUMMYFUNCTION("IF($G16, filter(ghg!$F:$F,(ghg!$B:$B=$A16)*(ghg!$E:$E=$P16)),"""")"),"")</f>
        <v/>
      </c>
      <c r="R16" s="27" t="str">
        <f>IFERROR(__xludf.DUMMYFUNCTION("IF($G16, filter(ghg!$G:$G,(ghg!$B:$B=$A16)*(ghg!$E:$E=$P16)),"""")"),"")</f>
        <v/>
      </c>
      <c r="S16" s="27" t="str">
        <f>IFERROR(__xludf.DUMMYFUNCTION("IF($G16, filter(ghg!$H:$H,(ghg!$B:$B=$A16)*(ghg!$E:$E=$P16)),"""")"),"")</f>
        <v/>
      </c>
      <c r="T16" s="27">
        <f t="shared" si="3"/>
        <v>0</v>
      </c>
      <c r="U16" s="54" t="str">
        <f t="shared" si="4"/>
        <v/>
      </c>
      <c r="V16" s="27"/>
      <c r="W16" s="27"/>
      <c r="X16" s="27"/>
      <c r="Y16" s="27"/>
      <c r="Z16" s="27"/>
      <c r="AA16" s="30">
        <f t="shared" si="5"/>
        <v>0</v>
      </c>
      <c r="AB16" s="30">
        <f t="shared" si="6"/>
        <v>0</v>
      </c>
      <c r="AC16" s="49"/>
      <c r="AD16" s="26"/>
      <c r="AE16" s="26"/>
      <c r="AF16" s="26"/>
      <c r="AG16" s="26"/>
      <c r="AH16" s="26"/>
      <c r="AI16" s="26"/>
    </row>
    <row r="17" ht="12.75" customHeight="1">
      <c r="A17" s="23">
        <f t="shared" si="7"/>
        <v>15</v>
      </c>
      <c r="B17" s="27"/>
      <c r="C17" s="27"/>
      <c r="D17" s="27"/>
      <c r="E17" s="27"/>
      <c r="F17" s="27"/>
      <c r="G17" s="50">
        <f>IFERROR(__xludf.DUMMYFUNCTION("IFERROR(min(filter(targets_quant!$P:$P,(targets_quant!$B:$B=test6_1!$A17)*(targets_quant!$F:$F=C$2)*(targets_quant!$J:$J=D$2)*(targets_quant!$G:$G=E$2))),"""")"),2030.0)</f>
        <v>2030</v>
      </c>
      <c r="H17" s="27">
        <f>IFERROR(__xludf.DUMMYFUNCTION("IF(G17, max(filter(targets_quant!$A:$A,(targets_quant!$B:$B=$A17)*(targets_quant!$P:$P=$G17)*(targets_quant!$F:$F=C$2)*(targets_quant!$G:$G=$E$2)*(targets_quant!$J:$J=$D$2))),"""")"),26.0)</f>
        <v>26</v>
      </c>
      <c r="I17" s="27">
        <f>IFERROR(__xludf.DUMMYFUNCTION("if(G17, filter(targets_quant!$O:$O,targets_quant!$A:$A=$H17),"""")"),2015.0)</f>
        <v>2015</v>
      </c>
      <c r="J17" s="27">
        <f>IFERROR(__xludf.DUMMYFUNCTION("if(G17, filter(ghg!$F:$F,(ghg!$B:$B=$A17)*(ghg!$E:$E=$I17)),"""")"),1134340.0)</f>
        <v>1134340</v>
      </c>
      <c r="K17" s="27">
        <f>IFERROR(__xludf.DUMMYFUNCTION("IF($G17, filter(ghg!$G:$G,(ghg!$B:$B=$A17)*(ghg!$E:$E=$I17)),"""")"),7694918.0)</f>
        <v>7694918</v>
      </c>
      <c r="L17" s="27" t="str">
        <f>IFERROR(__xludf.DUMMYFUNCTION("IF($G17, filter(ghg!$H:$H,(ghg!$B:$B=$A17)*(ghg!$E:$E=$I17)),"""")"),"")</f>
        <v/>
      </c>
      <c r="M17" s="27">
        <f t="shared" si="1"/>
        <v>8829258</v>
      </c>
      <c r="N17" s="53">
        <f>IFERROR(__xludf.DUMMYFUNCTION("IF($G17, filter(targets_quant!$N:$N,targets_quant!$A:$A=$H17),"""")"),0.63)</f>
        <v>0.63</v>
      </c>
      <c r="O17" s="27">
        <f t="shared" si="2"/>
        <v>3266825.46</v>
      </c>
      <c r="P17" s="27">
        <f>VLOOKUP($A17,reporting!$A:$D,COLUMN(reporting!$D:$D),FALSE)</f>
        <v>2019</v>
      </c>
      <c r="Q17" s="27">
        <f>IFERROR(__xludf.DUMMYFUNCTION("IF($G17, filter(ghg!$F:$F,(ghg!$B:$B=$A17)*(ghg!$E:$E=$P17)),"""")"),990955.0)</f>
        <v>990955</v>
      </c>
      <c r="R17" s="27">
        <f>IFERROR(__xludf.DUMMYFUNCTION("IF($G17, filter(ghg!$G:$G,(ghg!$B:$B=$A17)*(ghg!$E:$E=$P17)),"""")"),6015122.0)</f>
        <v>6015122</v>
      </c>
      <c r="S17" s="27">
        <f>IFERROR(__xludf.DUMMYFUNCTION("IF($G17, filter(ghg!$H:$H,(ghg!$B:$B=$A17)*(ghg!$E:$E=$P17)),"""")"),5534088.0)</f>
        <v>5534088</v>
      </c>
      <c r="T17" s="27">
        <f t="shared" si="3"/>
        <v>6525043</v>
      </c>
      <c r="U17" s="54">
        <f t="shared" si="4"/>
        <v>0.04539458124</v>
      </c>
      <c r="V17" s="27"/>
      <c r="W17" s="27"/>
      <c r="X17" s="27"/>
      <c r="Y17" s="27"/>
      <c r="Z17" s="27"/>
      <c r="AA17" s="30">
        <f t="shared" si="5"/>
        <v>0.9078916248</v>
      </c>
      <c r="AB17" s="30">
        <f t="shared" si="6"/>
        <v>0.04539458124</v>
      </c>
      <c r="AC17" s="49"/>
      <c r="AD17" s="26"/>
      <c r="AE17" s="26"/>
      <c r="AF17" s="26"/>
      <c r="AG17" s="26"/>
      <c r="AH17" s="26"/>
      <c r="AI17" s="26"/>
    </row>
    <row r="18" ht="12.75" customHeight="1">
      <c r="A18" s="23">
        <f t="shared" si="7"/>
        <v>16</v>
      </c>
      <c r="B18" s="27"/>
      <c r="C18" s="27"/>
      <c r="D18" s="27"/>
      <c r="E18" s="27"/>
      <c r="F18" s="27"/>
      <c r="G18" s="50" t="str">
        <f>IFERROR(__xludf.DUMMYFUNCTION("IFERROR(min(filter(targets_quant!$P:$P,(targets_quant!$B:$B=test6_1!$A18)*(targets_quant!$F:$F=C$2)*(targets_quant!$J:$J=D$2)*(targets_quant!$G:$G=E$2))),"""")"),"")</f>
        <v/>
      </c>
      <c r="H18" s="27" t="str">
        <f>IFERROR(__xludf.DUMMYFUNCTION("IF(G18, max(filter(targets_quant!$A:$A,(targets_quant!$B:$B=$A18)*(targets_quant!$P:$P=$G18)*(targets_quant!$F:$F=C$2)*(targets_quant!$G:$G=$E$2)*(targets_quant!$J:$J=$D$2))),"""")"),"")</f>
        <v/>
      </c>
      <c r="I18" s="27" t="str">
        <f>IFERROR(__xludf.DUMMYFUNCTION("if(G18, filter(targets_quant!$O:$O,targets_quant!$A:$A=$H18),"""")"),"")</f>
        <v/>
      </c>
      <c r="J18" s="27" t="str">
        <f>IFERROR(__xludf.DUMMYFUNCTION("if(G18, filter(ghg!$F:$F,(ghg!$B:$B=$A18)*(ghg!$E:$E=$I18)),"""")"),"")</f>
        <v/>
      </c>
      <c r="K18" s="27" t="str">
        <f>IFERROR(__xludf.DUMMYFUNCTION("IF($G18, filter(ghg!$G:$G,(ghg!$B:$B=$A18)*(ghg!$E:$E=$I18)),"""")"),"")</f>
        <v/>
      </c>
      <c r="L18" s="27" t="str">
        <f>IFERROR(__xludf.DUMMYFUNCTION("IF($G18, filter(ghg!$H:$H,(ghg!$B:$B=$A18)*(ghg!$E:$E=$I18)),"""")"),"")</f>
        <v/>
      </c>
      <c r="M18" s="27">
        <f t="shared" si="1"/>
        <v>0</v>
      </c>
      <c r="N18" s="27" t="str">
        <f>IFERROR(__xludf.DUMMYFUNCTION("IF($G18, filter(targets_quant!$N:$N,targets_quant!$A:$A=$H18),"""")"),"")</f>
        <v/>
      </c>
      <c r="O18" s="27">
        <f t="shared" si="2"/>
        <v>0</v>
      </c>
      <c r="P18" s="27">
        <f>VLOOKUP($A18,reporting!$A:$D,COLUMN(reporting!$D:$D),FALSE)</f>
        <v>2020</v>
      </c>
      <c r="Q18" s="27" t="str">
        <f>IFERROR(__xludf.DUMMYFUNCTION("IF($G18, filter(ghg!$F:$F,(ghg!$B:$B=$A18)*(ghg!$E:$E=$P18)),"""")"),"")</f>
        <v/>
      </c>
      <c r="R18" s="27" t="str">
        <f>IFERROR(__xludf.DUMMYFUNCTION("IF($G18, filter(ghg!$G:$G,(ghg!$B:$B=$A18)*(ghg!$E:$E=$P18)),"""")"),"")</f>
        <v/>
      </c>
      <c r="S18" s="27" t="str">
        <f>IFERROR(__xludf.DUMMYFUNCTION("IF($G18, filter(ghg!$H:$H,(ghg!$B:$B=$A18)*(ghg!$E:$E=$P18)),"""")"),"")</f>
        <v/>
      </c>
      <c r="T18" s="27">
        <f t="shared" si="3"/>
        <v>0</v>
      </c>
      <c r="U18" s="54" t="str">
        <f t="shared" si="4"/>
        <v/>
      </c>
      <c r="V18" s="27"/>
      <c r="W18" s="27"/>
      <c r="X18" s="27"/>
      <c r="Y18" s="27"/>
      <c r="Z18" s="27"/>
      <c r="AA18" s="30">
        <f t="shared" si="5"/>
        <v>0</v>
      </c>
      <c r="AB18" s="30">
        <f t="shared" si="6"/>
        <v>0</v>
      </c>
      <c r="AC18" s="49"/>
      <c r="AD18" s="26"/>
      <c r="AE18" s="26"/>
      <c r="AF18" s="26"/>
      <c r="AG18" s="26"/>
      <c r="AH18" s="26"/>
      <c r="AI18" s="26"/>
    </row>
    <row r="19" ht="12.75" customHeight="1">
      <c r="A19" s="23">
        <f t="shared" si="7"/>
        <v>17</v>
      </c>
      <c r="B19" s="27"/>
      <c r="C19" s="27"/>
      <c r="D19" s="27"/>
      <c r="E19" s="27"/>
      <c r="F19" s="27"/>
      <c r="G19" s="50" t="str">
        <f>IFERROR(__xludf.DUMMYFUNCTION("IFERROR(min(filter(targets_quant!$P:$P,(targets_quant!$B:$B=test6_1!$A19)*(targets_quant!$F:$F=C$2)*(targets_quant!$J:$J=D$2)*(targets_quant!$G:$G=E$2))),"""")"),"")</f>
        <v/>
      </c>
      <c r="H19" s="27" t="str">
        <f>IFERROR(__xludf.DUMMYFUNCTION("IF(G19, max(filter(targets_quant!$A:$A,(targets_quant!$B:$B=$A19)*(targets_quant!$P:$P=$G19)*(targets_quant!$F:$F=C$2)*(targets_quant!$G:$G=$E$2)*(targets_quant!$J:$J=$D$2))),"""")"),"")</f>
        <v/>
      </c>
      <c r="I19" s="27" t="str">
        <f>IFERROR(__xludf.DUMMYFUNCTION("if(G19, filter(targets_quant!$O:$O,targets_quant!$A:$A=$H19),"""")"),"")</f>
        <v/>
      </c>
      <c r="J19" s="27" t="str">
        <f>IFERROR(__xludf.DUMMYFUNCTION("if(G19, filter(ghg!$F:$F,(ghg!$B:$B=$A19)*(ghg!$E:$E=$I19)),"""")"),"")</f>
        <v/>
      </c>
      <c r="K19" s="27" t="str">
        <f>IFERROR(__xludf.DUMMYFUNCTION("IF($G19, filter(ghg!$G:$G,(ghg!$B:$B=$A19)*(ghg!$E:$E=$I19)),"""")"),"")</f>
        <v/>
      </c>
      <c r="L19" s="27" t="str">
        <f>IFERROR(__xludf.DUMMYFUNCTION("IF($G19, filter(ghg!$H:$H,(ghg!$B:$B=$A19)*(ghg!$E:$E=$I19)),"""")"),"")</f>
        <v/>
      </c>
      <c r="M19" s="27">
        <f t="shared" si="1"/>
        <v>0</v>
      </c>
      <c r="N19" s="27" t="str">
        <f>IFERROR(__xludf.DUMMYFUNCTION("IF($G19, filter(targets_quant!$N:$N,targets_quant!$A:$A=$H19),"""")"),"")</f>
        <v/>
      </c>
      <c r="O19" s="27">
        <f t="shared" si="2"/>
        <v>0</v>
      </c>
      <c r="P19" s="27" t="str">
        <f>VLOOKUP($A19,reporting!$A:$D,COLUMN(reporting!$D:$D),FALSE)</f>
        <v>NR</v>
      </c>
      <c r="Q19" s="27" t="str">
        <f>IFERROR(__xludf.DUMMYFUNCTION("IF($G19, filter(ghg!$F:$F,(ghg!$B:$B=$A19)*(ghg!$E:$E=$P19)),"""")"),"")</f>
        <v/>
      </c>
      <c r="R19" s="27" t="str">
        <f>IFERROR(__xludf.DUMMYFUNCTION("IF($G19, filter(ghg!$G:$G,(ghg!$B:$B=$A19)*(ghg!$E:$E=$P19)),"""")"),"")</f>
        <v/>
      </c>
      <c r="S19" s="27" t="str">
        <f>IFERROR(__xludf.DUMMYFUNCTION("IF($G19, filter(ghg!$H:$H,(ghg!$B:$B=$A19)*(ghg!$E:$E=$P19)),"""")"),"")</f>
        <v/>
      </c>
      <c r="T19" s="27">
        <f t="shared" si="3"/>
        <v>0</v>
      </c>
      <c r="U19" s="54" t="str">
        <f t="shared" si="4"/>
        <v/>
      </c>
      <c r="V19" s="27"/>
      <c r="W19" s="27"/>
      <c r="X19" s="27"/>
      <c r="Y19" s="27"/>
      <c r="Z19" s="27"/>
      <c r="AA19" s="30">
        <f t="shared" si="5"/>
        <v>0</v>
      </c>
      <c r="AB19" s="30">
        <f t="shared" si="6"/>
        <v>0</v>
      </c>
      <c r="AC19" s="49"/>
      <c r="AD19" s="26"/>
      <c r="AE19" s="26"/>
      <c r="AF19" s="26"/>
      <c r="AG19" s="26"/>
      <c r="AH19" s="26"/>
      <c r="AI19" s="26"/>
    </row>
    <row r="20" ht="12.75" customHeight="1">
      <c r="A20" s="23">
        <f t="shared" si="7"/>
        <v>18</v>
      </c>
      <c r="B20" s="27"/>
      <c r="C20" s="27"/>
      <c r="D20" s="27"/>
      <c r="E20" s="27"/>
      <c r="F20" s="27"/>
      <c r="G20" s="50">
        <f>IFERROR(__xludf.DUMMYFUNCTION("IFERROR(min(filter(targets_quant!$P:$P,(targets_quant!$B:$B=test6_1!$A20)*(targets_quant!$F:$F=C$2)*(targets_quant!$J:$J=D$2)*(targets_quant!$G:$G=E$2))),"""")"),2032.0)</f>
        <v>2032</v>
      </c>
      <c r="H20" s="27">
        <f>IFERROR(__xludf.DUMMYFUNCTION("IF(G20, max(filter(targets_quant!$A:$A,(targets_quant!$B:$B=$A20)*(targets_quant!$P:$P=$G20)*(targets_quant!$F:$F=C$2)*(targets_quant!$G:$G=$E$2)*(targets_quant!$J:$J=$D$2))),"""")"),31.0)</f>
        <v>31</v>
      </c>
      <c r="I20" s="27">
        <f>IFERROR(__xludf.DUMMYFUNCTION("if(G20, filter(targets_quant!$O:$O,targets_quant!$A:$A=$H20),"""")"),2019.0)</f>
        <v>2019</v>
      </c>
      <c r="J20" s="27">
        <f>IFERROR(__xludf.DUMMYFUNCTION("if(G20, filter(ghg!$F:$F,(ghg!$B:$B=$A20)*(ghg!$E:$E=$I20)),"""")"),67447.0)</f>
        <v>67447</v>
      </c>
      <c r="K20" s="27">
        <f>IFERROR(__xludf.DUMMYFUNCTION("IF($G20, filter(ghg!$G:$G,(ghg!$B:$B=$A20)*(ghg!$E:$E=$I20)),"""")"),37712.0)</f>
        <v>37712</v>
      </c>
      <c r="L20" s="27">
        <f>IFERROR(__xludf.DUMMYFUNCTION("IF($G20, filter(ghg!$H:$H,(ghg!$B:$B=$A20)*(ghg!$E:$E=$I20)),"""")"),106.0)</f>
        <v>106</v>
      </c>
      <c r="M20" s="27">
        <f t="shared" si="1"/>
        <v>67553</v>
      </c>
      <c r="N20" s="53">
        <f>IFERROR(__xludf.DUMMYFUNCTION("IF($G20, filter(targets_quant!$N:$N,targets_quant!$A:$A=$H20),"""")"),0.55)</f>
        <v>0.55</v>
      </c>
      <c r="O20" s="27">
        <f t="shared" si="2"/>
        <v>30398.85</v>
      </c>
      <c r="P20" s="27">
        <f>VLOOKUP($A20,reporting!$A:$D,COLUMN(reporting!$D:$D),FALSE)</f>
        <v>2020</v>
      </c>
      <c r="Q20" s="27">
        <f>IFERROR(__xludf.DUMMYFUNCTION("IF($G20, filter(ghg!$F:$F,(ghg!$B:$B=$A20)*(ghg!$E:$E=$P20)),"""")"),57553.0)</f>
        <v>57553</v>
      </c>
      <c r="R20" s="27">
        <f>IFERROR(__xludf.DUMMYFUNCTION("IF($G20, filter(ghg!$G:$G,(ghg!$B:$B=$A20)*(ghg!$E:$E=$P20)),"""")"),36953.0)</f>
        <v>36953</v>
      </c>
      <c r="S20" s="27">
        <f>IFERROR(__xludf.DUMMYFUNCTION("IF($G20, filter(ghg!$H:$H,(ghg!$B:$B=$A20)*(ghg!$E:$E=$P20)),"""")"),183.0)</f>
        <v>183</v>
      </c>
      <c r="T20" s="27">
        <f t="shared" si="3"/>
        <v>57736</v>
      </c>
      <c r="U20" s="54">
        <f t="shared" si="4"/>
        <v>0.03945711226</v>
      </c>
      <c r="V20" s="27"/>
      <c r="W20" s="27"/>
      <c r="X20" s="27"/>
      <c r="Y20" s="27"/>
      <c r="Z20" s="27"/>
      <c r="AA20" s="30">
        <f t="shared" si="5"/>
        <v>0.7891422452</v>
      </c>
      <c r="AB20" s="30">
        <f t="shared" si="6"/>
        <v>0.03945711226</v>
      </c>
      <c r="AC20" s="49"/>
      <c r="AD20" s="26"/>
      <c r="AE20" s="26"/>
      <c r="AF20" s="26"/>
      <c r="AG20" s="26"/>
      <c r="AH20" s="26"/>
      <c r="AI20" s="26"/>
    </row>
    <row r="21" ht="12.75" customHeight="1">
      <c r="A21" s="23">
        <f t="shared" si="7"/>
        <v>19</v>
      </c>
      <c r="B21" s="27"/>
      <c r="C21" s="27"/>
      <c r="D21" s="27"/>
      <c r="E21" s="27"/>
      <c r="F21" s="27"/>
      <c r="G21" s="50" t="str">
        <f>IFERROR(__xludf.DUMMYFUNCTION("IFERROR(min(filter(targets_quant!$P:$P,(targets_quant!$B:$B=test6_1!$A21)*(targets_quant!$F:$F=C$2)*(targets_quant!$J:$J=D$2)*(targets_quant!$G:$G=E$2))),"""")"),"")</f>
        <v/>
      </c>
      <c r="H21" s="27" t="str">
        <f>IFERROR(__xludf.DUMMYFUNCTION("IF(G21, max(filter(targets_quant!$A:$A,(targets_quant!$B:$B=$A21)*(targets_quant!$P:$P=$G21)*(targets_quant!$F:$F=C$2)*(targets_quant!$G:$G=$E$2)*(targets_quant!$J:$J=$D$2))),"""")"),"")</f>
        <v/>
      </c>
      <c r="I21" s="27" t="str">
        <f>IFERROR(__xludf.DUMMYFUNCTION("if(G21, filter(targets_quant!$O:$O,targets_quant!$A:$A=$H21),"""")"),"")</f>
        <v/>
      </c>
      <c r="J21" s="27" t="str">
        <f>IFERROR(__xludf.DUMMYFUNCTION("if(G21, filter(ghg!$F:$F,(ghg!$B:$B=$A21)*(ghg!$E:$E=$I21)),"""")"),"")</f>
        <v/>
      </c>
      <c r="K21" s="27" t="str">
        <f>IFERROR(__xludf.DUMMYFUNCTION("IF($G21, filter(ghg!$G:$G,(ghg!$B:$B=$A21)*(ghg!$E:$E=$I21)),"""")"),"")</f>
        <v/>
      </c>
      <c r="L21" s="27" t="str">
        <f>IFERROR(__xludf.DUMMYFUNCTION("IF($G21, filter(ghg!$H:$H,(ghg!$B:$B=$A21)*(ghg!$E:$E=$I21)),"""")"),"")</f>
        <v/>
      </c>
      <c r="M21" s="27">
        <f t="shared" si="1"/>
        <v>0</v>
      </c>
      <c r="N21" s="27" t="str">
        <f>IFERROR(__xludf.DUMMYFUNCTION("IF($G21, filter(targets_quant!$N:$N,targets_quant!$A:$A=$H21),"""")"),"")</f>
        <v/>
      </c>
      <c r="O21" s="27">
        <f t="shared" si="2"/>
        <v>0</v>
      </c>
      <c r="P21" s="27">
        <f>VLOOKUP($A21,reporting!$A:$D,COLUMN(reporting!$D:$D),FALSE)</f>
        <v>2020</v>
      </c>
      <c r="Q21" s="27" t="str">
        <f>IFERROR(__xludf.DUMMYFUNCTION("IF($G21, filter(ghg!$F:$F,(ghg!$B:$B=$A21)*(ghg!$E:$E=$P21)),"""")"),"")</f>
        <v/>
      </c>
      <c r="R21" s="27" t="str">
        <f>IFERROR(__xludf.DUMMYFUNCTION("IF($G21, filter(ghg!$G:$G,(ghg!$B:$B=$A21)*(ghg!$E:$E=$P21)),"""")"),"")</f>
        <v/>
      </c>
      <c r="S21" s="27" t="str">
        <f>IFERROR(__xludf.DUMMYFUNCTION("IF($G21, filter(ghg!$H:$H,(ghg!$B:$B=$A21)*(ghg!$E:$E=$P21)),"""")"),"")</f>
        <v/>
      </c>
      <c r="T21" s="27">
        <f t="shared" si="3"/>
        <v>0</v>
      </c>
      <c r="U21" s="54" t="str">
        <f t="shared" si="4"/>
        <v/>
      </c>
      <c r="V21" s="27"/>
      <c r="W21" s="27"/>
      <c r="X21" s="27"/>
      <c r="Y21" s="27"/>
      <c r="Z21" s="27"/>
      <c r="AA21" s="30">
        <f t="shared" si="5"/>
        <v>0</v>
      </c>
      <c r="AB21" s="30">
        <f t="shared" si="6"/>
        <v>0</v>
      </c>
      <c r="AC21" s="49"/>
      <c r="AD21" s="26"/>
      <c r="AE21" s="26"/>
      <c r="AF21" s="26"/>
      <c r="AG21" s="26"/>
      <c r="AH21" s="26"/>
      <c r="AI21" s="26"/>
    </row>
    <row r="22" ht="12.75" customHeight="1">
      <c r="A22" s="31">
        <v>66.0</v>
      </c>
      <c r="B22" s="27"/>
      <c r="C22" s="27"/>
      <c r="D22" s="27"/>
      <c r="E22" s="27"/>
      <c r="F22" s="27"/>
      <c r="G22" s="50" t="str">
        <f>IFERROR(__xludf.DUMMYFUNCTION("IFERROR(min(filter(targets_quant!$P:$P,(targets_quant!$B:$B=test6_1!$A22)*(targets_quant!$F:$F=C$2)*(targets_quant!$J:$J=D$2)*(targets_quant!$G:$G=E$2))),"""")"),"")</f>
        <v/>
      </c>
      <c r="H22" s="27" t="str">
        <f>IFERROR(__xludf.DUMMYFUNCTION("IF(G22, max(filter(targets_quant!$A:$A,(targets_quant!$B:$B=$A22)*(targets_quant!$P:$P=$G22)*(targets_quant!$F:$F=C$2)*(targets_quant!$G:$G=$E$2)*(targets_quant!$J:$J=$D$2))),"""")"),"")</f>
        <v/>
      </c>
      <c r="I22" s="27" t="str">
        <f>IFERROR(__xludf.DUMMYFUNCTION("if(G22, filter(targets_quant!$O:$O,targets_quant!$A:$A=$H22),"""")"),"")</f>
        <v/>
      </c>
      <c r="J22" s="27" t="str">
        <f>IFERROR(__xludf.DUMMYFUNCTION("if(G22, filter(ghg!$F:$F,(ghg!$B:$B=$A22)*(ghg!$E:$E=$I22)),"""")"),"")</f>
        <v/>
      </c>
      <c r="K22" s="27" t="str">
        <f>IFERROR(__xludf.DUMMYFUNCTION("IF($G22, filter(ghg!$G:$G,(ghg!$B:$B=$A22)*(ghg!$E:$E=$I22)),"""")"),"")</f>
        <v/>
      </c>
      <c r="L22" s="27" t="str">
        <f>IFERROR(__xludf.DUMMYFUNCTION("IF($G22, filter(ghg!$H:$H,(ghg!$B:$B=$A22)*(ghg!$E:$E=$I22)),"""")"),"")</f>
        <v/>
      </c>
      <c r="M22" s="27">
        <f t="shared" si="1"/>
        <v>0</v>
      </c>
      <c r="N22" s="27" t="str">
        <f>IFERROR(__xludf.DUMMYFUNCTION("IF($G22, filter(targets_quant!$N:$N,targets_quant!$A:$A=$H22),"""")"),"")</f>
        <v/>
      </c>
      <c r="O22" s="27">
        <f t="shared" si="2"/>
        <v>0</v>
      </c>
      <c r="P22" s="27">
        <f>VLOOKUP($A22,reporting!$A:$D,COLUMN(reporting!$D:$D),FALSE)</f>
        <v>2020</v>
      </c>
      <c r="Q22" s="27" t="str">
        <f>IFERROR(__xludf.DUMMYFUNCTION("IF($G22, filter(ghg!$F:$F,(ghg!$B:$B=$A22)*(ghg!$E:$E=$P22)),"""")"),"")</f>
        <v/>
      </c>
      <c r="R22" s="27" t="str">
        <f>IFERROR(__xludf.DUMMYFUNCTION("IF($G22, filter(ghg!$G:$G,(ghg!$B:$B=$A22)*(ghg!$E:$E=$P22)),"""")"),"")</f>
        <v/>
      </c>
      <c r="S22" s="27" t="str">
        <f>IFERROR(__xludf.DUMMYFUNCTION("IF($G22, filter(ghg!$H:$H,(ghg!$B:$B=$A22)*(ghg!$E:$E=$P22)),"""")"),"")</f>
        <v/>
      </c>
      <c r="T22" s="27">
        <f t="shared" si="3"/>
        <v>0</v>
      </c>
      <c r="U22" s="54" t="str">
        <f t="shared" si="4"/>
        <v/>
      </c>
      <c r="V22" s="27"/>
      <c r="W22" s="27"/>
      <c r="X22" s="27"/>
      <c r="Y22" s="27"/>
      <c r="Z22" s="27"/>
      <c r="AA22" s="30">
        <f t="shared" si="5"/>
        <v>0</v>
      </c>
      <c r="AB22" s="30">
        <f t="shared" si="6"/>
        <v>0</v>
      </c>
      <c r="AC22" s="49"/>
      <c r="AD22" s="26"/>
      <c r="AE22" s="26"/>
      <c r="AF22" s="26"/>
      <c r="AG22" s="26"/>
      <c r="AH22" s="26"/>
      <c r="AI22" s="26"/>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43"/>
    <col customWidth="1" min="2" max="2" width="5.43"/>
    <col customWidth="1" min="3" max="5" width="10.0"/>
    <col customWidth="1" min="6" max="6" width="13.86"/>
    <col customWidth="1" min="7" max="7" width="17.71"/>
    <col customWidth="1" min="8" max="8" width="17.0"/>
    <col customWidth="1" min="9" max="9" width="9.86"/>
    <col customWidth="1" min="10" max="10" width="19.14"/>
    <col customWidth="1" min="11" max="16" width="19.86"/>
    <col customWidth="1" min="17" max="17" width="17.0"/>
    <col customWidth="1" min="18" max="18" width="26.29"/>
    <col customWidth="1" min="19" max="23" width="17.14"/>
    <col customWidth="1" min="24" max="29" width="9.43"/>
    <col customWidth="1" min="30" max="30" width="11.71"/>
    <col customWidth="1" min="31" max="31" width="5.71"/>
    <col customWidth="1" min="32" max="37" width="8.71"/>
  </cols>
  <sheetData>
    <row r="1" ht="12.75" customHeight="1">
      <c r="A1" s="17" t="s">
        <v>2</v>
      </c>
      <c r="B1" s="19"/>
      <c r="C1" s="19" t="s">
        <v>599</v>
      </c>
      <c r="D1" s="19" t="s">
        <v>594</v>
      </c>
      <c r="E1" s="19" t="s">
        <v>600</v>
      </c>
      <c r="F1" s="19" t="s">
        <v>601</v>
      </c>
      <c r="G1" s="19" t="s">
        <v>557</v>
      </c>
      <c r="H1" s="19"/>
      <c r="I1" s="19"/>
      <c r="J1" s="19"/>
      <c r="K1" s="19"/>
      <c r="L1" s="19"/>
      <c r="M1" s="19"/>
      <c r="N1" s="19"/>
      <c r="O1" s="19"/>
      <c r="P1" s="19"/>
      <c r="Q1" s="19"/>
      <c r="R1" s="19"/>
      <c r="S1" s="19"/>
      <c r="T1" s="19"/>
      <c r="U1" s="19"/>
      <c r="V1" s="19"/>
      <c r="W1" s="19"/>
      <c r="X1" s="19"/>
      <c r="Y1" s="19"/>
      <c r="Z1" s="19" t="s">
        <v>602</v>
      </c>
      <c r="AA1" s="19" t="s">
        <v>587</v>
      </c>
      <c r="AB1" s="19" t="s">
        <v>588</v>
      </c>
      <c r="AC1" s="20" t="s">
        <v>531</v>
      </c>
      <c r="AD1" s="21" t="s">
        <v>548</v>
      </c>
      <c r="AE1" s="46"/>
    </row>
    <row r="2">
      <c r="A2" s="23"/>
      <c r="B2" s="24"/>
      <c r="C2" s="24" t="s">
        <v>603</v>
      </c>
      <c r="D2" s="24" t="s">
        <v>593</v>
      </c>
      <c r="E2" s="48" t="s">
        <v>582</v>
      </c>
      <c r="F2" s="48" t="s">
        <v>604</v>
      </c>
      <c r="G2" s="48" t="s">
        <v>601</v>
      </c>
      <c r="H2" s="48" t="s">
        <v>605</v>
      </c>
      <c r="I2" s="48" t="s">
        <v>606</v>
      </c>
      <c r="J2" s="48" t="s">
        <v>607</v>
      </c>
      <c r="K2" s="48" t="s">
        <v>608</v>
      </c>
      <c r="L2" s="48" t="s">
        <v>609</v>
      </c>
      <c r="M2" s="48" t="s">
        <v>618</v>
      </c>
      <c r="N2" s="48" t="s">
        <v>619</v>
      </c>
      <c r="O2" s="48" t="s">
        <v>611</v>
      </c>
      <c r="P2" s="48" t="s">
        <v>612</v>
      </c>
      <c r="Q2" s="48" t="s">
        <v>534</v>
      </c>
      <c r="R2" s="48" t="s">
        <v>613</v>
      </c>
      <c r="S2" s="48" t="s">
        <v>614</v>
      </c>
      <c r="T2" s="48" t="s">
        <v>615</v>
      </c>
      <c r="U2" s="48" t="s">
        <v>620</v>
      </c>
      <c r="V2" s="48" t="s">
        <v>621</v>
      </c>
      <c r="W2" s="48" t="s">
        <v>617</v>
      </c>
      <c r="X2" s="48"/>
      <c r="Y2" s="48"/>
      <c r="Z2" s="48"/>
      <c r="AA2" s="52">
        <v>0.0</v>
      </c>
      <c r="AB2" s="52">
        <v>0.05</v>
      </c>
      <c r="AC2" s="25"/>
      <c r="AD2" s="25">
        <v>0.05</v>
      </c>
      <c r="AE2" s="47"/>
      <c r="AF2" s="26"/>
      <c r="AG2" s="26"/>
      <c r="AH2" s="26"/>
      <c r="AI2" s="26"/>
      <c r="AJ2" s="26"/>
      <c r="AK2" s="26"/>
    </row>
    <row r="3" ht="12.75" customHeight="1">
      <c r="A3" s="23">
        <v>1.0</v>
      </c>
      <c r="B3" s="27"/>
      <c r="C3" s="27"/>
      <c r="D3" s="27"/>
      <c r="E3" s="27"/>
      <c r="F3" s="27"/>
      <c r="G3" s="50" t="str">
        <f>IFERROR(__xludf.DUMMYFUNCTION("IFERROR(min(filter(targets_quant!$P:$P,(targets_quant!$B:$B=test6_2!$A3)*(targets_quant!$F:$F=C$2)*(targets_quant!$J:$J=D$2)*(targets_quant!$G:$G=E$2))),"""")"),"")</f>
        <v/>
      </c>
      <c r="H3" s="27" t="str">
        <f>IFERROR(__xludf.DUMMYFUNCTION("IF(G3, max(filter(targets_quant!$A:$A,(targets_quant!$B:$B=$A3)*(targets_quant!$P:$P=$G3)*(targets_quant!$F:$F=C$2)*(targets_quant!$G:$G=$E$2)*(targets_quant!$J:$J=$D$2))),"""")"),"")</f>
        <v/>
      </c>
      <c r="I3" s="27" t="str">
        <f>IFERROR(__xludf.DUMMYFUNCTION("if(G3, filter(targets_quant!$O:$O,targets_quant!$A:$A=$H3),"""")"),"")</f>
        <v/>
      </c>
      <c r="J3" s="27" t="str">
        <f>IFERROR(__xludf.DUMMYFUNCTION("IF($G3, filter(ghg!$F:$F,(ghg!$B:$B=$A3)*(ghg!$E:$E=$I3)),"""")"),"")</f>
        <v/>
      </c>
      <c r="K3" s="27" t="str">
        <f>IFERROR(__xludf.DUMMYFUNCTION("IF($G3, filter(ghg!$G:$G,(ghg!$B:$B=$A3)*(ghg!$E:$E=$I3)),"""")"),"")</f>
        <v/>
      </c>
      <c r="L3" s="27" t="str">
        <f>IFERROR(__xludf.DUMMYFUNCTION("IF($G3, filter(ghg!$H:$H,(ghg!$B:$B=$A3)*(ghg!$E:$E=$I3)),"""")"),"")</f>
        <v/>
      </c>
      <c r="M3" s="27" t="str">
        <f>IFERROR(__xludf.DUMMYFUNCTION("IF($G3, filter(ghg!$J:$J,(ghg!$B:$B=$A3)*(ghg!$E:$E=$I3)),"""")"),"")</f>
        <v/>
      </c>
      <c r="N3" s="27">
        <f t="shared" ref="N3:N22" si="1">J3+min(K3:L3)+M3</f>
        <v>0</v>
      </c>
      <c r="O3" s="27" t="str">
        <f>IFERROR(__xludf.DUMMYFUNCTION("IF($G3, filter(targets_quant!$N:$N,targets_quant!$A:$A=$H3),"""")"),"")</f>
        <v/>
      </c>
      <c r="P3" s="27">
        <f t="shared" ref="P3:P22" si="2">(1-O3)*N3</f>
        <v>0</v>
      </c>
      <c r="Q3" s="27">
        <f>VLOOKUP($A3,reporting!$A:$D,COLUMN(reporting!$D:$D),FALSE)</f>
        <v>2020</v>
      </c>
      <c r="R3" s="27" t="str">
        <f>IFERROR(__xludf.DUMMYFUNCTION("IF($G3, filter(ghg!$F:$F,(ghg!$B:$B=$A3)*(ghg!$E:$E=$Q3)),"""")"),"")</f>
        <v/>
      </c>
      <c r="S3" s="27" t="str">
        <f>IFERROR(__xludf.DUMMYFUNCTION("IF($G3, filter(ghg!$G:$G,(ghg!$B:$B=$A3)*(ghg!$E:$E=$Q3)),"""")"),"")</f>
        <v/>
      </c>
      <c r="T3" s="27" t="str">
        <f>IFERROR(__xludf.DUMMYFUNCTION("IF($G3, filter(ghg!$H:$H,(ghg!$B:$B=$A3)*(ghg!$E:$E=$Q3)),"""")"),"")</f>
        <v/>
      </c>
      <c r="U3" s="27" t="str">
        <f>IFERROR(__xludf.DUMMYFUNCTION("IF($G3, filter(ghg!$J:$J,(ghg!$B:$B=$A3)*(ghg!$E:$E=$Q3)),"""")"),"")</f>
        <v/>
      </c>
      <c r="V3" s="27">
        <f t="shared" ref="V3:V22" si="3">R3+min(S3:T3)+U3</f>
        <v>0</v>
      </c>
      <c r="W3" s="54" t="str">
        <f t="shared" ref="W3:W22" si="4">IF($G3,max(0,((V3-P3)/V3)/(G3-Q3)),"")</f>
        <v/>
      </c>
      <c r="X3" s="27"/>
      <c r="Y3" s="27"/>
      <c r="Z3" s="27"/>
      <c r="AA3" s="27"/>
      <c r="AB3" s="27"/>
      <c r="AC3" s="30">
        <f t="shared" ref="AC3:AC22" si="5">max(0,min(1,($W3-$AA$2)/$AB$2))</f>
        <v>0</v>
      </c>
      <c r="AD3" s="30">
        <f t="shared" ref="AD3:AD22" si="6">AD$2*AC3</f>
        <v>0</v>
      </c>
      <c r="AE3" s="49"/>
      <c r="AF3" s="26"/>
      <c r="AG3" s="26"/>
      <c r="AH3" s="26"/>
      <c r="AI3" s="26"/>
      <c r="AJ3" s="26"/>
      <c r="AK3" s="26"/>
    </row>
    <row r="4" ht="12.75" customHeight="1">
      <c r="A4" s="23">
        <f t="shared" ref="A4:A21" si="7">A3+1</f>
        <v>2</v>
      </c>
      <c r="B4" s="27"/>
      <c r="C4" s="27"/>
      <c r="D4" s="27"/>
      <c r="E4" s="27"/>
      <c r="F4" s="27"/>
      <c r="G4" s="50" t="str">
        <f>IFERROR(__xludf.DUMMYFUNCTION("IFERROR(min(filter(targets_quant!$P:$P,(targets_quant!$B:$B=test6_2!$A4)*(targets_quant!$F:$F=C$2)*(targets_quant!$J:$J=D$2)*(targets_quant!$G:$G=E$2))),"""")"),"")</f>
        <v/>
      </c>
      <c r="H4" s="27" t="str">
        <f>IFERROR(__xludf.DUMMYFUNCTION("IF(G4, max(filter(targets_quant!$A:$A,(targets_quant!$B:$B=$A4)*(targets_quant!$P:$P=$G4)*(targets_quant!$F:$F=C$2)*(targets_quant!$G:$G=$E$2)*(targets_quant!$J:$J=$D$2))),"""")"),"")</f>
        <v/>
      </c>
      <c r="I4" s="27" t="str">
        <f>IFERROR(__xludf.DUMMYFUNCTION("if(G4, filter(targets_quant!$O:$O,targets_quant!$A:$A=$H4),"""")"),"")</f>
        <v/>
      </c>
      <c r="J4" s="27" t="str">
        <f>IFERROR(__xludf.DUMMYFUNCTION("if(G4, filter(ghg!$F:$F,(ghg!$B:$B=$A4)*(ghg!$E:$E=$I4)),"""")"),"")</f>
        <v/>
      </c>
      <c r="K4" s="27" t="str">
        <f>IFERROR(__xludf.DUMMYFUNCTION("IF($G4, filter(ghg!$G:$G,(ghg!$B:$B=$A4)*(ghg!$E:$E=$I4)),"""")"),"")</f>
        <v/>
      </c>
      <c r="L4" s="27" t="str">
        <f>IFERROR(__xludf.DUMMYFUNCTION("IF($G4, filter(ghg!$H:$H,(ghg!$B:$B=$A4)*(ghg!$E:$E=$I4)),"""")"),"")</f>
        <v/>
      </c>
      <c r="M4" s="27" t="str">
        <f>IFERROR(__xludf.DUMMYFUNCTION("IF($G4, filter(ghg!$J:$J,(ghg!$B:$B=$A4)*(ghg!$E:$E=$I4)),"""")"),"")</f>
        <v/>
      </c>
      <c r="N4" s="27">
        <f t="shared" si="1"/>
        <v>0</v>
      </c>
      <c r="O4" s="27" t="str">
        <f>IFERROR(__xludf.DUMMYFUNCTION("IF($G4, filter(targets_quant!$N:$N,targets_quant!$A:$A=$H4),"""")"),"")</f>
        <v/>
      </c>
      <c r="P4" s="27">
        <f t="shared" si="2"/>
        <v>0</v>
      </c>
      <c r="Q4" s="27">
        <f>VLOOKUP($A4,reporting!$A:$D,COLUMN(reporting!$D:$D),FALSE)</f>
        <v>2020</v>
      </c>
      <c r="R4" s="27" t="str">
        <f>IFERROR(__xludf.DUMMYFUNCTION("IF($G4, filter(ghg!$F:$F,(ghg!$B:$B=$A4)*(ghg!$E:$E=$Q4)),"""")"),"")</f>
        <v/>
      </c>
      <c r="S4" s="27" t="str">
        <f>IFERROR(__xludf.DUMMYFUNCTION("IF($G4, filter(ghg!$G:$G,(ghg!$B:$B=$A4)*(ghg!$E:$E=$Q4)),"""")"),"")</f>
        <v/>
      </c>
      <c r="T4" s="27" t="str">
        <f>IFERROR(__xludf.DUMMYFUNCTION("IF($G4, filter(ghg!$H:$H,(ghg!$B:$B=$A4)*(ghg!$E:$E=$Q4)),"""")"),"")</f>
        <v/>
      </c>
      <c r="U4" s="27" t="str">
        <f>IFERROR(__xludf.DUMMYFUNCTION("IF($G4, filter(ghg!$J:$J,(ghg!$B:$B=$A4)*(ghg!$E:$E=$Q4)),"""")"),"")</f>
        <v/>
      </c>
      <c r="V4" s="27">
        <f t="shared" si="3"/>
        <v>0</v>
      </c>
      <c r="W4" s="54" t="str">
        <f t="shared" si="4"/>
        <v/>
      </c>
      <c r="X4" s="27"/>
      <c r="Y4" s="27"/>
      <c r="Z4" s="27"/>
      <c r="AA4" s="27"/>
      <c r="AB4" s="27"/>
      <c r="AC4" s="30">
        <f t="shared" si="5"/>
        <v>0</v>
      </c>
      <c r="AD4" s="30">
        <f t="shared" si="6"/>
        <v>0</v>
      </c>
      <c r="AE4" s="49"/>
      <c r="AF4" s="26"/>
      <c r="AG4" s="26"/>
      <c r="AH4" s="26"/>
      <c r="AI4" s="26"/>
      <c r="AJ4" s="26"/>
      <c r="AK4" s="26"/>
    </row>
    <row r="5" ht="12.75" customHeight="1">
      <c r="A5" s="23">
        <f t="shared" si="7"/>
        <v>3</v>
      </c>
      <c r="B5" s="27"/>
      <c r="C5" s="27"/>
      <c r="D5" s="27"/>
      <c r="E5" s="27"/>
      <c r="F5" s="27"/>
      <c r="G5" s="50" t="str">
        <f>IFERROR(__xludf.DUMMYFUNCTION("IFERROR(min(filter(targets_quant!$P:$P,(targets_quant!$B:$B=test6_2!$A5)*(targets_quant!$F:$F=C$2)*(targets_quant!$J:$J=D$2)*(targets_quant!$G:$G=E$2))),"""")"),"")</f>
        <v/>
      </c>
      <c r="H5" s="27" t="str">
        <f>IFERROR(__xludf.DUMMYFUNCTION("IF(G5, max(filter(targets_quant!$A:$A,(targets_quant!$B:$B=$A5)*(targets_quant!$P:$P=$G5)*(targets_quant!$F:$F=C$2)*(targets_quant!$G:$G=$E$2)*(targets_quant!$J:$J=$D$2))),"""")"),"")</f>
        <v/>
      </c>
      <c r="I5" s="27" t="str">
        <f>IFERROR(__xludf.DUMMYFUNCTION("if(G5, filter(targets_quant!$O:$O,targets_quant!$A:$A=$H5),"""")"),"")</f>
        <v/>
      </c>
      <c r="J5" s="55" t="str">
        <f>IFERROR(__xludf.DUMMYFUNCTION("if(G5, filter(ghg!$F:$F,(ghg!$B:$B=$A5)*(ghg!$E:$E=$I5)),"""")"),"")</f>
        <v/>
      </c>
      <c r="K5" s="27" t="str">
        <f>IFERROR(__xludf.DUMMYFUNCTION("IF($G5, filter(ghg!$G:$G,(ghg!$B:$B=$A5)*(ghg!$E:$E=$I5)),"""")"),"")</f>
        <v/>
      </c>
      <c r="L5" s="27" t="str">
        <f>IFERROR(__xludf.DUMMYFUNCTION("IF($G5, filter(ghg!$H:$H,(ghg!$B:$B=$A5)*(ghg!$E:$E=$I5)),"""")"),"")</f>
        <v/>
      </c>
      <c r="M5" s="27" t="str">
        <f>IFERROR(__xludf.DUMMYFUNCTION("IF($G5, filter(ghg!$J:$J,(ghg!$B:$B=$A5)*(ghg!$E:$E=$I5)),"""")"),"")</f>
        <v/>
      </c>
      <c r="N5" s="27">
        <f t="shared" si="1"/>
        <v>0</v>
      </c>
      <c r="O5" s="27" t="str">
        <f>IFERROR(__xludf.DUMMYFUNCTION("IF($G5, filter(targets_quant!$N:$N,targets_quant!$A:$A=$H5),"""")"),"")</f>
        <v/>
      </c>
      <c r="P5" s="27">
        <f t="shared" si="2"/>
        <v>0</v>
      </c>
      <c r="Q5" s="27">
        <f>VLOOKUP($A5,reporting!$A:$D,COLUMN(reporting!$D:$D),FALSE)</f>
        <v>2020</v>
      </c>
      <c r="R5" s="27" t="str">
        <f>IFERROR(__xludf.DUMMYFUNCTION("IF($G5, filter(ghg!$F:$F,(ghg!$B:$B=$A5)*(ghg!$E:$E=$Q5)),"""")"),"")</f>
        <v/>
      </c>
      <c r="S5" s="27" t="str">
        <f>IFERROR(__xludf.DUMMYFUNCTION("IF($G5, filter(ghg!$G:$G,(ghg!$B:$B=$A5)*(ghg!$E:$E=$Q5)),"""")"),"")</f>
        <v/>
      </c>
      <c r="T5" s="27" t="str">
        <f>IFERROR(__xludf.DUMMYFUNCTION("IF($G5, filter(ghg!$H:$H,(ghg!$B:$B=$A5)*(ghg!$E:$E=$Q5)),"""")"),"")</f>
        <v/>
      </c>
      <c r="U5" s="27" t="str">
        <f>IFERROR(__xludf.DUMMYFUNCTION("IF($G5, filter(ghg!$J:$J,(ghg!$B:$B=$A5)*(ghg!$E:$E=$Q5)),"""")"),"")</f>
        <v/>
      </c>
      <c r="V5" s="27">
        <f t="shared" si="3"/>
        <v>0</v>
      </c>
      <c r="W5" s="54" t="str">
        <f t="shared" si="4"/>
        <v/>
      </c>
      <c r="X5" s="27"/>
      <c r="Y5" s="27"/>
      <c r="Z5" s="27"/>
      <c r="AA5" s="27"/>
      <c r="AB5" s="27"/>
      <c r="AC5" s="30">
        <f t="shared" si="5"/>
        <v>0</v>
      </c>
      <c r="AD5" s="30">
        <f t="shared" si="6"/>
        <v>0</v>
      </c>
      <c r="AE5" s="49"/>
      <c r="AF5" s="26"/>
      <c r="AG5" s="26"/>
      <c r="AH5" s="26"/>
      <c r="AI5" s="26"/>
      <c r="AJ5" s="26"/>
      <c r="AK5" s="26"/>
    </row>
    <row r="6" ht="12.75" customHeight="1">
      <c r="A6" s="23">
        <f t="shared" si="7"/>
        <v>4</v>
      </c>
      <c r="B6" s="27"/>
      <c r="C6" s="27"/>
      <c r="D6" s="27"/>
      <c r="E6" s="27"/>
      <c r="F6" s="27"/>
      <c r="G6" s="50">
        <f>IFERROR(__xludf.DUMMYFUNCTION("IFERROR(min(filter(targets_quant!$P:$P,(targets_quant!$B:$B=test6_2!$A6)*(targets_quant!$F:$F=C$2)*(targets_quant!$J:$J=D$2)*(targets_quant!$G:$G=E$2))),"""")"),2025.0)</f>
        <v>2025</v>
      </c>
      <c r="H6" s="27">
        <f>IFERROR(__xludf.DUMMYFUNCTION("IF(G6, max(filter(targets_quant!$A:$A,(targets_quant!$B:$B=$A6)*(targets_quant!$P:$P=$G6)*(targets_quant!$F:$F=C$2)*(targets_quant!$G:$G=$E$2)*(targets_quant!$J:$J=$D$2))),"""")"),11.0)</f>
        <v>11</v>
      </c>
      <c r="I6" s="27">
        <f>IFERROR(__xludf.DUMMYFUNCTION("if(G6, filter(targets_quant!$O:$O,targets_quant!$A:$A=$H6),"""")"),2016.0)</f>
        <v>2016</v>
      </c>
      <c r="J6" s="55">
        <f>IFERROR(__xludf.DUMMYFUNCTION("if(G6, filter(ghg!$F:$F,(ghg!$B:$B=$A6)*(ghg!$E:$E=$I6)),"""")"),22183.0)</f>
        <v>22183</v>
      </c>
      <c r="K6" s="27" t="str">
        <f>IFERROR(__xludf.DUMMYFUNCTION("IF($G6, filter(ghg!$G:$G,(ghg!$B:$B=$A6)*(ghg!$E:$E=$I6)),"""")"),"")</f>
        <v/>
      </c>
      <c r="L6" s="27">
        <f>IFERROR(__xludf.DUMMYFUNCTION("IF($G6, filter(ghg!$H:$H,(ghg!$B:$B=$A6)*(ghg!$E:$E=$I6)),"""")"),218855.0)</f>
        <v>218855</v>
      </c>
      <c r="M6" s="27">
        <f>IFERROR(__xludf.DUMMYFUNCTION("IF($G6, filter(ghg!$J:$J,(ghg!$B:$B=$A6)*(ghg!$E:$E=$I6)),"""")"),948756.0)</f>
        <v>948756</v>
      </c>
      <c r="N6" s="27">
        <f t="shared" si="1"/>
        <v>1189794</v>
      </c>
      <c r="O6" s="53">
        <f>IFERROR(__xludf.DUMMYFUNCTION("IF($G6, filter(targets_quant!$N:$N,targets_quant!$A:$A=$H6),"""")"),0.11)</f>
        <v>0.11</v>
      </c>
      <c r="P6" s="27">
        <f t="shared" si="2"/>
        <v>1058916.66</v>
      </c>
      <c r="Q6" s="27">
        <f>VLOOKUP($A6,reporting!$A:$D,COLUMN(reporting!$D:$D),FALSE)</f>
        <v>2020</v>
      </c>
      <c r="R6" s="27">
        <f>IFERROR(__xludf.DUMMYFUNCTION("IF($G6, filter(ghg!$F:$F,(ghg!$B:$B=$A6)*(ghg!$E:$E=$Q6)),"""")"),13945.0)</f>
        <v>13945</v>
      </c>
      <c r="S6" s="27">
        <f>IFERROR(__xludf.DUMMYFUNCTION("IF($G6, filter(ghg!$G:$G,(ghg!$B:$B=$A6)*(ghg!$E:$E=$Q6)),"""")"),228373.0)</f>
        <v>228373</v>
      </c>
      <c r="T6" s="27">
        <f>IFERROR(__xludf.DUMMYFUNCTION("IF($G6, filter(ghg!$H:$H,(ghg!$B:$B=$A6)*(ghg!$E:$E=$Q6)),"""")"),162983.0)</f>
        <v>162983</v>
      </c>
      <c r="U6" s="27">
        <f>IFERROR(__xludf.DUMMYFUNCTION("IF($G6, filter(ghg!$J:$J,(ghg!$B:$B=$A6)*(ghg!$E:$E=$Q6)),"""")"),677994.0)</f>
        <v>677994</v>
      </c>
      <c r="V6" s="27">
        <f t="shared" si="3"/>
        <v>854922</v>
      </c>
      <c r="W6" s="56">
        <f t="shared" si="4"/>
        <v>0</v>
      </c>
      <c r="X6" s="27"/>
      <c r="Y6" s="27"/>
      <c r="Z6" s="27"/>
      <c r="AA6" s="27"/>
      <c r="AB6" s="27"/>
      <c r="AC6" s="30">
        <f t="shared" si="5"/>
        <v>0</v>
      </c>
      <c r="AD6" s="30">
        <f t="shared" si="6"/>
        <v>0</v>
      </c>
      <c r="AE6" s="49"/>
      <c r="AF6" s="26"/>
      <c r="AG6" s="26"/>
      <c r="AH6" s="26"/>
      <c r="AI6" s="26"/>
      <c r="AJ6" s="26"/>
      <c r="AK6" s="26"/>
    </row>
    <row r="7" ht="12.75" customHeight="1">
      <c r="A7" s="23">
        <f t="shared" si="7"/>
        <v>5</v>
      </c>
      <c r="B7" s="27"/>
      <c r="C7" s="27"/>
      <c r="D7" s="27"/>
      <c r="E7" s="27"/>
      <c r="F7" s="27"/>
      <c r="G7" s="50" t="str">
        <f>IFERROR(__xludf.DUMMYFUNCTION("IFERROR(min(filter(targets_quant!$P:$P,(targets_quant!$B:$B=test6_2!$A7)*(targets_quant!$F:$F=C$2)*(targets_quant!$J:$J=D$2)*(targets_quant!$G:$G=E$2))),"""")"),"")</f>
        <v/>
      </c>
      <c r="H7" s="27" t="str">
        <f>IFERROR(__xludf.DUMMYFUNCTION("IF(G7, max(filter(targets_quant!$A:$A,(targets_quant!$B:$B=$A7)*(targets_quant!$P:$P=$G7)*(targets_quant!$F:$F=C$2)*(targets_quant!$G:$G=$E$2)*(targets_quant!$J:$J=$D$2))),"""")"),"")</f>
        <v/>
      </c>
      <c r="I7" s="27" t="str">
        <f>IFERROR(__xludf.DUMMYFUNCTION("if(G7, filter(targets_quant!$O:$O,targets_quant!$A:$A=$H7),"""")"),"")</f>
        <v/>
      </c>
      <c r="J7" s="27" t="str">
        <f>IFERROR(__xludf.DUMMYFUNCTION("if(G7, filter(ghg!$F:$F,(ghg!$B:$B=$A7)*(ghg!$E:$E=$I7)),"""")"),"")</f>
        <v/>
      </c>
      <c r="K7" s="27" t="str">
        <f>IFERROR(__xludf.DUMMYFUNCTION("IF($G7, filter(ghg!$G:$G,(ghg!$B:$B=$A7)*(ghg!$E:$E=$I7)),"""")"),"")</f>
        <v/>
      </c>
      <c r="L7" s="27" t="str">
        <f>IFERROR(__xludf.DUMMYFUNCTION("IF($G7, filter(ghg!$H:$H,(ghg!$B:$B=$A7)*(ghg!$E:$E=$I7)),"""")"),"")</f>
        <v/>
      </c>
      <c r="M7" s="27" t="str">
        <f>IFERROR(__xludf.DUMMYFUNCTION("IF($G7, filter(ghg!$J:$J,(ghg!$B:$B=$A7)*(ghg!$E:$E=$I7)),"""")"),"")</f>
        <v/>
      </c>
      <c r="N7" s="27">
        <f t="shared" si="1"/>
        <v>0</v>
      </c>
      <c r="O7" s="27" t="str">
        <f>IFERROR(__xludf.DUMMYFUNCTION("IF($G7, filter(targets_quant!$N:$N,targets_quant!$A:$A=$H7),"""")"),"")</f>
        <v/>
      </c>
      <c r="P7" s="27">
        <f t="shared" si="2"/>
        <v>0</v>
      </c>
      <c r="Q7" s="27">
        <f>VLOOKUP($A7,reporting!$A:$D,COLUMN(reporting!$D:$D),FALSE)</f>
        <v>2020</v>
      </c>
      <c r="R7" s="27" t="str">
        <f>IFERROR(__xludf.DUMMYFUNCTION("IF($G7, filter(ghg!$F:$F,(ghg!$B:$B=$A7)*(ghg!$E:$E=$Q7)),"""")"),"")</f>
        <v/>
      </c>
      <c r="S7" s="27" t="str">
        <f>IFERROR(__xludf.DUMMYFUNCTION("IF($G7, filter(ghg!$G:$G,(ghg!$B:$B=$A7)*(ghg!$E:$E=$Q7)),"""")"),"")</f>
        <v/>
      </c>
      <c r="T7" s="27" t="str">
        <f>IFERROR(__xludf.DUMMYFUNCTION("IF($G7, filter(ghg!$H:$H,(ghg!$B:$B=$A7)*(ghg!$E:$E=$Q7)),"""")"),"")</f>
        <v/>
      </c>
      <c r="U7" s="27" t="str">
        <f>IFERROR(__xludf.DUMMYFUNCTION("IF($G7, filter(ghg!$J:$J,(ghg!$B:$B=$A7)*(ghg!$E:$E=$Q7)),"""")"),"")</f>
        <v/>
      </c>
      <c r="V7" s="27">
        <f t="shared" si="3"/>
        <v>0</v>
      </c>
      <c r="W7" s="54" t="str">
        <f t="shared" si="4"/>
        <v/>
      </c>
      <c r="X7" s="27"/>
      <c r="Y7" s="27"/>
      <c r="Z7" s="27"/>
      <c r="AA7" s="27"/>
      <c r="AB7" s="27"/>
      <c r="AC7" s="30">
        <f t="shared" si="5"/>
        <v>0</v>
      </c>
      <c r="AD7" s="30">
        <f t="shared" si="6"/>
        <v>0</v>
      </c>
      <c r="AE7" s="49"/>
      <c r="AF7" s="26"/>
      <c r="AG7" s="26"/>
      <c r="AH7" s="26"/>
      <c r="AI7" s="26"/>
      <c r="AJ7" s="26"/>
      <c r="AK7" s="26"/>
    </row>
    <row r="8" ht="12.75" customHeight="1">
      <c r="A8" s="23">
        <f t="shared" si="7"/>
        <v>6</v>
      </c>
      <c r="B8" s="27"/>
      <c r="C8" s="27"/>
      <c r="D8" s="27"/>
      <c r="E8" s="27"/>
      <c r="F8" s="27"/>
      <c r="G8" s="50" t="str">
        <f>IFERROR(__xludf.DUMMYFUNCTION("IFERROR(min(filter(targets_quant!$P:$P,(targets_quant!$B:$B=test6_2!$A8)*(targets_quant!$F:$F=C$2)*(targets_quant!$J:$J=D$2)*(targets_quant!$G:$G=E$2))),"""")"),"")</f>
        <v/>
      </c>
      <c r="H8" s="27" t="str">
        <f>IFERROR(__xludf.DUMMYFUNCTION("IF(G8, max(filter(targets_quant!$A:$A,(targets_quant!$B:$B=$A8)*(targets_quant!$P:$P=$G8)*(targets_quant!$F:$F=C$2)*(targets_quant!$G:$G=$E$2)*(targets_quant!$J:$J=$D$2))),"""")"),"")</f>
        <v/>
      </c>
      <c r="I8" s="27" t="str">
        <f>IFERROR(__xludf.DUMMYFUNCTION("if(G8, filter(targets_quant!$O:$O,targets_quant!$A:$A=$H8),"""")"),"")</f>
        <v/>
      </c>
      <c r="J8" s="27" t="str">
        <f>IFERROR(__xludf.DUMMYFUNCTION("if(G8, filter(ghg!$F:$F,(ghg!$B:$B=$A8)*(ghg!$E:$E=$I8)),"""")"),"")</f>
        <v/>
      </c>
      <c r="K8" s="27" t="str">
        <f>IFERROR(__xludf.DUMMYFUNCTION("IF($G8, filter(ghg!$G:$G,(ghg!$B:$B=$A8)*(ghg!$E:$E=$I8)),"""")"),"")</f>
        <v/>
      </c>
      <c r="L8" s="27" t="str">
        <f>IFERROR(__xludf.DUMMYFUNCTION("IF($G8, filter(ghg!$H:$H,(ghg!$B:$B=$A8)*(ghg!$E:$E=$I8)),"""")"),"")</f>
        <v/>
      </c>
      <c r="M8" s="27" t="str">
        <f>IFERROR(__xludf.DUMMYFUNCTION("IF($G8, filter(ghg!$J:$J,(ghg!$B:$B=$A8)*(ghg!$E:$E=$I8)),"""")"),"")</f>
        <v/>
      </c>
      <c r="N8" s="27">
        <f t="shared" si="1"/>
        <v>0</v>
      </c>
      <c r="O8" s="27" t="str">
        <f>IFERROR(__xludf.DUMMYFUNCTION("IF($G8, filter(targets_quant!$N:$N,targets_quant!$A:$A=$H8),"""")"),"")</f>
        <v/>
      </c>
      <c r="P8" s="27">
        <f t="shared" si="2"/>
        <v>0</v>
      </c>
      <c r="Q8" s="27">
        <f>VLOOKUP($A8,reporting!$A:$D,COLUMN(reporting!$D:$D),FALSE)</f>
        <v>2020</v>
      </c>
      <c r="R8" s="27" t="str">
        <f>IFERROR(__xludf.DUMMYFUNCTION("IF($G8, filter(ghg!$F:$F,(ghg!$B:$B=$A8)*(ghg!$E:$E=$Q8)),"""")"),"")</f>
        <v/>
      </c>
      <c r="S8" s="27" t="str">
        <f>IFERROR(__xludf.DUMMYFUNCTION("IF($G8, filter(ghg!$G:$G,(ghg!$B:$B=$A8)*(ghg!$E:$E=$Q8)),"""")"),"")</f>
        <v/>
      </c>
      <c r="T8" s="27" t="str">
        <f>IFERROR(__xludf.DUMMYFUNCTION("IF($G8, filter(ghg!$H:$H,(ghg!$B:$B=$A8)*(ghg!$E:$E=$Q8)),"""")"),"")</f>
        <v/>
      </c>
      <c r="U8" s="27" t="str">
        <f>IFERROR(__xludf.DUMMYFUNCTION("IF($G8, filter(ghg!$J:$J,(ghg!$B:$B=$A8)*(ghg!$E:$E=$Q8)),"""")"),"")</f>
        <v/>
      </c>
      <c r="V8" s="27">
        <f t="shared" si="3"/>
        <v>0</v>
      </c>
      <c r="W8" s="54" t="str">
        <f t="shared" si="4"/>
        <v/>
      </c>
      <c r="X8" s="27"/>
      <c r="Y8" s="27"/>
      <c r="Z8" s="27"/>
      <c r="AA8" s="27"/>
      <c r="AB8" s="27"/>
      <c r="AC8" s="30">
        <f t="shared" si="5"/>
        <v>0</v>
      </c>
      <c r="AD8" s="30">
        <f t="shared" si="6"/>
        <v>0</v>
      </c>
      <c r="AE8" s="49"/>
      <c r="AF8" s="26"/>
      <c r="AG8" s="26"/>
      <c r="AH8" s="26"/>
      <c r="AI8" s="26"/>
      <c r="AJ8" s="26"/>
      <c r="AK8" s="26"/>
    </row>
    <row r="9" ht="12.75" customHeight="1">
      <c r="A9" s="23">
        <f t="shared" si="7"/>
        <v>7</v>
      </c>
      <c r="B9" s="27"/>
      <c r="C9" s="27"/>
      <c r="D9" s="27"/>
      <c r="E9" s="27"/>
      <c r="F9" s="27"/>
      <c r="G9" s="50" t="str">
        <f>IFERROR(__xludf.DUMMYFUNCTION("IFERROR(min(filter(targets_quant!$P:$P,(targets_quant!$B:$B=test6_2!$A9)*(targets_quant!$F:$F=C$2)*(targets_quant!$J:$J=D$2)*(targets_quant!$G:$G=E$2))),"""")"),"")</f>
        <v/>
      </c>
      <c r="H9" s="27" t="str">
        <f>IFERROR(__xludf.DUMMYFUNCTION("IF(G9, max(filter(targets_quant!$A:$A,(targets_quant!$B:$B=$A9)*(targets_quant!$P:$P=$G9)*(targets_quant!$F:$F=C$2)*(targets_quant!$G:$G=$E$2)*(targets_quant!$J:$J=$D$2))),"""")"),"")</f>
        <v/>
      </c>
      <c r="I9" s="27" t="str">
        <f>IFERROR(__xludf.DUMMYFUNCTION("if(G9, filter(targets_quant!$O:$O,targets_quant!$A:$A=$H9),"""")"),"")</f>
        <v/>
      </c>
      <c r="J9" s="27" t="str">
        <f>IFERROR(__xludf.DUMMYFUNCTION("if(G9, filter(ghg!$F:$F,(ghg!$B:$B=$A9)*(ghg!$E:$E=$I9)),"""")"),"")</f>
        <v/>
      </c>
      <c r="K9" s="27" t="str">
        <f>IFERROR(__xludf.DUMMYFUNCTION("IF($G9, filter(ghg!$G:$G,(ghg!$B:$B=$A9)*(ghg!$E:$E=$I9)),"""")"),"")</f>
        <v/>
      </c>
      <c r="L9" s="27" t="str">
        <f>IFERROR(__xludf.DUMMYFUNCTION("IF($G9, filter(ghg!$H:$H,(ghg!$B:$B=$A9)*(ghg!$E:$E=$I9)),"""")"),"")</f>
        <v/>
      </c>
      <c r="M9" s="27" t="str">
        <f>IFERROR(__xludf.DUMMYFUNCTION("IF($G9, filter(ghg!$J:$J,(ghg!$B:$B=$A9)*(ghg!$E:$E=$I9)),"""")"),"")</f>
        <v/>
      </c>
      <c r="N9" s="27">
        <f t="shared" si="1"/>
        <v>0</v>
      </c>
      <c r="O9" s="27" t="str">
        <f>IFERROR(__xludf.DUMMYFUNCTION("IF($G9, filter(targets_quant!$N:$N,targets_quant!$A:$A=$H9),"""")"),"")</f>
        <v/>
      </c>
      <c r="P9" s="27">
        <f t="shared" si="2"/>
        <v>0</v>
      </c>
      <c r="Q9" s="27">
        <f>VLOOKUP($A9,reporting!$A:$D,COLUMN(reporting!$D:$D),FALSE)</f>
        <v>2019</v>
      </c>
      <c r="R9" s="27" t="str">
        <f>IFERROR(__xludf.DUMMYFUNCTION("IF($G9, filter(ghg!$F:$F,(ghg!$B:$B=$A9)*(ghg!$E:$E=$Q9)),"""")"),"")</f>
        <v/>
      </c>
      <c r="S9" s="27" t="str">
        <f>IFERROR(__xludf.DUMMYFUNCTION("IF($G9, filter(ghg!$G:$G,(ghg!$B:$B=$A9)*(ghg!$E:$E=$Q9)),"""")"),"")</f>
        <v/>
      </c>
      <c r="T9" s="27" t="str">
        <f>IFERROR(__xludf.DUMMYFUNCTION("IF($G9, filter(ghg!$H:$H,(ghg!$B:$B=$A9)*(ghg!$E:$E=$Q9)),"""")"),"")</f>
        <v/>
      </c>
      <c r="U9" s="27" t="str">
        <f>IFERROR(__xludf.DUMMYFUNCTION("IF($G9, filter(ghg!$J:$J,(ghg!$B:$B=$A9)*(ghg!$E:$E=$Q9)),"""")"),"")</f>
        <v/>
      </c>
      <c r="V9" s="27">
        <f t="shared" si="3"/>
        <v>0</v>
      </c>
      <c r="W9" s="54" t="str">
        <f t="shared" si="4"/>
        <v/>
      </c>
      <c r="X9" s="27"/>
      <c r="Y9" s="27"/>
      <c r="Z9" s="27"/>
      <c r="AA9" s="27"/>
      <c r="AB9" s="27"/>
      <c r="AC9" s="30">
        <f t="shared" si="5"/>
        <v>0</v>
      </c>
      <c r="AD9" s="30">
        <f t="shared" si="6"/>
        <v>0</v>
      </c>
      <c r="AE9" s="49"/>
      <c r="AF9" s="26"/>
      <c r="AG9" s="26"/>
      <c r="AH9" s="26"/>
      <c r="AI9" s="26"/>
      <c r="AJ9" s="26"/>
      <c r="AK9" s="26"/>
    </row>
    <row r="10" ht="12.75" customHeight="1">
      <c r="A10" s="23">
        <f t="shared" si="7"/>
        <v>8</v>
      </c>
      <c r="B10" s="27"/>
      <c r="C10" s="27"/>
      <c r="D10" s="27"/>
      <c r="E10" s="27"/>
      <c r="F10" s="27"/>
      <c r="G10" s="50" t="str">
        <f>IFERROR(__xludf.DUMMYFUNCTION("IFERROR(min(filter(targets_quant!$P:$P,(targets_quant!$B:$B=test6_2!$A10)*(targets_quant!$F:$F=C$2)*(targets_quant!$J:$J=D$2)*(targets_quant!$G:$G=E$2))),"""")"),"")</f>
        <v/>
      </c>
      <c r="H10" s="27" t="str">
        <f>IFERROR(__xludf.DUMMYFUNCTION("IF(G10, max(filter(targets_quant!$A:$A,(targets_quant!$B:$B=$A10)*(targets_quant!$P:$P=$G10)*(targets_quant!$F:$F=C$2)*(targets_quant!$G:$G=$E$2)*(targets_quant!$J:$J=$D$2))),"""")"),"")</f>
        <v/>
      </c>
      <c r="I10" s="27" t="str">
        <f>IFERROR(__xludf.DUMMYFUNCTION("if(G10, filter(targets_quant!$O:$O,targets_quant!$A:$A=$H10),"""")"),"")</f>
        <v/>
      </c>
      <c r="J10" s="27" t="str">
        <f>IFERROR(__xludf.DUMMYFUNCTION("if(G10, filter(ghg!$F:$F,(ghg!$B:$B=$A10)*(ghg!$E:$E=$I10)),"""")"),"")</f>
        <v/>
      </c>
      <c r="K10" s="27" t="str">
        <f>IFERROR(__xludf.DUMMYFUNCTION("IF($G10, filter(ghg!$G:$G,(ghg!$B:$B=$A10)*(ghg!$E:$E=$I10)),"""")"),"")</f>
        <v/>
      </c>
      <c r="L10" s="27" t="str">
        <f>IFERROR(__xludf.DUMMYFUNCTION("IF($G10, filter(ghg!$H:$H,(ghg!$B:$B=$A10)*(ghg!$E:$E=$I10)),"""")"),"")</f>
        <v/>
      </c>
      <c r="M10" s="27" t="str">
        <f>IFERROR(__xludf.DUMMYFUNCTION("IF($G10, filter(ghg!$J:$J,(ghg!$B:$B=$A10)*(ghg!$E:$E=$I10)),"""")"),"")</f>
        <v/>
      </c>
      <c r="N10" s="27">
        <f t="shared" si="1"/>
        <v>0</v>
      </c>
      <c r="O10" s="27" t="str">
        <f>IFERROR(__xludf.DUMMYFUNCTION("IF($G10, filter(targets_quant!$N:$N,targets_quant!$A:$A=$H10),"""")"),"")</f>
        <v/>
      </c>
      <c r="P10" s="27">
        <f t="shared" si="2"/>
        <v>0</v>
      </c>
      <c r="Q10" s="27">
        <f>VLOOKUP($A10,reporting!$A:$D,COLUMN(reporting!$D:$D),FALSE)</f>
        <v>2020</v>
      </c>
      <c r="R10" s="27" t="str">
        <f>IFERROR(__xludf.DUMMYFUNCTION("IF($G10, filter(ghg!$F:$F,(ghg!$B:$B=$A10)*(ghg!$E:$E=$Q10)),"""")"),"")</f>
        <v/>
      </c>
      <c r="S10" s="27" t="str">
        <f>IFERROR(__xludf.DUMMYFUNCTION("IF($G10, filter(ghg!$G:$G,(ghg!$B:$B=$A10)*(ghg!$E:$E=$Q10)),"""")"),"")</f>
        <v/>
      </c>
      <c r="T10" s="27" t="str">
        <f>IFERROR(__xludf.DUMMYFUNCTION("IF($G10, filter(ghg!$H:$H,(ghg!$B:$B=$A10)*(ghg!$E:$E=$Q10)),"""")"),"")</f>
        <v/>
      </c>
      <c r="U10" s="27" t="str">
        <f>IFERROR(__xludf.DUMMYFUNCTION("IF($G10, filter(ghg!$J:$J,(ghg!$B:$B=$A10)*(ghg!$E:$E=$Q10)),"""")"),"")</f>
        <v/>
      </c>
      <c r="V10" s="27">
        <f t="shared" si="3"/>
        <v>0</v>
      </c>
      <c r="W10" s="54" t="str">
        <f t="shared" si="4"/>
        <v/>
      </c>
      <c r="X10" s="27"/>
      <c r="Y10" s="27"/>
      <c r="Z10" s="27"/>
      <c r="AA10" s="27"/>
      <c r="AB10" s="27"/>
      <c r="AC10" s="30">
        <f t="shared" si="5"/>
        <v>0</v>
      </c>
      <c r="AD10" s="30">
        <f t="shared" si="6"/>
        <v>0</v>
      </c>
      <c r="AE10" s="49"/>
      <c r="AF10" s="26"/>
      <c r="AG10" s="26"/>
      <c r="AH10" s="26"/>
      <c r="AI10" s="26"/>
      <c r="AJ10" s="26"/>
      <c r="AK10" s="26"/>
    </row>
    <row r="11" ht="12.75" customHeight="1">
      <c r="A11" s="23">
        <f t="shared" si="7"/>
        <v>9</v>
      </c>
      <c r="B11" s="27"/>
      <c r="C11" s="27"/>
      <c r="D11" s="27"/>
      <c r="E11" s="27"/>
      <c r="F11" s="27"/>
      <c r="G11" s="50" t="str">
        <f>IFERROR(__xludf.DUMMYFUNCTION("IFERROR(min(filter(targets_quant!$P:$P,(targets_quant!$B:$B=test6_2!$A11)*(targets_quant!$F:$F=C$2)*(targets_quant!$J:$J=D$2)*(targets_quant!$G:$G=E$2))),"""")"),"")</f>
        <v/>
      </c>
      <c r="H11" s="27" t="str">
        <f>IFERROR(__xludf.DUMMYFUNCTION("IF(G11, max(filter(targets_quant!$A:$A,(targets_quant!$B:$B=$A11)*(targets_quant!$P:$P=$G11)*(targets_quant!$F:$F=C$2)*(targets_quant!$G:$G=$E$2)*(targets_quant!$J:$J=$D$2))),"""")"),"")</f>
        <v/>
      </c>
      <c r="I11" s="27" t="str">
        <f>IFERROR(__xludf.DUMMYFUNCTION("if(G11, filter(targets_quant!$O:$O,targets_quant!$A:$A=$H11),"""")"),"")</f>
        <v/>
      </c>
      <c r="J11" s="27" t="str">
        <f>IFERROR(__xludf.DUMMYFUNCTION("if(G11, filter(ghg!$F:$F,(ghg!$B:$B=$A11)*(ghg!$E:$E=$I11)),"""")"),"")</f>
        <v/>
      </c>
      <c r="K11" s="27" t="str">
        <f>IFERROR(__xludf.DUMMYFUNCTION("IF($G11, filter(ghg!$G:$G,(ghg!$B:$B=$A11)*(ghg!$E:$E=$I11)),"""")"),"")</f>
        <v/>
      </c>
      <c r="L11" s="27" t="str">
        <f>IFERROR(__xludf.DUMMYFUNCTION("IF($G11, filter(ghg!$H:$H,(ghg!$B:$B=$A11)*(ghg!$E:$E=$I11)),"""")"),"")</f>
        <v/>
      </c>
      <c r="M11" s="27" t="str">
        <f>IFERROR(__xludf.DUMMYFUNCTION("IF($G11, filter(ghg!$J:$J,(ghg!$B:$B=$A11)*(ghg!$E:$E=$I11)),"""")"),"")</f>
        <v/>
      </c>
      <c r="N11" s="27">
        <f t="shared" si="1"/>
        <v>0</v>
      </c>
      <c r="O11" s="27" t="str">
        <f>IFERROR(__xludf.DUMMYFUNCTION("IF($G11, filter(targets_quant!$N:$N,targets_quant!$A:$A=$H11),"""")"),"")</f>
        <v/>
      </c>
      <c r="P11" s="27">
        <f t="shared" si="2"/>
        <v>0</v>
      </c>
      <c r="Q11" s="27">
        <f>VLOOKUP($A11,reporting!$A:$D,COLUMN(reporting!$D:$D),FALSE)</f>
        <v>2020</v>
      </c>
      <c r="R11" s="27" t="str">
        <f>IFERROR(__xludf.DUMMYFUNCTION("IF($G11, filter(ghg!$F:$F,(ghg!$B:$B=$A11)*(ghg!$E:$E=$Q11)),"""")"),"")</f>
        <v/>
      </c>
      <c r="S11" s="27" t="str">
        <f>IFERROR(__xludf.DUMMYFUNCTION("IF($G11, filter(ghg!$G:$G,(ghg!$B:$B=$A11)*(ghg!$E:$E=$Q11)),"""")"),"")</f>
        <v/>
      </c>
      <c r="T11" s="27" t="str">
        <f>IFERROR(__xludf.DUMMYFUNCTION("IF($G11, filter(ghg!$H:$H,(ghg!$B:$B=$A11)*(ghg!$E:$E=$Q11)),"""")"),"")</f>
        <v/>
      </c>
      <c r="U11" s="27" t="str">
        <f>IFERROR(__xludf.DUMMYFUNCTION("IF($G11, filter(ghg!$J:$J,(ghg!$B:$B=$A11)*(ghg!$E:$E=$Q11)),"""")"),"")</f>
        <v/>
      </c>
      <c r="V11" s="27">
        <f t="shared" si="3"/>
        <v>0</v>
      </c>
      <c r="W11" s="54" t="str">
        <f t="shared" si="4"/>
        <v/>
      </c>
      <c r="X11" s="27"/>
      <c r="Y11" s="27"/>
      <c r="Z11" s="27"/>
      <c r="AA11" s="27"/>
      <c r="AB11" s="27"/>
      <c r="AC11" s="30">
        <f t="shared" si="5"/>
        <v>0</v>
      </c>
      <c r="AD11" s="30">
        <f t="shared" si="6"/>
        <v>0</v>
      </c>
      <c r="AE11" s="49"/>
      <c r="AF11" s="26"/>
      <c r="AG11" s="26"/>
      <c r="AH11" s="26"/>
      <c r="AI11" s="26"/>
      <c r="AJ11" s="26"/>
      <c r="AK11" s="26"/>
    </row>
    <row r="12" ht="12.75" customHeight="1">
      <c r="A12" s="23">
        <f t="shared" si="7"/>
        <v>10</v>
      </c>
      <c r="B12" s="27"/>
      <c r="C12" s="27"/>
      <c r="D12" s="27"/>
      <c r="E12" s="27"/>
      <c r="F12" s="27"/>
      <c r="G12" s="50" t="str">
        <f>IFERROR(__xludf.DUMMYFUNCTION("IFERROR(min(filter(targets_quant!$P:$P,(targets_quant!$B:$B=test6_2!$A12)*(targets_quant!$F:$F=C$2)*(targets_quant!$J:$J=D$2)*(targets_quant!$G:$G=E$2))),"""")"),"")</f>
        <v/>
      </c>
      <c r="H12" s="27" t="str">
        <f>IFERROR(__xludf.DUMMYFUNCTION("IF(G12, max(filter(targets_quant!$A:$A,(targets_quant!$B:$B=$A12)*(targets_quant!$P:$P=$G12)*(targets_quant!$F:$F=C$2)*(targets_quant!$G:$G=$E$2)*(targets_quant!$J:$J=$D$2))),"""")"),"")</f>
        <v/>
      </c>
      <c r="I12" s="27" t="str">
        <f>IFERROR(__xludf.DUMMYFUNCTION("if(G12, filter(targets_quant!$O:$O,targets_quant!$A:$A=$H12),"""")"),"")</f>
        <v/>
      </c>
      <c r="J12" s="27" t="str">
        <f>IFERROR(__xludf.DUMMYFUNCTION("if(G12, filter(ghg!$F:$F,(ghg!$B:$B=$A12)*(ghg!$E:$E=$I12)),"""")"),"")</f>
        <v/>
      </c>
      <c r="K12" s="27" t="str">
        <f>IFERROR(__xludf.DUMMYFUNCTION("IF($G12, filter(ghg!$G:$G,(ghg!$B:$B=$A12)*(ghg!$E:$E=$I12)),"""")"),"")</f>
        <v/>
      </c>
      <c r="L12" s="27" t="str">
        <f>IFERROR(__xludf.DUMMYFUNCTION("IF($G12, filter(ghg!$H:$H,(ghg!$B:$B=$A12)*(ghg!$E:$E=$I12)),"""")"),"")</f>
        <v/>
      </c>
      <c r="M12" s="27" t="str">
        <f>IFERROR(__xludf.DUMMYFUNCTION("IF($G12, filter(ghg!$J:$J,(ghg!$B:$B=$A12)*(ghg!$E:$E=$I12)),"""")"),"")</f>
        <v/>
      </c>
      <c r="N12" s="27">
        <f t="shared" si="1"/>
        <v>0</v>
      </c>
      <c r="O12" s="27" t="str">
        <f>IFERROR(__xludf.DUMMYFUNCTION("IF($G12, filter(targets_quant!$N:$N,targets_quant!$A:$A=$H12),"""")"),"")</f>
        <v/>
      </c>
      <c r="P12" s="27">
        <f t="shared" si="2"/>
        <v>0</v>
      </c>
      <c r="Q12" s="27">
        <f>VLOOKUP($A12,reporting!$A:$D,COLUMN(reporting!$D:$D),FALSE)</f>
        <v>2019</v>
      </c>
      <c r="R12" s="27" t="str">
        <f>IFERROR(__xludf.DUMMYFUNCTION("IF($G12, filter(ghg!$F:$F,(ghg!$B:$B=$A12)*(ghg!$E:$E=$Q12)),"""")"),"")</f>
        <v/>
      </c>
      <c r="S12" s="27" t="str">
        <f>IFERROR(__xludf.DUMMYFUNCTION("IF($G12, filter(ghg!$G:$G,(ghg!$B:$B=$A12)*(ghg!$E:$E=$Q12)),"""")"),"")</f>
        <v/>
      </c>
      <c r="T12" s="27" t="str">
        <f>IFERROR(__xludf.DUMMYFUNCTION("IF($G12, filter(ghg!$H:$H,(ghg!$B:$B=$A12)*(ghg!$E:$E=$Q12)),"""")"),"")</f>
        <v/>
      </c>
      <c r="U12" s="27" t="str">
        <f>IFERROR(__xludf.DUMMYFUNCTION("IF($G12, filter(ghg!$J:$J,(ghg!$B:$B=$A12)*(ghg!$E:$E=$Q12)),"""")"),"")</f>
        <v/>
      </c>
      <c r="V12" s="27">
        <f t="shared" si="3"/>
        <v>0</v>
      </c>
      <c r="W12" s="54" t="str">
        <f t="shared" si="4"/>
        <v/>
      </c>
      <c r="X12" s="27"/>
      <c r="Y12" s="27"/>
      <c r="Z12" s="27"/>
      <c r="AA12" s="27"/>
      <c r="AB12" s="27"/>
      <c r="AC12" s="30">
        <f t="shared" si="5"/>
        <v>0</v>
      </c>
      <c r="AD12" s="30">
        <f t="shared" si="6"/>
        <v>0</v>
      </c>
      <c r="AE12" s="49"/>
      <c r="AF12" s="26"/>
      <c r="AG12" s="26"/>
      <c r="AH12" s="26"/>
      <c r="AI12" s="26"/>
      <c r="AJ12" s="26"/>
      <c r="AK12" s="26"/>
    </row>
    <row r="13" ht="12.75" customHeight="1">
      <c r="A13" s="23">
        <f t="shared" si="7"/>
        <v>11</v>
      </c>
      <c r="B13" s="27"/>
      <c r="C13" s="27"/>
      <c r="D13" s="27"/>
      <c r="E13" s="27"/>
      <c r="F13" s="27"/>
      <c r="G13" s="50" t="str">
        <f>IFERROR(__xludf.DUMMYFUNCTION("IFERROR(min(filter(targets_quant!$P:$P,(targets_quant!$B:$B=test6_2!$A13)*(targets_quant!$F:$F=C$2)*(targets_quant!$J:$J=D$2)*(targets_quant!$G:$G=E$2))),"""")"),"")</f>
        <v/>
      </c>
      <c r="H13" s="27" t="str">
        <f>IFERROR(__xludf.DUMMYFUNCTION("IF(G13, max(filter(targets_quant!$A:$A,(targets_quant!$B:$B=$A13)*(targets_quant!$P:$P=$G13)*(targets_quant!$F:$F=C$2)*(targets_quant!$G:$G=$E$2)*(targets_quant!$J:$J=$D$2))),"""")"),"")</f>
        <v/>
      </c>
      <c r="I13" s="27" t="str">
        <f>IFERROR(__xludf.DUMMYFUNCTION("if(G13, filter(targets_quant!$O:$O,targets_quant!$A:$A=$H13),"""")"),"")</f>
        <v/>
      </c>
      <c r="J13" s="27" t="str">
        <f>IFERROR(__xludf.DUMMYFUNCTION("if(G13, filter(ghg!$F:$F,(ghg!$B:$B=$A13)*(ghg!$E:$E=$I13)),"""")"),"")</f>
        <v/>
      </c>
      <c r="K13" s="27" t="str">
        <f>IFERROR(__xludf.DUMMYFUNCTION("IF($G13, filter(ghg!$G:$G,(ghg!$B:$B=$A13)*(ghg!$E:$E=$I13)),"""")"),"")</f>
        <v/>
      </c>
      <c r="L13" s="27" t="str">
        <f>IFERROR(__xludf.DUMMYFUNCTION("IF($G13, filter(ghg!$H:$H,(ghg!$B:$B=$A13)*(ghg!$E:$E=$I13)),"""")"),"")</f>
        <v/>
      </c>
      <c r="M13" s="27" t="str">
        <f>IFERROR(__xludf.DUMMYFUNCTION("IF($G13, filter(ghg!$J:$J,(ghg!$B:$B=$A13)*(ghg!$E:$E=$I13)),"""")"),"")</f>
        <v/>
      </c>
      <c r="N13" s="27">
        <f t="shared" si="1"/>
        <v>0</v>
      </c>
      <c r="O13" s="27" t="str">
        <f>IFERROR(__xludf.DUMMYFUNCTION("IF($G13, filter(targets_quant!$N:$N,targets_quant!$A:$A=$H13),"""")"),"")</f>
        <v/>
      </c>
      <c r="P13" s="27">
        <f t="shared" si="2"/>
        <v>0</v>
      </c>
      <c r="Q13" s="27">
        <f>VLOOKUP($A13,reporting!$A:$D,COLUMN(reporting!$D:$D),FALSE)</f>
        <v>2020</v>
      </c>
      <c r="R13" s="27" t="str">
        <f>IFERROR(__xludf.DUMMYFUNCTION("IF($G13, filter(ghg!$F:$F,(ghg!$B:$B=$A13)*(ghg!$E:$E=$Q13)),"""")"),"")</f>
        <v/>
      </c>
      <c r="S13" s="27" t="str">
        <f>IFERROR(__xludf.DUMMYFUNCTION("IF($G13, filter(ghg!$G:$G,(ghg!$B:$B=$A13)*(ghg!$E:$E=$Q13)),"""")"),"")</f>
        <v/>
      </c>
      <c r="T13" s="27" t="str">
        <f>IFERROR(__xludf.DUMMYFUNCTION("IF($G13, filter(ghg!$H:$H,(ghg!$B:$B=$A13)*(ghg!$E:$E=$Q13)),"""")"),"")</f>
        <v/>
      </c>
      <c r="U13" s="27" t="str">
        <f>IFERROR(__xludf.DUMMYFUNCTION("IF($G13, filter(ghg!$J:$J,(ghg!$B:$B=$A13)*(ghg!$E:$E=$Q13)),"""")"),"")</f>
        <v/>
      </c>
      <c r="V13" s="27">
        <f t="shared" si="3"/>
        <v>0</v>
      </c>
      <c r="W13" s="54" t="str">
        <f t="shared" si="4"/>
        <v/>
      </c>
      <c r="X13" s="27"/>
      <c r="Y13" s="27"/>
      <c r="Z13" s="27"/>
      <c r="AA13" s="27"/>
      <c r="AB13" s="27"/>
      <c r="AC13" s="30">
        <f t="shared" si="5"/>
        <v>0</v>
      </c>
      <c r="AD13" s="30">
        <f t="shared" si="6"/>
        <v>0</v>
      </c>
      <c r="AE13" s="49"/>
      <c r="AF13" s="26"/>
      <c r="AG13" s="26"/>
      <c r="AH13" s="26"/>
      <c r="AI13" s="26"/>
      <c r="AJ13" s="26"/>
      <c r="AK13" s="26"/>
    </row>
    <row r="14" ht="12.75" customHeight="1">
      <c r="A14" s="23">
        <f t="shared" si="7"/>
        <v>12</v>
      </c>
      <c r="B14" s="27"/>
      <c r="C14" s="27"/>
      <c r="D14" s="27"/>
      <c r="E14" s="27"/>
      <c r="F14" s="27"/>
      <c r="G14" s="50" t="str">
        <f>IFERROR(__xludf.DUMMYFUNCTION("IFERROR(min(filter(targets_quant!$P:$P,(targets_quant!$B:$B=test6_2!$A14)*(targets_quant!$F:$F=C$2)*(targets_quant!$J:$J=D$2)*(targets_quant!$G:$G=E$2))),"""")"),"")</f>
        <v/>
      </c>
      <c r="H14" s="27" t="str">
        <f>IFERROR(__xludf.DUMMYFUNCTION("IF(G14, max(filter(targets_quant!$A:$A,(targets_quant!$B:$B=$A14)*(targets_quant!$P:$P=$G14)*(targets_quant!$F:$F=C$2)*(targets_quant!$G:$G=$E$2)*(targets_quant!$J:$J=$D$2))),"""")"),"")</f>
        <v/>
      </c>
      <c r="I14" s="27" t="str">
        <f>IFERROR(__xludf.DUMMYFUNCTION("if(G14, filter(targets_quant!$O:$O,targets_quant!$A:$A=$H14),"""")"),"")</f>
        <v/>
      </c>
      <c r="J14" s="27" t="str">
        <f>IFERROR(__xludf.DUMMYFUNCTION("if(G14, filter(ghg!$F:$F,(ghg!$B:$B=$A14)*(ghg!$E:$E=$I14)),"""")"),"")</f>
        <v/>
      </c>
      <c r="K14" s="27" t="str">
        <f>IFERROR(__xludf.DUMMYFUNCTION("IF($G14, filter(ghg!$G:$G,(ghg!$B:$B=$A14)*(ghg!$E:$E=$I14)),"""")"),"")</f>
        <v/>
      </c>
      <c r="L14" s="27" t="str">
        <f>IFERROR(__xludf.DUMMYFUNCTION("IF($G14, filter(ghg!$H:$H,(ghg!$B:$B=$A14)*(ghg!$E:$E=$I14)),"""")"),"")</f>
        <v/>
      </c>
      <c r="M14" s="27" t="str">
        <f>IFERROR(__xludf.DUMMYFUNCTION("IF($G14, filter(ghg!$J:$J,(ghg!$B:$B=$A14)*(ghg!$E:$E=$I14)),"""")"),"")</f>
        <v/>
      </c>
      <c r="N14" s="27">
        <f t="shared" si="1"/>
        <v>0</v>
      </c>
      <c r="O14" s="27" t="str">
        <f>IFERROR(__xludf.DUMMYFUNCTION("IF($G14, filter(targets_quant!$N:$N,targets_quant!$A:$A=$H14),"""")"),"")</f>
        <v/>
      </c>
      <c r="P14" s="27">
        <f t="shared" si="2"/>
        <v>0</v>
      </c>
      <c r="Q14" s="27">
        <f>VLOOKUP($A14,reporting!$A:$D,COLUMN(reporting!$D:$D),FALSE)</f>
        <v>2019</v>
      </c>
      <c r="R14" s="27" t="str">
        <f>IFERROR(__xludf.DUMMYFUNCTION("IF($G14, filter(ghg!$F:$F,(ghg!$B:$B=$A14)*(ghg!$E:$E=$Q14)),"""")"),"")</f>
        <v/>
      </c>
      <c r="S14" s="27" t="str">
        <f>IFERROR(__xludf.DUMMYFUNCTION("IF($G14, filter(ghg!$G:$G,(ghg!$B:$B=$A14)*(ghg!$E:$E=$Q14)),"""")"),"")</f>
        <v/>
      </c>
      <c r="T14" s="27" t="str">
        <f>IFERROR(__xludf.DUMMYFUNCTION("IF($G14, filter(ghg!$H:$H,(ghg!$B:$B=$A14)*(ghg!$E:$E=$Q14)),"""")"),"")</f>
        <v/>
      </c>
      <c r="U14" s="27" t="str">
        <f>IFERROR(__xludf.DUMMYFUNCTION("IF($G14, filter(ghg!$J:$J,(ghg!$B:$B=$A14)*(ghg!$E:$E=$Q14)),"""")"),"")</f>
        <v/>
      </c>
      <c r="V14" s="27">
        <f t="shared" si="3"/>
        <v>0</v>
      </c>
      <c r="W14" s="54" t="str">
        <f t="shared" si="4"/>
        <v/>
      </c>
      <c r="X14" s="27"/>
      <c r="Y14" s="27"/>
      <c r="Z14" s="27"/>
      <c r="AA14" s="27"/>
      <c r="AB14" s="27"/>
      <c r="AC14" s="30">
        <f t="shared" si="5"/>
        <v>0</v>
      </c>
      <c r="AD14" s="30">
        <f t="shared" si="6"/>
        <v>0</v>
      </c>
      <c r="AE14" s="49"/>
      <c r="AF14" s="26"/>
      <c r="AG14" s="26"/>
      <c r="AH14" s="26"/>
      <c r="AI14" s="26"/>
      <c r="AJ14" s="26"/>
      <c r="AK14" s="26"/>
    </row>
    <row r="15" ht="12.75" customHeight="1">
      <c r="A15" s="23">
        <f t="shared" si="7"/>
        <v>13</v>
      </c>
      <c r="B15" s="27"/>
      <c r="C15" s="27"/>
      <c r="D15" s="27"/>
      <c r="E15" s="27"/>
      <c r="F15" s="27"/>
      <c r="G15" s="50" t="str">
        <f>IFERROR(__xludf.DUMMYFUNCTION("IFERROR(min(filter(targets_quant!$P:$P,(targets_quant!$B:$B=test6_2!$A15)*(targets_quant!$F:$F=C$2)*(targets_quant!$J:$J=D$2)*(targets_quant!$G:$G=E$2))),"""")"),"")</f>
        <v/>
      </c>
      <c r="H15" s="27" t="str">
        <f>IFERROR(__xludf.DUMMYFUNCTION("IF(G15, max(filter(targets_quant!$A:$A,(targets_quant!$B:$B=$A15)*(targets_quant!$P:$P=$G15)*(targets_quant!$F:$F=C$2)*(targets_quant!$G:$G=$E$2)*(targets_quant!$J:$J=$D$2))),"""")"),"")</f>
        <v/>
      </c>
      <c r="I15" s="27" t="str">
        <f>IFERROR(__xludf.DUMMYFUNCTION("if(G15, filter(targets_quant!$O:$O,targets_quant!$A:$A=$H15),"""")"),"")</f>
        <v/>
      </c>
      <c r="J15" s="27" t="str">
        <f>IFERROR(__xludf.DUMMYFUNCTION("if(G15, filter(ghg!$F:$F,(ghg!$B:$B=$A15)*(ghg!$E:$E=$I15)),"""")"),"")</f>
        <v/>
      </c>
      <c r="K15" s="27" t="str">
        <f>IFERROR(__xludf.DUMMYFUNCTION("IF($G15, filter(ghg!$G:$G,(ghg!$B:$B=$A15)*(ghg!$E:$E=$I15)),"""")"),"")</f>
        <v/>
      </c>
      <c r="L15" s="27" t="str">
        <f>IFERROR(__xludf.DUMMYFUNCTION("IF($G15, filter(ghg!$H:$H,(ghg!$B:$B=$A15)*(ghg!$E:$E=$I15)),"""")"),"")</f>
        <v/>
      </c>
      <c r="M15" s="27" t="str">
        <f>IFERROR(__xludf.DUMMYFUNCTION("IF($G15, filter(ghg!$J:$J,(ghg!$B:$B=$A15)*(ghg!$E:$E=$I15)),"""")"),"")</f>
        <v/>
      </c>
      <c r="N15" s="27">
        <f t="shared" si="1"/>
        <v>0</v>
      </c>
      <c r="O15" s="27" t="str">
        <f>IFERROR(__xludf.DUMMYFUNCTION("IF($G15, filter(targets_quant!$N:$N,targets_quant!$A:$A=$H15),"""")"),"")</f>
        <v/>
      </c>
      <c r="P15" s="27">
        <f t="shared" si="2"/>
        <v>0</v>
      </c>
      <c r="Q15" s="27">
        <f>VLOOKUP($A15,reporting!$A:$D,COLUMN(reporting!$D:$D),FALSE)</f>
        <v>2019</v>
      </c>
      <c r="R15" s="27" t="str">
        <f>IFERROR(__xludf.DUMMYFUNCTION("IF($G15, filter(ghg!$F:$F,(ghg!$B:$B=$A15)*(ghg!$E:$E=$Q15)),"""")"),"")</f>
        <v/>
      </c>
      <c r="S15" s="27" t="str">
        <f>IFERROR(__xludf.DUMMYFUNCTION("IF($G15, filter(ghg!$G:$G,(ghg!$B:$B=$A15)*(ghg!$E:$E=$Q15)),"""")"),"")</f>
        <v/>
      </c>
      <c r="T15" s="27" t="str">
        <f>IFERROR(__xludf.DUMMYFUNCTION("IF($G15, filter(ghg!$H:$H,(ghg!$B:$B=$A15)*(ghg!$E:$E=$Q15)),"""")"),"")</f>
        <v/>
      </c>
      <c r="U15" s="27" t="str">
        <f>IFERROR(__xludf.DUMMYFUNCTION("IF($G15, filter(ghg!$J:$J,(ghg!$B:$B=$A15)*(ghg!$E:$E=$Q15)),"""")"),"")</f>
        <v/>
      </c>
      <c r="V15" s="27">
        <f t="shared" si="3"/>
        <v>0</v>
      </c>
      <c r="W15" s="54" t="str">
        <f t="shared" si="4"/>
        <v/>
      </c>
      <c r="X15" s="27"/>
      <c r="Y15" s="27"/>
      <c r="Z15" s="27"/>
      <c r="AA15" s="27"/>
      <c r="AB15" s="27"/>
      <c r="AC15" s="30">
        <f t="shared" si="5"/>
        <v>0</v>
      </c>
      <c r="AD15" s="30">
        <f t="shared" si="6"/>
        <v>0</v>
      </c>
      <c r="AE15" s="49"/>
      <c r="AF15" s="26"/>
      <c r="AG15" s="26"/>
      <c r="AH15" s="26"/>
      <c r="AI15" s="26"/>
      <c r="AJ15" s="26"/>
      <c r="AK15" s="26"/>
    </row>
    <row r="16" ht="12.75" customHeight="1">
      <c r="A16" s="23">
        <f t="shared" si="7"/>
        <v>14</v>
      </c>
      <c r="B16" s="27"/>
      <c r="C16" s="27"/>
      <c r="D16" s="27"/>
      <c r="E16" s="27"/>
      <c r="F16" s="27"/>
      <c r="G16" s="50">
        <f>IFERROR(__xludf.DUMMYFUNCTION("IFERROR(min(filter(targets_quant!$P:$P,(targets_quant!$B:$B=test6_2!$A16)*(targets_quant!$F:$F=C$2)*(targets_quant!$J:$J=D$2)*(targets_quant!$G:$G=E$2))),"""")"),2030.0)</f>
        <v>2030</v>
      </c>
      <c r="H16" s="27">
        <f>IFERROR(__xludf.DUMMYFUNCTION("IF(G16, max(filter(targets_quant!$A:$A,(targets_quant!$B:$B=$A16)*(targets_quant!$P:$P=$G16)*(targets_quant!$F:$F=C$2)*(targets_quant!$G:$G=$E$2)*(targets_quant!$J:$J=$D$2))),"""")"),24.0)</f>
        <v>24</v>
      </c>
      <c r="I16" s="27">
        <f>IFERROR(__xludf.DUMMYFUNCTION("if(G16, filter(targets_quant!$O:$O,targets_quant!$A:$A=$H16),"""")"),2019.0)</f>
        <v>2019</v>
      </c>
      <c r="J16" s="27">
        <f>IFERROR(__xludf.DUMMYFUNCTION("if(G16, filter(ghg!$F:$F,(ghg!$B:$B=$A16)*(ghg!$E:$E=$I16)),"""")"),52730.0)</f>
        <v>52730</v>
      </c>
      <c r="K16" s="27" t="str">
        <f>IFERROR(__xludf.DUMMYFUNCTION("IF($G16, filter(ghg!$G:$G,(ghg!$B:$B=$A16)*(ghg!$E:$E=$I16)),"""")"),"")</f>
        <v/>
      </c>
      <c r="L16" s="27">
        <f>IFERROR(__xludf.DUMMYFUNCTION("IF($G16, filter(ghg!$H:$H,(ghg!$B:$B=$A16)*(ghg!$E:$E=$I16)),"""")"),0.0)</f>
        <v>0</v>
      </c>
      <c r="M16" s="27">
        <f>IFERROR(__xludf.DUMMYFUNCTION("IF($G16, filter(ghg!$J:$J,(ghg!$B:$B=$A16)*(ghg!$E:$E=$I16)),"""")"),2.498E7)</f>
        <v>24980000</v>
      </c>
      <c r="N16" s="27">
        <f t="shared" si="1"/>
        <v>25032730</v>
      </c>
      <c r="O16" s="53">
        <f>IFERROR(__xludf.DUMMYFUNCTION("IF($G16, filter(targets_quant!$N:$N,targets_quant!$A:$A=$H16),"""")"),0.62)</f>
        <v>0.62</v>
      </c>
      <c r="P16" s="27">
        <f t="shared" si="2"/>
        <v>9512437.4</v>
      </c>
      <c r="Q16" s="27">
        <f>VLOOKUP($A16,reporting!$A:$D,COLUMN(reporting!$D:$D),FALSE)</f>
        <v>2020</v>
      </c>
      <c r="R16" s="27">
        <f>IFERROR(__xludf.DUMMYFUNCTION("IF($G16, filter(ghg!$F:$F,(ghg!$B:$B=$A16)*(ghg!$E:$E=$Q16)),"""")"),47430.0)</f>
        <v>47430</v>
      </c>
      <c r="S16" s="27">
        <f>IFERROR(__xludf.DUMMYFUNCTION("IF($G16, filter(ghg!$G:$G,(ghg!$B:$B=$A16)*(ghg!$E:$E=$Q16)),"""")"),890189.0)</f>
        <v>890189</v>
      </c>
      <c r="T16" s="27">
        <f>IFERROR(__xludf.DUMMYFUNCTION("IF($G16, filter(ghg!$H:$H,(ghg!$B:$B=$A16)*(ghg!$E:$E=$Q16)),"""")"),0.0)</f>
        <v>0</v>
      </c>
      <c r="U16" s="27">
        <f>IFERROR(__xludf.DUMMYFUNCTION("IF($G16, filter(ghg!$J:$J,(ghg!$B:$B=$A16)*(ghg!$E:$E=$Q16)),"""")"),2.255E7)</f>
        <v>22550000</v>
      </c>
      <c r="V16" s="27">
        <f t="shared" si="3"/>
        <v>22597430</v>
      </c>
      <c r="W16" s="54">
        <f t="shared" si="4"/>
        <v>0.05790478209</v>
      </c>
      <c r="X16" s="27"/>
      <c r="Y16" s="27"/>
      <c r="Z16" s="27"/>
      <c r="AA16" s="27"/>
      <c r="AB16" s="27"/>
      <c r="AC16" s="30">
        <f t="shared" si="5"/>
        <v>1</v>
      </c>
      <c r="AD16" s="30">
        <f t="shared" si="6"/>
        <v>0.05</v>
      </c>
      <c r="AE16" s="49"/>
      <c r="AF16" s="26"/>
      <c r="AG16" s="26"/>
      <c r="AH16" s="26"/>
      <c r="AI16" s="26"/>
      <c r="AJ16" s="26"/>
      <c r="AK16" s="26"/>
    </row>
    <row r="17" ht="12.75" customHeight="1">
      <c r="A17" s="23">
        <f t="shared" si="7"/>
        <v>15</v>
      </c>
      <c r="B17" s="27"/>
      <c r="C17" s="27"/>
      <c r="D17" s="27"/>
      <c r="E17" s="27"/>
      <c r="F17" s="27"/>
      <c r="G17" s="50" t="str">
        <f>IFERROR(__xludf.DUMMYFUNCTION("IFERROR(min(filter(targets_quant!$P:$P,(targets_quant!$B:$B=test6_2!$A17)*(targets_quant!$F:$F=C$2)*(targets_quant!$J:$J=D$2)*(targets_quant!$G:$G=E$2))),"""")"),"")</f>
        <v/>
      </c>
      <c r="H17" s="27" t="str">
        <f>IFERROR(__xludf.DUMMYFUNCTION("IF(G17, max(filter(targets_quant!$A:$A,(targets_quant!$B:$B=$A17)*(targets_quant!$P:$P=$G17)*(targets_quant!$F:$F=C$2)*(targets_quant!$G:$G=$E$2)*(targets_quant!$J:$J=$D$2))),"""")"),"")</f>
        <v/>
      </c>
      <c r="I17" s="27" t="str">
        <f>IFERROR(__xludf.DUMMYFUNCTION("if(G17, filter(targets_quant!$O:$O,targets_quant!$A:$A=$H17),"""")"),"")</f>
        <v/>
      </c>
      <c r="J17" s="27" t="str">
        <f>IFERROR(__xludf.DUMMYFUNCTION("if(G17, filter(ghg!$F:$F,(ghg!$B:$B=$A17)*(ghg!$E:$E=$I17)),"""")"),"")</f>
        <v/>
      </c>
      <c r="K17" s="27" t="str">
        <f>IFERROR(__xludf.DUMMYFUNCTION("IF($G17, filter(ghg!$G:$G,(ghg!$B:$B=$A17)*(ghg!$E:$E=$I17)),"""")"),"")</f>
        <v/>
      </c>
      <c r="L17" s="27" t="str">
        <f>IFERROR(__xludf.DUMMYFUNCTION("IF($G17, filter(ghg!$H:$H,(ghg!$B:$B=$A17)*(ghg!$E:$E=$I17)),"""")"),"")</f>
        <v/>
      </c>
      <c r="M17" s="27" t="str">
        <f>IFERROR(__xludf.DUMMYFUNCTION("IF($G17, filter(ghg!$J:$J,(ghg!$B:$B=$A17)*(ghg!$E:$E=$I17)),"""")"),"")</f>
        <v/>
      </c>
      <c r="N17" s="27">
        <f t="shared" si="1"/>
        <v>0</v>
      </c>
      <c r="O17" s="27" t="str">
        <f>IFERROR(__xludf.DUMMYFUNCTION("IF($G17, filter(targets_quant!$N:$N,targets_quant!$A:$A=$H17),"""")"),"")</f>
        <v/>
      </c>
      <c r="P17" s="27">
        <f t="shared" si="2"/>
        <v>0</v>
      </c>
      <c r="Q17" s="27">
        <f>VLOOKUP($A17,reporting!$A:$D,COLUMN(reporting!$D:$D),FALSE)</f>
        <v>2019</v>
      </c>
      <c r="R17" s="27" t="str">
        <f>IFERROR(__xludf.DUMMYFUNCTION("IF($G17, filter(ghg!$F:$F,(ghg!$B:$B=$A17)*(ghg!$E:$E=$Q17)),"""")"),"")</f>
        <v/>
      </c>
      <c r="S17" s="27" t="str">
        <f>IFERROR(__xludf.DUMMYFUNCTION("IF($G17, filter(ghg!$G:$G,(ghg!$B:$B=$A17)*(ghg!$E:$E=$Q17)),"""")"),"")</f>
        <v/>
      </c>
      <c r="T17" s="27" t="str">
        <f>IFERROR(__xludf.DUMMYFUNCTION("IF($G17, filter(ghg!$H:$H,(ghg!$B:$B=$A17)*(ghg!$E:$E=$Q17)),"""")"),"")</f>
        <v/>
      </c>
      <c r="U17" s="27" t="str">
        <f>IFERROR(__xludf.DUMMYFUNCTION("IF($G17, filter(ghg!$J:$J,(ghg!$B:$B=$A17)*(ghg!$E:$E=$Q17)),"""")"),"")</f>
        <v/>
      </c>
      <c r="V17" s="27">
        <f t="shared" si="3"/>
        <v>0</v>
      </c>
      <c r="W17" s="54" t="str">
        <f t="shared" si="4"/>
        <v/>
      </c>
      <c r="X17" s="27"/>
      <c r="Y17" s="27"/>
      <c r="Z17" s="27"/>
      <c r="AA17" s="27"/>
      <c r="AB17" s="27"/>
      <c r="AC17" s="30">
        <f t="shared" si="5"/>
        <v>0</v>
      </c>
      <c r="AD17" s="30">
        <f t="shared" si="6"/>
        <v>0</v>
      </c>
      <c r="AE17" s="49"/>
      <c r="AF17" s="26"/>
      <c r="AG17" s="26"/>
      <c r="AH17" s="26"/>
      <c r="AI17" s="26"/>
      <c r="AJ17" s="26"/>
      <c r="AK17" s="26"/>
    </row>
    <row r="18" ht="12.75" customHeight="1">
      <c r="A18" s="23">
        <f t="shared" si="7"/>
        <v>16</v>
      </c>
      <c r="B18" s="27"/>
      <c r="C18" s="27"/>
      <c r="D18" s="27"/>
      <c r="E18" s="27"/>
      <c r="F18" s="27"/>
      <c r="G18" s="50" t="str">
        <f>IFERROR(__xludf.DUMMYFUNCTION("IFERROR(min(filter(targets_quant!$P:$P,(targets_quant!$B:$B=test6_2!$A18)*(targets_quant!$F:$F=C$2)*(targets_quant!$J:$J=D$2)*(targets_quant!$G:$G=E$2))),"""")"),"")</f>
        <v/>
      </c>
      <c r="H18" s="27" t="str">
        <f>IFERROR(__xludf.DUMMYFUNCTION("IF(G18, max(filter(targets_quant!$A:$A,(targets_quant!$B:$B=$A18)*(targets_quant!$P:$P=$G18)*(targets_quant!$F:$F=C$2)*(targets_quant!$G:$G=$E$2)*(targets_quant!$J:$J=$D$2))),"""")"),"")</f>
        <v/>
      </c>
      <c r="I18" s="27" t="str">
        <f>IFERROR(__xludf.DUMMYFUNCTION("if(G18, filter(targets_quant!$O:$O,targets_quant!$A:$A=$H18),"""")"),"")</f>
        <v/>
      </c>
      <c r="J18" s="27" t="str">
        <f>IFERROR(__xludf.DUMMYFUNCTION("if(G18, filter(ghg!$F:$F,(ghg!$B:$B=$A18)*(ghg!$E:$E=$I18)),"""")"),"")</f>
        <v/>
      </c>
      <c r="K18" s="27" t="str">
        <f>IFERROR(__xludf.DUMMYFUNCTION("IF($G18, filter(ghg!$G:$G,(ghg!$B:$B=$A18)*(ghg!$E:$E=$I18)),"""")"),"")</f>
        <v/>
      </c>
      <c r="L18" s="27" t="str">
        <f>IFERROR(__xludf.DUMMYFUNCTION("IF($G18, filter(ghg!$H:$H,(ghg!$B:$B=$A18)*(ghg!$E:$E=$I18)),"""")"),"")</f>
        <v/>
      </c>
      <c r="M18" s="27" t="str">
        <f>IFERROR(__xludf.DUMMYFUNCTION("IF($G18, filter(ghg!$J:$J,(ghg!$B:$B=$A18)*(ghg!$E:$E=$I18)),"""")"),"")</f>
        <v/>
      </c>
      <c r="N18" s="27">
        <f t="shared" si="1"/>
        <v>0</v>
      </c>
      <c r="O18" s="27" t="str">
        <f>IFERROR(__xludf.DUMMYFUNCTION("IF($G18, filter(targets_quant!$N:$N,targets_quant!$A:$A=$H18),"""")"),"")</f>
        <v/>
      </c>
      <c r="P18" s="27">
        <f t="shared" si="2"/>
        <v>0</v>
      </c>
      <c r="Q18" s="27">
        <f>VLOOKUP($A18,reporting!$A:$D,COLUMN(reporting!$D:$D),FALSE)</f>
        <v>2020</v>
      </c>
      <c r="R18" s="27" t="str">
        <f>IFERROR(__xludf.DUMMYFUNCTION("IF($G18, filter(ghg!$F:$F,(ghg!$B:$B=$A18)*(ghg!$E:$E=$Q18)),"""")"),"")</f>
        <v/>
      </c>
      <c r="S18" s="27" t="str">
        <f>IFERROR(__xludf.DUMMYFUNCTION("IF($G18, filter(ghg!$G:$G,(ghg!$B:$B=$A18)*(ghg!$E:$E=$Q18)),"""")"),"")</f>
        <v/>
      </c>
      <c r="T18" s="27" t="str">
        <f>IFERROR(__xludf.DUMMYFUNCTION("IF($G18, filter(ghg!$H:$H,(ghg!$B:$B=$A18)*(ghg!$E:$E=$Q18)),"""")"),"")</f>
        <v/>
      </c>
      <c r="U18" s="27" t="str">
        <f>IFERROR(__xludf.DUMMYFUNCTION("IF($G18, filter(ghg!$J:$J,(ghg!$B:$B=$A18)*(ghg!$E:$E=$Q18)),"""")"),"")</f>
        <v/>
      </c>
      <c r="V18" s="27">
        <f t="shared" si="3"/>
        <v>0</v>
      </c>
      <c r="W18" s="54" t="str">
        <f t="shared" si="4"/>
        <v/>
      </c>
      <c r="X18" s="27"/>
      <c r="Y18" s="27"/>
      <c r="Z18" s="27"/>
      <c r="AA18" s="27"/>
      <c r="AB18" s="27"/>
      <c r="AC18" s="30">
        <f t="shared" si="5"/>
        <v>0</v>
      </c>
      <c r="AD18" s="30">
        <f t="shared" si="6"/>
        <v>0</v>
      </c>
      <c r="AE18" s="49"/>
      <c r="AF18" s="26"/>
      <c r="AG18" s="26"/>
      <c r="AH18" s="26"/>
      <c r="AI18" s="26"/>
      <c r="AJ18" s="26"/>
      <c r="AK18" s="26"/>
    </row>
    <row r="19" ht="12.75" customHeight="1">
      <c r="A19" s="23">
        <f t="shared" si="7"/>
        <v>17</v>
      </c>
      <c r="B19" s="27"/>
      <c r="C19" s="27"/>
      <c r="D19" s="27"/>
      <c r="E19" s="27"/>
      <c r="F19" s="27"/>
      <c r="G19" s="50" t="str">
        <f>IFERROR(__xludf.DUMMYFUNCTION("IFERROR(min(filter(targets_quant!$P:$P,(targets_quant!$B:$B=test6_2!$A19)*(targets_quant!$F:$F=C$2)*(targets_quant!$J:$J=D$2)*(targets_quant!$G:$G=E$2))),"""")"),"")</f>
        <v/>
      </c>
      <c r="H19" s="27" t="str">
        <f>IFERROR(__xludf.DUMMYFUNCTION("IF(G19, max(filter(targets_quant!$A:$A,(targets_quant!$B:$B=$A19)*(targets_quant!$P:$P=$G19)*(targets_quant!$F:$F=C$2)*(targets_quant!$G:$G=$E$2)*(targets_quant!$J:$J=$D$2))),"""")"),"")</f>
        <v/>
      </c>
      <c r="I19" s="27" t="str">
        <f>IFERROR(__xludf.DUMMYFUNCTION("if(G19, filter(targets_quant!$O:$O,targets_quant!$A:$A=$H19),"""")"),"")</f>
        <v/>
      </c>
      <c r="J19" s="27" t="str">
        <f>IFERROR(__xludf.DUMMYFUNCTION("if(G19, filter(ghg!$F:$F,(ghg!$B:$B=$A19)*(ghg!$E:$E=$I19)),"""")"),"")</f>
        <v/>
      </c>
      <c r="K19" s="27" t="str">
        <f>IFERROR(__xludf.DUMMYFUNCTION("IF($G19, filter(ghg!$G:$G,(ghg!$B:$B=$A19)*(ghg!$E:$E=$I19)),"""")"),"")</f>
        <v/>
      </c>
      <c r="L19" s="27" t="str">
        <f>IFERROR(__xludf.DUMMYFUNCTION("IF($G19, filter(ghg!$H:$H,(ghg!$B:$B=$A19)*(ghg!$E:$E=$I19)),"""")"),"")</f>
        <v/>
      </c>
      <c r="M19" s="27" t="str">
        <f>IFERROR(__xludf.DUMMYFUNCTION("IF($G19, filter(ghg!$J:$J,(ghg!$B:$B=$A19)*(ghg!$E:$E=$I19)),"""")"),"")</f>
        <v/>
      </c>
      <c r="N19" s="27">
        <f t="shared" si="1"/>
        <v>0</v>
      </c>
      <c r="O19" s="27" t="str">
        <f>IFERROR(__xludf.DUMMYFUNCTION("IF($G19, filter(targets_quant!$N:$N,targets_quant!$A:$A=$H19),"""")"),"")</f>
        <v/>
      </c>
      <c r="P19" s="27">
        <f t="shared" si="2"/>
        <v>0</v>
      </c>
      <c r="Q19" s="27" t="str">
        <f>VLOOKUP($A19,reporting!$A:$D,COLUMN(reporting!$D:$D),FALSE)</f>
        <v>NR</v>
      </c>
      <c r="R19" s="27" t="str">
        <f>IFERROR(__xludf.DUMMYFUNCTION("IF($G19, filter(ghg!$F:$F,(ghg!$B:$B=$A19)*(ghg!$E:$E=$Q19)),"""")"),"")</f>
        <v/>
      </c>
      <c r="S19" s="27" t="str">
        <f>IFERROR(__xludf.DUMMYFUNCTION("IF($G19, filter(ghg!$G:$G,(ghg!$B:$B=$A19)*(ghg!$E:$E=$Q19)),"""")"),"")</f>
        <v/>
      </c>
      <c r="T19" s="27" t="str">
        <f>IFERROR(__xludf.DUMMYFUNCTION("IF($G19, filter(ghg!$H:$H,(ghg!$B:$B=$A19)*(ghg!$E:$E=$Q19)),"""")"),"")</f>
        <v/>
      </c>
      <c r="U19" s="27" t="str">
        <f>IFERROR(__xludf.DUMMYFUNCTION("IF($G19, filter(ghg!$J:$J,(ghg!$B:$B=$A19)*(ghg!$E:$E=$Q19)),"""")"),"")</f>
        <v/>
      </c>
      <c r="V19" s="27">
        <f t="shared" si="3"/>
        <v>0</v>
      </c>
      <c r="W19" s="54" t="str">
        <f t="shared" si="4"/>
        <v/>
      </c>
      <c r="X19" s="27"/>
      <c r="Y19" s="27"/>
      <c r="Z19" s="27"/>
      <c r="AA19" s="27"/>
      <c r="AB19" s="27"/>
      <c r="AC19" s="30">
        <f t="shared" si="5"/>
        <v>0</v>
      </c>
      <c r="AD19" s="30">
        <f t="shared" si="6"/>
        <v>0</v>
      </c>
      <c r="AE19" s="49"/>
      <c r="AF19" s="26"/>
      <c r="AG19" s="26"/>
      <c r="AH19" s="26"/>
      <c r="AI19" s="26"/>
      <c r="AJ19" s="26"/>
      <c r="AK19" s="26"/>
    </row>
    <row r="20" ht="12.75" customHeight="1">
      <c r="A20" s="23">
        <f t="shared" si="7"/>
        <v>18</v>
      </c>
      <c r="B20" s="27"/>
      <c r="C20" s="27"/>
      <c r="D20" s="27"/>
      <c r="E20" s="27"/>
      <c r="F20" s="27"/>
      <c r="G20" s="50" t="str">
        <f>IFERROR(__xludf.DUMMYFUNCTION("IFERROR(min(filter(targets_quant!$P:$P,(targets_quant!$B:$B=test6_2!$A20)*(targets_quant!$F:$F=C$2)*(targets_quant!$J:$J=D$2)*(targets_quant!$G:$G=E$2))),"""")"),"")</f>
        <v/>
      </c>
      <c r="H20" s="27" t="str">
        <f>IFERROR(__xludf.DUMMYFUNCTION("IF(G20, max(filter(targets_quant!$A:$A,(targets_quant!$B:$B=$A20)*(targets_quant!$P:$P=$G20)*(targets_quant!$F:$F=C$2)*(targets_quant!$G:$G=$E$2)*(targets_quant!$J:$J=$D$2))),"""")"),"")</f>
        <v/>
      </c>
      <c r="I20" s="27" t="str">
        <f>IFERROR(__xludf.DUMMYFUNCTION("if(G20, filter(targets_quant!$O:$O,targets_quant!$A:$A=$H20),"""")"),"")</f>
        <v/>
      </c>
      <c r="J20" s="27" t="str">
        <f>IFERROR(__xludf.DUMMYFUNCTION("if(G20, filter(ghg!$F:$F,(ghg!$B:$B=$A20)*(ghg!$E:$E=$I20)),"""")"),"")</f>
        <v/>
      </c>
      <c r="K20" s="27" t="str">
        <f>IFERROR(__xludf.DUMMYFUNCTION("IF($G20, filter(ghg!$G:$G,(ghg!$B:$B=$A20)*(ghg!$E:$E=$I20)),"""")"),"")</f>
        <v/>
      </c>
      <c r="L20" s="27" t="str">
        <f>IFERROR(__xludf.DUMMYFUNCTION("IF($G20, filter(ghg!$H:$H,(ghg!$B:$B=$A20)*(ghg!$E:$E=$I20)),"""")"),"")</f>
        <v/>
      </c>
      <c r="M20" s="27" t="str">
        <f>IFERROR(__xludf.DUMMYFUNCTION("IF($G20, filter(ghg!$J:$J,(ghg!$B:$B=$A20)*(ghg!$E:$E=$I20)),"""")"),"")</f>
        <v/>
      </c>
      <c r="N20" s="27">
        <f t="shared" si="1"/>
        <v>0</v>
      </c>
      <c r="O20" s="27" t="str">
        <f>IFERROR(__xludf.DUMMYFUNCTION("IF($G20, filter(targets_quant!$N:$N,targets_quant!$A:$A=$H20),"""")"),"")</f>
        <v/>
      </c>
      <c r="P20" s="27">
        <f t="shared" si="2"/>
        <v>0</v>
      </c>
      <c r="Q20" s="27">
        <f>VLOOKUP($A20,reporting!$A:$D,COLUMN(reporting!$D:$D),FALSE)</f>
        <v>2020</v>
      </c>
      <c r="R20" s="27" t="str">
        <f>IFERROR(__xludf.DUMMYFUNCTION("IF($G20, filter(ghg!$F:$F,(ghg!$B:$B=$A20)*(ghg!$E:$E=$Q20)),"""")"),"")</f>
        <v/>
      </c>
      <c r="S20" s="27" t="str">
        <f>IFERROR(__xludf.DUMMYFUNCTION("IF($G20, filter(ghg!$G:$G,(ghg!$B:$B=$A20)*(ghg!$E:$E=$Q20)),"""")"),"")</f>
        <v/>
      </c>
      <c r="T20" s="27" t="str">
        <f>IFERROR(__xludf.DUMMYFUNCTION("IF($G20, filter(ghg!$H:$H,(ghg!$B:$B=$A20)*(ghg!$E:$E=$Q20)),"""")"),"")</f>
        <v/>
      </c>
      <c r="U20" s="27" t="str">
        <f>IFERROR(__xludf.DUMMYFUNCTION("IF($G20, filter(ghg!$J:$J,(ghg!$B:$B=$A20)*(ghg!$E:$E=$Q20)),"""")"),"")</f>
        <v/>
      </c>
      <c r="V20" s="27">
        <f t="shared" si="3"/>
        <v>0</v>
      </c>
      <c r="W20" s="54" t="str">
        <f t="shared" si="4"/>
        <v/>
      </c>
      <c r="X20" s="27"/>
      <c r="Y20" s="27"/>
      <c r="Z20" s="27"/>
      <c r="AA20" s="27"/>
      <c r="AB20" s="27"/>
      <c r="AC20" s="30">
        <f t="shared" si="5"/>
        <v>0</v>
      </c>
      <c r="AD20" s="30">
        <f t="shared" si="6"/>
        <v>0</v>
      </c>
      <c r="AE20" s="49"/>
      <c r="AF20" s="26"/>
      <c r="AG20" s="26"/>
      <c r="AH20" s="26"/>
      <c r="AI20" s="26"/>
      <c r="AJ20" s="26"/>
      <c r="AK20" s="26"/>
    </row>
    <row r="21" ht="12.75" customHeight="1">
      <c r="A21" s="23">
        <f t="shared" si="7"/>
        <v>19</v>
      </c>
      <c r="B21" s="27"/>
      <c r="C21" s="27"/>
      <c r="D21" s="27"/>
      <c r="E21" s="27"/>
      <c r="F21" s="27"/>
      <c r="G21" s="50" t="str">
        <f>IFERROR(__xludf.DUMMYFUNCTION("IFERROR(min(filter(targets_quant!$P:$P,(targets_quant!$B:$B=test6_2!$A21)*(targets_quant!$F:$F=C$2)*(targets_quant!$J:$J=D$2)*(targets_quant!$G:$G=E$2))),"""")"),"")</f>
        <v/>
      </c>
      <c r="H21" s="27" t="str">
        <f>IFERROR(__xludf.DUMMYFUNCTION("IF(G21, max(filter(targets_quant!$A:$A,(targets_quant!$B:$B=$A21)*(targets_quant!$P:$P=$G21)*(targets_quant!$F:$F=C$2)*(targets_quant!$G:$G=$E$2)*(targets_quant!$J:$J=$D$2))),"""")"),"")</f>
        <v/>
      </c>
      <c r="I21" s="27" t="str">
        <f>IFERROR(__xludf.DUMMYFUNCTION("if(G21, filter(targets_quant!$O:$O,targets_quant!$A:$A=$H21),"""")"),"")</f>
        <v/>
      </c>
      <c r="J21" s="27" t="str">
        <f>IFERROR(__xludf.DUMMYFUNCTION("if(G21, filter(ghg!$F:$F,(ghg!$B:$B=$A21)*(ghg!$E:$E=$I21)),"""")"),"")</f>
        <v/>
      </c>
      <c r="K21" s="27" t="str">
        <f>IFERROR(__xludf.DUMMYFUNCTION("IF($G21, filter(ghg!$G:$G,(ghg!$B:$B=$A21)*(ghg!$E:$E=$I21)),"""")"),"")</f>
        <v/>
      </c>
      <c r="L21" s="27" t="str">
        <f>IFERROR(__xludf.DUMMYFUNCTION("IF($G21, filter(ghg!$H:$H,(ghg!$B:$B=$A21)*(ghg!$E:$E=$I21)),"""")"),"")</f>
        <v/>
      </c>
      <c r="M21" s="27" t="str">
        <f>IFERROR(__xludf.DUMMYFUNCTION("IF($G21, filter(ghg!$J:$J,(ghg!$B:$B=$A21)*(ghg!$E:$E=$I21)),"""")"),"")</f>
        <v/>
      </c>
      <c r="N21" s="27">
        <f t="shared" si="1"/>
        <v>0</v>
      </c>
      <c r="O21" s="27" t="str">
        <f>IFERROR(__xludf.DUMMYFUNCTION("IF($G21, filter(targets_quant!$N:$N,targets_quant!$A:$A=$H21),"""")"),"")</f>
        <v/>
      </c>
      <c r="P21" s="27">
        <f t="shared" si="2"/>
        <v>0</v>
      </c>
      <c r="Q21" s="27">
        <f>VLOOKUP($A21,reporting!$A:$D,COLUMN(reporting!$D:$D),FALSE)</f>
        <v>2020</v>
      </c>
      <c r="R21" s="27" t="str">
        <f>IFERROR(__xludf.DUMMYFUNCTION("IF($G21, filter(ghg!$F:$F,(ghg!$B:$B=$A21)*(ghg!$E:$E=$Q21)),"""")"),"")</f>
        <v/>
      </c>
      <c r="S21" s="27" t="str">
        <f>IFERROR(__xludf.DUMMYFUNCTION("IF($G21, filter(ghg!$G:$G,(ghg!$B:$B=$A21)*(ghg!$E:$E=$Q21)),"""")"),"")</f>
        <v/>
      </c>
      <c r="T21" s="27" t="str">
        <f>IFERROR(__xludf.DUMMYFUNCTION("IF($G21, filter(ghg!$H:$H,(ghg!$B:$B=$A21)*(ghg!$E:$E=$Q21)),"""")"),"")</f>
        <v/>
      </c>
      <c r="U21" s="27" t="str">
        <f>IFERROR(__xludf.DUMMYFUNCTION("IF($G21, filter(ghg!$J:$J,(ghg!$B:$B=$A21)*(ghg!$E:$E=$Q21)),"""")"),"")</f>
        <v/>
      </c>
      <c r="V21" s="27">
        <f t="shared" si="3"/>
        <v>0</v>
      </c>
      <c r="W21" s="54" t="str">
        <f t="shared" si="4"/>
        <v/>
      </c>
      <c r="X21" s="27"/>
      <c r="Y21" s="27"/>
      <c r="Z21" s="27"/>
      <c r="AA21" s="27"/>
      <c r="AB21" s="27"/>
      <c r="AC21" s="30">
        <f t="shared" si="5"/>
        <v>0</v>
      </c>
      <c r="AD21" s="30">
        <f t="shared" si="6"/>
        <v>0</v>
      </c>
      <c r="AE21" s="49"/>
      <c r="AF21" s="26"/>
      <c r="AG21" s="26"/>
      <c r="AH21" s="26"/>
      <c r="AI21" s="26"/>
      <c r="AJ21" s="26"/>
      <c r="AK21" s="26"/>
    </row>
    <row r="22" ht="12.75" customHeight="1">
      <c r="A22" s="31">
        <v>66.0</v>
      </c>
      <c r="B22" s="27"/>
      <c r="C22" s="27"/>
      <c r="D22" s="27"/>
      <c r="E22" s="27"/>
      <c r="F22" s="27"/>
      <c r="G22" s="50">
        <f>IFERROR(__xludf.DUMMYFUNCTION("IFERROR(min(filter(targets_quant!$P:$P,(targets_quant!$B:$B=test6_2!$A22)*(targets_quant!$F:$F=C$2)*(targets_quant!$J:$J=D$2)*(targets_quant!$G:$G=E$2))),"""")"),2030.0)</f>
        <v>2030</v>
      </c>
      <c r="H22" s="27">
        <f>IFERROR(__xludf.DUMMYFUNCTION("IF(G22, max(filter(targets_quant!$A:$A,(targets_quant!$B:$B=$A22)*(targets_quant!$P:$P=$G22)*(targets_quant!$F:$F=C$2)*(targets_quant!$G:$G=$E$2)*(targets_quant!$J:$J=$D$2))),"""")"),1.0)</f>
        <v>1</v>
      </c>
      <c r="I22" s="27">
        <f>IFERROR(__xludf.DUMMYFUNCTION("if(G22, filter(targets_quant!$O:$O,targets_quant!$A:$A=$H22),"""")"),2019.0)</f>
        <v>2019</v>
      </c>
      <c r="J22" s="27">
        <f>IFERROR(__xludf.DUMMYFUNCTION("if(G22, filter(ghg!$F:$F,(ghg!$B:$B=$A22)*(ghg!$E:$E=$I22)),"""")"),117956.0)</f>
        <v>117956</v>
      </c>
      <c r="K22" s="27">
        <f>IFERROR(__xludf.DUMMYFUNCTION("IF($G22, filter(ghg!$G:$G,(ghg!$B:$B=$A22)*(ghg!$E:$E=$I22)),"""")"),3357518.0)</f>
        <v>3357518</v>
      </c>
      <c r="L22" s="27">
        <f>IFERROR(__xludf.DUMMYFUNCTION("IF($G22, filter(ghg!$H:$H,(ghg!$B:$B=$A22)*(ghg!$E:$E=$I22)),"""")"),275420.0)</f>
        <v>275420</v>
      </c>
      <c r="M22" s="27" t="str">
        <f>IFERROR(__xludf.DUMMYFUNCTION("IF($G22, filter(ghg!$J:$J,(ghg!$B:$B=$A22)*(ghg!$E:$E=$I22)),"""")"),"")</f>
        <v/>
      </c>
      <c r="N22" s="27">
        <f t="shared" si="1"/>
        <v>393376</v>
      </c>
      <c r="O22" s="53">
        <f>IFERROR(__xludf.DUMMYFUNCTION("IF($G22, filter(targets_quant!$N:$N,targets_quant!$A:$A=$H22),"""")"),0.5)</f>
        <v>0.5</v>
      </c>
      <c r="P22" s="27">
        <f t="shared" si="2"/>
        <v>196688</v>
      </c>
      <c r="Q22" s="27">
        <f>VLOOKUP($A22,reporting!$A:$D,COLUMN(reporting!$D:$D),FALSE)</f>
        <v>2020</v>
      </c>
      <c r="R22" s="27">
        <f>IFERROR(__xludf.DUMMYFUNCTION("IF($G22, filter(ghg!$F:$F,(ghg!$B:$B=$A22)*(ghg!$E:$E=$Q22)),"""")"),118100.0)</f>
        <v>118100</v>
      </c>
      <c r="S22" s="27">
        <f>IFERROR(__xludf.DUMMYFUNCTION("IF($G22, filter(ghg!$G:$G,(ghg!$B:$B=$A22)*(ghg!$E:$E=$Q22)),"""")"),4102445.0)</f>
        <v>4102445</v>
      </c>
      <c r="T22" s="27">
        <f>IFERROR(__xludf.DUMMYFUNCTION("IF($G22, filter(ghg!$H:$H,(ghg!$B:$B=$A22)*(ghg!$E:$E=$Q22)),"""")"),228194.0)</f>
        <v>228194</v>
      </c>
      <c r="U22" s="27" t="str">
        <f>IFERROR(__xludf.DUMMYFUNCTION("IF($G22, filter(ghg!$J:$J,(ghg!$B:$B=$A22)*(ghg!$E:$E=$Q22)),"""")"),"")</f>
        <v/>
      </c>
      <c r="V22" s="27">
        <f t="shared" si="3"/>
        <v>346294</v>
      </c>
      <c r="W22" s="54">
        <f t="shared" si="4"/>
        <v>0.04320201909</v>
      </c>
      <c r="X22" s="27"/>
      <c r="Y22" s="27"/>
      <c r="Z22" s="27"/>
      <c r="AA22" s="27"/>
      <c r="AB22" s="27"/>
      <c r="AC22" s="30">
        <f t="shared" si="5"/>
        <v>0.8640403819</v>
      </c>
      <c r="AD22" s="30">
        <f t="shared" si="6"/>
        <v>0.04320201909</v>
      </c>
      <c r="AE22" s="49"/>
      <c r="AF22" s="26"/>
      <c r="AG22" s="26"/>
      <c r="AH22" s="26"/>
      <c r="AI22" s="26"/>
      <c r="AJ22" s="26"/>
      <c r="AK22" s="26"/>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71"/>
    <col customWidth="1" min="2" max="2" width="9.57"/>
    <col customWidth="1" min="3" max="5" width="10.71"/>
    <col customWidth="1" min="6" max="6" width="5.71"/>
    <col customWidth="1" min="7" max="8" width="11.57"/>
    <col customWidth="1" min="9" max="9" width="14.29"/>
    <col customWidth="1" min="10" max="39" width="8.71"/>
  </cols>
  <sheetData>
    <row r="1" ht="12.75" customHeight="1">
      <c r="A1" s="17" t="s">
        <v>2</v>
      </c>
      <c r="B1" s="18"/>
      <c r="C1" s="19" t="s">
        <v>557</v>
      </c>
      <c r="D1" s="19" t="s">
        <v>558</v>
      </c>
      <c r="E1" s="36" t="s">
        <v>622</v>
      </c>
      <c r="F1" s="19"/>
      <c r="G1" s="19" t="s">
        <v>567</v>
      </c>
      <c r="H1" s="21" t="s">
        <v>548</v>
      </c>
      <c r="I1" s="20" t="s">
        <v>623</v>
      </c>
      <c r="K1" s="19" t="s">
        <v>560</v>
      </c>
      <c r="L1" s="21" t="s">
        <v>548</v>
      </c>
      <c r="M1" s="20" t="s">
        <v>624</v>
      </c>
      <c r="O1" s="20" t="s">
        <v>625</v>
      </c>
      <c r="V1" s="57" t="s">
        <v>626</v>
      </c>
      <c r="W1" s="38">
        <v>0.25</v>
      </c>
    </row>
    <row r="2">
      <c r="A2" s="23"/>
      <c r="B2" s="24"/>
      <c r="C2" s="24"/>
      <c r="D2" s="24"/>
      <c r="E2" s="24"/>
      <c r="F2" s="19"/>
      <c r="G2" s="19" t="s">
        <v>579</v>
      </c>
      <c r="H2" s="25">
        <v>0.075</v>
      </c>
      <c r="I2" s="24"/>
      <c r="K2" s="25"/>
      <c r="L2" s="25">
        <v>0.025</v>
      </c>
      <c r="M2" s="24"/>
      <c r="O2" s="24"/>
      <c r="S2" s="26"/>
      <c r="T2" s="26"/>
      <c r="U2" s="26"/>
      <c r="V2" s="58" t="s">
        <v>627</v>
      </c>
      <c r="W2" s="38">
        <v>1.0</v>
      </c>
      <c r="X2" s="26"/>
      <c r="Y2" s="26"/>
      <c r="Z2" s="26"/>
      <c r="AA2" s="26"/>
      <c r="AB2" s="26"/>
      <c r="AC2" s="26"/>
      <c r="AD2" s="26"/>
      <c r="AE2" s="26"/>
      <c r="AF2" s="26"/>
      <c r="AG2" s="26"/>
      <c r="AH2" s="26"/>
      <c r="AI2" s="26"/>
      <c r="AJ2" s="26"/>
      <c r="AK2" s="26"/>
      <c r="AL2" s="26"/>
      <c r="AM2" s="26"/>
    </row>
    <row r="3" ht="12.75" customHeight="1">
      <c r="A3" s="23">
        <v>1.0</v>
      </c>
      <c r="B3" s="27"/>
      <c r="C3" s="34" t="str">
        <f t="array" ref="C3">IFERROR(index(targets_state!I:I,MATCH("id"&amp;$A3&amp;"targetsbti",targets_state!$Y:$Y,0)))</f>
        <v/>
      </c>
      <c r="D3" s="34" t="str">
        <f t="array" ref="D3">IFERROR(index(targets_state!J:J,MATCH("id"&amp;$A3&amp;"targetsbti",targets_state!$Y:$Y,0)))</f>
        <v/>
      </c>
      <c r="E3" s="34" t="str">
        <f t="shared" ref="E3:E22" si="1">C3&amp;"_"&amp;D3</f>
        <v>_</v>
      </c>
      <c r="F3" s="27"/>
      <c r="G3" s="40">
        <f>IFERROR(VLOOKUP($E3,category_test_8,2,FALSE),0)</f>
        <v>0</v>
      </c>
      <c r="H3" s="26"/>
      <c r="I3" s="30">
        <f t="shared" ref="I3:I22" si="2">G3*H$2</f>
        <v>0</v>
      </c>
      <c r="K3" s="59">
        <f>IFERROR(__xludf.DUMMYFUNCTION("if(IFERROR(filter(targets_state!$K:$K,targets_state!$B:$B=$A3,targets_state!$K:$K=""yes""),"""")=""yes"",100%,0)"),0.0)</f>
        <v>0</v>
      </c>
      <c r="M3" s="30">
        <f t="shared" ref="M3:M22" si="3">L$2*$K3</f>
        <v>0</v>
      </c>
      <c r="O3" s="30">
        <f t="shared" ref="O3:O22" si="4">M3+I3</f>
        <v>0</v>
      </c>
      <c r="S3" s="26"/>
      <c r="T3" s="26"/>
      <c r="U3" s="26"/>
      <c r="V3" s="39" t="s">
        <v>628</v>
      </c>
      <c r="W3" s="41">
        <v>0.0</v>
      </c>
      <c r="X3" s="26"/>
      <c r="Y3" s="26"/>
      <c r="Z3" s="26"/>
      <c r="AA3" s="26"/>
      <c r="AB3" s="26"/>
      <c r="AC3" s="26"/>
      <c r="AD3" s="26"/>
      <c r="AE3" s="26"/>
      <c r="AF3" s="26"/>
      <c r="AG3" s="26"/>
      <c r="AH3" s="26"/>
      <c r="AI3" s="26"/>
      <c r="AJ3" s="26"/>
      <c r="AK3" s="26"/>
      <c r="AL3" s="26"/>
      <c r="AM3" s="26"/>
    </row>
    <row r="4" ht="12.75" customHeight="1">
      <c r="A4" s="23">
        <f t="shared" ref="A4:A21" si="5">A3+1</f>
        <v>2</v>
      </c>
      <c r="B4" s="27"/>
      <c r="C4" s="34" t="str">
        <f t="array" ref="C4">IFERROR(index(targets_state!I:I,MATCH("id"&amp;$A4&amp;"targetsbti",targets_state!$Y:$Y,0)))</f>
        <v/>
      </c>
      <c r="D4" s="34" t="str">
        <f t="array" ref="D4">IFERROR(index(targets_state!J:J,MATCH("id"&amp;$A4&amp;"targetsbti",targets_state!$Y:$Y,0)))</f>
        <v/>
      </c>
      <c r="E4" s="34" t="str">
        <f t="shared" si="1"/>
        <v>_</v>
      </c>
      <c r="F4" s="27"/>
      <c r="G4" s="40">
        <f>IFERROR(VLOOKUP($E4,category_test_8,2,FALSE),0)</f>
        <v>0</v>
      </c>
      <c r="H4" s="26"/>
      <c r="I4" s="30">
        <f t="shared" si="2"/>
        <v>0</v>
      </c>
      <c r="K4" s="59">
        <f>IFERROR(__xludf.DUMMYFUNCTION("if(IFERROR(filter(targets_state!$K:$K,targets_state!$B:$B=$A4,targets_state!$K:$K=""yes""),"""")=""yes"",100%,0)"),0.0)</f>
        <v>0</v>
      </c>
      <c r="M4" s="30">
        <f t="shared" si="3"/>
        <v>0</v>
      </c>
      <c r="O4" s="30">
        <f t="shared" si="4"/>
        <v>0</v>
      </c>
      <c r="S4" s="26"/>
      <c r="T4" s="26"/>
      <c r="U4" s="26"/>
      <c r="V4" s="26"/>
      <c r="W4" s="41"/>
      <c r="X4" s="26"/>
      <c r="Y4" s="26"/>
      <c r="Z4" s="26"/>
      <c r="AA4" s="26"/>
      <c r="AB4" s="26"/>
      <c r="AC4" s="26"/>
      <c r="AD4" s="26"/>
      <c r="AE4" s="26"/>
      <c r="AF4" s="26"/>
      <c r="AG4" s="26"/>
      <c r="AH4" s="26"/>
      <c r="AI4" s="26"/>
      <c r="AJ4" s="26"/>
      <c r="AK4" s="26"/>
      <c r="AL4" s="26"/>
      <c r="AM4" s="26"/>
    </row>
    <row r="5" ht="12.75" customHeight="1">
      <c r="A5" s="23">
        <f t="shared" si="5"/>
        <v>3</v>
      </c>
      <c r="B5" s="27"/>
      <c r="C5" s="34" t="str">
        <f t="array" ref="C5">IFERROR(index(targets_state!I:I,MATCH("id"&amp;$A5&amp;"targetsbti",targets_state!$Y:$Y,0)))</f>
        <v>committed</v>
      </c>
      <c r="D5" s="34" t="str">
        <f t="array" ref="D5">IFERROR(index(targets_state!J:J,MATCH("id"&amp;$A5&amp;"targetsbti",targets_state!$Y:$Y,0)))</f>
        <v>unknown</v>
      </c>
      <c r="E5" s="34" t="str">
        <f t="shared" si="1"/>
        <v>committed_unknown</v>
      </c>
      <c r="F5" s="27"/>
      <c r="G5" s="40">
        <f>IFERROR(VLOOKUP($E5,category_test_8,2,FALSE),0)</f>
        <v>0.25</v>
      </c>
      <c r="H5" s="26"/>
      <c r="I5" s="30">
        <f t="shared" si="2"/>
        <v>0.01875</v>
      </c>
      <c r="K5" s="59">
        <f>IFERROR(__xludf.DUMMYFUNCTION("if(IFERROR(filter(targets_state!$K:$K,targets_state!$B:$B=$A5,targets_state!$K:$K=""yes""),"""")=""yes"",100%,0)"),0.0)</f>
        <v>0</v>
      </c>
      <c r="M5" s="30">
        <f t="shared" si="3"/>
        <v>0</v>
      </c>
      <c r="O5" s="30">
        <f t="shared" si="4"/>
        <v>0.01875</v>
      </c>
      <c r="S5" s="26"/>
      <c r="T5" s="26"/>
      <c r="U5" s="26"/>
      <c r="V5" s="26"/>
      <c r="W5" s="26"/>
      <c r="X5" s="26"/>
      <c r="Y5" s="26"/>
      <c r="Z5" s="26"/>
      <c r="AA5" s="26"/>
      <c r="AB5" s="26"/>
      <c r="AC5" s="26"/>
      <c r="AD5" s="26"/>
      <c r="AE5" s="26"/>
      <c r="AF5" s="26"/>
      <c r="AG5" s="26"/>
      <c r="AH5" s="26"/>
      <c r="AI5" s="26"/>
      <c r="AJ5" s="26"/>
      <c r="AK5" s="26"/>
      <c r="AL5" s="26"/>
      <c r="AM5" s="26"/>
    </row>
    <row r="6" ht="12.75" customHeight="1">
      <c r="A6" s="23">
        <f t="shared" si="5"/>
        <v>4</v>
      </c>
      <c r="B6" s="27"/>
      <c r="C6" s="34" t="str">
        <f t="array" ref="C6">IFERROR(index(targets_state!I:I,MATCH("id"&amp;$A6&amp;"targetsbti",targets_state!$Y:$Y,0)))</f>
        <v>set</v>
      </c>
      <c r="D6" s="34" t="str">
        <f t="array" ref="D6">IFERROR(index(targets_state!J:J,MATCH("id"&amp;$A6&amp;"targetsbti",targets_state!$Y:$Y,0)))</f>
        <v>1.5deg</v>
      </c>
      <c r="E6" s="34" t="str">
        <f t="shared" si="1"/>
        <v>set_1.5deg</v>
      </c>
      <c r="F6" s="27"/>
      <c r="G6" s="40">
        <f>IFERROR(VLOOKUP($E6,category_test_8,2,FALSE),0)</f>
        <v>1</v>
      </c>
      <c r="H6" s="26"/>
      <c r="I6" s="30">
        <f t="shared" si="2"/>
        <v>0.075</v>
      </c>
      <c r="K6" s="59">
        <f>IFERROR(__xludf.DUMMYFUNCTION("if(IFERROR(filter(targets_state!$K:$K,targets_state!$B:$B=$A6,targets_state!$K:$K=""yes""),"""")=""yes"",100%,0)"),0.0)</f>
        <v>0</v>
      </c>
      <c r="M6" s="30">
        <f t="shared" si="3"/>
        <v>0</v>
      </c>
      <c r="O6" s="30">
        <f t="shared" si="4"/>
        <v>0.075</v>
      </c>
      <c r="S6" s="26"/>
      <c r="T6" s="26"/>
      <c r="U6" s="26"/>
      <c r="V6" s="26"/>
      <c r="W6" s="26"/>
      <c r="X6" s="26"/>
      <c r="Y6" s="26"/>
      <c r="Z6" s="26"/>
      <c r="AA6" s="26"/>
      <c r="AB6" s="26"/>
      <c r="AC6" s="26"/>
      <c r="AD6" s="26"/>
      <c r="AE6" s="26"/>
      <c r="AF6" s="26"/>
      <c r="AG6" s="26"/>
      <c r="AH6" s="26"/>
      <c r="AI6" s="26"/>
      <c r="AJ6" s="26"/>
      <c r="AK6" s="26"/>
      <c r="AL6" s="26"/>
      <c r="AM6" s="26"/>
    </row>
    <row r="7" ht="12.75" customHeight="1">
      <c r="A7" s="23">
        <f t="shared" si="5"/>
        <v>5</v>
      </c>
      <c r="B7" s="27"/>
      <c r="C7" s="34" t="str">
        <f t="array" ref="C7">IFERROR(index(targets_state!I:I,MATCH("id"&amp;$A7&amp;"targetsbti",targets_state!$Y:$Y,0)))</f>
        <v>set</v>
      </c>
      <c r="D7" s="34" t="str">
        <f t="array" ref="D7">IFERROR(index(targets_state!J:J,MATCH("id"&amp;$A7&amp;"targetsbti",targets_state!$Y:$Y,0)))</f>
        <v>1.5deg</v>
      </c>
      <c r="E7" s="34" t="str">
        <f t="shared" si="1"/>
        <v>set_1.5deg</v>
      </c>
      <c r="F7" s="27"/>
      <c r="G7" s="40">
        <f>IFERROR(VLOOKUP($E7,category_test_8,2,FALSE),0)</f>
        <v>1</v>
      </c>
      <c r="H7" s="26"/>
      <c r="I7" s="30">
        <f t="shared" si="2"/>
        <v>0.075</v>
      </c>
      <c r="K7" s="59">
        <f>IFERROR(__xludf.DUMMYFUNCTION("if(IFERROR(filter(targets_state!$K:$K,targets_state!$B:$B=$A7,targets_state!$K:$K=""yes""),"""")=""yes"",100%,0)"),0.0)</f>
        <v>0</v>
      </c>
      <c r="M7" s="30">
        <f t="shared" si="3"/>
        <v>0</v>
      </c>
      <c r="O7" s="30">
        <f t="shared" si="4"/>
        <v>0.075</v>
      </c>
      <c r="S7" s="26"/>
      <c r="T7" s="26"/>
      <c r="U7" s="26"/>
      <c r="V7" s="26"/>
      <c r="W7" s="26"/>
      <c r="X7" s="26"/>
      <c r="Y7" s="26"/>
      <c r="Z7" s="26"/>
      <c r="AA7" s="26"/>
      <c r="AB7" s="26"/>
      <c r="AC7" s="26"/>
      <c r="AD7" s="26"/>
      <c r="AE7" s="26"/>
      <c r="AF7" s="26"/>
      <c r="AG7" s="26"/>
      <c r="AH7" s="26"/>
      <c r="AI7" s="26"/>
      <c r="AJ7" s="26"/>
      <c r="AK7" s="26"/>
      <c r="AL7" s="26"/>
      <c r="AM7" s="26"/>
    </row>
    <row r="8" ht="12.75" customHeight="1">
      <c r="A8" s="23">
        <f t="shared" si="5"/>
        <v>6</v>
      </c>
      <c r="B8" s="27"/>
      <c r="C8" s="34" t="str">
        <f t="array" ref="C8">IFERROR(index(targets_state!I:I,MATCH("id"&amp;$A8&amp;"targetsbti",targets_state!$Y:$Y,0)))</f>
        <v/>
      </c>
      <c r="D8" s="34" t="str">
        <f t="array" ref="D8">IFERROR(index(targets_state!J:J,MATCH("id"&amp;$A8&amp;"targetsbti",targets_state!$Y:$Y,0)))</f>
        <v/>
      </c>
      <c r="E8" s="34" t="str">
        <f t="shared" si="1"/>
        <v>_</v>
      </c>
      <c r="F8" s="27"/>
      <c r="G8" s="40">
        <f>IFERROR(VLOOKUP($E8,category_test_8,2,FALSE),0)</f>
        <v>0</v>
      </c>
      <c r="H8" s="26"/>
      <c r="I8" s="30">
        <f t="shared" si="2"/>
        <v>0</v>
      </c>
      <c r="J8" s="26"/>
      <c r="K8" s="59">
        <f>IFERROR(__xludf.DUMMYFUNCTION("if(IFERROR(filter(targets_state!$K:$K,targets_state!$B:$B=$A8,targets_state!$K:$K=""yes""),"""")=""yes"",100%,0)"),0.0)</f>
        <v>0</v>
      </c>
      <c r="L8" s="26"/>
      <c r="M8" s="30">
        <f t="shared" si="3"/>
        <v>0</v>
      </c>
      <c r="N8" s="26"/>
      <c r="O8" s="30">
        <f t="shared" si="4"/>
        <v>0</v>
      </c>
      <c r="P8" s="26"/>
      <c r="Q8" s="26"/>
      <c r="R8" s="26"/>
      <c r="S8" s="26"/>
      <c r="T8" s="26"/>
      <c r="U8" s="26"/>
      <c r="V8" s="26"/>
      <c r="W8" s="26"/>
      <c r="X8" s="26"/>
      <c r="Y8" s="26"/>
      <c r="Z8" s="26"/>
      <c r="AA8" s="26"/>
      <c r="AB8" s="26"/>
      <c r="AC8" s="26"/>
      <c r="AD8" s="26"/>
      <c r="AE8" s="26"/>
      <c r="AF8" s="26"/>
      <c r="AG8" s="26"/>
      <c r="AH8" s="26"/>
      <c r="AI8" s="26"/>
      <c r="AJ8" s="26"/>
      <c r="AK8" s="26"/>
      <c r="AL8" s="26"/>
      <c r="AM8" s="26"/>
    </row>
    <row r="9" ht="12.75" customHeight="1">
      <c r="A9" s="23">
        <f t="shared" si="5"/>
        <v>7</v>
      </c>
      <c r="B9" s="27"/>
      <c r="C9" s="34" t="str">
        <f t="array" ref="C9">IFERROR(index(targets_state!I:I,MATCH("id"&amp;$A9&amp;"targetsbti",targets_state!$Y:$Y,0)))</f>
        <v/>
      </c>
      <c r="D9" s="34" t="str">
        <f t="array" ref="D9">IFERROR(index(targets_state!J:J,MATCH("id"&amp;$A9&amp;"targetsbti",targets_state!$Y:$Y,0)))</f>
        <v/>
      </c>
      <c r="E9" s="34" t="str">
        <f t="shared" si="1"/>
        <v>_</v>
      </c>
      <c r="F9" s="27"/>
      <c r="G9" s="40">
        <f>IFERROR(VLOOKUP($E9,category_test_8,2,FALSE),0)</f>
        <v>0</v>
      </c>
      <c r="H9" s="26"/>
      <c r="I9" s="30">
        <f t="shared" si="2"/>
        <v>0</v>
      </c>
      <c r="J9" s="26"/>
      <c r="K9" s="59">
        <f>IFERROR(__xludf.DUMMYFUNCTION("if(IFERROR(filter(targets_state!$K:$K,targets_state!$B:$B=$A9,targets_state!$K:$K=""yes""),"""")=""yes"",100%,0)"),0.0)</f>
        <v>0</v>
      </c>
      <c r="L9" s="26"/>
      <c r="M9" s="30">
        <f t="shared" si="3"/>
        <v>0</v>
      </c>
      <c r="N9" s="26"/>
      <c r="O9" s="30">
        <f t="shared" si="4"/>
        <v>0</v>
      </c>
      <c r="P9" s="26"/>
      <c r="Q9" s="26"/>
      <c r="R9" s="26"/>
      <c r="S9" s="26"/>
      <c r="T9" s="26"/>
      <c r="U9" s="26"/>
      <c r="V9" s="26"/>
      <c r="W9" s="26"/>
      <c r="X9" s="26"/>
      <c r="Y9" s="26"/>
      <c r="Z9" s="26"/>
      <c r="AA9" s="26"/>
      <c r="AB9" s="26"/>
      <c r="AC9" s="26"/>
      <c r="AD9" s="26"/>
      <c r="AE9" s="26"/>
      <c r="AF9" s="26"/>
      <c r="AG9" s="26"/>
      <c r="AH9" s="26"/>
      <c r="AI9" s="26"/>
      <c r="AJ9" s="26"/>
      <c r="AK9" s="26"/>
      <c r="AL9" s="26"/>
      <c r="AM9" s="26"/>
    </row>
    <row r="10" ht="12.75" customHeight="1">
      <c r="A10" s="23">
        <f t="shared" si="5"/>
        <v>8</v>
      </c>
      <c r="B10" s="27"/>
      <c r="C10" s="34" t="str">
        <f t="array" ref="C10">IFERROR(index(targets_state!I:I,MATCH("id"&amp;$A10&amp;"targetsbti",targets_state!$Y:$Y,0)))</f>
        <v>set</v>
      </c>
      <c r="D10" s="34" t="str">
        <f t="array" ref="D10">IFERROR(index(targets_state!J:J,MATCH("id"&amp;$A10&amp;"targetsbti",targets_state!$Y:$Y,0)))</f>
        <v>1.5deg</v>
      </c>
      <c r="E10" s="34" t="str">
        <f t="shared" si="1"/>
        <v>set_1.5deg</v>
      </c>
      <c r="F10" s="27"/>
      <c r="G10" s="40">
        <f>IFERROR(VLOOKUP($E10,category_test_8,2,FALSE),0)</f>
        <v>1</v>
      </c>
      <c r="H10" s="26"/>
      <c r="I10" s="30">
        <f t="shared" si="2"/>
        <v>0.075</v>
      </c>
      <c r="J10" s="26"/>
      <c r="K10" s="59">
        <f>IFERROR(__xludf.DUMMYFUNCTION("if(IFERROR(filter(targets_state!$K:$K,targets_state!$B:$B=$A10,targets_state!$K:$K=""yes""),"""")=""yes"",100%,0)"),0.0)</f>
        <v>0</v>
      </c>
      <c r="L10" s="26"/>
      <c r="M10" s="30">
        <f t="shared" si="3"/>
        <v>0</v>
      </c>
      <c r="N10" s="26"/>
      <c r="O10" s="30">
        <f t="shared" si="4"/>
        <v>0.075</v>
      </c>
      <c r="P10" s="26"/>
      <c r="Q10" s="26"/>
      <c r="R10" s="26"/>
      <c r="S10" s="26"/>
      <c r="T10" s="26"/>
      <c r="U10" s="26"/>
      <c r="V10" s="26"/>
      <c r="W10" s="26"/>
      <c r="X10" s="26"/>
      <c r="Y10" s="26"/>
      <c r="Z10" s="26"/>
      <c r="AA10" s="26"/>
      <c r="AB10" s="26"/>
      <c r="AC10" s="26"/>
      <c r="AD10" s="26"/>
      <c r="AE10" s="26"/>
      <c r="AF10" s="26"/>
      <c r="AG10" s="26"/>
      <c r="AH10" s="26"/>
      <c r="AI10" s="26"/>
      <c r="AJ10" s="26"/>
      <c r="AK10" s="26"/>
      <c r="AL10" s="26"/>
      <c r="AM10" s="26"/>
    </row>
    <row r="11" ht="12.75" customHeight="1">
      <c r="A11" s="23">
        <f t="shared" si="5"/>
        <v>9</v>
      </c>
      <c r="B11" s="27"/>
      <c r="C11" s="34" t="str">
        <f t="array" ref="C11">IFERROR(index(targets_state!I:I,MATCH("id"&amp;$A11&amp;"targetsbti",targets_state!$Y:$Y,0)))</f>
        <v/>
      </c>
      <c r="D11" s="34" t="str">
        <f t="array" ref="D11">IFERROR(index(targets_state!J:J,MATCH("id"&amp;$A11&amp;"targetsbti",targets_state!$Y:$Y,0)))</f>
        <v/>
      </c>
      <c r="E11" s="34" t="str">
        <f t="shared" si="1"/>
        <v>_</v>
      </c>
      <c r="F11" s="27"/>
      <c r="G11" s="40">
        <f>IFERROR(VLOOKUP($E11,category_test_8,2,FALSE),0)</f>
        <v>0</v>
      </c>
      <c r="H11" s="26"/>
      <c r="I11" s="30">
        <f t="shared" si="2"/>
        <v>0</v>
      </c>
      <c r="J11" s="26"/>
      <c r="K11" s="59">
        <f>IFERROR(__xludf.DUMMYFUNCTION("if(IFERROR(filter(targets_state!$K:$K,targets_state!$B:$B=$A11,targets_state!$K:$K=""yes""),"""")=""yes"",100%,0)"),0.0)</f>
        <v>0</v>
      </c>
      <c r="L11" s="26"/>
      <c r="M11" s="30">
        <f t="shared" si="3"/>
        <v>0</v>
      </c>
      <c r="N11" s="26"/>
      <c r="O11" s="30">
        <f t="shared" si="4"/>
        <v>0</v>
      </c>
      <c r="P11" s="26"/>
      <c r="Q11" s="26"/>
      <c r="R11" s="26"/>
      <c r="S11" s="26"/>
      <c r="T11" s="26"/>
      <c r="U11" s="26"/>
      <c r="V11" s="26"/>
      <c r="W11" s="26"/>
      <c r="X11" s="26"/>
      <c r="Y11" s="26"/>
      <c r="Z11" s="26"/>
      <c r="AA11" s="26"/>
      <c r="AB11" s="26"/>
      <c r="AC11" s="26"/>
      <c r="AD11" s="26"/>
      <c r="AE11" s="26"/>
      <c r="AF11" s="26"/>
      <c r="AG11" s="26"/>
      <c r="AH11" s="26"/>
      <c r="AI11" s="26"/>
      <c r="AJ11" s="26"/>
      <c r="AK11" s="26"/>
      <c r="AL11" s="26"/>
      <c r="AM11" s="26"/>
    </row>
    <row r="12" ht="12.75" customHeight="1">
      <c r="A12" s="23">
        <f t="shared" si="5"/>
        <v>10</v>
      </c>
      <c r="B12" s="27"/>
      <c r="C12" s="34" t="str">
        <f t="array" ref="C12">IFERROR(index(targets_state!I:I,MATCH("id"&amp;$A12&amp;"targetsbti",targets_state!$Y:$Y,0)))</f>
        <v/>
      </c>
      <c r="D12" s="34" t="str">
        <f t="array" ref="D12">IFERROR(index(targets_state!J:J,MATCH("id"&amp;$A12&amp;"targetsbti",targets_state!$Y:$Y,0)))</f>
        <v/>
      </c>
      <c r="E12" s="34" t="str">
        <f t="shared" si="1"/>
        <v>_</v>
      </c>
      <c r="F12" s="27"/>
      <c r="G12" s="40">
        <f>IFERROR(VLOOKUP($E12,category_test_8,2,FALSE),0)</f>
        <v>0</v>
      </c>
      <c r="H12" s="26"/>
      <c r="I12" s="30">
        <f t="shared" si="2"/>
        <v>0</v>
      </c>
      <c r="J12" s="26"/>
      <c r="K12" s="59">
        <f>IFERROR(__xludf.DUMMYFUNCTION("if(IFERROR(filter(targets_state!$K:$K,targets_state!$B:$B=$A12,targets_state!$K:$K=""yes""),"""")=""yes"",100%,0)"),0.0)</f>
        <v>0</v>
      </c>
      <c r="L12" s="26"/>
      <c r="M12" s="30">
        <f t="shared" si="3"/>
        <v>0</v>
      </c>
      <c r="N12" s="26"/>
      <c r="O12" s="30">
        <f t="shared" si="4"/>
        <v>0</v>
      </c>
      <c r="P12" s="26"/>
      <c r="Q12" s="26"/>
      <c r="R12" s="26"/>
      <c r="S12" s="26"/>
      <c r="T12" s="26"/>
      <c r="U12" s="26"/>
      <c r="V12" s="26"/>
      <c r="W12" s="26"/>
      <c r="X12" s="26"/>
      <c r="Y12" s="26"/>
      <c r="Z12" s="26"/>
      <c r="AA12" s="26"/>
      <c r="AB12" s="26"/>
      <c r="AC12" s="26"/>
      <c r="AD12" s="26"/>
      <c r="AE12" s="26"/>
      <c r="AF12" s="26"/>
      <c r="AG12" s="26"/>
      <c r="AH12" s="26"/>
      <c r="AI12" s="26"/>
      <c r="AJ12" s="26"/>
      <c r="AK12" s="26"/>
      <c r="AL12" s="26"/>
      <c r="AM12" s="26"/>
    </row>
    <row r="13" ht="12.75" customHeight="1">
      <c r="A13" s="23">
        <f t="shared" si="5"/>
        <v>11</v>
      </c>
      <c r="B13" s="27"/>
      <c r="C13" s="34" t="str">
        <f t="array" ref="C13">IFERROR(index(targets_state!I:I,MATCH("id"&amp;$A13&amp;"targetsbti",targets_state!$Y:$Y,0)))</f>
        <v/>
      </c>
      <c r="D13" s="34" t="str">
        <f t="array" ref="D13">IFERROR(index(targets_state!J:J,MATCH("id"&amp;$A13&amp;"targetsbti",targets_state!$Y:$Y,0)))</f>
        <v/>
      </c>
      <c r="E13" s="34" t="str">
        <f t="shared" si="1"/>
        <v>_</v>
      </c>
      <c r="F13" s="27"/>
      <c r="G13" s="40">
        <f>IFERROR(VLOOKUP($E13,category_test_8,2,FALSE),0)</f>
        <v>0</v>
      </c>
      <c r="H13" s="26"/>
      <c r="I13" s="30">
        <f t="shared" si="2"/>
        <v>0</v>
      </c>
      <c r="J13" s="26"/>
      <c r="K13" s="59">
        <f>IFERROR(__xludf.DUMMYFUNCTION("if(IFERROR(filter(targets_state!$K:$K,targets_state!$B:$B=$A13,targets_state!$K:$K=""yes""),"""")=""yes"",100%,0)"),0.0)</f>
        <v>0</v>
      </c>
      <c r="L13" s="26"/>
      <c r="M13" s="30">
        <f t="shared" si="3"/>
        <v>0</v>
      </c>
      <c r="N13" s="26"/>
      <c r="O13" s="30">
        <f t="shared" si="4"/>
        <v>0</v>
      </c>
      <c r="P13" s="26"/>
      <c r="Q13" s="26"/>
      <c r="R13" s="26"/>
      <c r="S13" s="26"/>
      <c r="T13" s="26"/>
      <c r="U13" s="26"/>
      <c r="V13" s="26"/>
      <c r="W13" s="26"/>
      <c r="X13" s="26"/>
      <c r="Y13" s="26"/>
      <c r="Z13" s="26"/>
      <c r="AA13" s="26"/>
      <c r="AB13" s="26"/>
      <c r="AC13" s="26"/>
      <c r="AD13" s="26"/>
      <c r="AE13" s="26"/>
      <c r="AF13" s="26"/>
      <c r="AG13" s="26"/>
      <c r="AH13" s="26"/>
      <c r="AI13" s="26"/>
      <c r="AJ13" s="26"/>
      <c r="AK13" s="26"/>
      <c r="AL13" s="26"/>
      <c r="AM13" s="26"/>
    </row>
    <row r="14" ht="12.75" customHeight="1">
      <c r="A14" s="23">
        <f t="shared" si="5"/>
        <v>12</v>
      </c>
      <c r="B14" s="27"/>
      <c r="C14" s="34" t="str">
        <f t="array" ref="C14">IFERROR(index(targets_state!I:I,MATCH("id"&amp;$A14&amp;"targetsbti",targets_state!$Y:$Y,0)))</f>
        <v/>
      </c>
      <c r="D14" s="34" t="str">
        <f t="array" ref="D14">IFERROR(index(targets_state!J:J,MATCH("id"&amp;$A14&amp;"targetsbti",targets_state!$Y:$Y,0)))</f>
        <v/>
      </c>
      <c r="E14" s="34" t="str">
        <f t="shared" si="1"/>
        <v>_</v>
      </c>
      <c r="F14" s="27"/>
      <c r="G14" s="40">
        <f>IFERROR(VLOOKUP($E14,category_test_8,2,FALSE),0)</f>
        <v>0</v>
      </c>
      <c r="H14" s="26"/>
      <c r="I14" s="30">
        <f t="shared" si="2"/>
        <v>0</v>
      </c>
      <c r="J14" s="26"/>
      <c r="K14" s="59">
        <f>IFERROR(__xludf.DUMMYFUNCTION("if(IFERROR(filter(targets_state!$K:$K,targets_state!$B:$B=$A14,targets_state!$K:$K=""yes""),"""")=""yes"",100%,0)"),0.0)</f>
        <v>0</v>
      </c>
      <c r="L14" s="26"/>
      <c r="M14" s="30">
        <f t="shared" si="3"/>
        <v>0</v>
      </c>
      <c r="N14" s="26"/>
      <c r="O14" s="30">
        <f t="shared" si="4"/>
        <v>0</v>
      </c>
      <c r="P14" s="26"/>
      <c r="Q14" s="26"/>
      <c r="R14" s="26"/>
      <c r="S14" s="26"/>
      <c r="T14" s="26"/>
      <c r="U14" s="26"/>
      <c r="V14" s="26"/>
      <c r="W14" s="26"/>
      <c r="X14" s="26"/>
      <c r="Y14" s="26"/>
      <c r="Z14" s="26"/>
      <c r="AA14" s="26"/>
      <c r="AB14" s="26"/>
      <c r="AC14" s="26"/>
      <c r="AD14" s="26"/>
      <c r="AE14" s="26"/>
      <c r="AF14" s="26"/>
      <c r="AG14" s="26"/>
      <c r="AH14" s="26"/>
      <c r="AI14" s="26"/>
      <c r="AJ14" s="26"/>
      <c r="AK14" s="26"/>
      <c r="AL14" s="26"/>
      <c r="AM14" s="26"/>
    </row>
    <row r="15" ht="12.75" customHeight="1">
      <c r="A15" s="23">
        <f t="shared" si="5"/>
        <v>13</v>
      </c>
      <c r="B15" s="27"/>
      <c r="C15" s="34" t="str">
        <f t="array" ref="C15">IFERROR(index(targets_state!I:I,MATCH("id"&amp;$A15&amp;"targetsbti",targets_state!$Y:$Y,0)))</f>
        <v/>
      </c>
      <c r="D15" s="34" t="str">
        <f t="array" ref="D15">IFERROR(index(targets_state!J:J,MATCH("id"&amp;$A15&amp;"targetsbti",targets_state!$Y:$Y,0)))</f>
        <v/>
      </c>
      <c r="E15" s="34" t="str">
        <f t="shared" si="1"/>
        <v>_</v>
      </c>
      <c r="F15" s="27"/>
      <c r="G15" s="40">
        <f>IFERROR(VLOOKUP($E15,category_test_8,2,FALSE),0)</f>
        <v>0</v>
      </c>
      <c r="H15" s="26"/>
      <c r="I15" s="30">
        <f t="shared" si="2"/>
        <v>0</v>
      </c>
      <c r="J15" s="26"/>
      <c r="K15" s="59">
        <f>IFERROR(__xludf.DUMMYFUNCTION("if(IFERROR(filter(targets_state!$K:$K,targets_state!$B:$B=$A15,targets_state!$K:$K=""yes""),"""")=""yes"",100%,0)"),0.0)</f>
        <v>0</v>
      </c>
      <c r="L15" s="26"/>
      <c r="M15" s="30">
        <f t="shared" si="3"/>
        <v>0</v>
      </c>
      <c r="N15" s="26"/>
      <c r="O15" s="30">
        <f t="shared" si="4"/>
        <v>0</v>
      </c>
      <c r="P15" s="26"/>
      <c r="Q15" s="26"/>
      <c r="R15" s="26"/>
      <c r="S15" s="26"/>
      <c r="T15" s="26"/>
      <c r="U15" s="26"/>
      <c r="V15" s="26"/>
      <c r="W15" s="26"/>
      <c r="X15" s="26"/>
      <c r="Y15" s="26"/>
      <c r="Z15" s="26"/>
      <c r="AA15" s="26"/>
      <c r="AB15" s="26"/>
      <c r="AC15" s="26"/>
      <c r="AD15" s="26"/>
      <c r="AE15" s="26"/>
      <c r="AF15" s="26"/>
      <c r="AG15" s="26"/>
      <c r="AH15" s="26"/>
      <c r="AI15" s="26"/>
      <c r="AJ15" s="26"/>
      <c r="AK15" s="26"/>
      <c r="AL15" s="26"/>
      <c r="AM15" s="26"/>
    </row>
    <row r="16" ht="12.75" customHeight="1">
      <c r="A16" s="23">
        <f t="shared" si="5"/>
        <v>14</v>
      </c>
      <c r="B16" s="27"/>
      <c r="C16" s="34" t="str">
        <f t="array" ref="C16">IFERROR(index(targets_state!I:I,MATCH("id"&amp;$A16&amp;"targetsbti",targets_state!$Y:$Y,0)))</f>
        <v>set</v>
      </c>
      <c r="D16" s="34" t="str">
        <f t="array" ref="D16">IFERROR(index(targets_state!J:J,MATCH("id"&amp;$A16&amp;"targetsbti",targets_state!$Y:$Y,0)))</f>
        <v>1.5deg</v>
      </c>
      <c r="E16" s="34" t="str">
        <f t="shared" si="1"/>
        <v>set_1.5deg</v>
      </c>
      <c r="F16" s="27"/>
      <c r="G16" s="40">
        <f>IFERROR(VLOOKUP($E16,category_test_8,2,FALSE),0)</f>
        <v>1</v>
      </c>
      <c r="H16" s="26"/>
      <c r="I16" s="30">
        <f t="shared" si="2"/>
        <v>0.075</v>
      </c>
      <c r="J16" s="26"/>
      <c r="K16" s="59">
        <f>IFERROR(__xludf.DUMMYFUNCTION("if(IFERROR(filter(targets_state!$K:$K,targets_state!$B:$B=$A16,targets_state!$K:$K=""yes""),"""")=""yes"",100%,0)"),0.0)</f>
        <v>0</v>
      </c>
      <c r="L16" s="26"/>
      <c r="M16" s="30">
        <f t="shared" si="3"/>
        <v>0</v>
      </c>
      <c r="N16" s="26"/>
      <c r="O16" s="30">
        <f t="shared" si="4"/>
        <v>0.075</v>
      </c>
      <c r="P16" s="26"/>
      <c r="Q16" s="26"/>
      <c r="R16" s="26"/>
      <c r="S16" s="26"/>
      <c r="T16" s="26"/>
      <c r="U16" s="26"/>
      <c r="V16" s="26"/>
      <c r="W16" s="26"/>
      <c r="X16" s="26"/>
      <c r="Y16" s="26"/>
      <c r="Z16" s="26"/>
      <c r="AA16" s="26"/>
      <c r="AB16" s="26"/>
      <c r="AC16" s="26"/>
      <c r="AD16" s="26"/>
      <c r="AE16" s="26"/>
      <c r="AF16" s="26"/>
      <c r="AG16" s="26"/>
      <c r="AH16" s="26"/>
      <c r="AI16" s="26"/>
      <c r="AJ16" s="26"/>
      <c r="AK16" s="26"/>
      <c r="AL16" s="26"/>
      <c r="AM16" s="26"/>
    </row>
    <row r="17" ht="12.75" customHeight="1">
      <c r="A17" s="23">
        <f t="shared" si="5"/>
        <v>15</v>
      </c>
      <c r="B17" s="27"/>
      <c r="C17" s="34" t="str">
        <f t="array" ref="C17">IFERROR(index(targets_state!I:I,MATCH("id"&amp;$A17&amp;"targetsbti",targets_state!$Y:$Y,0)))</f>
        <v>set</v>
      </c>
      <c r="D17" s="34" t="str">
        <f t="array" ref="D17">IFERROR(index(targets_state!J:J,MATCH("id"&amp;$A17&amp;"targetsbti",targets_state!$Y:$Y,0)))</f>
        <v>1.5deg</v>
      </c>
      <c r="E17" s="34" t="str">
        <f t="shared" si="1"/>
        <v>set_1.5deg</v>
      </c>
      <c r="F17" s="27"/>
      <c r="G17" s="40">
        <f>IFERROR(VLOOKUP($E17,category_test_8,2,FALSE),0)</f>
        <v>1</v>
      </c>
      <c r="H17" s="26"/>
      <c r="I17" s="30">
        <f t="shared" si="2"/>
        <v>0.075</v>
      </c>
      <c r="J17" s="26"/>
      <c r="K17" s="59">
        <f>IFERROR(__xludf.DUMMYFUNCTION("if(IFERROR(filter(targets_state!$K:$K,targets_state!$B:$B=$A17,targets_state!$K:$K=""yes""),"""")=""yes"",100%,0)"),0.0)</f>
        <v>0</v>
      </c>
      <c r="L17" s="26"/>
      <c r="M17" s="30">
        <f t="shared" si="3"/>
        <v>0</v>
      </c>
      <c r="N17" s="26"/>
      <c r="O17" s="30">
        <f t="shared" si="4"/>
        <v>0.075</v>
      </c>
      <c r="P17" s="26"/>
      <c r="Q17" s="26"/>
      <c r="R17" s="26"/>
      <c r="S17" s="26"/>
      <c r="T17" s="26"/>
      <c r="U17" s="26"/>
      <c r="V17" s="26"/>
      <c r="W17" s="26"/>
      <c r="X17" s="26"/>
      <c r="Y17" s="26"/>
      <c r="Z17" s="26"/>
      <c r="AA17" s="26"/>
      <c r="AB17" s="26"/>
      <c r="AC17" s="26"/>
      <c r="AD17" s="26"/>
      <c r="AE17" s="26"/>
      <c r="AF17" s="26"/>
      <c r="AG17" s="26"/>
      <c r="AH17" s="26"/>
      <c r="AI17" s="26"/>
      <c r="AJ17" s="26"/>
      <c r="AK17" s="26"/>
      <c r="AL17" s="26"/>
      <c r="AM17" s="26"/>
    </row>
    <row r="18" ht="12.75" customHeight="1">
      <c r="A18" s="23">
        <f t="shared" si="5"/>
        <v>16</v>
      </c>
      <c r="B18" s="27"/>
      <c r="C18" s="34" t="str">
        <f t="array" ref="C18">IFERROR(index(targets_state!I:I,MATCH("id"&amp;$A18&amp;"targetsbti",targets_state!$Y:$Y,0)))</f>
        <v/>
      </c>
      <c r="D18" s="34" t="str">
        <f t="array" ref="D18">IFERROR(index(targets_state!J:J,MATCH("id"&amp;$A18&amp;"targetsbti",targets_state!$Y:$Y,0)))</f>
        <v/>
      </c>
      <c r="E18" s="34" t="str">
        <f t="shared" si="1"/>
        <v>_</v>
      </c>
      <c r="F18" s="27"/>
      <c r="G18" s="40">
        <f>IFERROR(VLOOKUP($E18,category_test_8,2,FALSE),0)</f>
        <v>0</v>
      </c>
      <c r="H18" s="26"/>
      <c r="I18" s="30">
        <f t="shared" si="2"/>
        <v>0</v>
      </c>
      <c r="J18" s="26"/>
      <c r="K18" s="59">
        <f>IFERROR(__xludf.DUMMYFUNCTION("if(IFERROR(filter(targets_state!$K:$K,targets_state!$B:$B=$A18,targets_state!$K:$K=""yes""),"""")=""yes"",100%,0)"),0.0)</f>
        <v>0</v>
      </c>
      <c r="L18" s="26"/>
      <c r="M18" s="30">
        <f t="shared" si="3"/>
        <v>0</v>
      </c>
      <c r="N18" s="26"/>
      <c r="O18" s="30">
        <f t="shared" si="4"/>
        <v>0</v>
      </c>
      <c r="P18" s="26"/>
      <c r="Q18" s="26"/>
      <c r="R18" s="26"/>
      <c r="S18" s="26"/>
      <c r="T18" s="26"/>
      <c r="U18" s="26"/>
      <c r="V18" s="26"/>
      <c r="W18" s="26"/>
      <c r="X18" s="26"/>
      <c r="Y18" s="26"/>
      <c r="Z18" s="26"/>
      <c r="AA18" s="26"/>
      <c r="AB18" s="26"/>
      <c r="AC18" s="26"/>
      <c r="AD18" s="26"/>
      <c r="AE18" s="26"/>
      <c r="AF18" s="26"/>
      <c r="AG18" s="26"/>
      <c r="AH18" s="26"/>
      <c r="AI18" s="26"/>
      <c r="AJ18" s="26"/>
      <c r="AK18" s="26"/>
      <c r="AL18" s="26"/>
      <c r="AM18" s="26"/>
    </row>
    <row r="19" ht="12.75" customHeight="1">
      <c r="A19" s="23">
        <f t="shared" si="5"/>
        <v>17</v>
      </c>
      <c r="B19" s="27"/>
      <c r="C19" s="34" t="str">
        <f t="array" ref="C19">IFERROR(index(targets_state!I:I,MATCH("id"&amp;$A19&amp;"targetsbti",targets_state!$Y:$Y,0)))</f>
        <v/>
      </c>
      <c r="D19" s="34" t="str">
        <f t="array" ref="D19">IFERROR(index(targets_state!J:J,MATCH("id"&amp;$A19&amp;"targetsbti",targets_state!$Y:$Y,0)))</f>
        <v/>
      </c>
      <c r="E19" s="34" t="str">
        <f t="shared" si="1"/>
        <v>_</v>
      </c>
      <c r="F19" s="27"/>
      <c r="G19" s="40">
        <f>IFERROR(VLOOKUP($E19,category_test_8,2,FALSE),0)</f>
        <v>0</v>
      </c>
      <c r="H19" s="26"/>
      <c r="I19" s="30">
        <f t="shared" si="2"/>
        <v>0</v>
      </c>
      <c r="J19" s="26"/>
      <c r="K19" s="59">
        <f>IFERROR(__xludf.DUMMYFUNCTION("if(IFERROR(filter(targets_state!$K:$K,targets_state!$B:$B=$A19,targets_state!$K:$K=""yes""),"""")=""yes"",100%,0)"),0.0)</f>
        <v>0</v>
      </c>
      <c r="L19" s="26"/>
      <c r="M19" s="30">
        <f t="shared" si="3"/>
        <v>0</v>
      </c>
      <c r="N19" s="26"/>
      <c r="O19" s="30">
        <f t="shared" si="4"/>
        <v>0</v>
      </c>
      <c r="P19" s="26"/>
      <c r="Q19" s="26"/>
      <c r="R19" s="26"/>
      <c r="S19" s="26"/>
      <c r="T19" s="26"/>
      <c r="U19" s="26"/>
      <c r="V19" s="26"/>
      <c r="W19" s="26"/>
      <c r="X19" s="26"/>
      <c r="Y19" s="26"/>
      <c r="Z19" s="26"/>
      <c r="AA19" s="26"/>
      <c r="AB19" s="26"/>
      <c r="AC19" s="26"/>
      <c r="AD19" s="26"/>
      <c r="AE19" s="26"/>
      <c r="AF19" s="26"/>
      <c r="AG19" s="26"/>
      <c r="AH19" s="26"/>
      <c r="AI19" s="26"/>
      <c r="AJ19" s="26"/>
      <c r="AK19" s="26"/>
      <c r="AL19" s="26"/>
      <c r="AM19" s="26"/>
    </row>
    <row r="20" ht="12.75" customHeight="1">
      <c r="A20" s="23">
        <f t="shared" si="5"/>
        <v>18</v>
      </c>
      <c r="B20" s="27"/>
      <c r="C20" s="34" t="str">
        <f t="array" ref="C20">IFERROR(index(targets_state!I:I,MATCH("id"&amp;$A20&amp;"targetsbti",targets_state!$Y:$Y,0)))</f>
        <v>active</v>
      </c>
      <c r="D20" s="34" t="str">
        <f t="array" ref="D20">IFERROR(index(targets_state!J:J,MATCH("id"&amp;$A20&amp;"targetsbti",targets_state!$Y:$Y,0)))</f>
        <v>1.5deg</v>
      </c>
      <c r="E20" s="34" t="str">
        <f t="shared" si="1"/>
        <v>active_1.5deg</v>
      </c>
      <c r="F20" s="27"/>
      <c r="G20" s="40">
        <f>IFERROR(VLOOKUP($E20,category_test_8,2,FALSE),0)</f>
        <v>0</v>
      </c>
      <c r="H20" s="26"/>
      <c r="I20" s="30">
        <f t="shared" si="2"/>
        <v>0</v>
      </c>
      <c r="J20" s="26"/>
      <c r="K20" s="59">
        <f>IFERROR(__xludf.DUMMYFUNCTION("if(IFERROR(filter(targets_state!$K:$K,targets_state!$B:$B=$A20,targets_state!$K:$K=""yes""),"""")=""yes"",100%,0)"),0.0)</f>
        <v>0</v>
      </c>
      <c r="L20" s="26"/>
      <c r="M20" s="30">
        <f t="shared" si="3"/>
        <v>0</v>
      </c>
      <c r="N20" s="26"/>
      <c r="O20" s="30">
        <f t="shared" si="4"/>
        <v>0</v>
      </c>
      <c r="P20" s="26"/>
      <c r="Q20" s="26"/>
      <c r="R20" s="26"/>
      <c r="S20" s="26"/>
      <c r="T20" s="26"/>
      <c r="U20" s="26"/>
      <c r="V20" s="26"/>
      <c r="W20" s="26"/>
      <c r="X20" s="26"/>
      <c r="Y20" s="26"/>
      <c r="Z20" s="26"/>
      <c r="AA20" s="26"/>
      <c r="AB20" s="26"/>
      <c r="AC20" s="26"/>
      <c r="AD20" s="26"/>
      <c r="AE20" s="26"/>
      <c r="AF20" s="26"/>
      <c r="AG20" s="26"/>
      <c r="AH20" s="26"/>
      <c r="AI20" s="26"/>
      <c r="AJ20" s="26"/>
      <c r="AK20" s="26"/>
      <c r="AL20" s="26"/>
      <c r="AM20" s="26"/>
    </row>
    <row r="21" ht="12.75" customHeight="1">
      <c r="A21" s="23">
        <f t="shared" si="5"/>
        <v>19</v>
      </c>
      <c r="B21" s="27"/>
      <c r="C21" s="34" t="str">
        <f t="array" ref="C21">IFERROR(index(targets_state!I:I,MATCH("id"&amp;$A21&amp;"targetsbti",targets_state!$Y:$Y,0)))</f>
        <v/>
      </c>
      <c r="D21" s="34" t="str">
        <f t="array" ref="D21">IFERROR(index(targets_state!J:J,MATCH("id"&amp;$A21&amp;"targetsbti",targets_state!$Y:$Y,0)))</f>
        <v/>
      </c>
      <c r="E21" s="34" t="str">
        <f t="shared" si="1"/>
        <v>_</v>
      </c>
      <c r="F21" s="27"/>
      <c r="G21" s="40">
        <f>IFERROR(VLOOKUP($E21,category_test_8,2,FALSE),0)</f>
        <v>0</v>
      </c>
      <c r="H21" s="26"/>
      <c r="I21" s="30">
        <f t="shared" si="2"/>
        <v>0</v>
      </c>
      <c r="J21" s="26"/>
      <c r="K21" s="59">
        <f>IFERROR(__xludf.DUMMYFUNCTION("if(IFERROR(filter(targets_state!$K:$K,targets_state!$B:$B=$A21,targets_state!$K:$K=""yes""),"""")=""yes"",100%,0)"),0.0)</f>
        <v>0</v>
      </c>
      <c r="L21" s="26"/>
      <c r="M21" s="30">
        <f t="shared" si="3"/>
        <v>0</v>
      </c>
      <c r="N21" s="26"/>
      <c r="O21" s="30">
        <f t="shared" si="4"/>
        <v>0</v>
      </c>
      <c r="P21" s="26"/>
      <c r="Q21" s="26"/>
      <c r="R21" s="26"/>
      <c r="S21" s="26"/>
      <c r="T21" s="26"/>
      <c r="U21" s="26"/>
      <c r="V21" s="26"/>
      <c r="W21" s="26"/>
      <c r="X21" s="26"/>
      <c r="Y21" s="26"/>
      <c r="Z21" s="26"/>
      <c r="AA21" s="26"/>
      <c r="AB21" s="26"/>
      <c r="AC21" s="26"/>
      <c r="AD21" s="26"/>
      <c r="AE21" s="26"/>
      <c r="AF21" s="26"/>
      <c r="AG21" s="26"/>
      <c r="AH21" s="26"/>
      <c r="AI21" s="26"/>
      <c r="AJ21" s="26"/>
      <c r="AK21" s="26"/>
      <c r="AL21" s="26"/>
      <c r="AM21" s="26"/>
    </row>
    <row r="22" ht="12.75" customHeight="1">
      <c r="A22" s="31">
        <v>66.0</v>
      </c>
      <c r="B22" s="27"/>
      <c r="C22" s="34" t="str">
        <f t="array" ref="C22">IFERROR(index(targets_state!I:I,MATCH("id"&amp;$A22&amp;"targetsbti",targets_state!$Y:$Y,0)))</f>
        <v>set</v>
      </c>
      <c r="D22" s="34" t="str">
        <f t="array" ref="D22">IFERROR(index(targets_state!J:J,MATCH("id"&amp;$A22&amp;"targetsbti",targets_state!$Y:$Y,0)))</f>
        <v>1.5deg</v>
      </c>
      <c r="E22" s="34" t="str">
        <f t="shared" si="1"/>
        <v>set_1.5deg</v>
      </c>
      <c r="F22" s="27"/>
      <c r="G22" s="40">
        <f>IFERROR(VLOOKUP($E22,category_test_8,2,FALSE),0)</f>
        <v>1</v>
      </c>
      <c r="H22" s="26"/>
      <c r="I22" s="30">
        <f t="shared" si="2"/>
        <v>0.075</v>
      </c>
      <c r="J22" s="26"/>
      <c r="K22" s="59">
        <f>IFERROR(__xludf.DUMMYFUNCTION("if(IFERROR(filter(targets_state!$K:$K,targets_state!$B:$B=$A22,targets_state!$K:$K=""yes""),"""")=""yes"",100%,0)"),1.0)</f>
        <v>1</v>
      </c>
      <c r="L22" s="26"/>
      <c r="M22" s="30">
        <f t="shared" si="3"/>
        <v>0.025</v>
      </c>
      <c r="N22" s="26"/>
      <c r="O22" s="30">
        <f t="shared" si="4"/>
        <v>0.1</v>
      </c>
      <c r="P22" s="26"/>
      <c r="Q22" s="26"/>
      <c r="R22" s="26"/>
      <c r="S22" s="26"/>
      <c r="T22" s="26"/>
      <c r="U22" s="26"/>
      <c r="V22" s="26"/>
      <c r="W22" s="26"/>
      <c r="X22" s="26"/>
      <c r="Y22" s="26"/>
      <c r="Z22" s="26"/>
      <c r="AA22" s="26"/>
      <c r="AB22" s="26"/>
      <c r="AC22" s="26"/>
      <c r="AD22" s="26"/>
      <c r="AE22" s="26"/>
      <c r="AF22" s="26"/>
      <c r="AG22" s="26"/>
      <c r="AH22" s="26"/>
      <c r="AI22" s="26"/>
      <c r="AJ22" s="26"/>
      <c r="AK22" s="26"/>
      <c r="AL22" s="26"/>
      <c r="AM22" s="26"/>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43"/>
    <col customWidth="1" min="2" max="2" width="5.43"/>
    <col customWidth="1" min="3" max="5" width="10.0"/>
    <col customWidth="1" min="6" max="6" width="13.86"/>
    <col customWidth="1" min="7" max="7" width="17.71"/>
    <col customWidth="1" min="8" max="8" width="17.0"/>
    <col customWidth="1" min="9" max="9" width="17.43"/>
    <col customWidth="1" min="10" max="10" width="19.14"/>
    <col customWidth="1" min="11" max="15" width="19.86"/>
    <col customWidth="1" min="16" max="16" width="11.57"/>
    <col customWidth="1" min="17" max="17" width="13.43"/>
    <col customWidth="1" min="18" max="20" width="9.43"/>
    <col customWidth="1" min="21" max="21" width="11.71"/>
    <col customWidth="1" min="22" max="22" width="5.71"/>
    <col customWidth="1" min="23" max="37" width="8.71"/>
  </cols>
  <sheetData>
    <row r="1" ht="12.75" customHeight="1">
      <c r="A1" s="17" t="s">
        <v>2</v>
      </c>
      <c r="B1" s="19"/>
      <c r="C1" s="19" t="s">
        <v>599</v>
      </c>
      <c r="D1" s="19" t="s">
        <v>594</v>
      </c>
      <c r="E1" s="19" t="s">
        <v>600</v>
      </c>
      <c r="F1" s="19" t="s">
        <v>601</v>
      </c>
      <c r="G1" s="19" t="s">
        <v>557</v>
      </c>
      <c r="H1" s="19"/>
      <c r="I1" s="19"/>
      <c r="J1" s="19"/>
      <c r="K1" s="19"/>
      <c r="L1" s="19"/>
      <c r="M1" s="19"/>
      <c r="N1" s="19"/>
      <c r="O1" s="19"/>
      <c r="P1" s="19"/>
      <c r="Q1" s="19" t="s">
        <v>629</v>
      </c>
      <c r="R1" s="19" t="s">
        <v>587</v>
      </c>
      <c r="S1" s="19" t="s">
        <v>588</v>
      </c>
      <c r="T1" s="20" t="s">
        <v>531</v>
      </c>
      <c r="U1" s="21" t="s">
        <v>548</v>
      </c>
      <c r="V1" s="46"/>
      <c r="AE1" s="19" t="s">
        <v>629</v>
      </c>
      <c r="AF1" s="19" t="s">
        <v>587</v>
      </c>
      <c r="AG1" s="19" t="s">
        <v>588</v>
      </c>
      <c r="AH1" s="20" t="s">
        <v>531</v>
      </c>
      <c r="AI1" s="21" t="s">
        <v>548</v>
      </c>
      <c r="AK1" s="20"/>
    </row>
    <row r="2">
      <c r="A2" s="23"/>
      <c r="B2" s="24"/>
      <c r="C2" s="24" t="str">
        <f>test6_1!C2</f>
        <v>abs</v>
      </c>
      <c r="D2" s="24" t="str">
        <f>test6_1!D2</f>
        <v>S1S2</v>
      </c>
      <c r="E2" s="24" t="str">
        <f>test6_1!E2</f>
        <v>no</v>
      </c>
      <c r="F2" s="24" t="str">
        <f>test6_1!F2</f>
        <v>min</v>
      </c>
      <c r="G2" s="48" t="s">
        <v>605</v>
      </c>
      <c r="H2" s="48" t="s">
        <v>606</v>
      </c>
      <c r="I2" s="48" t="s">
        <v>534</v>
      </c>
      <c r="J2" s="48" t="s">
        <v>630</v>
      </c>
      <c r="K2" s="48" t="s">
        <v>631</v>
      </c>
      <c r="L2" s="48" t="s">
        <v>632</v>
      </c>
      <c r="M2" s="48" t="s">
        <v>601</v>
      </c>
      <c r="N2" s="48" t="s">
        <v>633</v>
      </c>
      <c r="O2" s="48" t="s">
        <v>634</v>
      </c>
      <c r="P2" s="48" t="s">
        <v>635</v>
      </c>
      <c r="Q2" s="48"/>
      <c r="R2" s="52">
        <v>0.8</v>
      </c>
      <c r="S2" s="52">
        <v>1.1</v>
      </c>
      <c r="T2" s="25"/>
      <c r="U2" s="25">
        <v>0.05</v>
      </c>
      <c r="V2" s="47"/>
      <c r="W2" s="48" t="s">
        <v>636</v>
      </c>
      <c r="X2" s="39" t="s">
        <v>538</v>
      </c>
      <c r="Y2" s="48" t="s">
        <v>607</v>
      </c>
      <c r="Z2" s="48" t="s">
        <v>608</v>
      </c>
      <c r="AA2" s="48" t="s">
        <v>609</v>
      </c>
      <c r="AB2" s="48" t="s">
        <v>610</v>
      </c>
      <c r="AC2" s="48" t="s">
        <v>637</v>
      </c>
      <c r="AD2" s="48" t="s">
        <v>635</v>
      </c>
      <c r="AE2" s="48"/>
      <c r="AF2" s="52">
        <v>0.8</v>
      </c>
      <c r="AG2" s="52">
        <v>1.1</v>
      </c>
      <c r="AH2" s="25"/>
      <c r="AI2" s="25">
        <v>0.05</v>
      </c>
      <c r="AJ2" s="60"/>
      <c r="AK2" s="25"/>
    </row>
    <row r="3" ht="12.75" customHeight="1">
      <c r="A3" s="23">
        <v>1.0</v>
      </c>
      <c r="B3" s="27"/>
      <c r="C3" s="27"/>
      <c r="D3" s="27"/>
      <c r="E3" s="27"/>
      <c r="F3" s="27"/>
      <c r="G3" s="50">
        <f>vlookup($A3,test6_1!$A:$H,COLUMN(test6_1!$H:$H),FALSE)</f>
        <v>5</v>
      </c>
      <c r="H3" s="27">
        <f>VLOOKUP($A3,test6_1!$A:$U,COLUMN(test6_1!$I:$I),FALSE)</f>
        <v>2019</v>
      </c>
      <c r="I3" s="27">
        <f>VLOOKUP($A3,test6_1!$A:$U,COLUMN(test6_1!$P:$P),FALSE)</f>
        <v>2020</v>
      </c>
      <c r="J3" s="27">
        <f>VLOOKUP($A3,test6_1!$A:$U,COLUMN(test6_1!$M:$M),FALSE)</f>
        <v>5370000</v>
      </c>
      <c r="K3" s="27">
        <f>VLOOKUP($A3,test6_1!$A:$U,COLUMN(test6_1!$T:$T),FALSE)</f>
        <v>4850000</v>
      </c>
      <c r="L3" s="54">
        <f t="shared" ref="L3:L22" si="1">if(J3&lt;&gt;0,-K3/J3+1,0)</f>
        <v>0.09683426443</v>
      </c>
      <c r="M3" s="61">
        <f>VLOOKUP($A3,test6_1!$A:$U,COLUMN(test6_1!$G:$G),FALSE)</f>
        <v>2030</v>
      </c>
      <c r="N3" s="53">
        <f>VLOOKUP($A3,test6_1!$A:$U,COLUMN(test6_1!$N:$N),FALSE)</f>
        <v>0.5</v>
      </c>
      <c r="O3" s="62">
        <f t="shared" ref="O3:O22" si="2">IF(G3,N3/(M3-H3)*(I3-H3),0)</f>
        <v>0.04545454545</v>
      </c>
      <c r="P3" s="53">
        <f t="shared" ref="P3:P22" si="3">IF(O3&lt;&gt;0,L3/O3,0)</f>
        <v>2.130353818</v>
      </c>
      <c r="Q3" s="19" t="s">
        <v>638</v>
      </c>
      <c r="R3" s="19" t="s">
        <v>587</v>
      </c>
      <c r="S3" s="19" t="s">
        <v>588</v>
      </c>
      <c r="T3" s="30">
        <f t="shared" ref="T3:T22" si="4">if(min(100%/($S$2-$R$2)*(P3-$R$2),$S$4)&lt;$R$4,0,min(100%/($S$2-$R$2)*(P3-$R$2),$S$4))</f>
        <v>1</v>
      </c>
      <c r="U3" s="30">
        <f t="shared" ref="U3:U22" si="5">U$2*T3</f>
        <v>0.05</v>
      </c>
      <c r="V3" s="49"/>
      <c r="W3" s="63">
        <f>VLOOKUP($A3,test6_1!$A:$U,COLUMN(test6_1!$U:$U),FALSE)</f>
        <v>0.04463917526</v>
      </c>
      <c r="X3" s="27">
        <f t="shared" ref="X3:X18" si="6">I3-1</f>
        <v>2019</v>
      </c>
      <c r="Y3" s="27">
        <f>IFERROR(__xludf.DUMMYFUNCTION("filter(ghg!$F:$F,(ghg!$B:$B=$A3)*(ghg!$E:$E=$X3))"),4050000.0)</f>
        <v>4050000</v>
      </c>
      <c r="Z3" s="27">
        <f>IFERROR(__xludf.DUMMYFUNCTION("filter(ghg!$G:$G,(ghg!$B:$B=$A3)*(ghg!$E:$E=$X3))"),1780000.0)</f>
        <v>1780000</v>
      </c>
      <c r="AA3" s="27">
        <f>IFERROR(__xludf.DUMMYFUNCTION("filter(ghg!$H:$H,(ghg!$B:$B=$A3)*(ghg!$E:$E=$X3))"),1320000.0)</f>
        <v>1320000</v>
      </c>
      <c r="AB3" s="27">
        <f t="shared" ref="AB3:AB18" si="7">Y3+min(Z3:AA3)</f>
        <v>5370000</v>
      </c>
      <c r="AC3" s="63">
        <f t="shared" ref="AC3:AC18" si="8">-K3/AB3+1</f>
        <v>0.09683426443</v>
      </c>
      <c r="AD3" s="63">
        <f t="shared" ref="AD3:AD22" si="9">IF(value(W3)&lt;&gt;0,AC3/W3,0)</f>
        <v>2.169266432</v>
      </c>
      <c r="AE3" s="19" t="s">
        <v>638</v>
      </c>
      <c r="AF3" s="19" t="s">
        <v>587</v>
      </c>
      <c r="AG3" s="19" t="s">
        <v>588</v>
      </c>
      <c r="AH3" s="30">
        <f t="shared" ref="AH3:AH22" si="10">IF(min(100%/($AG$2-$AF$2)*(AD3-$AF$2),$AG$4)&lt;$AF$4,0,min(100%/($AG$2-$AF$2)*(AD3-$AF$2),$AG$4))</f>
        <v>1</v>
      </c>
      <c r="AI3" s="30">
        <f t="shared" ref="AI3:AI22" si="11">AI$2*AH3</f>
        <v>0.05</v>
      </c>
      <c r="AJ3" s="27"/>
      <c r="AK3" s="30"/>
    </row>
    <row r="4" ht="12.75" customHeight="1">
      <c r="A4" s="23">
        <f t="shared" ref="A4:A21" si="12">A3+1</f>
        <v>2</v>
      </c>
      <c r="B4" s="27"/>
      <c r="C4" s="27"/>
      <c r="D4" s="27"/>
      <c r="E4" s="27"/>
      <c r="F4" s="27"/>
      <c r="G4" s="50">
        <f>vlookup($A4,test6_1!$A:$H,COLUMN(test6_1!$H:$H),FALSE)</f>
        <v>8</v>
      </c>
      <c r="H4" s="27">
        <f>VLOOKUP($A4,test6_1!$A:$U,COLUMN(test6_1!$I:$I),FALSE)</f>
        <v>2018</v>
      </c>
      <c r="I4" s="27">
        <f>VLOOKUP($A4,test6_1!$A:$U,COLUMN(test6_1!$P:$P),FALSE)</f>
        <v>2020</v>
      </c>
      <c r="J4" s="27">
        <f>VLOOKUP($A4,test6_1!$A:$U,COLUMN(test6_1!$M:$M),FALSE)</f>
        <v>980000</v>
      </c>
      <c r="K4" s="27">
        <f>VLOOKUP($A4,test6_1!$A:$U,COLUMN(test6_1!$T:$T),FALSE)</f>
        <v>906000</v>
      </c>
      <c r="L4" s="54">
        <f t="shared" si="1"/>
        <v>0.07551020408</v>
      </c>
      <c r="M4" s="61">
        <f>VLOOKUP($A4,test6_1!$A:$U,COLUMN(test6_1!$G:$G),FALSE)</f>
        <v>2030</v>
      </c>
      <c r="N4" s="53">
        <f>VLOOKUP($A4,test6_1!$A:$U,COLUMN(test6_1!$N:$N),FALSE)</f>
        <v>0.3</v>
      </c>
      <c r="O4" s="62">
        <f t="shared" si="2"/>
        <v>0.05</v>
      </c>
      <c r="P4" s="53">
        <f t="shared" si="3"/>
        <v>1.510204082</v>
      </c>
      <c r="Q4" s="27"/>
      <c r="R4" s="19">
        <v>0.5</v>
      </c>
      <c r="S4" s="19">
        <v>1.0</v>
      </c>
      <c r="T4" s="30">
        <f t="shared" si="4"/>
        <v>1</v>
      </c>
      <c r="U4" s="30">
        <f t="shared" si="5"/>
        <v>0.05</v>
      </c>
      <c r="V4" s="49"/>
      <c r="W4" s="63">
        <f>VLOOKUP($A4,test6_1!$A:$U,COLUMN(test6_1!$U:$U),FALSE)</f>
        <v>0.02428256071</v>
      </c>
      <c r="X4" s="27">
        <f t="shared" si="6"/>
        <v>2019</v>
      </c>
      <c r="Y4" s="27">
        <f>IFERROR(__xludf.DUMMYFUNCTION("filter(ghg!$F:$F,(ghg!$B:$B=$A4)*(ghg!$E:$E=$X4))"),543000.0)</f>
        <v>543000</v>
      </c>
      <c r="Z4" s="27">
        <f>IFERROR(__xludf.DUMMYFUNCTION("filter(ghg!$G:$G,(ghg!$B:$B=$A4)*(ghg!$E:$E=$X4))"),498000.0)</f>
        <v>498000</v>
      </c>
      <c r="AA4" s="27">
        <f>IFERROR(__xludf.DUMMYFUNCTION("filter(ghg!$H:$H,(ghg!$B:$B=$A4)*(ghg!$E:$E=$X4))"),419000.0)</f>
        <v>419000</v>
      </c>
      <c r="AB4" s="27">
        <f t="shared" si="7"/>
        <v>962000</v>
      </c>
      <c r="AC4" s="63">
        <f t="shared" si="8"/>
        <v>0.05821205821</v>
      </c>
      <c r="AD4" s="63">
        <f t="shared" si="9"/>
        <v>2.397278397</v>
      </c>
      <c r="AE4" s="27"/>
      <c r="AF4" s="19">
        <v>0.5</v>
      </c>
      <c r="AG4" s="19">
        <v>1.0</v>
      </c>
      <c r="AH4" s="30">
        <f t="shared" si="10"/>
        <v>1</v>
      </c>
      <c r="AI4" s="30">
        <f t="shared" si="11"/>
        <v>0.05</v>
      </c>
      <c r="AJ4" s="26"/>
      <c r="AK4" s="30"/>
    </row>
    <row r="5" ht="12.75" customHeight="1">
      <c r="A5" s="23">
        <f t="shared" si="12"/>
        <v>3</v>
      </c>
      <c r="B5" s="27"/>
      <c r="C5" s="27"/>
      <c r="D5" s="27"/>
      <c r="E5" s="27"/>
      <c r="F5" s="27"/>
      <c r="G5" s="50">
        <f>vlookup($A5,test6_1!$A:$H,COLUMN(test6_1!$H:$H),FALSE)</f>
        <v>9</v>
      </c>
      <c r="H5" s="27">
        <f>VLOOKUP($A5,test6_1!$A:$U,COLUMN(test6_1!$I:$I),FALSE)</f>
        <v>2015</v>
      </c>
      <c r="I5" s="27">
        <f>VLOOKUP($A5,test6_1!$A:$U,COLUMN(test6_1!$P:$P),FALSE)</f>
        <v>2020</v>
      </c>
      <c r="J5" s="27">
        <f>VLOOKUP($A5,test6_1!$A:$U,COLUMN(test6_1!$M:$M),FALSE)</f>
        <v>610000</v>
      </c>
      <c r="K5" s="27">
        <f>VLOOKUP($A5,test6_1!$A:$U,COLUMN(test6_1!$T:$T),FALSE)</f>
        <v>508000</v>
      </c>
      <c r="L5" s="54">
        <f t="shared" si="1"/>
        <v>0.1672131148</v>
      </c>
      <c r="M5" s="61">
        <f>VLOOKUP($A5,test6_1!$A:$U,COLUMN(test6_1!$G:$G),FALSE)</f>
        <v>2025</v>
      </c>
      <c r="N5" s="53">
        <f>VLOOKUP($A5,test6_1!$A:$U,COLUMN(test6_1!$N:$N),FALSE)</f>
        <v>0.25</v>
      </c>
      <c r="O5" s="62">
        <f t="shared" si="2"/>
        <v>0.125</v>
      </c>
      <c r="P5" s="53">
        <f t="shared" si="3"/>
        <v>1.337704918</v>
      </c>
      <c r="Q5" s="27"/>
      <c r="R5" s="27"/>
      <c r="S5" s="27"/>
      <c r="T5" s="30">
        <f t="shared" si="4"/>
        <v>1</v>
      </c>
      <c r="U5" s="30">
        <f t="shared" si="5"/>
        <v>0.05</v>
      </c>
      <c r="V5" s="49"/>
      <c r="W5" s="63">
        <f>VLOOKUP($A5,test6_1!$A:$U,COLUMN(test6_1!$U:$U),FALSE)</f>
        <v>0.01988188976</v>
      </c>
      <c r="X5" s="27">
        <f t="shared" si="6"/>
        <v>2019</v>
      </c>
      <c r="Y5" s="27">
        <f>IFERROR(__xludf.DUMMYFUNCTION("filter(ghg!$F:$F,(ghg!$B:$B=$A5)*(ghg!$E:$E=$X5))"),315000.0)</f>
        <v>315000</v>
      </c>
      <c r="Z5" s="27">
        <f>IFERROR(__xludf.DUMMYFUNCTION("filter(ghg!$G:$G,(ghg!$B:$B=$A5)*(ghg!$E:$E=$X5))"),308000.0)</f>
        <v>308000</v>
      </c>
      <c r="AA5" s="27">
        <f>IFERROR(__xludf.DUMMYFUNCTION("filter(ghg!$H:$H,(ghg!$B:$B=$A5)*(ghg!$E:$E=$X5))"),250000.0)</f>
        <v>250000</v>
      </c>
      <c r="AB5" s="27">
        <f t="shared" si="7"/>
        <v>565000</v>
      </c>
      <c r="AC5" s="63">
        <f t="shared" si="8"/>
        <v>0.1008849558</v>
      </c>
      <c r="AD5" s="63">
        <f t="shared" si="9"/>
        <v>5.074213616</v>
      </c>
      <c r="AE5" s="26"/>
      <c r="AF5" s="26"/>
      <c r="AG5" s="26"/>
      <c r="AH5" s="30">
        <f t="shared" si="10"/>
        <v>1</v>
      </c>
      <c r="AI5" s="30">
        <f t="shared" si="11"/>
        <v>0.05</v>
      </c>
      <c r="AJ5" s="26"/>
      <c r="AK5" s="30"/>
    </row>
    <row r="6" ht="12.75" customHeight="1">
      <c r="A6" s="23">
        <f t="shared" si="12"/>
        <v>4</v>
      </c>
      <c r="B6" s="27"/>
      <c r="C6" s="27"/>
      <c r="D6" s="27"/>
      <c r="E6" s="27"/>
      <c r="F6" s="27"/>
      <c r="G6" s="50">
        <f>vlookup($A6,test6_1!$A:$H,COLUMN(test6_1!$H:$H),FALSE)</f>
        <v>12</v>
      </c>
      <c r="H6" s="27">
        <f>VLOOKUP($A6,test6_1!$A:$U,COLUMN(test6_1!$I:$I),FALSE)</f>
        <v>2016</v>
      </c>
      <c r="I6" s="27">
        <f>VLOOKUP($A6,test6_1!$A:$U,COLUMN(test6_1!$P:$P),FALSE)</f>
        <v>2020</v>
      </c>
      <c r="J6" s="27">
        <f>VLOOKUP($A6,test6_1!$A:$U,COLUMN(test6_1!$M:$M),FALSE)</f>
        <v>241038</v>
      </c>
      <c r="K6" s="27">
        <f>VLOOKUP($A6,test6_1!$A:$U,COLUMN(test6_1!$T:$T),FALSE)</f>
        <v>176928</v>
      </c>
      <c r="L6" s="54">
        <f t="shared" si="1"/>
        <v>0.2659746596</v>
      </c>
      <c r="M6" s="61">
        <f>VLOOKUP($A6,test6_1!$A:$U,COLUMN(test6_1!$G:$G),FALSE)</f>
        <v>2025</v>
      </c>
      <c r="N6" s="53">
        <f>VLOOKUP($A6,test6_1!$A:$U,COLUMN(test6_1!$N:$N),FALSE)</f>
        <v>0.65</v>
      </c>
      <c r="O6" s="62">
        <f t="shared" si="2"/>
        <v>0.2888888889</v>
      </c>
      <c r="P6" s="53">
        <f t="shared" si="3"/>
        <v>0.920681514</v>
      </c>
      <c r="Q6" s="27"/>
      <c r="R6" s="27"/>
      <c r="S6" s="27"/>
      <c r="T6" s="30">
        <f t="shared" si="4"/>
        <v>0</v>
      </c>
      <c r="U6" s="30">
        <f t="shared" si="5"/>
        <v>0</v>
      </c>
      <c r="V6" s="49"/>
      <c r="W6" s="63">
        <f>VLOOKUP($A6,test6_1!$A:$U,COLUMN(test6_1!$U:$U),FALSE)</f>
        <v>0.1046354449</v>
      </c>
      <c r="X6" s="27">
        <f t="shared" si="6"/>
        <v>2019</v>
      </c>
      <c r="Y6" s="27">
        <f>IFERROR(__xludf.DUMMYFUNCTION("filter(ghg!$F:$F,(ghg!$B:$B=$A6)*(ghg!$E:$E=$X6))"),18923.0)</f>
        <v>18923</v>
      </c>
      <c r="Z6" s="27" t="str">
        <f>IFERROR(__xludf.DUMMYFUNCTION("filter(ghg!$G:$G,(ghg!$B:$B=$A6)*(ghg!$E:$E=$X6))"),"")</f>
        <v/>
      </c>
      <c r="AA6" s="27">
        <f>IFERROR(__xludf.DUMMYFUNCTION("filter(ghg!$H:$H,(ghg!$B:$B=$A6)*(ghg!$E:$E=$X6))"),214680.0)</f>
        <v>214680</v>
      </c>
      <c r="AB6" s="27">
        <f t="shared" si="7"/>
        <v>233603</v>
      </c>
      <c r="AC6" s="63">
        <f t="shared" si="8"/>
        <v>0.2426124664</v>
      </c>
      <c r="AD6" s="63">
        <f t="shared" si="9"/>
        <v>2.318645146</v>
      </c>
      <c r="AE6" s="26"/>
      <c r="AF6" s="26"/>
      <c r="AG6" s="26"/>
      <c r="AH6" s="30">
        <f t="shared" si="10"/>
        <v>1</v>
      </c>
      <c r="AI6" s="30">
        <f t="shared" si="11"/>
        <v>0.05</v>
      </c>
      <c r="AJ6" s="26"/>
      <c r="AK6" s="30"/>
    </row>
    <row r="7" ht="12.75" customHeight="1">
      <c r="A7" s="23">
        <f t="shared" si="12"/>
        <v>5</v>
      </c>
      <c r="B7" s="27"/>
      <c r="C7" s="27"/>
      <c r="D7" s="27"/>
      <c r="E7" s="27"/>
      <c r="F7" s="27"/>
      <c r="G7" s="50">
        <f>vlookup($A7,test6_1!$A:$H,COLUMN(test6_1!$H:$H),FALSE)</f>
        <v>15</v>
      </c>
      <c r="H7" s="27">
        <f>VLOOKUP($A7,test6_1!$A:$U,COLUMN(test6_1!$I:$I),FALSE)</f>
        <v>2018</v>
      </c>
      <c r="I7" s="27">
        <f>VLOOKUP($A7,test6_1!$A:$U,COLUMN(test6_1!$P:$P),FALSE)</f>
        <v>2020</v>
      </c>
      <c r="J7" s="27">
        <f>VLOOKUP($A7,test6_1!$A:$U,COLUMN(test6_1!$M:$M),FALSE)</f>
        <v>59990</v>
      </c>
      <c r="K7" s="27">
        <f>VLOOKUP($A7,test6_1!$A:$U,COLUMN(test6_1!$T:$T),FALSE)</f>
        <v>44382</v>
      </c>
      <c r="L7" s="54">
        <f t="shared" si="1"/>
        <v>0.2601766961</v>
      </c>
      <c r="M7" s="61">
        <f>VLOOKUP($A7,test6_1!$A:$U,COLUMN(test6_1!$G:$G),FALSE)</f>
        <v>2025</v>
      </c>
      <c r="N7" s="53">
        <f>VLOOKUP($A7,test6_1!$A:$U,COLUMN(test6_1!$N:$N),FALSE)</f>
        <v>0.35</v>
      </c>
      <c r="O7" s="62">
        <f t="shared" si="2"/>
        <v>0.1</v>
      </c>
      <c r="P7" s="53">
        <f t="shared" si="3"/>
        <v>2.601766961</v>
      </c>
      <c r="Q7" s="27"/>
      <c r="R7" s="27"/>
      <c r="S7" s="27"/>
      <c r="T7" s="30">
        <f t="shared" si="4"/>
        <v>1</v>
      </c>
      <c r="U7" s="30">
        <f t="shared" si="5"/>
        <v>0.05</v>
      </c>
      <c r="V7" s="49"/>
      <c r="W7" s="63">
        <f>VLOOKUP($A7,test6_1!$A:$U,COLUMN(test6_1!$U:$U),FALSE)</f>
        <v>0.02428236673</v>
      </c>
      <c r="X7" s="27">
        <f t="shared" si="6"/>
        <v>2019</v>
      </c>
      <c r="Y7" s="27">
        <f>IFERROR(__xludf.DUMMYFUNCTION("filter(ghg!$F:$F,(ghg!$B:$B=$A7)*(ghg!$E:$E=$X7))"),11817.0)</f>
        <v>11817</v>
      </c>
      <c r="Z7" s="27">
        <f>IFERROR(__xludf.DUMMYFUNCTION("filter(ghg!$G:$G,(ghg!$B:$B=$A7)*(ghg!$E:$E=$X7))"),56128.0)</f>
        <v>56128</v>
      </c>
      <c r="AA7" s="27">
        <f>IFERROR(__xludf.DUMMYFUNCTION("filter(ghg!$H:$H,(ghg!$B:$B=$A7)*(ghg!$E:$E=$X7))"),43893.0)</f>
        <v>43893</v>
      </c>
      <c r="AB7" s="27">
        <f t="shared" si="7"/>
        <v>55710</v>
      </c>
      <c r="AC7" s="63">
        <f t="shared" si="8"/>
        <v>0.2033387184</v>
      </c>
      <c r="AD7" s="63">
        <f t="shared" si="9"/>
        <v>8.373925024</v>
      </c>
      <c r="AE7" s="26"/>
      <c r="AF7" s="26"/>
      <c r="AG7" s="26"/>
      <c r="AH7" s="30">
        <f t="shared" si="10"/>
        <v>1</v>
      </c>
      <c r="AI7" s="30">
        <f t="shared" si="11"/>
        <v>0.05</v>
      </c>
      <c r="AJ7" s="26"/>
      <c r="AK7" s="30"/>
    </row>
    <row r="8" ht="12.75" customHeight="1">
      <c r="A8" s="23">
        <f t="shared" si="12"/>
        <v>6</v>
      </c>
      <c r="B8" s="27"/>
      <c r="C8" s="27"/>
      <c r="D8" s="27"/>
      <c r="E8" s="27"/>
      <c r="F8" s="27"/>
      <c r="G8" s="50" t="str">
        <f>vlookup($A8,test6_1!$A:$H,COLUMN(test6_1!$H:$H),FALSE)</f>
        <v/>
      </c>
      <c r="H8" s="27" t="str">
        <f>VLOOKUP($A8,test6_1!$A:$U,COLUMN(test6_1!$I:$I),FALSE)</f>
        <v/>
      </c>
      <c r="I8" s="27">
        <f>VLOOKUP($A8,test6_1!$A:$U,COLUMN(test6_1!$P:$P),FALSE)</f>
        <v>2020</v>
      </c>
      <c r="J8" s="27">
        <f>VLOOKUP($A8,test6_1!$A:$U,COLUMN(test6_1!$M:$M),FALSE)</f>
        <v>0</v>
      </c>
      <c r="K8" s="27">
        <f>VLOOKUP($A8,test6_1!$A:$U,COLUMN(test6_1!$T:$T),FALSE)</f>
        <v>0</v>
      </c>
      <c r="L8" s="54">
        <f t="shared" si="1"/>
        <v>0</v>
      </c>
      <c r="M8" s="61" t="str">
        <f>VLOOKUP($A8,test6_1!$A:$U,COLUMN(test6_1!$G:$G),FALSE)</f>
        <v/>
      </c>
      <c r="N8" s="27" t="str">
        <f>VLOOKUP($A8,test6_1!$A:$U,COLUMN(test6_1!$N:$N),FALSE)</f>
        <v/>
      </c>
      <c r="O8" s="62">
        <f t="shared" si="2"/>
        <v>0</v>
      </c>
      <c r="P8" s="27">
        <f t="shared" si="3"/>
        <v>0</v>
      </c>
      <c r="Q8" s="27"/>
      <c r="R8" s="27"/>
      <c r="S8" s="27"/>
      <c r="T8" s="30">
        <f t="shared" si="4"/>
        <v>0</v>
      </c>
      <c r="U8" s="30">
        <f t="shared" si="5"/>
        <v>0</v>
      </c>
      <c r="V8" s="49"/>
      <c r="W8" s="63" t="str">
        <f>VLOOKUP($A8,test6_1!$A:$U,COLUMN(test6_1!$U:$U),FALSE)</f>
        <v/>
      </c>
      <c r="X8" s="27">
        <f t="shared" si="6"/>
        <v>2019</v>
      </c>
      <c r="Y8" s="27">
        <f>IFERROR(__xludf.DUMMYFUNCTION("filter(ghg!$F:$F,(ghg!$B:$B=$A8)*(ghg!$E:$E=$X8))"),39200.0)</f>
        <v>39200</v>
      </c>
      <c r="Z8" s="27">
        <f>IFERROR(__xludf.DUMMYFUNCTION("filter(ghg!$G:$G,(ghg!$B:$B=$A8)*(ghg!$E:$E=$X8))"),86900.0)</f>
        <v>86900</v>
      </c>
      <c r="AA8" s="27">
        <f>IFERROR(__xludf.DUMMYFUNCTION("filter(ghg!$H:$H,(ghg!$B:$B=$A8)*(ghg!$E:$E=$X8))"),74200.0)</f>
        <v>74200</v>
      </c>
      <c r="AB8" s="27">
        <f t="shared" si="7"/>
        <v>113400</v>
      </c>
      <c r="AC8" s="63">
        <f t="shared" si="8"/>
        <v>1</v>
      </c>
      <c r="AD8" s="63">
        <f t="shared" si="9"/>
        <v>0</v>
      </c>
      <c r="AE8" s="26"/>
      <c r="AF8" s="26"/>
      <c r="AG8" s="26"/>
      <c r="AH8" s="30">
        <f t="shared" si="10"/>
        <v>0</v>
      </c>
      <c r="AI8" s="30">
        <f t="shared" si="11"/>
        <v>0</v>
      </c>
      <c r="AJ8" s="26"/>
      <c r="AK8" s="30"/>
    </row>
    <row r="9" ht="12.75" customHeight="1">
      <c r="A9" s="23">
        <f t="shared" si="12"/>
        <v>7</v>
      </c>
      <c r="B9" s="27"/>
      <c r="C9" s="27"/>
      <c r="D9" s="27"/>
      <c r="E9" s="27"/>
      <c r="F9" s="27"/>
      <c r="G9" s="50" t="str">
        <f>vlookup($A9,test6_1!$A:$H,COLUMN(test6_1!$H:$H),FALSE)</f>
        <v/>
      </c>
      <c r="H9" s="27" t="str">
        <f>VLOOKUP($A9,test6_1!$A:$U,COLUMN(test6_1!$I:$I),FALSE)</f>
        <v/>
      </c>
      <c r="I9" s="27">
        <f>VLOOKUP($A9,test6_1!$A:$U,COLUMN(test6_1!$P:$P),FALSE)</f>
        <v>2019</v>
      </c>
      <c r="J9" s="27">
        <f>VLOOKUP($A9,test6_1!$A:$U,COLUMN(test6_1!$M:$M),FALSE)</f>
        <v>0</v>
      </c>
      <c r="K9" s="27">
        <f>VLOOKUP($A9,test6_1!$A:$U,COLUMN(test6_1!$T:$T),FALSE)</f>
        <v>0</v>
      </c>
      <c r="L9" s="54">
        <f t="shared" si="1"/>
        <v>0</v>
      </c>
      <c r="M9" s="61" t="str">
        <f>VLOOKUP($A9,test6_1!$A:$U,COLUMN(test6_1!$G:$G),FALSE)</f>
        <v/>
      </c>
      <c r="N9" s="27" t="str">
        <f>VLOOKUP($A9,test6_1!$A:$U,COLUMN(test6_1!$N:$N),FALSE)</f>
        <v/>
      </c>
      <c r="O9" s="62">
        <f t="shared" si="2"/>
        <v>0</v>
      </c>
      <c r="P9" s="27">
        <f t="shared" si="3"/>
        <v>0</v>
      </c>
      <c r="Q9" s="27"/>
      <c r="R9" s="27"/>
      <c r="S9" s="27"/>
      <c r="T9" s="30">
        <f t="shared" si="4"/>
        <v>0</v>
      </c>
      <c r="U9" s="30">
        <f t="shared" si="5"/>
        <v>0</v>
      </c>
      <c r="V9" s="49"/>
      <c r="W9" s="63" t="str">
        <f>VLOOKUP($A9,test6_1!$A:$U,COLUMN(test6_1!$U:$U),FALSE)</f>
        <v/>
      </c>
      <c r="X9" s="27">
        <f t="shared" si="6"/>
        <v>2018</v>
      </c>
      <c r="Y9" s="27">
        <f>IFERROR(__xludf.DUMMYFUNCTION("filter(ghg!$F:$F,(ghg!$B:$B=$A9)*(ghg!$E:$E=$X9))"),63521.0)</f>
        <v>63521</v>
      </c>
      <c r="Z9" s="27">
        <f>IFERROR(__xludf.DUMMYFUNCTION("filter(ghg!$G:$G,(ghg!$B:$B=$A9)*(ghg!$E:$E=$X9))"),4344686.0)</f>
        <v>4344686</v>
      </c>
      <c r="AA9" s="27">
        <f>IFERROR(__xludf.DUMMYFUNCTION("filter(ghg!$H:$H,(ghg!$B:$B=$A9)*(ghg!$E:$E=$X9))"),684236.0)</f>
        <v>684236</v>
      </c>
      <c r="AB9" s="27">
        <f t="shared" si="7"/>
        <v>747757</v>
      </c>
      <c r="AC9" s="63">
        <f t="shared" si="8"/>
        <v>1</v>
      </c>
      <c r="AD9" s="63">
        <f t="shared" si="9"/>
        <v>0</v>
      </c>
      <c r="AE9" s="26"/>
      <c r="AF9" s="26"/>
      <c r="AG9" s="26"/>
      <c r="AH9" s="30">
        <f t="shared" si="10"/>
        <v>0</v>
      </c>
      <c r="AI9" s="30">
        <f t="shared" si="11"/>
        <v>0</v>
      </c>
      <c r="AJ9" s="26"/>
      <c r="AK9" s="30"/>
    </row>
    <row r="10" ht="12.75" customHeight="1">
      <c r="A10" s="23">
        <f t="shared" si="12"/>
        <v>8</v>
      </c>
      <c r="B10" s="27"/>
      <c r="C10" s="27"/>
      <c r="D10" s="27"/>
      <c r="E10" s="27"/>
      <c r="F10" s="27"/>
      <c r="G10" s="50">
        <f>vlookup($A10,test6_1!$A:$H,COLUMN(test6_1!$H:$H),FALSE)</f>
        <v>21</v>
      </c>
      <c r="H10" s="27">
        <f>VLOOKUP($A10,test6_1!$A:$U,COLUMN(test6_1!$I:$I),FALSE)</f>
        <v>2017</v>
      </c>
      <c r="I10" s="27">
        <f>VLOOKUP($A10,test6_1!$A:$U,COLUMN(test6_1!$P:$P),FALSE)</f>
        <v>2020</v>
      </c>
      <c r="J10" s="27">
        <f>VLOOKUP($A10,test6_1!$A:$U,COLUMN(test6_1!$M:$M),FALSE)</f>
        <v>337007</v>
      </c>
      <c r="K10" s="27">
        <f>VLOOKUP($A10,test6_1!$A:$U,COLUMN(test6_1!$T:$T),FALSE)</f>
        <v>280968</v>
      </c>
      <c r="L10" s="54">
        <f t="shared" si="1"/>
        <v>0.1662843798</v>
      </c>
      <c r="M10" s="61">
        <f>VLOOKUP($A10,test6_1!$A:$U,COLUMN(test6_1!$G:$G),FALSE)</f>
        <v>2030</v>
      </c>
      <c r="N10" s="53">
        <f>VLOOKUP($A10,test6_1!$A:$U,COLUMN(test6_1!$N:$N),FALSE)</f>
        <v>0.55</v>
      </c>
      <c r="O10" s="62">
        <f t="shared" si="2"/>
        <v>0.1269230769</v>
      </c>
      <c r="P10" s="53">
        <f t="shared" si="3"/>
        <v>1.310119356</v>
      </c>
      <c r="Q10" s="27"/>
      <c r="R10" s="27"/>
      <c r="S10" s="27"/>
      <c r="T10" s="30">
        <f t="shared" si="4"/>
        <v>1</v>
      </c>
      <c r="U10" s="30">
        <f t="shared" si="5"/>
        <v>0.05</v>
      </c>
      <c r="V10" s="49"/>
      <c r="W10" s="63">
        <f>VLOOKUP($A10,test6_1!$A:$U,COLUMN(test6_1!$U:$U),FALSE)</f>
        <v>0.04602476083</v>
      </c>
      <c r="X10" s="27">
        <f t="shared" si="6"/>
        <v>2019</v>
      </c>
      <c r="Y10" s="27">
        <f>IFERROR(__xludf.DUMMYFUNCTION("filter(ghg!$F:$F,(ghg!$B:$B=$A10)*(ghg!$E:$E=$X10))"),154507.0)</f>
        <v>154507</v>
      </c>
      <c r="Z10" s="27">
        <f>IFERROR(__xludf.DUMMYFUNCTION("filter(ghg!$G:$G,(ghg!$B:$B=$A10)*(ghg!$E:$E=$X10))"),151259.0)</f>
        <v>151259</v>
      </c>
      <c r="AA10" s="27">
        <f>IFERROR(__xludf.DUMMYFUNCTION("filter(ghg!$H:$H,(ghg!$B:$B=$A10)*(ghg!$E:$E=$X10))"),147909.0)</f>
        <v>147909</v>
      </c>
      <c r="AB10" s="27">
        <f t="shared" si="7"/>
        <v>302416</v>
      </c>
      <c r="AC10" s="63">
        <f t="shared" si="8"/>
        <v>0.07092217343</v>
      </c>
      <c r="AD10" s="63">
        <f t="shared" si="9"/>
        <v>1.540956914</v>
      </c>
      <c r="AE10" s="26"/>
      <c r="AF10" s="26"/>
      <c r="AG10" s="26"/>
      <c r="AH10" s="30">
        <f t="shared" si="10"/>
        <v>1</v>
      </c>
      <c r="AI10" s="30">
        <f t="shared" si="11"/>
        <v>0.05</v>
      </c>
      <c r="AJ10" s="26"/>
      <c r="AK10" s="30"/>
    </row>
    <row r="11" ht="12.75" customHeight="1">
      <c r="A11" s="23">
        <f t="shared" si="12"/>
        <v>9</v>
      </c>
      <c r="B11" s="27"/>
      <c r="C11" s="27"/>
      <c r="D11" s="27"/>
      <c r="E11" s="27"/>
      <c r="F11" s="27"/>
      <c r="G11" s="50" t="str">
        <f>vlookup($A11,test6_1!$A:$H,COLUMN(test6_1!$H:$H),FALSE)</f>
        <v/>
      </c>
      <c r="H11" s="27" t="str">
        <f>VLOOKUP($A11,test6_1!$A:$U,COLUMN(test6_1!$I:$I),FALSE)</f>
        <v/>
      </c>
      <c r="I11" s="27">
        <f>VLOOKUP($A11,test6_1!$A:$U,COLUMN(test6_1!$P:$P),FALSE)</f>
        <v>2020</v>
      </c>
      <c r="J11" s="27">
        <f>VLOOKUP($A11,test6_1!$A:$U,COLUMN(test6_1!$M:$M),FALSE)</f>
        <v>0</v>
      </c>
      <c r="K11" s="27">
        <f>VLOOKUP($A11,test6_1!$A:$U,COLUMN(test6_1!$T:$T),FALSE)</f>
        <v>0</v>
      </c>
      <c r="L11" s="54">
        <f t="shared" si="1"/>
        <v>0</v>
      </c>
      <c r="M11" s="61" t="str">
        <f>VLOOKUP($A11,test6_1!$A:$U,COLUMN(test6_1!$G:$G),FALSE)</f>
        <v/>
      </c>
      <c r="N11" s="27" t="str">
        <f>VLOOKUP($A11,test6_1!$A:$U,COLUMN(test6_1!$N:$N),FALSE)</f>
        <v/>
      </c>
      <c r="O11" s="62">
        <f t="shared" si="2"/>
        <v>0</v>
      </c>
      <c r="P11" s="27">
        <f t="shared" si="3"/>
        <v>0</v>
      </c>
      <c r="Q11" s="27"/>
      <c r="R11" s="27"/>
      <c r="S11" s="27"/>
      <c r="T11" s="30">
        <f t="shared" si="4"/>
        <v>0</v>
      </c>
      <c r="U11" s="30">
        <f t="shared" si="5"/>
        <v>0</v>
      </c>
      <c r="V11" s="49"/>
      <c r="W11" s="63" t="str">
        <f>VLOOKUP($A11,test6_1!$A:$U,COLUMN(test6_1!$U:$U),FALSE)</f>
        <v/>
      </c>
      <c r="X11" s="27">
        <f t="shared" si="6"/>
        <v>2019</v>
      </c>
      <c r="Y11" s="27">
        <f>IFERROR(__xludf.DUMMYFUNCTION("filter(ghg!$F:$F,(ghg!$B:$B=$A11)*(ghg!$E:$E=$X11))"),5760000.0)</f>
        <v>5760000</v>
      </c>
      <c r="Z11" s="27" t="str">
        <f>IFERROR(__xludf.DUMMYFUNCTION("filter(ghg!$G:$G,(ghg!$B:$B=$A11)*(ghg!$E:$E=$X11))"),"")</f>
        <v/>
      </c>
      <c r="AA11" s="27">
        <f>IFERROR(__xludf.DUMMYFUNCTION("filter(ghg!$H:$H,(ghg!$B:$B=$A11)*(ghg!$E:$E=$X11))"),5500000.0)</f>
        <v>5500000</v>
      </c>
      <c r="AB11" s="27">
        <f t="shared" si="7"/>
        <v>11260000</v>
      </c>
      <c r="AC11" s="63">
        <f t="shared" si="8"/>
        <v>1</v>
      </c>
      <c r="AD11" s="63">
        <f t="shared" si="9"/>
        <v>0</v>
      </c>
      <c r="AE11" s="26"/>
      <c r="AF11" s="26"/>
      <c r="AG11" s="26"/>
      <c r="AH11" s="30">
        <f t="shared" si="10"/>
        <v>0</v>
      </c>
      <c r="AI11" s="30">
        <f t="shared" si="11"/>
        <v>0</v>
      </c>
      <c r="AJ11" s="26"/>
      <c r="AK11" s="30"/>
    </row>
    <row r="12" ht="12.75" customHeight="1">
      <c r="A12" s="23">
        <f t="shared" si="12"/>
        <v>10</v>
      </c>
      <c r="B12" s="27"/>
      <c r="C12" s="27"/>
      <c r="D12" s="27"/>
      <c r="E12" s="27"/>
      <c r="F12" s="27"/>
      <c r="G12" s="50" t="str">
        <f>vlookup($A12,test6_1!$A:$H,COLUMN(test6_1!$H:$H),FALSE)</f>
        <v/>
      </c>
      <c r="H12" s="27" t="str">
        <f>VLOOKUP($A12,test6_1!$A:$U,COLUMN(test6_1!$I:$I),FALSE)</f>
        <v/>
      </c>
      <c r="I12" s="27">
        <f>VLOOKUP($A12,test6_1!$A:$U,COLUMN(test6_1!$P:$P),FALSE)</f>
        <v>2019</v>
      </c>
      <c r="J12" s="27">
        <f>VLOOKUP($A12,test6_1!$A:$U,COLUMN(test6_1!$M:$M),FALSE)</f>
        <v>0</v>
      </c>
      <c r="K12" s="27">
        <f>VLOOKUP($A12,test6_1!$A:$U,COLUMN(test6_1!$T:$T),FALSE)</f>
        <v>0</v>
      </c>
      <c r="L12" s="54">
        <f t="shared" si="1"/>
        <v>0</v>
      </c>
      <c r="M12" s="61" t="str">
        <f>VLOOKUP($A12,test6_1!$A:$U,COLUMN(test6_1!$G:$G),FALSE)</f>
        <v/>
      </c>
      <c r="N12" s="27" t="str">
        <f>VLOOKUP($A12,test6_1!$A:$U,COLUMN(test6_1!$N:$N),FALSE)</f>
        <v/>
      </c>
      <c r="O12" s="62">
        <f t="shared" si="2"/>
        <v>0</v>
      </c>
      <c r="P12" s="27">
        <f t="shared" si="3"/>
        <v>0</v>
      </c>
      <c r="Q12" s="27"/>
      <c r="R12" s="27"/>
      <c r="S12" s="27"/>
      <c r="T12" s="30">
        <f t="shared" si="4"/>
        <v>0</v>
      </c>
      <c r="U12" s="30">
        <f t="shared" si="5"/>
        <v>0</v>
      </c>
      <c r="V12" s="49"/>
      <c r="W12" s="63" t="str">
        <f>VLOOKUP($A12,test6_1!$A:$U,COLUMN(test6_1!$U:$U),FALSE)</f>
        <v/>
      </c>
      <c r="X12" s="27">
        <f t="shared" si="6"/>
        <v>2018</v>
      </c>
      <c r="Y12" s="27">
        <f>IFERROR(__xludf.DUMMYFUNCTION("filter(ghg!$F:$F,(ghg!$B:$B=$A12)*(ghg!$E:$E=$X12))"),23981.0)</f>
        <v>23981</v>
      </c>
      <c r="Z12" s="27">
        <f>IFERROR(__xludf.DUMMYFUNCTION("filter(ghg!$G:$G,(ghg!$B:$B=$A12)*(ghg!$E:$E=$X12))"),112745.0)</f>
        <v>112745</v>
      </c>
      <c r="AA12" s="27">
        <f>IFERROR(__xludf.DUMMYFUNCTION("filter(ghg!$H:$H,(ghg!$B:$B=$A12)*(ghg!$E:$E=$X12))"),2994.0)</f>
        <v>2994</v>
      </c>
      <c r="AB12" s="27">
        <f t="shared" si="7"/>
        <v>26975</v>
      </c>
      <c r="AC12" s="63">
        <f t="shared" si="8"/>
        <v>1</v>
      </c>
      <c r="AD12" s="63">
        <f t="shared" si="9"/>
        <v>0</v>
      </c>
      <c r="AE12" s="26"/>
      <c r="AF12" s="26"/>
      <c r="AG12" s="26"/>
      <c r="AH12" s="30">
        <f t="shared" si="10"/>
        <v>0</v>
      </c>
      <c r="AI12" s="30">
        <f t="shared" si="11"/>
        <v>0</v>
      </c>
      <c r="AJ12" s="26"/>
      <c r="AK12" s="30"/>
    </row>
    <row r="13" ht="12.75" customHeight="1">
      <c r="A13" s="23">
        <f t="shared" si="12"/>
        <v>11</v>
      </c>
      <c r="B13" s="27"/>
      <c r="C13" s="27"/>
      <c r="D13" s="27"/>
      <c r="E13" s="27"/>
      <c r="F13" s="27"/>
      <c r="G13" s="50" t="str">
        <f>vlookup($A13,test6_1!$A:$H,COLUMN(test6_1!$H:$H),FALSE)</f>
        <v/>
      </c>
      <c r="H13" s="27" t="str">
        <f>VLOOKUP($A13,test6_1!$A:$U,COLUMN(test6_1!$I:$I),FALSE)</f>
        <v/>
      </c>
      <c r="I13" s="27">
        <f>VLOOKUP($A13,test6_1!$A:$U,COLUMN(test6_1!$P:$P),FALSE)</f>
        <v>2020</v>
      </c>
      <c r="J13" s="27">
        <f>VLOOKUP($A13,test6_1!$A:$U,COLUMN(test6_1!$M:$M),FALSE)</f>
        <v>0</v>
      </c>
      <c r="K13" s="27">
        <f>VLOOKUP($A13,test6_1!$A:$U,COLUMN(test6_1!$T:$T),FALSE)</f>
        <v>0</v>
      </c>
      <c r="L13" s="54">
        <f t="shared" si="1"/>
        <v>0</v>
      </c>
      <c r="M13" s="61" t="str">
        <f>VLOOKUP($A13,test6_1!$A:$U,COLUMN(test6_1!$G:$G),FALSE)</f>
        <v/>
      </c>
      <c r="N13" s="27" t="str">
        <f>VLOOKUP($A13,test6_1!$A:$U,COLUMN(test6_1!$N:$N),FALSE)</f>
        <v/>
      </c>
      <c r="O13" s="62">
        <f t="shared" si="2"/>
        <v>0</v>
      </c>
      <c r="P13" s="27">
        <f t="shared" si="3"/>
        <v>0</v>
      </c>
      <c r="Q13" s="27"/>
      <c r="R13" s="27"/>
      <c r="S13" s="27"/>
      <c r="T13" s="30">
        <f t="shared" si="4"/>
        <v>0</v>
      </c>
      <c r="U13" s="30">
        <f t="shared" si="5"/>
        <v>0</v>
      </c>
      <c r="V13" s="49"/>
      <c r="W13" s="63" t="str">
        <f>VLOOKUP($A13,test6_1!$A:$U,COLUMN(test6_1!$U:$U),FALSE)</f>
        <v/>
      </c>
      <c r="X13" s="27">
        <f t="shared" si="6"/>
        <v>2019</v>
      </c>
      <c r="Y13" s="27">
        <f>IFERROR(__xludf.DUMMYFUNCTION("filter(ghg!$F:$F,(ghg!$B:$B=$A13)*(ghg!$E:$E=$X13))"),17121.0)</f>
        <v>17121</v>
      </c>
      <c r="Z13" s="27" t="str">
        <f>IFERROR(__xludf.DUMMYFUNCTION("filter(ghg!$G:$G,(ghg!$B:$B=$A13)*(ghg!$E:$E=$X13))"),"NR")</f>
        <v>NR</v>
      </c>
      <c r="AA13" s="27">
        <f>IFERROR(__xludf.DUMMYFUNCTION("filter(ghg!$H:$H,(ghg!$B:$B=$A13)*(ghg!$E:$E=$X13))"),93782.0)</f>
        <v>93782</v>
      </c>
      <c r="AB13" s="27">
        <f t="shared" si="7"/>
        <v>110903</v>
      </c>
      <c r="AC13" s="63">
        <f t="shared" si="8"/>
        <v>1</v>
      </c>
      <c r="AD13" s="63">
        <f t="shared" si="9"/>
        <v>0</v>
      </c>
      <c r="AE13" s="26"/>
      <c r="AF13" s="26"/>
      <c r="AG13" s="26"/>
      <c r="AH13" s="30">
        <f t="shared" si="10"/>
        <v>0</v>
      </c>
      <c r="AI13" s="30">
        <f t="shared" si="11"/>
        <v>0</v>
      </c>
      <c r="AJ13" s="26"/>
      <c r="AK13" s="30"/>
    </row>
    <row r="14" ht="12.75" customHeight="1">
      <c r="A14" s="23">
        <f t="shared" si="12"/>
        <v>12</v>
      </c>
      <c r="B14" s="27"/>
      <c r="C14" s="27"/>
      <c r="D14" s="27"/>
      <c r="E14" s="27"/>
      <c r="F14" s="27"/>
      <c r="G14" s="50" t="str">
        <f>vlookup($A14,test6_1!$A:$H,COLUMN(test6_1!$H:$H),FALSE)</f>
        <v/>
      </c>
      <c r="H14" s="27" t="str">
        <f>VLOOKUP($A14,test6_1!$A:$U,COLUMN(test6_1!$I:$I),FALSE)</f>
        <v/>
      </c>
      <c r="I14" s="27">
        <f>VLOOKUP($A14,test6_1!$A:$U,COLUMN(test6_1!$P:$P),FALSE)</f>
        <v>2019</v>
      </c>
      <c r="J14" s="27">
        <f>VLOOKUP($A14,test6_1!$A:$U,COLUMN(test6_1!$M:$M),FALSE)</f>
        <v>0</v>
      </c>
      <c r="K14" s="27">
        <f>VLOOKUP($A14,test6_1!$A:$U,COLUMN(test6_1!$T:$T),FALSE)</f>
        <v>0</v>
      </c>
      <c r="L14" s="54">
        <f t="shared" si="1"/>
        <v>0</v>
      </c>
      <c r="M14" s="61" t="str">
        <f>VLOOKUP($A14,test6_1!$A:$U,COLUMN(test6_1!$G:$G),FALSE)</f>
        <v/>
      </c>
      <c r="N14" s="27" t="str">
        <f>VLOOKUP($A14,test6_1!$A:$U,COLUMN(test6_1!$N:$N),FALSE)</f>
        <v/>
      </c>
      <c r="O14" s="62">
        <f t="shared" si="2"/>
        <v>0</v>
      </c>
      <c r="P14" s="27">
        <f t="shared" si="3"/>
        <v>0</v>
      </c>
      <c r="Q14" s="27"/>
      <c r="R14" s="27"/>
      <c r="S14" s="27"/>
      <c r="T14" s="30">
        <f t="shared" si="4"/>
        <v>0</v>
      </c>
      <c r="U14" s="30">
        <f t="shared" si="5"/>
        <v>0</v>
      </c>
      <c r="V14" s="49"/>
      <c r="W14" s="63" t="str">
        <f>VLOOKUP($A14,test6_1!$A:$U,COLUMN(test6_1!$U:$U),FALSE)</f>
        <v/>
      </c>
      <c r="X14" s="27">
        <f t="shared" si="6"/>
        <v>2018</v>
      </c>
      <c r="Y14" s="27">
        <f>IFERROR(__xludf.DUMMYFUNCTION("filter(ghg!$F:$F,(ghg!$B:$B=$A14)*(ghg!$E:$E=$X14))"),615347.0)</f>
        <v>615347</v>
      </c>
      <c r="Z14" s="27" t="str">
        <f>IFERROR(__xludf.DUMMYFUNCTION("filter(ghg!$G:$G,(ghg!$B:$B=$A14)*(ghg!$E:$E=$X14))"),"")</f>
        <v/>
      </c>
      <c r="AA14" s="27">
        <f>IFERROR(__xludf.DUMMYFUNCTION("filter(ghg!$H:$H,(ghg!$B:$B=$A14)*(ghg!$E:$E=$X14))"),1796960.0)</f>
        <v>1796960</v>
      </c>
      <c r="AB14" s="27">
        <f t="shared" si="7"/>
        <v>2412307</v>
      </c>
      <c r="AC14" s="63">
        <f t="shared" si="8"/>
        <v>1</v>
      </c>
      <c r="AD14" s="63">
        <f t="shared" si="9"/>
        <v>0</v>
      </c>
      <c r="AE14" s="26"/>
      <c r="AF14" s="26"/>
      <c r="AG14" s="26"/>
      <c r="AH14" s="30">
        <f t="shared" si="10"/>
        <v>0</v>
      </c>
      <c r="AI14" s="30">
        <f t="shared" si="11"/>
        <v>0</v>
      </c>
      <c r="AJ14" s="26"/>
      <c r="AK14" s="30"/>
    </row>
    <row r="15" ht="12.75" customHeight="1">
      <c r="A15" s="23">
        <f t="shared" si="12"/>
        <v>13</v>
      </c>
      <c r="B15" s="27"/>
      <c r="C15" s="27"/>
      <c r="D15" s="27"/>
      <c r="E15" s="27"/>
      <c r="F15" s="27"/>
      <c r="G15" s="50">
        <f>vlookup($A15,test6_1!$A:$H,COLUMN(test6_1!$H:$H),FALSE)</f>
        <v>23</v>
      </c>
      <c r="H15" s="27">
        <f>VLOOKUP($A15,test6_1!$A:$U,COLUMN(test6_1!$I:$I),FALSE)</f>
        <v>2019</v>
      </c>
      <c r="I15" s="27">
        <f>VLOOKUP($A15,test6_1!$A:$U,COLUMN(test6_1!$P:$P),FALSE)</f>
        <v>2019</v>
      </c>
      <c r="J15" s="27">
        <f>VLOOKUP($A15,test6_1!$A:$U,COLUMN(test6_1!$M:$M),FALSE)</f>
        <v>296314</v>
      </c>
      <c r="K15" s="27">
        <f>VLOOKUP($A15,test6_1!$A:$U,COLUMN(test6_1!$T:$T),FALSE)</f>
        <v>296314</v>
      </c>
      <c r="L15" s="54">
        <f t="shared" si="1"/>
        <v>0</v>
      </c>
      <c r="M15" s="61">
        <f>VLOOKUP($A15,test6_1!$A:$U,COLUMN(test6_1!$G:$G),FALSE)</f>
        <v>2027</v>
      </c>
      <c r="N15" s="53">
        <f>VLOOKUP($A15,test6_1!$A:$U,COLUMN(test6_1!$N:$N),FALSE)</f>
        <v>1</v>
      </c>
      <c r="O15" s="62">
        <f t="shared" si="2"/>
        <v>0</v>
      </c>
      <c r="P15" s="27">
        <f t="shared" si="3"/>
        <v>0</v>
      </c>
      <c r="Q15" s="27"/>
      <c r="R15" s="27"/>
      <c r="S15" s="27"/>
      <c r="T15" s="30">
        <f t="shared" si="4"/>
        <v>0</v>
      </c>
      <c r="U15" s="30">
        <f t="shared" si="5"/>
        <v>0</v>
      </c>
      <c r="V15" s="49"/>
      <c r="W15" s="63">
        <f>VLOOKUP($A15,test6_1!$A:$U,COLUMN(test6_1!$U:$U),FALSE)</f>
        <v>0.125</v>
      </c>
      <c r="X15" s="27">
        <f t="shared" si="6"/>
        <v>2018</v>
      </c>
      <c r="Y15" s="27">
        <f>IFERROR(__xludf.DUMMYFUNCTION("filter(ghg!$F:$F,(ghg!$B:$B=$A15)*(ghg!$E:$E=$X15))"),160184.0)</f>
        <v>160184</v>
      </c>
      <c r="Z15" s="27" t="str">
        <f>IFERROR(__xludf.DUMMYFUNCTION("filter(ghg!$G:$G,(ghg!$B:$B=$A15)*(ghg!$E:$E=$X15))"),"")</f>
        <v/>
      </c>
      <c r="AA15" s="27">
        <f>IFERROR(__xludf.DUMMYFUNCTION("filter(ghg!$H:$H,(ghg!$B:$B=$A15)*(ghg!$E:$E=$X15))"),159848.0)</f>
        <v>159848</v>
      </c>
      <c r="AB15" s="27">
        <f t="shared" si="7"/>
        <v>320032</v>
      </c>
      <c r="AC15" s="63">
        <f t="shared" si="8"/>
        <v>0.07411133887</v>
      </c>
      <c r="AD15" s="63">
        <f t="shared" si="9"/>
        <v>0.5928907109</v>
      </c>
      <c r="AE15" s="26"/>
      <c r="AF15" s="26"/>
      <c r="AG15" s="26"/>
      <c r="AH15" s="30">
        <f t="shared" si="10"/>
        <v>0</v>
      </c>
      <c r="AI15" s="30">
        <f t="shared" si="11"/>
        <v>0</v>
      </c>
      <c r="AJ15" s="26"/>
      <c r="AK15" s="30"/>
    </row>
    <row r="16" ht="12.75" customHeight="1">
      <c r="A16" s="23">
        <f t="shared" si="12"/>
        <v>14</v>
      </c>
      <c r="B16" s="27"/>
      <c r="C16" s="27"/>
      <c r="D16" s="27"/>
      <c r="E16" s="27"/>
      <c r="F16" s="27"/>
      <c r="G16" s="50" t="str">
        <f>vlookup($A16,test6_1!$A:$H,COLUMN(test6_1!$H:$H),FALSE)</f>
        <v/>
      </c>
      <c r="H16" s="27" t="str">
        <f>VLOOKUP($A16,test6_1!$A:$U,COLUMN(test6_1!$I:$I),FALSE)</f>
        <v/>
      </c>
      <c r="I16" s="27">
        <f>VLOOKUP($A16,test6_1!$A:$U,COLUMN(test6_1!$P:$P),FALSE)</f>
        <v>2020</v>
      </c>
      <c r="J16" s="27">
        <f>VLOOKUP($A16,test6_1!$A:$U,COLUMN(test6_1!$M:$M),FALSE)</f>
        <v>0</v>
      </c>
      <c r="K16" s="27">
        <f>VLOOKUP($A16,test6_1!$A:$U,COLUMN(test6_1!$T:$T),FALSE)</f>
        <v>0</v>
      </c>
      <c r="L16" s="54">
        <f t="shared" si="1"/>
        <v>0</v>
      </c>
      <c r="M16" s="61" t="str">
        <f>VLOOKUP($A16,test6_1!$A:$U,COLUMN(test6_1!$G:$G),FALSE)</f>
        <v/>
      </c>
      <c r="N16" s="27" t="str">
        <f>VLOOKUP($A16,test6_1!$A:$U,COLUMN(test6_1!$N:$N),FALSE)</f>
        <v/>
      </c>
      <c r="O16" s="62">
        <f t="shared" si="2"/>
        <v>0</v>
      </c>
      <c r="P16" s="27">
        <f t="shared" si="3"/>
        <v>0</v>
      </c>
      <c r="Q16" s="27"/>
      <c r="R16" s="27"/>
      <c r="S16" s="27"/>
      <c r="T16" s="30">
        <f t="shared" si="4"/>
        <v>0</v>
      </c>
      <c r="U16" s="30">
        <f t="shared" si="5"/>
        <v>0</v>
      </c>
      <c r="V16" s="49"/>
      <c r="W16" s="63" t="str">
        <f>VLOOKUP($A16,test6_1!$A:$U,COLUMN(test6_1!$U:$U),FALSE)</f>
        <v/>
      </c>
      <c r="X16" s="27">
        <f t="shared" si="6"/>
        <v>2019</v>
      </c>
      <c r="Y16" s="27">
        <f>IFERROR(__xludf.DUMMYFUNCTION("filter(ghg!$F:$F,(ghg!$B:$B=$A16)*(ghg!$E:$E=$X16))"),52730.0)</f>
        <v>52730</v>
      </c>
      <c r="Z16" s="27" t="str">
        <f>IFERROR(__xludf.DUMMYFUNCTION("filter(ghg!$G:$G,(ghg!$B:$B=$A16)*(ghg!$E:$E=$X16))"),"")</f>
        <v/>
      </c>
      <c r="AA16" s="27">
        <f>IFERROR(__xludf.DUMMYFUNCTION("filter(ghg!$H:$H,(ghg!$B:$B=$A16)*(ghg!$E:$E=$X16))"),0.0)</f>
        <v>0</v>
      </c>
      <c r="AB16" s="27">
        <f t="shared" si="7"/>
        <v>52730</v>
      </c>
      <c r="AC16" s="63">
        <f t="shared" si="8"/>
        <v>1</v>
      </c>
      <c r="AD16" s="63">
        <f t="shared" si="9"/>
        <v>0</v>
      </c>
      <c r="AE16" s="26"/>
      <c r="AF16" s="26"/>
      <c r="AG16" s="26"/>
      <c r="AH16" s="30">
        <f t="shared" si="10"/>
        <v>0</v>
      </c>
      <c r="AI16" s="30">
        <f t="shared" si="11"/>
        <v>0</v>
      </c>
      <c r="AJ16" s="26"/>
      <c r="AK16" s="30"/>
    </row>
    <row r="17" ht="12.75" customHeight="1">
      <c r="A17" s="23">
        <f t="shared" si="12"/>
        <v>15</v>
      </c>
      <c r="B17" s="27"/>
      <c r="C17" s="27"/>
      <c r="D17" s="27"/>
      <c r="E17" s="27"/>
      <c r="F17" s="27"/>
      <c r="G17" s="50">
        <f>vlookup($A17,test6_1!$A:$H,COLUMN(test6_1!$H:$H),FALSE)</f>
        <v>26</v>
      </c>
      <c r="H17" s="27">
        <f>VLOOKUP($A17,test6_1!$A:$U,COLUMN(test6_1!$I:$I),FALSE)</f>
        <v>2015</v>
      </c>
      <c r="I17" s="27">
        <f>VLOOKUP($A17,test6_1!$A:$U,COLUMN(test6_1!$P:$P),FALSE)</f>
        <v>2019</v>
      </c>
      <c r="J17" s="27">
        <f>VLOOKUP($A17,test6_1!$A:$U,COLUMN(test6_1!$M:$M),FALSE)</f>
        <v>8829258</v>
      </c>
      <c r="K17" s="27">
        <f>VLOOKUP($A17,test6_1!$A:$U,COLUMN(test6_1!$T:$T),FALSE)</f>
        <v>6525043</v>
      </c>
      <c r="L17" s="54">
        <f t="shared" si="1"/>
        <v>0.2609749313</v>
      </c>
      <c r="M17" s="61">
        <f>VLOOKUP($A17,test6_1!$A:$U,COLUMN(test6_1!$G:$G),FALSE)</f>
        <v>2030</v>
      </c>
      <c r="N17" s="53">
        <f>VLOOKUP($A17,test6_1!$A:$U,COLUMN(test6_1!$N:$N),FALSE)</f>
        <v>0.63</v>
      </c>
      <c r="O17" s="62">
        <f t="shared" si="2"/>
        <v>0.168</v>
      </c>
      <c r="P17" s="53">
        <f t="shared" si="3"/>
        <v>1.55342221</v>
      </c>
      <c r="Q17" s="27"/>
      <c r="R17" s="27"/>
      <c r="S17" s="27"/>
      <c r="T17" s="30">
        <f t="shared" si="4"/>
        <v>1</v>
      </c>
      <c r="U17" s="30">
        <f t="shared" si="5"/>
        <v>0.05</v>
      </c>
      <c r="V17" s="49"/>
      <c r="W17" s="63">
        <f>VLOOKUP($A17,test6_1!$A:$U,COLUMN(test6_1!$U:$U),FALSE)</f>
        <v>0.04539458124</v>
      </c>
      <c r="X17" s="27">
        <f t="shared" si="6"/>
        <v>2018</v>
      </c>
      <c r="Y17" s="27">
        <f>IFERROR(__xludf.DUMMYFUNCTION("filter(ghg!$F:$F,(ghg!$B:$B=$A17)*(ghg!$E:$E=$X17))"),1020000.0)</f>
        <v>1020000</v>
      </c>
      <c r="Z17" s="27">
        <f>IFERROR(__xludf.DUMMYFUNCTION("filter(ghg!$G:$G,(ghg!$B:$B=$A17)*(ghg!$E:$E=$X17))"),6660000.0)</f>
        <v>6660000</v>
      </c>
      <c r="AA17" s="27">
        <f>IFERROR(__xludf.DUMMYFUNCTION("filter(ghg!$H:$H,(ghg!$B:$B=$A17)*(ghg!$E:$E=$X17))"),6660000.0)</f>
        <v>6660000</v>
      </c>
      <c r="AB17" s="27">
        <f t="shared" si="7"/>
        <v>7680000</v>
      </c>
      <c r="AC17" s="63">
        <f t="shared" si="8"/>
        <v>0.150385026</v>
      </c>
      <c r="AD17" s="63">
        <f t="shared" si="9"/>
        <v>3.312840915</v>
      </c>
      <c r="AE17" s="26"/>
      <c r="AF17" s="26"/>
      <c r="AG17" s="26"/>
      <c r="AH17" s="30">
        <f t="shared" si="10"/>
        <v>1</v>
      </c>
      <c r="AI17" s="30">
        <f t="shared" si="11"/>
        <v>0.05</v>
      </c>
      <c r="AJ17" s="26"/>
      <c r="AK17" s="30"/>
    </row>
    <row r="18" ht="12.75" customHeight="1">
      <c r="A18" s="23">
        <f t="shared" si="12"/>
        <v>16</v>
      </c>
      <c r="B18" s="27"/>
      <c r="C18" s="27"/>
      <c r="D18" s="27"/>
      <c r="E18" s="27"/>
      <c r="F18" s="27"/>
      <c r="G18" s="50" t="str">
        <f>vlookup($A18,test6_1!$A:$H,COLUMN(test6_1!$H:$H),FALSE)</f>
        <v/>
      </c>
      <c r="H18" s="27" t="str">
        <f>VLOOKUP($A18,test6_1!$A:$U,COLUMN(test6_1!$I:$I),FALSE)</f>
        <v/>
      </c>
      <c r="I18" s="27">
        <f>VLOOKUP($A18,test6_1!$A:$U,COLUMN(test6_1!$P:$P),FALSE)</f>
        <v>2020</v>
      </c>
      <c r="J18" s="27">
        <f>VLOOKUP($A18,test6_1!$A:$U,COLUMN(test6_1!$M:$M),FALSE)</f>
        <v>0</v>
      </c>
      <c r="K18" s="27">
        <f>VLOOKUP($A18,test6_1!$A:$U,COLUMN(test6_1!$T:$T),FALSE)</f>
        <v>0</v>
      </c>
      <c r="L18" s="54">
        <f t="shared" si="1"/>
        <v>0</v>
      </c>
      <c r="M18" s="61" t="str">
        <f>VLOOKUP($A18,test6_1!$A:$U,COLUMN(test6_1!$G:$G),FALSE)</f>
        <v/>
      </c>
      <c r="N18" s="27" t="str">
        <f>VLOOKUP($A18,test6_1!$A:$U,COLUMN(test6_1!$N:$N),FALSE)</f>
        <v/>
      </c>
      <c r="O18" s="62">
        <f t="shared" si="2"/>
        <v>0</v>
      </c>
      <c r="P18" s="27">
        <f t="shared" si="3"/>
        <v>0</v>
      </c>
      <c r="Q18" s="27"/>
      <c r="R18" s="27"/>
      <c r="S18" s="27"/>
      <c r="T18" s="30">
        <f t="shared" si="4"/>
        <v>0</v>
      </c>
      <c r="U18" s="30">
        <f t="shared" si="5"/>
        <v>0</v>
      </c>
      <c r="V18" s="49"/>
      <c r="W18" s="63" t="str">
        <f>VLOOKUP($A18,test6_1!$A:$U,COLUMN(test6_1!$U:$U),FALSE)</f>
        <v/>
      </c>
      <c r="X18" s="27">
        <f t="shared" si="6"/>
        <v>2019</v>
      </c>
      <c r="Y18" s="27">
        <f>IFERROR(__xludf.DUMMYFUNCTION("filter(ghg!$F:$F,(ghg!$B:$B=$A18)*(ghg!$E:$E=$X18))"),62639.0)</f>
        <v>62639</v>
      </c>
      <c r="Z18" s="27">
        <f>IFERROR(__xludf.DUMMYFUNCTION("filter(ghg!$G:$G,(ghg!$B:$B=$A18)*(ghg!$E:$E=$X18))"),728771.0)</f>
        <v>728771</v>
      </c>
      <c r="AA18" s="27">
        <f>IFERROR(__xludf.DUMMYFUNCTION("filter(ghg!$H:$H,(ghg!$B:$B=$A18)*(ghg!$E:$E=$X18))"),17523.0)</f>
        <v>17523</v>
      </c>
      <c r="AB18" s="27">
        <f t="shared" si="7"/>
        <v>80162</v>
      </c>
      <c r="AC18" s="63">
        <f t="shared" si="8"/>
        <v>1</v>
      </c>
      <c r="AD18" s="63">
        <f t="shared" si="9"/>
        <v>0</v>
      </c>
      <c r="AE18" s="26"/>
      <c r="AF18" s="26"/>
      <c r="AG18" s="26"/>
      <c r="AH18" s="30">
        <f t="shared" si="10"/>
        <v>0</v>
      </c>
      <c r="AI18" s="30">
        <f t="shared" si="11"/>
        <v>0</v>
      </c>
      <c r="AJ18" s="26"/>
      <c r="AK18" s="30"/>
    </row>
    <row r="19" ht="12.75" customHeight="1">
      <c r="A19" s="23">
        <f t="shared" si="12"/>
        <v>17</v>
      </c>
      <c r="B19" s="27"/>
      <c r="C19" s="27"/>
      <c r="D19" s="27"/>
      <c r="E19" s="27"/>
      <c r="F19" s="27"/>
      <c r="G19" s="50" t="str">
        <f>vlookup($A19,test6_1!$A:$H,COLUMN(test6_1!$H:$H),FALSE)</f>
        <v/>
      </c>
      <c r="H19" s="27" t="str">
        <f>VLOOKUP($A19,test6_1!$A:$U,COLUMN(test6_1!$I:$I),FALSE)</f>
        <v/>
      </c>
      <c r="I19" s="27" t="str">
        <f>VLOOKUP($A19,test6_1!$A:$U,COLUMN(test6_1!$P:$P),FALSE)</f>
        <v>NR</v>
      </c>
      <c r="J19" s="27">
        <f>VLOOKUP($A19,test6_1!$A:$U,COLUMN(test6_1!$M:$M),FALSE)</f>
        <v>0</v>
      </c>
      <c r="K19" s="27">
        <f>VLOOKUP($A19,test6_1!$A:$U,COLUMN(test6_1!$T:$T),FALSE)</f>
        <v>0</v>
      </c>
      <c r="L19" s="54">
        <f t="shared" si="1"/>
        <v>0</v>
      </c>
      <c r="M19" s="61" t="str">
        <f>VLOOKUP($A19,test6_1!$A:$U,COLUMN(test6_1!$G:$G),FALSE)</f>
        <v/>
      </c>
      <c r="N19" s="27" t="str">
        <f>VLOOKUP($A19,test6_1!$A:$U,COLUMN(test6_1!$N:$N),FALSE)</f>
        <v/>
      </c>
      <c r="O19" s="62">
        <f t="shared" si="2"/>
        <v>0</v>
      </c>
      <c r="P19" s="27">
        <f t="shared" si="3"/>
        <v>0</v>
      </c>
      <c r="Q19" s="27"/>
      <c r="R19" s="27"/>
      <c r="S19" s="27"/>
      <c r="T19" s="30">
        <f t="shared" si="4"/>
        <v>0</v>
      </c>
      <c r="U19" s="30">
        <f t="shared" si="5"/>
        <v>0</v>
      </c>
      <c r="V19" s="49"/>
      <c r="W19" s="63" t="str">
        <f>VLOOKUP($A19,test6_1!$A:$U,COLUMN(test6_1!$U:$U),FALSE)</f>
        <v/>
      </c>
      <c r="X19" s="55"/>
      <c r="Y19" s="55"/>
      <c r="Z19" s="55"/>
      <c r="AA19" s="55"/>
      <c r="AB19" s="55"/>
      <c r="AC19" s="63"/>
      <c r="AD19" s="63">
        <f t="shared" si="9"/>
        <v>0</v>
      </c>
      <c r="AE19" s="26"/>
      <c r="AF19" s="26"/>
      <c r="AG19" s="26"/>
      <c r="AH19" s="30">
        <f t="shared" si="10"/>
        <v>0</v>
      </c>
      <c r="AI19" s="30">
        <f t="shared" si="11"/>
        <v>0</v>
      </c>
      <c r="AJ19" s="26"/>
      <c r="AK19" s="30"/>
    </row>
    <row r="20" ht="12.75" customHeight="1">
      <c r="A20" s="23">
        <f t="shared" si="12"/>
        <v>18</v>
      </c>
      <c r="B20" s="27"/>
      <c r="C20" s="27"/>
      <c r="D20" s="27"/>
      <c r="E20" s="27"/>
      <c r="F20" s="27"/>
      <c r="G20" s="50">
        <f>vlookup($A20,test6_1!$A:$H,COLUMN(test6_1!$H:$H),FALSE)</f>
        <v>31</v>
      </c>
      <c r="H20" s="27">
        <f>VLOOKUP($A20,test6_1!$A:$U,COLUMN(test6_1!$I:$I),FALSE)</f>
        <v>2019</v>
      </c>
      <c r="I20" s="27">
        <f>VLOOKUP($A20,test6_1!$A:$U,COLUMN(test6_1!$P:$P),FALSE)</f>
        <v>2020</v>
      </c>
      <c r="J20" s="27">
        <f>VLOOKUP($A20,test6_1!$A:$U,COLUMN(test6_1!$M:$M),FALSE)</f>
        <v>67553</v>
      </c>
      <c r="K20" s="27">
        <f>VLOOKUP($A20,test6_1!$A:$U,COLUMN(test6_1!$T:$T),FALSE)</f>
        <v>57736</v>
      </c>
      <c r="L20" s="54">
        <f t="shared" si="1"/>
        <v>0.1453229316</v>
      </c>
      <c r="M20" s="61">
        <f>VLOOKUP($A20,test6_1!$A:$U,COLUMN(test6_1!$G:$G),FALSE)</f>
        <v>2032</v>
      </c>
      <c r="N20" s="53">
        <f>VLOOKUP($A20,test6_1!$A:$U,COLUMN(test6_1!$N:$N),FALSE)</f>
        <v>0.55</v>
      </c>
      <c r="O20" s="62">
        <f t="shared" si="2"/>
        <v>0.04230769231</v>
      </c>
      <c r="P20" s="53">
        <f t="shared" si="3"/>
        <v>3.434905657</v>
      </c>
      <c r="Q20" s="27"/>
      <c r="R20" s="27"/>
      <c r="S20" s="27"/>
      <c r="T20" s="30">
        <f t="shared" si="4"/>
        <v>1</v>
      </c>
      <c r="U20" s="30">
        <f t="shared" si="5"/>
        <v>0.05</v>
      </c>
      <c r="V20" s="49"/>
      <c r="W20" s="63">
        <f>VLOOKUP($A20,test6_1!$A:$U,COLUMN(test6_1!$U:$U),FALSE)</f>
        <v>0.03945711226</v>
      </c>
      <c r="X20" s="27">
        <f t="shared" ref="X20:X22" si="13">I20-1</f>
        <v>2019</v>
      </c>
      <c r="Y20" s="27">
        <f>IFERROR(__xludf.DUMMYFUNCTION("filter(ghg!$F:$F,(ghg!$B:$B=$A20)*(ghg!$E:$E=$X20))"),67447.0)</f>
        <v>67447</v>
      </c>
      <c r="Z20" s="27">
        <f>IFERROR(__xludf.DUMMYFUNCTION("filter(ghg!$G:$G,(ghg!$B:$B=$A20)*(ghg!$E:$E=$X20))"),37712.0)</f>
        <v>37712</v>
      </c>
      <c r="AA20" s="27">
        <f>IFERROR(__xludf.DUMMYFUNCTION("filter(ghg!$H:$H,(ghg!$B:$B=$A20)*(ghg!$E:$E=$X20))"),106.0)</f>
        <v>106</v>
      </c>
      <c r="AB20" s="27">
        <f t="shared" ref="AB20:AB22" si="14">Y20+min(Z20:AA20)</f>
        <v>67553</v>
      </c>
      <c r="AC20" s="63">
        <f t="shared" ref="AC20:AC22" si="15">-K20/AB20+1</f>
        <v>0.1453229316</v>
      </c>
      <c r="AD20" s="63">
        <f t="shared" si="9"/>
        <v>3.683060501</v>
      </c>
      <c r="AE20" s="26"/>
      <c r="AF20" s="26"/>
      <c r="AG20" s="26"/>
      <c r="AH20" s="30">
        <f t="shared" si="10"/>
        <v>1</v>
      </c>
      <c r="AI20" s="30">
        <f t="shared" si="11"/>
        <v>0.05</v>
      </c>
      <c r="AJ20" s="26"/>
      <c r="AK20" s="30"/>
    </row>
    <row r="21" ht="12.75" customHeight="1">
      <c r="A21" s="23">
        <f t="shared" si="12"/>
        <v>19</v>
      </c>
      <c r="B21" s="27"/>
      <c r="C21" s="27"/>
      <c r="D21" s="27"/>
      <c r="E21" s="27"/>
      <c r="F21" s="27"/>
      <c r="G21" s="50" t="str">
        <f>vlookup($A21,test6_1!$A:$H,COLUMN(test6_1!$H:$H),FALSE)</f>
        <v/>
      </c>
      <c r="H21" s="27" t="str">
        <f>VLOOKUP($A21,test6_1!$A:$U,COLUMN(test6_1!$I:$I),FALSE)</f>
        <v/>
      </c>
      <c r="I21" s="27">
        <f>VLOOKUP($A21,test6_1!$A:$U,COLUMN(test6_1!$P:$P),FALSE)</f>
        <v>2020</v>
      </c>
      <c r="J21" s="27">
        <f>VLOOKUP($A21,test6_1!$A:$U,COLUMN(test6_1!$M:$M),FALSE)</f>
        <v>0</v>
      </c>
      <c r="K21" s="27">
        <f>VLOOKUP($A21,test6_1!$A:$U,COLUMN(test6_1!$T:$T),FALSE)</f>
        <v>0</v>
      </c>
      <c r="L21" s="54">
        <f t="shared" si="1"/>
        <v>0</v>
      </c>
      <c r="M21" s="61" t="str">
        <f>VLOOKUP($A21,test6_1!$A:$U,COLUMN(test6_1!$G:$G),FALSE)</f>
        <v/>
      </c>
      <c r="N21" s="27" t="str">
        <f>VLOOKUP($A21,test6_1!$A:$U,COLUMN(test6_1!$N:$N),FALSE)</f>
        <v/>
      </c>
      <c r="O21" s="62">
        <f t="shared" si="2"/>
        <v>0</v>
      </c>
      <c r="P21" s="27">
        <f t="shared" si="3"/>
        <v>0</v>
      </c>
      <c r="Q21" s="27"/>
      <c r="R21" s="27"/>
      <c r="S21" s="27"/>
      <c r="T21" s="30">
        <f t="shared" si="4"/>
        <v>0</v>
      </c>
      <c r="U21" s="30">
        <f t="shared" si="5"/>
        <v>0</v>
      </c>
      <c r="V21" s="49"/>
      <c r="W21" s="63" t="str">
        <f>VLOOKUP($A21,test6_1!$A:$U,COLUMN(test6_1!$U:$U),FALSE)</f>
        <v/>
      </c>
      <c r="X21" s="27">
        <f t="shared" si="13"/>
        <v>2019</v>
      </c>
      <c r="Y21" s="27">
        <f>IFERROR(__xludf.DUMMYFUNCTION("filter(ghg!$F:$F,(ghg!$B:$B=$A21)*(ghg!$E:$E=$X21))"),5589.0)</f>
        <v>5589</v>
      </c>
      <c r="Z21" s="27">
        <f>IFERROR(__xludf.DUMMYFUNCTION("filter(ghg!$G:$G,(ghg!$B:$B=$A21)*(ghg!$E:$E=$X21))"),20369.0)</f>
        <v>20369</v>
      </c>
      <c r="AA21" s="27">
        <f>IFERROR(__xludf.DUMMYFUNCTION("filter(ghg!$H:$H,(ghg!$B:$B=$A21)*(ghg!$E:$E=$X21))"),0.0)</f>
        <v>0</v>
      </c>
      <c r="AB21" s="27">
        <f t="shared" si="14"/>
        <v>5589</v>
      </c>
      <c r="AC21" s="63">
        <f t="shared" si="15"/>
        <v>1</v>
      </c>
      <c r="AD21" s="63">
        <f t="shared" si="9"/>
        <v>0</v>
      </c>
      <c r="AE21" s="26"/>
      <c r="AF21" s="26"/>
      <c r="AG21" s="26"/>
      <c r="AH21" s="30">
        <f t="shared" si="10"/>
        <v>0</v>
      </c>
      <c r="AI21" s="30">
        <f t="shared" si="11"/>
        <v>0</v>
      </c>
      <c r="AJ21" s="26"/>
      <c r="AK21" s="30"/>
    </row>
    <row r="22" ht="12.75" customHeight="1">
      <c r="A22" s="31">
        <v>66.0</v>
      </c>
      <c r="B22" s="27"/>
      <c r="C22" s="27"/>
      <c r="D22" s="27"/>
      <c r="E22" s="27"/>
      <c r="F22" s="27"/>
      <c r="G22" s="50" t="str">
        <f>vlookup($A22,test6_1!$A:$H,COLUMN(test6_1!$H:$H),FALSE)</f>
        <v/>
      </c>
      <c r="H22" s="27" t="str">
        <f>VLOOKUP($A22,test6_1!$A:$U,COLUMN(test6_1!$I:$I),FALSE)</f>
        <v/>
      </c>
      <c r="I22" s="27">
        <f>VLOOKUP($A22,test6_1!$A:$U,COLUMN(test6_1!$P:$P),FALSE)</f>
        <v>2020</v>
      </c>
      <c r="J22" s="27">
        <f>VLOOKUP($A22,test6_1!$A:$U,COLUMN(test6_1!$M:$M),FALSE)</f>
        <v>0</v>
      </c>
      <c r="K22" s="27">
        <f>VLOOKUP($A22,test6_1!$A:$U,COLUMN(test6_1!$T:$T),FALSE)</f>
        <v>0</v>
      </c>
      <c r="L22" s="54">
        <f t="shared" si="1"/>
        <v>0</v>
      </c>
      <c r="M22" s="61" t="str">
        <f>VLOOKUP($A22,test6_1!$A:$U,COLUMN(test6_1!$G:$G),FALSE)</f>
        <v/>
      </c>
      <c r="N22" s="27" t="str">
        <f>VLOOKUP($A22,test6_1!$A:$U,COLUMN(test6_1!$N:$N),FALSE)</f>
        <v/>
      </c>
      <c r="O22" s="62">
        <f t="shared" si="2"/>
        <v>0</v>
      </c>
      <c r="P22" s="27">
        <f t="shared" si="3"/>
        <v>0</v>
      </c>
      <c r="Q22" s="27"/>
      <c r="R22" s="27"/>
      <c r="S22" s="27"/>
      <c r="T22" s="30">
        <f t="shared" si="4"/>
        <v>0</v>
      </c>
      <c r="U22" s="30">
        <f t="shared" si="5"/>
        <v>0</v>
      </c>
      <c r="V22" s="49"/>
      <c r="W22" s="63" t="str">
        <f>VLOOKUP($A22,test6_1!$A:$U,COLUMN(test6_1!$U:$U),FALSE)</f>
        <v/>
      </c>
      <c r="X22" s="27">
        <f t="shared" si="13"/>
        <v>2019</v>
      </c>
      <c r="Y22" s="27">
        <f>IFERROR(__xludf.DUMMYFUNCTION("filter(ghg!$F:$F,(ghg!$B:$B=$A22)*(ghg!$E:$E=$X22))"),117956.0)</f>
        <v>117956</v>
      </c>
      <c r="Z22" s="27">
        <f>IFERROR(__xludf.DUMMYFUNCTION("filter(ghg!$G:$G,(ghg!$B:$B=$A22)*(ghg!$E:$E=$X22))"),3357518.0)</f>
        <v>3357518</v>
      </c>
      <c r="AA22" s="27">
        <f>IFERROR(__xludf.DUMMYFUNCTION("filter(ghg!$H:$H,(ghg!$B:$B=$A22)*(ghg!$E:$E=$X22))"),275420.0)</f>
        <v>275420</v>
      </c>
      <c r="AB22" s="27">
        <f t="shared" si="14"/>
        <v>393376</v>
      </c>
      <c r="AC22" s="63">
        <f t="shared" si="15"/>
        <v>1</v>
      </c>
      <c r="AD22" s="63">
        <f t="shared" si="9"/>
        <v>0</v>
      </c>
      <c r="AE22" s="26"/>
      <c r="AF22" s="26"/>
      <c r="AG22" s="26"/>
      <c r="AH22" s="30">
        <f t="shared" si="10"/>
        <v>0</v>
      </c>
      <c r="AI22" s="30">
        <f t="shared" si="11"/>
        <v>0</v>
      </c>
      <c r="AJ22" s="26"/>
      <c r="AK22" s="30"/>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43"/>
    <col customWidth="1" min="2" max="2" width="5.43"/>
    <col customWidth="1" min="3" max="5" width="10.0"/>
    <col customWidth="1" min="6" max="6" width="13.86"/>
    <col customWidth="1" min="7" max="7" width="17.71"/>
    <col customWidth="1" min="8" max="8" width="17.0"/>
    <col customWidth="1" min="9" max="9" width="17.43"/>
    <col customWidth="1" min="10" max="10" width="19.14"/>
    <col customWidth="1" min="11" max="15" width="19.86"/>
    <col customWidth="1" min="16" max="16" width="11.57"/>
    <col customWidth="1" min="17" max="17" width="13.43"/>
    <col customWidth="1" min="18" max="20" width="9.43"/>
    <col customWidth="1" min="21" max="21" width="11.71"/>
    <col customWidth="1" min="22" max="22" width="5.71"/>
    <col customWidth="1" min="23" max="30" width="8.71"/>
    <col customWidth="1" min="31" max="31" width="13.0"/>
    <col customWidth="1" min="32" max="38" width="8.71"/>
  </cols>
  <sheetData>
    <row r="1" ht="12.75" customHeight="1">
      <c r="A1" s="17" t="s">
        <v>2</v>
      </c>
      <c r="B1" s="19"/>
      <c r="C1" s="19" t="s">
        <v>599</v>
      </c>
      <c r="D1" s="19" t="s">
        <v>594</v>
      </c>
      <c r="E1" s="19" t="s">
        <v>600</v>
      </c>
      <c r="F1" s="19" t="s">
        <v>601</v>
      </c>
      <c r="G1" s="19" t="s">
        <v>557</v>
      </c>
      <c r="H1" s="19"/>
      <c r="I1" s="19"/>
      <c r="J1" s="19"/>
      <c r="K1" s="19"/>
      <c r="L1" s="19"/>
      <c r="M1" s="19"/>
      <c r="N1" s="19"/>
      <c r="O1" s="19"/>
      <c r="P1" s="19"/>
      <c r="Q1" s="19" t="s">
        <v>629</v>
      </c>
      <c r="R1" s="19" t="s">
        <v>587</v>
      </c>
      <c r="S1" s="19" t="s">
        <v>588</v>
      </c>
      <c r="T1" s="20" t="s">
        <v>531</v>
      </c>
      <c r="U1" s="21" t="s">
        <v>548</v>
      </c>
      <c r="V1" s="46"/>
      <c r="AF1" s="19" t="s">
        <v>629</v>
      </c>
      <c r="AG1" s="19" t="s">
        <v>587</v>
      </c>
      <c r="AH1" s="19" t="s">
        <v>588</v>
      </c>
      <c r="AI1" s="20" t="s">
        <v>531</v>
      </c>
      <c r="AJ1" s="21" t="s">
        <v>548</v>
      </c>
      <c r="AL1" s="20"/>
    </row>
    <row r="2">
      <c r="A2" s="23"/>
      <c r="B2" s="24"/>
      <c r="C2" s="24" t="str">
        <f>test6_1!C2</f>
        <v>abs</v>
      </c>
      <c r="D2" s="24" t="s">
        <v>593</v>
      </c>
      <c r="E2" s="24" t="str">
        <f>test6_1!E2</f>
        <v>no</v>
      </c>
      <c r="F2" s="24" t="str">
        <f>test6_1!F2</f>
        <v>min</v>
      </c>
      <c r="G2" s="48" t="s">
        <v>605</v>
      </c>
      <c r="H2" s="48" t="s">
        <v>606</v>
      </c>
      <c r="I2" s="48" t="s">
        <v>534</v>
      </c>
      <c r="J2" s="48" t="s">
        <v>630</v>
      </c>
      <c r="K2" s="48" t="s">
        <v>631</v>
      </c>
      <c r="L2" s="48" t="s">
        <v>632</v>
      </c>
      <c r="M2" s="48" t="s">
        <v>601</v>
      </c>
      <c r="N2" s="48" t="s">
        <v>633</v>
      </c>
      <c r="O2" s="48" t="s">
        <v>634</v>
      </c>
      <c r="P2" s="48" t="s">
        <v>635</v>
      </c>
      <c r="Q2" s="48"/>
      <c r="R2" s="52">
        <v>0.8</v>
      </c>
      <c r="S2" s="52">
        <v>1.1</v>
      </c>
      <c r="T2" s="25"/>
      <c r="U2" s="25">
        <v>0.1</v>
      </c>
      <c r="V2" s="47"/>
      <c r="W2" s="48" t="s">
        <v>636</v>
      </c>
      <c r="X2" s="39" t="s">
        <v>538</v>
      </c>
      <c r="Y2" s="48" t="s">
        <v>639</v>
      </c>
      <c r="Z2" s="48" t="s">
        <v>640</v>
      </c>
      <c r="AA2" s="48" t="s">
        <v>641</v>
      </c>
      <c r="AB2" s="48" t="s">
        <v>642</v>
      </c>
      <c r="AC2" s="48" t="s">
        <v>643</v>
      </c>
      <c r="AD2" s="48" t="s">
        <v>637</v>
      </c>
      <c r="AE2" s="48" t="s">
        <v>635</v>
      </c>
      <c r="AF2" s="48"/>
      <c r="AG2" s="52">
        <v>0.8</v>
      </c>
      <c r="AH2" s="52">
        <v>1.1</v>
      </c>
      <c r="AI2" s="25"/>
      <c r="AJ2" s="25">
        <v>0.1</v>
      </c>
      <c r="AK2" s="60"/>
      <c r="AL2" s="25"/>
    </row>
    <row r="3" ht="12.75" customHeight="1">
      <c r="A3" s="23">
        <v>1.0</v>
      </c>
      <c r="B3" s="27"/>
      <c r="C3" s="27"/>
      <c r="D3" s="27"/>
      <c r="E3" s="27"/>
      <c r="F3" s="27"/>
      <c r="G3" s="50" t="str">
        <f>VLOOKUP($A3,test6_2!$A:$H,COLUMN(test6_2!$H:$H),FALSE)</f>
        <v/>
      </c>
      <c r="H3" s="27" t="str">
        <f>VLOOKUP($A3,test6_2!$A:$U,COLUMN(test6_2!$I:$I),FALSE)</f>
        <v/>
      </c>
      <c r="I3" s="27">
        <f>VLOOKUP($A3,test6_2!$A:$U,COLUMN(test6_1!$Q:$Q),FALSE)</f>
        <v>2020</v>
      </c>
      <c r="J3" s="27">
        <f>VLOOKUP($A3,test6_2!$A:$U,COLUMN(test6_2!$N:$N),FALSE)</f>
        <v>0</v>
      </c>
      <c r="K3" s="27">
        <f>VLOOKUP($A3,test6_2!$A:$V,COLUMN(test6_2!$V:$V),FALSE)</f>
        <v>0</v>
      </c>
      <c r="L3" s="54">
        <f t="shared" ref="L3:L22" si="1">if(J3&lt;&gt;0,-K3/J3+1,0)</f>
        <v>0</v>
      </c>
      <c r="M3" s="61" t="str">
        <f>VLOOKUP($A3,test6_2!$A:$U,COLUMN(test6_2!$G:$G),FALSE)</f>
        <v/>
      </c>
      <c r="N3" s="27" t="str">
        <f>VLOOKUP($A3,test6_2!$A:$U,COLUMN(test6_1!$O:$O),FALSE)</f>
        <v/>
      </c>
      <c r="O3" s="62">
        <f t="shared" ref="O3:O22" si="2">IF(G3,N3/(M3-H3)*(I3-H3),0)</f>
        <v>0</v>
      </c>
      <c r="P3" s="27">
        <f t="shared" ref="P3:P22" si="3">IF(O3&lt;&gt;0,L3/O3,0)</f>
        <v>0</v>
      </c>
      <c r="Q3" s="19" t="s">
        <v>638</v>
      </c>
      <c r="R3" s="19" t="s">
        <v>587</v>
      </c>
      <c r="S3" s="19" t="s">
        <v>588</v>
      </c>
      <c r="T3" s="30">
        <f t="shared" ref="T3:T22" si="4">if(min(100%/($S$2-$R$2)*(P3-$R$2),$S$4)&lt;$R$4,0,min(100%/($S$2-$R$2)*(P3-$R$2),$S$4))</f>
        <v>0</v>
      </c>
      <c r="U3" s="30">
        <f t="shared" ref="U3:U22" si="5">U$2*T3</f>
        <v>0</v>
      </c>
      <c r="V3" s="49"/>
      <c r="W3" s="63" t="str">
        <f>VLOOKUP($A3,test6_2!$A:$W,COLUMN(test6_2!$W:$W),FALSE)</f>
        <v/>
      </c>
      <c r="X3" s="27">
        <f t="shared" ref="X3:X18" si="6">I3-1</f>
        <v>2019</v>
      </c>
      <c r="Y3" s="27">
        <f>IFERROR(__xludf.DUMMYFUNCTION("filter(ghg!$F:$F,(ghg!$B:$B=$A3)*(ghg!$E:$E=$X3))"),4050000.0)</f>
        <v>4050000</v>
      </c>
      <c r="Z3" s="27">
        <f>IFERROR(__xludf.DUMMYFUNCTION("filter(ghg!$G:$G,(ghg!$B:$B=$A3)*(ghg!$E:$E=$X3))"),1780000.0)</f>
        <v>1780000</v>
      </c>
      <c r="AA3" s="27">
        <f>IFERROR(__xludf.DUMMYFUNCTION("filter(ghg!$H:$H,(ghg!$B:$B=$A3)*(ghg!$E:$E=$X3))"),1320000.0)</f>
        <v>1320000</v>
      </c>
      <c r="AB3" s="27" t="str">
        <f>IFERROR(__xludf.DUMMYFUNCTION("filter(ghg!$J:$J,(ghg!$B:$B=$A3)*(ghg!$E:$E=$X3))"),"")</f>
        <v/>
      </c>
      <c r="AC3" s="27">
        <f t="shared" ref="AC3:AC18" si="7">Y3+min(Z3:AA3)+AB3</f>
        <v>5370000</v>
      </c>
      <c r="AD3" s="63">
        <f t="shared" ref="AD3:AD18" si="8">-K3/AC3+1</f>
        <v>1</v>
      </c>
      <c r="AE3" s="63">
        <f t="shared" ref="AE3:AE22" si="9">IF(value(W3)&lt;&gt;0,AD3/W3,0)</f>
        <v>0</v>
      </c>
      <c r="AF3" s="19" t="s">
        <v>638</v>
      </c>
      <c r="AG3" s="19" t="s">
        <v>587</v>
      </c>
      <c r="AH3" s="19" t="s">
        <v>588</v>
      </c>
      <c r="AI3" s="30">
        <f t="shared" ref="AI3:AI22" si="10">IF(min(100%/($AH$2-$AG$2)*(AE3-$AG$2),$AH$4)&lt;$AG$4,0,min(100%/($AH$2-$AG$2)*(AE3-$AG$2),$AH$4))</f>
        <v>0</v>
      </c>
      <c r="AJ3" s="30">
        <f t="shared" ref="AJ3:AJ22" si="11">AJ$2*AI3</f>
        <v>0</v>
      </c>
      <c r="AK3" s="27"/>
      <c r="AL3" s="30"/>
    </row>
    <row r="4" ht="12.75" customHeight="1">
      <c r="A4" s="23">
        <f t="shared" ref="A4:A21" si="12">A3+1</f>
        <v>2</v>
      </c>
      <c r="B4" s="27"/>
      <c r="C4" s="27"/>
      <c r="D4" s="27"/>
      <c r="E4" s="27"/>
      <c r="F4" s="27"/>
      <c r="G4" s="50" t="str">
        <f>VLOOKUP($A4,test6_2!$A:$H,COLUMN(test6_2!$H:$H),FALSE)</f>
        <v/>
      </c>
      <c r="H4" s="27" t="str">
        <f>VLOOKUP($A4,test6_2!$A:$U,COLUMN(test6_2!$I:$I),FALSE)</f>
        <v/>
      </c>
      <c r="I4" s="27">
        <f>VLOOKUP($A4,test6_2!$A:$U,COLUMN(test6_1!$Q:$Q),FALSE)</f>
        <v>2020</v>
      </c>
      <c r="J4" s="27">
        <f>VLOOKUP($A4,test6_2!$A:$U,COLUMN(test6_2!$N:$N),FALSE)</f>
        <v>0</v>
      </c>
      <c r="K4" s="27">
        <f>VLOOKUP($A4,test6_2!$A:$V,COLUMN(test6_2!$V:$V),FALSE)</f>
        <v>0</v>
      </c>
      <c r="L4" s="54">
        <f t="shared" si="1"/>
        <v>0</v>
      </c>
      <c r="M4" s="61" t="str">
        <f>VLOOKUP($A4,test6_2!$A:$U,COLUMN(test6_2!$G:$G),FALSE)</f>
        <v/>
      </c>
      <c r="N4" s="27" t="str">
        <f>VLOOKUP($A4,test6_2!$A:$U,COLUMN(test6_1!$O:$O),FALSE)</f>
        <v/>
      </c>
      <c r="O4" s="62">
        <f t="shared" si="2"/>
        <v>0</v>
      </c>
      <c r="P4" s="27">
        <f t="shared" si="3"/>
        <v>0</v>
      </c>
      <c r="Q4" s="27"/>
      <c r="R4" s="19">
        <v>0.5</v>
      </c>
      <c r="S4" s="19">
        <v>1.0</v>
      </c>
      <c r="T4" s="30">
        <f t="shared" si="4"/>
        <v>0</v>
      </c>
      <c r="U4" s="30">
        <f t="shared" si="5"/>
        <v>0</v>
      </c>
      <c r="V4" s="49"/>
      <c r="W4" s="63" t="str">
        <f>VLOOKUP($A4,test6_2!$A:$W,COLUMN(test6_2!$W:$W),FALSE)</f>
        <v/>
      </c>
      <c r="X4" s="27">
        <f t="shared" si="6"/>
        <v>2019</v>
      </c>
      <c r="Y4" s="27">
        <f>IFERROR(__xludf.DUMMYFUNCTION("filter(ghg!$F:$F,(ghg!$B:$B=$A4)*(ghg!$E:$E=$X4))"),543000.0)</f>
        <v>543000</v>
      </c>
      <c r="Z4" s="27">
        <f>IFERROR(__xludf.DUMMYFUNCTION("filter(ghg!$G:$G,(ghg!$B:$B=$A4)*(ghg!$E:$E=$X4))"),498000.0)</f>
        <v>498000</v>
      </c>
      <c r="AA4" s="27">
        <f>IFERROR(__xludf.DUMMYFUNCTION("filter(ghg!$H:$H,(ghg!$B:$B=$A4)*(ghg!$E:$E=$X4))"),419000.0)</f>
        <v>419000</v>
      </c>
      <c r="AB4" s="27" t="str">
        <f>IFERROR(__xludf.DUMMYFUNCTION("filter(ghg!$J:$J,(ghg!$B:$B=$A4)*(ghg!$E:$E=$X4))"),"")</f>
        <v/>
      </c>
      <c r="AC4" s="27">
        <f t="shared" si="7"/>
        <v>962000</v>
      </c>
      <c r="AD4" s="63">
        <f t="shared" si="8"/>
        <v>1</v>
      </c>
      <c r="AE4" s="63">
        <f t="shared" si="9"/>
        <v>0</v>
      </c>
      <c r="AF4" s="27"/>
      <c r="AG4" s="19">
        <v>0.5</v>
      </c>
      <c r="AH4" s="19">
        <v>1.0</v>
      </c>
      <c r="AI4" s="30">
        <f t="shared" si="10"/>
        <v>0</v>
      </c>
      <c r="AJ4" s="30">
        <f t="shared" si="11"/>
        <v>0</v>
      </c>
      <c r="AK4" s="26"/>
      <c r="AL4" s="30"/>
    </row>
    <row r="5" ht="12.75" customHeight="1">
      <c r="A5" s="23">
        <f t="shared" si="12"/>
        <v>3</v>
      </c>
      <c r="B5" s="27"/>
      <c r="C5" s="27"/>
      <c r="D5" s="27"/>
      <c r="E5" s="27"/>
      <c r="F5" s="27"/>
      <c r="G5" s="50" t="str">
        <f>VLOOKUP($A5,test6_2!$A:$H,COLUMN(test6_2!$H:$H),FALSE)</f>
        <v/>
      </c>
      <c r="H5" s="27" t="str">
        <f>VLOOKUP($A5,test6_2!$A:$U,COLUMN(test6_2!$I:$I),FALSE)</f>
        <v/>
      </c>
      <c r="I5" s="27">
        <f>VLOOKUP($A5,test6_2!$A:$U,COLUMN(test6_1!$Q:$Q),FALSE)</f>
        <v>2020</v>
      </c>
      <c r="J5" s="27">
        <f>VLOOKUP($A5,test6_2!$A:$U,COLUMN(test6_2!$N:$N),FALSE)</f>
        <v>0</v>
      </c>
      <c r="K5" s="27">
        <f>VLOOKUP($A5,test6_2!$A:$V,COLUMN(test6_2!$V:$V),FALSE)</f>
        <v>0</v>
      </c>
      <c r="L5" s="54">
        <f t="shared" si="1"/>
        <v>0</v>
      </c>
      <c r="M5" s="61" t="str">
        <f>VLOOKUP($A5,test6_2!$A:$U,COLUMN(test6_2!$G:$G),FALSE)</f>
        <v/>
      </c>
      <c r="N5" s="27" t="str">
        <f>VLOOKUP($A5,test6_2!$A:$U,COLUMN(test6_1!$O:$O),FALSE)</f>
        <v/>
      </c>
      <c r="O5" s="62">
        <f t="shared" si="2"/>
        <v>0</v>
      </c>
      <c r="P5" s="27">
        <f t="shared" si="3"/>
        <v>0</v>
      </c>
      <c r="Q5" s="27"/>
      <c r="R5" s="27"/>
      <c r="S5" s="27"/>
      <c r="T5" s="30">
        <f t="shared" si="4"/>
        <v>0</v>
      </c>
      <c r="U5" s="30">
        <f t="shared" si="5"/>
        <v>0</v>
      </c>
      <c r="V5" s="49"/>
      <c r="W5" s="63" t="str">
        <f>VLOOKUP($A5,test6_2!$A:$W,COLUMN(test6_2!$W:$W),FALSE)</f>
        <v/>
      </c>
      <c r="X5" s="27">
        <f t="shared" si="6"/>
        <v>2019</v>
      </c>
      <c r="Y5" s="27">
        <f>IFERROR(__xludf.DUMMYFUNCTION("filter(ghg!$F:$F,(ghg!$B:$B=$A5)*(ghg!$E:$E=$X5))"),315000.0)</f>
        <v>315000</v>
      </c>
      <c r="Z5" s="27">
        <f>IFERROR(__xludf.DUMMYFUNCTION("filter(ghg!$G:$G,(ghg!$B:$B=$A5)*(ghg!$E:$E=$X5))"),308000.0)</f>
        <v>308000</v>
      </c>
      <c r="AA5" s="27">
        <f>IFERROR(__xludf.DUMMYFUNCTION("filter(ghg!$H:$H,(ghg!$B:$B=$A5)*(ghg!$E:$E=$X5))"),250000.0)</f>
        <v>250000</v>
      </c>
      <c r="AB5" s="27" t="str">
        <f>IFERROR(__xludf.DUMMYFUNCTION("filter(ghg!$J:$J,(ghg!$B:$B=$A5)*(ghg!$E:$E=$X5))"),"")</f>
        <v/>
      </c>
      <c r="AC5" s="27">
        <f t="shared" si="7"/>
        <v>565000</v>
      </c>
      <c r="AD5" s="63">
        <f t="shared" si="8"/>
        <v>1</v>
      </c>
      <c r="AE5" s="63">
        <f t="shared" si="9"/>
        <v>0</v>
      </c>
      <c r="AF5" s="26"/>
      <c r="AG5" s="26"/>
      <c r="AH5" s="26"/>
      <c r="AI5" s="30">
        <f t="shared" si="10"/>
        <v>0</v>
      </c>
      <c r="AJ5" s="30">
        <f t="shared" si="11"/>
        <v>0</v>
      </c>
      <c r="AK5" s="26"/>
      <c r="AL5" s="30"/>
    </row>
    <row r="6" ht="12.75" customHeight="1">
      <c r="A6" s="23">
        <f t="shared" si="12"/>
        <v>4</v>
      </c>
      <c r="B6" s="27"/>
      <c r="C6" s="27"/>
      <c r="D6" s="27"/>
      <c r="E6" s="27"/>
      <c r="F6" s="27"/>
      <c r="G6" s="50">
        <f>VLOOKUP($A6,test6_2!$A:$H,COLUMN(test6_2!$H:$H),FALSE)</f>
        <v>11</v>
      </c>
      <c r="H6" s="27">
        <f>VLOOKUP($A6,test6_2!$A:$U,COLUMN(test6_2!$I:$I),FALSE)</f>
        <v>2016</v>
      </c>
      <c r="I6" s="27">
        <f>VLOOKUP($A6,test6_2!$A:$U,COLUMN(test6_1!$Q:$Q),FALSE)</f>
        <v>2020</v>
      </c>
      <c r="J6" s="27">
        <f>VLOOKUP($A6,test6_2!$A:$U,COLUMN(test6_2!$N:$N),FALSE)</f>
        <v>1189794</v>
      </c>
      <c r="K6" s="27">
        <f>VLOOKUP($A6,test6_2!$A:$V,COLUMN(test6_2!$V:$V),FALSE)</f>
        <v>854922</v>
      </c>
      <c r="L6" s="54">
        <f t="shared" si="1"/>
        <v>0.2814537643</v>
      </c>
      <c r="M6" s="61">
        <f>VLOOKUP($A6,test6_2!$A:$U,COLUMN(test6_2!$G:$G),FALSE)</f>
        <v>2025</v>
      </c>
      <c r="N6" s="53">
        <f>VLOOKUP($A6,test6_2!$A:$U,COLUMN(test6_1!$O:$O),FALSE)</f>
        <v>0.11</v>
      </c>
      <c r="O6" s="62">
        <f t="shared" si="2"/>
        <v>0.04888888889</v>
      </c>
      <c r="P6" s="53">
        <f t="shared" si="3"/>
        <v>5.757008815</v>
      </c>
      <c r="Q6" s="27"/>
      <c r="R6" s="27"/>
      <c r="S6" s="27"/>
      <c r="T6" s="30">
        <f t="shared" si="4"/>
        <v>1</v>
      </c>
      <c r="U6" s="30">
        <f t="shared" si="5"/>
        <v>0.1</v>
      </c>
      <c r="V6" s="49"/>
      <c r="W6" s="63">
        <f>VLOOKUP($A6,test6_2!$A:$W,COLUMN(test6_2!$W:$W),FALSE)</f>
        <v>0</v>
      </c>
      <c r="X6" s="27">
        <f t="shared" si="6"/>
        <v>2019</v>
      </c>
      <c r="Y6" s="27">
        <f>IFERROR(__xludf.DUMMYFUNCTION("filter(ghg!$F:$F,(ghg!$B:$B=$A6)*(ghg!$E:$E=$X6))"),18923.0)</f>
        <v>18923</v>
      </c>
      <c r="Z6" s="27" t="str">
        <f>IFERROR(__xludf.DUMMYFUNCTION("filter(ghg!$G:$G,(ghg!$B:$B=$A6)*(ghg!$E:$E=$X6))"),"")</f>
        <v/>
      </c>
      <c r="AA6" s="27">
        <f>IFERROR(__xludf.DUMMYFUNCTION("filter(ghg!$H:$H,(ghg!$B:$B=$A6)*(ghg!$E:$E=$X6))"),214680.0)</f>
        <v>214680</v>
      </c>
      <c r="AB6" s="27">
        <f>IFERROR(__xludf.DUMMYFUNCTION("filter(ghg!$J:$J,(ghg!$B:$B=$A6)*(ghg!$E:$E=$X6))"),932653.0)</f>
        <v>932653</v>
      </c>
      <c r="AC6" s="27">
        <f t="shared" si="7"/>
        <v>1166256</v>
      </c>
      <c r="AD6" s="63">
        <f t="shared" si="8"/>
        <v>0.2669516813</v>
      </c>
      <c r="AE6" s="63">
        <f t="shared" si="9"/>
        <v>0</v>
      </c>
      <c r="AF6" s="26"/>
      <c r="AG6" s="26"/>
      <c r="AH6" s="26"/>
      <c r="AI6" s="30">
        <f t="shared" si="10"/>
        <v>0</v>
      </c>
      <c r="AJ6" s="30">
        <f t="shared" si="11"/>
        <v>0</v>
      </c>
      <c r="AK6" s="26"/>
      <c r="AL6" s="30"/>
    </row>
    <row r="7" ht="12.75" customHeight="1">
      <c r="A7" s="23">
        <f t="shared" si="12"/>
        <v>5</v>
      </c>
      <c r="B7" s="27"/>
      <c r="C7" s="27"/>
      <c r="D7" s="27"/>
      <c r="E7" s="27"/>
      <c r="F7" s="27"/>
      <c r="G7" s="50" t="str">
        <f>VLOOKUP($A7,test6_2!$A:$H,COLUMN(test6_2!$H:$H),FALSE)</f>
        <v/>
      </c>
      <c r="H7" s="27" t="str">
        <f>VLOOKUP($A7,test6_2!$A:$U,COLUMN(test6_2!$I:$I),FALSE)</f>
        <v/>
      </c>
      <c r="I7" s="27">
        <f>VLOOKUP($A7,test6_2!$A:$U,COLUMN(test6_1!$Q:$Q),FALSE)</f>
        <v>2020</v>
      </c>
      <c r="J7" s="27">
        <f>VLOOKUP($A7,test6_2!$A:$U,COLUMN(test6_2!$N:$N),FALSE)</f>
        <v>0</v>
      </c>
      <c r="K7" s="27">
        <f>VLOOKUP($A7,test6_2!$A:$V,COLUMN(test6_2!$V:$V),FALSE)</f>
        <v>0</v>
      </c>
      <c r="L7" s="54">
        <f t="shared" si="1"/>
        <v>0</v>
      </c>
      <c r="M7" s="61" t="str">
        <f>VLOOKUP($A7,test6_2!$A:$U,COLUMN(test6_2!$G:$G),FALSE)</f>
        <v/>
      </c>
      <c r="N7" s="27" t="str">
        <f>VLOOKUP($A7,test6_2!$A:$U,COLUMN(test6_1!$O:$O),FALSE)</f>
        <v/>
      </c>
      <c r="O7" s="62">
        <f t="shared" si="2"/>
        <v>0</v>
      </c>
      <c r="P7" s="27">
        <f t="shared" si="3"/>
        <v>0</v>
      </c>
      <c r="Q7" s="27"/>
      <c r="R7" s="27"/>
      <c r="S7" s="27"/>
      <c r="T7" s="30">
        <f t="shared" si="4"/>
        <v>0</v>
      </c>
      <c r="U7" s="30">
        <f t="shared" si="5"/>
        <v>0</v>
      </c>
      <c r="V7" s="49"/>
      <c r="W7" s="63" t="str">
        <f>VLOOKUP($A7,test6_2!$A:$W,COLUMN(test6_2!$W:$W),FALSE)</f>
        <v/>
      </c>
      <c r="X7" s="27">
        <f t="shared" si="6"/>
        <v>2019</v>
      </c>
      <c r="Y7" s="27">
        <f>IFERROR(__xludf.DUMMYFUNCTION("filter(ghg!$F:$F,(ghg!$B:$B=$A7)*(ghg!$E:$E=$X7))"),11817.0)</f>
        <v>11817</v>
      </c>
      <c r="Z7" s="27">
        <f>IFERROR(__xludf.DUMMYFUNCTION("filter(ghg!$G:$G,(ghg!$B:$B=$A7)*(ghg!$E:$E=$X7))"),56128.0)</f>
        <v>56128</v>
      </c>
      <c r="AA7" s="27">
        <f>IFERROR(__xludf.DUMMYFUNCTION("filter(ghg!$H:$H,(ghg!$B:$B=$A7)*(ghg!$E:$E=$X7))"),43893.0)</f>
        <v>43893</v>
      </c>
      <c r="AB7" s="27">
        <f>IFERROR(__xludf.DUMMYFUNCTION("filter(ghg!$J:$J,(ghg!$B:$B=$A7)*(ghg!$E:$E=$X7))"),542874.0)</f>
        <v>542874</v>
      </c>
      <c r="AC7" s="27">
        <f t="shared" si="7"/>
        <v>598584</v>
      </c>
      <c r="AD7" s="63">
        <f t="shared" si="8"/>
        <v>1</v>
      </c>
      <c r="AE7" s="63">
        <f t="shared" si="9"/>
        <v>0</v>
      </c>
      <c r="AF7" s="26"/>
      <c r="AG7" s="26"/>
      <c r="AH7" s="26"/>
      <c r="AI7" s="30">
        <f t="shared" si="10"/>
        <v>0</v>
      </c>
      <c r="AJ7" s="30">
        <f t="shared" si="11"/>
        <v>0</v>
      </c>
      <c r="AK7" s="26"/>
      <c r="AL7" s="30"/>
    </row>
    <row r="8" ht="12.75" customHeight="1">
      <c r="A8" s="23">
        <f t="shared" si="12"/>
        <v>6</v>
      </c>
      <c r="B8" s="27"/>
      <c r="C8" s="27"/>
      <c r="D8" s="27"/>
      <c r="E8" s="27"/>
      <c r="F8" s="27"/>
      <c r="G8" s="50" t="str">
        <f>VLOOKUP($A8,test6_2!$A:$H,COLUMN(test6_2!$H:$H),FALSE)</f>
        <v/>
      </c>
      <c r="H8" s="27" t="str">
        <f>VLOOKUP($A8,test6_2!$A:$U,COLUMN(test6_2!$I:$I),FALSE)</f>
        <v/>
      </c>
      <c r="I8" s="27">
        <f>VLOOKUP($A8,test6_2!$A:$U,COLUMN(test6_1!$Q:$Q),FALSE)</f>
        <v>2020</v>
      </c>
      <c r="J8" s="27">
        <f>VLOOKUP($A8,test6_2!$A:$U,COLUMN(test6_2!$N:$N),FALSE)</f>
        <v>0</v>
      </c>
      <c r="K8" s="27">
        <f>VLOOKUP($A8,test6_2!$A:$V,COLUMN(test6_2!$V:$V),FALSE)</f>
        <v>0</v>
      </c>
      <c r="L8" s="54">
        <f t="shared" si="1"/>
        <v>0</v>
      </c>
      <c r="M8" s="61" t="str">
        <f>VLOOKUP($A8,test6_2!$A:$U,COLUMN(test6_2!$G:$G),FALSE)</f>
        <v/>
      </c>
      <c r="N8" s="27" t="str">
        <f>VLOOKUP($A8,test6_2!$A:$U,COLUMN(test6_1!$O:$O),FALSE)</f>
        <v/>
      </c>
      <c r="O8" s="62">
        <f t="shared" si="2"/>
        <v>0</v>
      </c>
      <c r="P8" s="27">
        <f t="shared" si="3"/>
        <v>0</v>
      </c>
      <c r="Q8" s="27"/>
      <c r="R8" s="27"/>
      <c r="S8" s="27"/>
      <c r="T8" s="30">
        <f t="shared" si="4"/>
        <v>0</v>
      </c>
      <c r="U8" s="30">
        <f t="shared" si="5"/>
        <v>0</v>
      </c>
      <c r="V8" s="49"/>
      <c r="W8" s="63" t="str">
        <f>VLOOKUP($A8,test6_2!$A:$W,COLUMN(test6_2!$W:$W),FALSE)</f>
        <v/>
      </c>
      <c r="X8" s="27">
        <f t="shared" si="6"/>
        <v>2019</v>
      </c>
      <c r="Y8" s="27">
        <f>IFERROR(__xludf.DUMMYFUNCTION("filter(ghg!$F:$F,(ghg!$B:$B=$A8)*(ghg!$E:$E=$X8))"),39200.0)</f>
        <v>39200</v>
      </c>
      <c r="Z8" s="27">
        <f>IFERROR(__xludf.DUMMYFUNCTION("filter(ghg!$G:$G,(ghg!$B:$B=$A8)*(ghg!$E:$E=$X8))"),86900.0)</f>
        <v>86900</v>
      </c>
      <c r="AA8" s="27">
        <f>IFERROR(__xludf.DUMMYFUNCTION("filter(ghg!$H:$H,(ghg!$B:$B=$A8)*(ghg!$E:$E=$X8))"),74200.0)</f>
        <v>74200</v>
      </c>
      <c r="AB8" s="27" t="str">
        <f>IFERROR(__xludf.DUMMYFUNCTION("filter(ghg!$J:$J,(ghg!$B:$B=$A8)*(ghg!$E:$E=$X8))"),"")</f>
        <v/>
      </c>
      <c r="AC8" s="27">
        <f t="shared" si="7"/>
        <v>113400</v>
      </c>
      <c r="AD8" s="63">
        <f t="shared" si="8"/>
        <v>1</v>
      </c>
      <c r="AE8" s="63">
        <f t="shared" si="9"/>
        <v>0</v>
      </c>
      <c r="AF8" s="26"/>
      <c r="AG8" s="26"/>
      <c r="AH8" s="26"/>
      <c r="AI8" s="30">
        <f t="shared" si="10"/>
        <v>0</v>
      </c>
      <c r="AJ8" s="30">
        <f t="shared" si="11"/>
        <v>0</v>
      </c>
      <c r="AK8" s="26"/>
      <c r="AL8" s="30"/>
    </row>
    <row r="9" ht="12.75" customHeight="1">
      <c r="A9" s="23">
        <f t="shared" si="12"/>
        <v>7</v>
      </c>
      <c r="B9" s="27"/>
      <c r="C9" s="27"/>
      <c r="D9" s="27"/>
      <c r="E9" s="27"/>
      <c r="F9" s="27"/>
      <c r="G9" s="50" t="str">
        <f>VLOOKUP($A9,test6_2!$A:$H,COLUMN(test6_2!$H:$H),FALSE)</f>
        <v/>
      </c>
      <c r="H9" s="27" t="str">
        <f>VLOOKUP($A9,test6_2!$A:$U,COLUMN(test6_2!$I:$I),FALSE)</f>
        <v/>
      </c>
      <c r="I9" s="27">
        <f>VLOOKUP($A9,test6_2!$A:$U,COLUMN(test6_1!$Q:$Q),FALSE)</f>
        <v>2019</v>
      </c>
      <c r="J9" s="27">
        <f>VLOOKUP($A9,test6_2!$A:$U,COLUMN(test6_2!$N:$N),FALSE)</f>
        <v>0</v>
      </c>
      <c r="K9" s="27">
        <f>VLOOKUP($A9,test6_2!$A:$V,COLUMN(test6_2!$V:$V),FALSE)</f>
        <v>0</v>
      </c>
      <c r="L9" s="54">
        <f t="shared" si="1"/>
        <v>0</v>
      </c>
      <c r="M9" s="61" t="str">
        <f>VLOOKUP($A9,test6_2!$A:$U,COLUMN(test6_2!$G:$G),FALSE)</f>
        <v/>
      </c>
      <c r="N9" s="27" t="str">
        <f>VLOOKUP($A9,test6_2!$A:$U,COLUMN(test6_1!$O:$O),FALSE)</f>
        <v/>
      </c>
      <c r="O9" s="62">
        <f t="shared" si="2"/>
        <v>0</v>
      </c>
      <c r="P9" s="27">
        <f t="shared" si="3"/>
        <v>0</v>
      </c>
      <c r="Q9" s="27"/>
      <c r="R9" s="27"/>
      <c r="S9" s="27"/>
      <c r="T9" s="30">
        <f t="shared" si="4"/>
        <v>0</v>
      </c>
      <c r="U9" s="30">
        <f t="shared" si="5"/>
        <v>0</v>
      </c>
      <c r="V9" s="49"/>
      <c r="W9" s="63" t="str">
        <f>VLOOKUP($A9,test6_2!$A:$W,COLUMN(test6_2!$W:$W),FALSE)</f>
        <v/>
      </c>
      <c r="X9" s="27">
        <f t="shared" si="6"/>
        <v>2018</v>
      </c>
      <c r="Y9" s="27">
        <f>IFERROR(__xludf.DUMMYFUNCTION("filter(ghg!$F:$F,(ghg!$B:$B=$A9)*(ghg!$E:$E=$X9))"),63521.0)</f>
        <v>63521</v>
      </c>
      <c r="Z9" s="27">
        <f>IFERROR(__xludf.DUMMYFUNCTION("filter(ghg!$G:$G,(ghg!$B:$B=$A9)*(ghg!$E:$E=$X9))"),4344686.0)</f>
        <v>4344686</v>
      </c>
      <c r="AA9" s="27">
        <f>IFERROR(__xludf.DUMMYFUNCTION("filter(ghg!$H:$H,(ghg!$B:$B=$A9)*(ghg!$E:$E=$X9))"),684236.0)</f>
        <v>684236</v>
      </c>
      <c r="AB9" s="27">
        <f>IFERROR(__xludf.DUMMYFUNCTION("filter(ghg!$J:$J,(ghg!$B:$B=$A9)*(ghg!$E:$E=$X9))"),1.2900467E7)</f>
        <v>12900467</v>
      </c>
      <c r="AC9" s="27">
        <f t="shared" si="7"/>
        <v>13648224</v>
      </c>
      <c r="AD9" s="63">
        <f t="shared" si="8"/>
        <v>1</v>
      </c>
      <c r="AE9" s="63">
        <f t="shared" si="9"/>
        <v>0</v>
      </c>
      <c r="AF9" s="26"/>
      <c r="AG9" s="26"/>
      <c r="AH9" s="26"/>
      <c r="AI9" s="30">
        <f t="shared" si="10"/>
        <v>0</v>
      </c>
      <c r="AJ9" s="30">
        <f t="shared" si="11"/>
        <v>0</v>
      </c>
      <c r="AK9" s="26"/>
      <c r="AL9" s="30"/>
    </row>
    <row r="10" ht="12.75" customHeight="1">
      <c r="A10" s="23">
        <f t="shared" si="12"/>
        <v>8</v>
      </c>
      <c r="B10" s="27"/>
      <c r="C10" s="27"/>
      <c r="D10" s="27"/>
      <c r="E10" s="27"/>
      <c r="F10" s="27"/>
      <c r="G10" s="50" t="str">
        <f>VLOOKUP($A10,test6_2!$A:$H,COLUMN(test6_2!$H:$H),FALSE)</f>
        <v/>
      </c>
      <c r="H10" s="27" t="str">
        <f>VLOOKUP($A10,test6_2!$A:$U,COLUMN(test6_2!$I:$I),FALSE)</f>
        <v/>
      </c>
      <c r="I10" s="27">
        <f>VLOOKUP($A10,test6_2!$A:$U,COLUMN(test6_1!$Q:$Q),FALSE)</f>
        <v>2020</v>
      </c>
      <c r="J10" s="27">
        <f>VLOOKUP($A10,test6_2!$A:$U,COLUMN(test6_2!$N:$N),FALSE)</f>
        <v>0</v>
      </c>
      <c r="K10" s="27">
        <f>VLOOKUP($A10,test6_2!$A:$V,COLUMN(test6_2!$V:$V),FALSE)</f>
        <v>0</v>
      </c>
      <c r="L10" s="54">
        <f t="shared" si="1"/>
        <v>0</v>
      </c>
      <c r="M10" s="61" t="str">
        <f>VLOOKUP($A10,test6_2!$A:$U,COLUMN(test6_2!$G:$G),FALSE)</f>
        <v/>
      </c>
      <c r="N10" s="27" t="str">
        <f>VLOOKUP($A10,test6_2!$A:$U,COLUMN(test6_1!$O:$O),FALSE)</f>
        <v/>
      </c>
      <c r="O10" s="62">
        <f t="shared" si="2"/>
        <v>0</v>
      </c>
      <c r="P10" s="27">
        <f t="shared" si="3"/>
        <v>0</v>
      </c>
      <c r="Q10" s="27"/>
      <c r="R10" s="27"/>
      <c r="S10" s="27"/>
      <c r="T10" s="30">
        <f t="shared" si="4"/>
        <v>0</v>
      </c>
      <c r="U10" s="30">
        <f t="shared" si="5"/>
        <v>0</v>
      </c>
      <c r="V10" s="49"/>
      <c r="W10" s="63" t="str">
        <f>VLOOKUP($A10,test6_2!$A:$W,COLUMN(test6_2!$W:$W),FALSE)</f>
        <v/>
      </c>
      <c r="X10" s="27">
        <f t="shared" si="6"/>
        <v>2019</v>
      </c>
      <c r="Y10" s="27">
        <f>IFERROR(__xludf.DUMMYFUNCTION("filter(ghg!$F:$F,(ghg!$B:$B=$A10)*(ghg!$E:$E=$X10))"),154507.0)</f>
        <v>154507</v>
      </c>
      <c r="Z10" s="27">
        <f>IFERROR(__xludf.DUMMYFUNCTION("filter(ghg!$G:$G,(ghg!$B:$B=$A10)*(ghg!$E:$E=$X10))"),151259.0)</f>
        <v>151259</v>
      </c>
      <c r="AA10" s="27">
        <f>IFERROR(__xludf.DUMMYFUNCTION("filter(ghg!$H:$H,(ghg!$B:$B=$A10)*(ghg!$E:$E=$X10))"),147909.0)</f>
        <v>147909</v>
      </c>
      <c r="AB10" s="27" t="str">
        <f>IFERROR(__xludf.DUMMYFUNCTION("filter(ghg!$J:$J,(ghg!$B:$B=$A10)*(ghg!$E:$E=$X10))"),"")</f>
        <v/>
      </c>
      <c r="AC10" s="27">
        <f t="shared" si="7"/>
        <v>302416</v>
      </c>
      <c r="AD10" s="63">
        <f t="shared" si="8"/>
        <v>1</v>
      </c>
      <c r="AE10" s="63">
        <f t="shared" si="9"/>
        <v>0</v>
      </c>
      <c r="AF10" s="26"/>
      <c r="AG10" s="26"/>
      <c r="AH10" s="26"/>
      <c r="AI10" s="30">
        <f t="shared" si="10"/>
        <v>0</v>
      </c>
      <c r="AJ10" s="30">
        <f t="shared" si="11"/>
        <v>0</v>
      </c>
      <c r="AK10" s="26"/>
      <c r="AL10" s="30"/>
    </row>
    <row r="11" ht="12.75" customHeight="1">
      <c r="A11" s="23">
        <f t="shared" si="12"/>
        <v>9</v>
      </c>
      <c r="B11" s="27"/>
      <c r="C11" s="27"/>
      <c r="D11" s="27"/>
      <c r="E11" s="27"/>
      <c r="F11" s="27"/>
      <c r="G11" s="50" t="str">
        <f>VLOOKUP($A11,test6_2!$A:$H,COLUMN(test6_2!$H:$H),FALSE)</f>
        <v/>
      </c>
      <c r="H11" s="27" t="str">
        <f>VLOOKUP($A11,test6_2!$A:$U,COLUMN(test6_2!$I:$I),FALSE)</f>
        <v/>
      </c>
      <c r="I11" s="27">
        <f>VLOOKUP($A11,test6_2!$A:$U,COLUMN(test6_1!$Q:$Q),FALSE)</f>
        <v>2020</v>
      </c>
      <c r="J11" s="27">
        <f>VLOOKUP($A11,test6_2!$A:$U,COLUMN(test6_2!$N:$N),FALSE)</f>
        <v>0</v>
      </c>
      <c r="K11" s="27">
        <f>VLOOKUP($A11,test6_2!$A:$V,COLUMN(test6_2!$V:$V),FALSE)</f>
        <v>0</v>
      </c>
      <c r="L11" s="54">
        <f t="shared" si="1"/>
        <v>0</v>
      </c>
      <c r="M11" s="61" t="str">
        <f>VLOOKUP($A11,test6_2!$A:$U,COLUMN(test6_2!$G:$G),FALSE)</f>
        <v/>
      </c>
      <c r="N11" s="27" t="str">
        <f>VLOOKUP($A11,test6_2!$A:$U,COLUMN(test6_1!$O:$O),FALSE)</f>
        <v/>
      </c>
      <c r="O11" s="62">
        <f t="shared" si="2"/>
        <v>0</v>
      </c>
      <c r="P11" s="27">
        <f t="shared" si="3"/>
        <v>0</v>
      </c>
      <c r="Q11" s="27"/>
      <c r="R11" s="27"/>
      <c r="S11" s="27"/>
      <c r="T11" s="30">
        <f t="shared" si="4"/>
        <v>0</v>
      </c>
      <c r="U11" s="30">
        <f t="shared" si="5"/>
        <v>0</v>
      </c>
      <c r="V11" s="49"/>
      <c r="W11" s="63" t="str">
        <f>VLOOKUP($A11,test6_2!$A:$W,COLUMN(test6_2!$W:$W),FALSE)</f>
        <v/>
      </c>
      <c r="X11" s="27">
        <f t="shared" si="6"/>
        <v>2019</v>
      </c>
      <c r="Y11" s="27">
        <f>IFERROR(__xludf.DUMMYFUNCTION("filter(ghg!$F:$F,(ghg!$B:$B=$A11)*(ghg!$E:$E=$X11))"),5760000.0)</f>
        <v>5760000</v>
      </c>
      <c r="Z11" s="27" t="str">
        <f>IFERROR(__xludf.DUMMYFUNCTION("filter(ghg!$G:$G,(ghg!$B:$B=$A11)*(ghg!$E:$E=$X11))"),"")</f>
        <v/>
      </c>
      <c r="AA11" s="27">
        <f>IFERROR(__xludf.DUMMYFUNCTION("filter(ghg!$H:$H,(ghg!$B:$B=$A11)*(ghg!$E:$E=$X11))"),5500000.0)</f>
        <v>5500000</v>
      </c>
      <c r="AB11" s="27">
        <f>IFERROR(__xludf.DUMMYFUNCTION("filter(ghg!$J:$J,(ghg!$B:$B=$A11)*(ghg!$E:$E=$X11))"),3.9908E7)</f>
        <v>39908000</v>
      </c>
      <c r="AC11" s="27">
        <f t="shared" si="7"/>
        <v>51168000</v>
      </c>
      <c r="AD11" s="63">
        <f t="shared" si="8"/>
        <v>1</v>
      </c>
      <c r="AE11" s="63">
        <f t="shared" si="9"/>
        <v>0</v>
      </c>
      <c r="AF11" s="26"/>
      <c r="AG11" s="26"/>
      <c r="AH11" s="26"/>
      <c r="AI11" s="30">
        <f t="shared" si="10"/>
        <v>0</v>
      </c>
      <c r="AJ11" s="30">
        <f t="shared" si="11"/>
        <v>0</v>
      </c>
      <c r="AK11" s="26"/>
      <c r="AL11" s="30"/>
    </row>
    <row r="12" ht="12.75" customHeight="1">
      <c r="A12" s="23">
        <f t="shared" si="12"/>
        <v>10</v>
      </c>
      <c r="B12" s="27"/>
      <c r="C12" s="27"/>
      <c r="D12" s="27"/>
      <c r="E12" s="27"/>
      <c r="F12" s="27"/>
      <c r="G12" s="50" t="str">
        <f>VLOOKUP($A12,test6_2!$A:$H,COLUMN(test6_2!$H:$H),FALSE)</f>
        <v/>
      </c>
      <c r="H12" s="27" t="str">
        <f>VLOOKUP($A12,test6_2!$A:$U,COLUMN(test6_2!$I:$I),FALSE)</f>
        <v/>
      </c>
      <c r="I12" s="27">
        <f>VLOOKUP($A12,test6_2!$A:$U,COLUMN(test6_1!$Q:$Q),FALSE)</f>
        <v>2019</v>
      </c>
      <c r="J12" s="27">
        <f>VLOOKUP($A12,test6_2!$A:$U,COLUMN(test6_2!$N:$N),FALSE)</f>
        <v>0</v>
      </c>
      <c r="K12" s="27">
        <f>VLOOKUP($A12,test6_2!$A:$V,COLUMN(test6_2!$V:$V),FALSE)</f>
        <v>0</v>
      </c>
      <c r="L12" s="54">
        <f t="shared" si="1"/>
        <v>0</v>
      </c>
      <c r="M12" s="61" t="str">
        <f>VLOOKUP($A12,test6_2!$A:$U,COLUMN(test6_2!$G:$G),FALSE)</f>
        <v/>
      </c>
      <c r="N12" s="27" t="str">
        <f>VLOOKUP($A12,test6_2!$A:$U,COLUMN(test6_1!$O:$O),FALSE)</f>
        <v/>
      </c>
      <c r="O12" s="62">
        <f t="shared" si="2"/>
        <v>0</v>
      </c>
      <c r="P12" s="27">
        <f t="shared" si="3"/>
        <v>0</v>
      </c>
      <c r="Q12" s="27"/>
      <c r="R12" s="27"/>
      <c r="S12" s="27"/>
      <c r="T12" s="30">
        <f t="shared" si="4"/>
        <v>0</v>
      </c>
      <c r="U12" s="30">
        <f t="shared" si="5"/>
        <v>0</v>
      </c>
      <c r="V12" s="49"/>
      <c r="W12" s="63" t="str">
        <f>VLOOKUP($A12,test6_2!$A:$W,COLUMN(test6_2!$W:$W),FALSE)</f>
        <v/>
      </c>
      <c r="X12" s="27">
        <f t="shared" si="6"/>
        <v>2018</v>
      </c>
      <c r="Y12" s="27">
        <f>IFERROR(__xludf.DUMMYFUNCTION("filter(ghg!$F:$F,(ghg!$B:$B=$A12)*(ghg!$E:$E=$X12))"),23981.0)</f>
        <v>23981</v>
      </c>
      <c r="Z12" s="27">
        <f>IFERROR(__xludf.DUMMYFUNCTION("filter(ghg!$G:$G,(ghg!$B:$B=$A12)*(ghg!$E:$E=$X12))"),112745.0)</f>
        <v>112745</v>
      </c>
      <c r="AA12" s="27">
        <f>IFERROR(__xludf.DUMMYFUNCTION("filter(ghg!$H:$H,(ghg!$B:$B=$A12)*(ghg!$E:$E=$X12))"),2994.0)</f>
        <v>2994</v>
      </c>
      <c r="AB12" s="27" t="str">
        <f>IFERROR(__xludf.DUMMYFUNCTION("filter(ghg!$J:$J,(ghg!$B:$B=$A12)*(ghg!$E:$E=$X12))"),"")</f>
        <v/>
      </c>
      <c r="AC12" s="27">
        <f t="shared" si="7"/>
        <v>26975</v>
      </c>
      <c r="AD12" s="63">
        <f t="shared" si="8"/>
        <v>1</v>
      </c>
      <c r="AE12" s="63">
        <f t="shared" si="9"/>
        <v>0</v>
      </c>
      <c r="AF12" s="26"/>
      <c r="AG12" s="26"/>
      <c r="AH12" s="26"/>
      <c r="AI12" s="30">
        <f t="shared" si="10"/>
        <v>0</v>
      </c>
      <c r="AJ12" s="30">
        <f t="shared" si="11"/>
        <v>0</v>
      </c>
      <c r="AK12" s="26"/>
      <c r="AL12" s="30"/>
    </row>
    <row r="13" ht="12.75" customHeight="1">
      <c r="A13" s="23">
        <f t="shared" si="12"/>
        <v>11</v>
      </c>
      <c r="B13" s="27"/>
      <c r="C13" s="27"/>
      <c r="D13" s="27"/>
      <c r="E13" s="27"/>
      <c r="F13" s="27"/>
      <c r="G13" s="50" t="str">
        <f>VLOOKUP($A13,test6_2!$A:$H,COLUMN(test6_2!$H:$H),FALSE)</f>
        <v/>
      </c>
      <c r="H13" s="27" t="str">
        <f>VLOOKUP($A13,test6_2!$A:$U,COLUMN(test6_2!$I:$I),FALSE)</f>
        <v/>
      </c>
      <c r="I13" s="27">
        <f>VLOOKUP($A13,test6_2!$A:$U,COLUMN(test6_1!$Q:$Q),FALSE)</f>
        <v>2020</v>
      </c>
      <c r="J13" s="27">
        <f>VLOOKUP($A13,test6_2!$A:$U,COLUMN(test6_2!$N:$N),FALSE)</f>
        <v>0</v>
      </c>
      <c r="K13" s="27">
        <f>VLOOKUP($A13,test6_2!$A:$V,COLUMN(test6_2!$V:$V),FALSE)</f>
        <v>0</v>
      </c>
      <c r="L13" s="54">
        <f t="shared" si="1"/>
        <v>0</v>
      </c>
      <c r="M13" s="61" t="str">
        <f>VLOOKUP($A13,test6_2!$A:$U,COLUMN(test6_2!$G:$G),FALSE)</f>
        <v/>
      </c>
      <c r="N13" s="27" t="str">
        <f>VLOOKUP($A13,test6_2!$A:$U,COLUMN(test6_1!$O:$O),FALSE)</f>
        <v/>
      </c>
      <c r="O13" s="62">
        <f t="shared" si="2"/>
        <v>0</v>
      </c>
      <c r="P13" s="27">
        <f t="shared" si="3"/>
        <v>0</v>
      </c>
      <c r="Q13" s="27"/>
      <c r="R13" s="27"/>
      <c r="S13" s="27"/>
      <c r="T13" s="30">
        <f t="shared" si="4"/>
        <v>0</v>
      </c>
      <c r="U13" s="30">
        <f t="shared" si="5"/>
        <v>0</v>
      </c>
      <c r="V13" s="49"/>
      <c r="W13" s="63" t="str">
        <f>VLOOKUP($A13,test6_2!$A:$W,COLUMN(test6_2!$W:$W),FALSE)</f>
        <v/>
      </c>
      <c r="X13" s="27">
        <f t="shared" si="6"/>
        <v>2019</v>
      </c>
      <c r="Y13" s="27">
        <f>IFERROR(__xludf.DUMMYFUNCTION("filter(ghg!$F:$F,(ghg!$B:$B=$A13)*(ghg!$E:$E=$X13))"),17121.0)</f>
        <v>17121</v>
      </c>
      <c r="Z13" s="27" t="str">
        <f>IFERROR(__xludf.DUMMYFUNCTION("filter(ghg!$G:$G,(ghg!$B:$B=$A13)*(ghg!$E:$E=$X13))"),"NR")</f>
        <v>NR</v>
      </c>
      <c r="AA13" s="27">
        <f>IFERROR(__xludf.DUMMYFUNCTION("filter(ghg!$H:$H,(ghg!$B:$B=$A13)*(ghg!$E:$E=$X13))"),93782.0)</f>
        <v>93782</v>
      </c>
      <c r="AB13" s="27" t="str">
        <f>IFERROR(__xludf.DUMMYFUNCTION("filter(ghg!$J:$J,(ghg!$B:$B=$A13)*(ghg!$E:$E=$X13))"),"")</f>
        <v/>
      </c>
      <c r="AC13" s="27">
        <f t="shared" si="7"/>
        <v>110903</v>
      </c>
      <c r="AD13" s="63">
        <f t="shared" si="8"/>
        <v>1</v>
      </c>
      <c r="AE13" s="63">
        <f t="shared" si="9"/>
        <v>0</v>
      </c>
      <c r="AF13" s="26"/>
      <c r="AG13" s="26"/>
      <c r="AH13" s="26"/>
      <c r="AI13" s="30">
        <f t="shared" si="10"/>
        <v>0</v>
      </c>
      <c r="AJ13" s="30">
        <f t="shared" si="11"/>
        <v>0</v>
      </c>
      <c r="AK13" s="26"/>
      <c r="AL13" s="30"/>
    </row>
    <row r="14" ht="12.75" customHeight="1">
      <c r="A14" s="23">
        <f t="shared" si="12"/>
        <v>12</v>
      </c>
      <c r="B14" s="27"/>
      <c r="C14" s="27"/>
      <c r="D14" s="27"/>
      <c r="E14" s="27"/>
      <c r="F14" s="27"/>
      <c r="G14" s="50" t="str">
        <f>VLOOKUP($A14,test6_2!$A:$H,COLUMN(test6_2!$H:$H),FALSE)</f>
        <v/>
      </c>
      <c r="H14" s="27" t="str">
        <f>VLOOKUP($A14,test6_2!$A:$U,COLUMN(test6_2!$I:$I),FALSE)</f>
        <v/>
      </c>
      <c r="I14" s="27">
        <f>VLOOKUP($A14,test6_2!$A:$U,COLUMN(test6_1!$Q:$Q),FALSE)</f>
        <v>2019</v>
      </c>
      <c r="J14" s="27">
        <f>VLOOKUP($A14,test6_2!$A:$U,COLUMN(test6_2!$N:$N),FALSE)</f>
        <v>0</v>
      </c>
      <c r="K14" s="27">
        <f>VLOOKUP($A14,test6_2!$A:$V,COLUMN(test6_2!$V:$V),FALSE)</f>
        <v>0</v>
      </c>
      <c r="L14" s="54">
        <f t="shared" si="1"/>
        <v>0</v>
      </c>
      <c r="M14" s="61" t="str">
        <f>VLOOKUP($A14,test6_2!$A:$U,COLUMN(test6_2!$G:$G),FALSE)</f>
        <v/>
      </c>
      <c r="N14" s="27" t="str">
        <f>VLOOKUP($A14,test6_2!$A:$U,COLUMN(test6_1!$O:$O),FALSE)</f>
        <v/>
      </c>
      <c r="O14" s="62">
        <f t="shared" si="2"/>
        <v>0</v>
      </c>
      <c r="P14" s="27">
        <f t="shared" si="3"/>
        <v>0</v>
      </c>
      <c r="Q14" s="27"/>
      <c r="R14" s="27"/>
      <c r="S14" s="27"/>
      <c r="T14" s="30">
        <f t="shared" si="4"/>
        <v>0</v>
      </c>
      <c r="U14" s="30">
        <f t="shared" si="5"/>
        <v>0</v>
      </c>
      <c r="V14" s="49"/>
      <c r="W14" s="63" t="str">
        <f>VLOOKUP($A14,test6_2!$A:$W,COLUMN(test6_2!$W:$W),FALSE)</f>
        <v/>
      </c>
      <c r="X14" s="27">
        <f t="shared" si="6"/>
        <v>2018</v>
      </c>
      <c r="Y14" s="27">
        <f>IFERROR(__xludf.DUMMYFUNCTION("filter(ghg!$F:$F,(ghg!$B:$B=$A14)*(ghg!$E:$E=$X14))"),615347.0)</f>
        <v>615347</v>
      </c>
      <c r="Z14" s="27" t="str">
        <f>IFERROR(__xludf.DUMMYFUNCTION("filter(ghg!$G:$G,(ghg!$B:$B=$A14)*(ghg!$E:$E=$X14))"),"")</f>
        <v/>
      </c>
      <c r="AA14" s="27">
        <f>IFERROR(__xludf.DUMMYFUNCTION("filter(ghg!$H:$H,(ghg!$B:$B=$A14)*(ghg!$E:$E=$X14))"),1796960.0)</f>
        <v>1796960</v>
      </c>
      <c r="AB14" s="27" t="str">
        <f>IFERROR(__xludf.DUMMYFUNCTION("filter(ghg!$J:$J,(ghg!$B:$B=$A14)*(ghg!$E:$E=$X14))"),"")</f>
        <v/>
      </c>
      <c r="AC14" s="27">
        <f t="shared" si="7"/>
        <v>2412307</v>
      </c>
      <c r="AD14" s="63">
        <f t="shared" si="8"/>
        <v>1</v>
      </c>
      <c r="AE14" s="63">
        <f t="shared" si="9"/>
        <v>0</v>
      </c>
      <c r="AF14" s="26"/>
      <c r="AG14" s="26"/>
      <c r="AH14" s="26"/>
      <c r="AI14" s="30">
        <f t="shared" si="10"/>
        <v>0</v>
      </c>
      <c r="AJ14" s="30">
        <f t="shared" si="11"/>
        <v>0</v>
      </c>
      <c r="AK14" s="26"/>
      <c r="AL14" s="30"/>
    </row>
    <row r="15" ht="12.75" customHeight="1">
      <c r="A15" s="23">
        <f t="shared" si="12"/>
        <v>13</v>
      </c>
      <c r="B15" s="27"/>
      <c r="C15" s="27"/>
      <c r="D15" s="27"/>
      <c r="E15" s="27"/>
      <c r="F15" s="27"/>
      <c r="G15" s="50" t="str">
        <f>VLOOKUP($A15,test6_2!$A:$H,COLUMN(test6_2!$H:$H),FALSE)</f>
        <v/>
      </c>
      <c r="H15" s="27" t="str">
        <f>VLOOKUP($A15,test6_2!$A:$U,COLUMN(test6_2!$I:$I),FALSE)</f>
        <v/>
      </c>
      <c r="I15" s="27">
        <f>VLOOKUP($A15,test6_2!$A:$U,COLUMN(test6_1!$Q:$Q),FALSE)</f>
        <v>2019</v>
      </c>
      <c r="J15" s="27">
        <f>VLOOKUP($A15,test6_2!$A:$U,COLUMN(test6_2!$N:$N),FALSE)</f>
        <v>0</v>
      </c>
      <c r="K15" s="27">
        <f>VLOOKUP($A15,test6_2!$A:$V,COLUMN(test6_2!$V:$V),FALSE)</f>
        <v>0</v>
      </c>
      <c r="L15" s="54">
        <f t="shared" si="1"/>
        <v>0</v>
      </c>
      <c r="M15" s="61" t="str">
        <f>VLOOKUP($A15,test6_2!$A:$U,COLUMN(test6_2!$G:$G),FALSE)</f>
        <v/>
      </c>
      <c r="N15" s="27" t="str">
        <f>VLOOKUP($A15,test6_2!$A:$U,COLUMN(test6_1!$O:$O),FALSE)</f>
        <v/>
      </c>
      <c r="O15" s="62">
        <f t="shared" si="2"/>
        <v>0</v>
      </c>
      <c r="P15" s="27">
        <f t="shared" si="3"/>
        <v>0</v>
      </c>
      <c r="Q15" s="27"/>
      <c r="R15" s="27"/>
      <c r="S15" s="27"/>
      <c r="T15" s="30">
        <f t="shared" si="4"/>
        <v>0</v>
      </c>
      <c r="U15" s="30">
        <f t="shared" si="5"/>
        <v>0</v>
      </c>
      <c r="V15" s="49"/>
      <c r="W15" s="63" t="str">
        <f>VLOOKUP($A15,test6_2!$A:$W,COLUMN(test6_2!$W:$W),FALSE)</f>
        <v/>
      </c>
      <c r="X15" s="27">
        <f t="shared" si="6"/>
        <v>2018</v>
      </c>
      <c r="Y15" s="27">
        <f>IFERROR(__xludf.DUMMYFUNCTION("filter(ghg!$F:$F,(ghg!$B:$B=$A15)*(ghg!$E:$E=$X15))"),160184.0)</f>
        <v>160184</v>
      </c>
      <c r="Z15" s="27" t="str">
        <f>IFERROR(__xludf.DUMMYFUNCTION("filter(ghg!$G:$G,(ghg!$B:$B=$A15)*(ghg!$E:$E=$X15))"),"")</f>
        <v/>
      </c>
      <c r="AA15" s="27">
        <f>IFERROR(__xludf.DUMMYFUNCTION("filter(ghg!$H:$H,(ghg!$B:$B=$A15)*(ghg!$E:$E=$X15))"),159848.0)</f>
        <v>159848</v>
      </c>
      <c r="AB15" s="27" t="str">
        <f>IFERROR(__xludf.DUMMYFUNCTION("filter(ghg!$J:$J,(ghg!$B:$B=$A15)*(ghg!$E:$E=$X15))"),"")</f>
        <v/>
      </c>
      <c r="AC15" s="27">
        <f t="shared" si="7"/>
        <v>320032</v>
      </c>
      <c r="AD15" s="63">
        <f t="shared" si="8"/>
        <v>1</v>
      </c>
      <c r="AE15" s="63">
        <f t="shared" si="9"/>
        <v>0</v>
      </c>
      <c r="AF15" s="26"/>
      <c r="AG15" s="26"/>
      <c r="AH15" s="26"/>
      <c r="AI15" s="30">
        <f t="shared" si="10"/>
        <v>0</v>
      </c>
      <c r="AJ15" s="30">
        <f t="shared" si="11"/>
        <v>0</v>
      </c>
      <c r="AK15" s="26"/>
      <c r="AL15" s="30"/>
    </row>
    <row r="16" ht="12.75" customHeight="1">
      <c r="A16" s="23">
        <f t="shared" si="12"/>
        <v>14</v>
      </c>
      <c r="B16" s="27"/>
      <c r="C16" s="27"/>
      <c r="D16" s="27"/>
      <c r="E16" s="27"/>
      <c r="F16" s="27"/>
      <c r="G16" s="50">
        <f>VLOOKUP($A16,test6_2!$A:$H,COLUMN(test6_2!$H:$H),FALSE)</f>
        <v>24</v>
      </c>
      <c r="H16" s="27">
        <f>VLOOKUP($A16,test6_2!$A:$U,COLUMN(test6_2!$I:$I),FALSE)</f>
        <v>2019</v>
      </c>
      <c r="I16" s="27">
        <f>VLOOKUP($A16,test6_2!$A:$U,COLUMN(test6_1!$Q:$Q),FALSE)</f>
        <v>2020</v>
      </c>
      <c r="J16" s="27">
        <f>VLOOKUP($A16,test6_2!$A:$U,COLUMN(test6_2!$N:$N),FALSE)</f>
        <v>25032730</v>
      </c>
      <c r="K16" s="27">
        <f>VLOOKUP($A16,test6_2!$A:$V,COLUMN(test6_2!$V:$V),FALSE)</f>
        <v>22597430</v>
      </c>
      <c r="L16" s="54">
        <f t="shared" si="1"/>
        <v>0.09728463496</v>
      </c>
      <c r="M16" s="61">
        <f>VLOOKUP($A16,test6_2!$A:$U,COLUMN(test6_2!$G:$G),FALSE)</f>
        <v>2030</v>
      </c>
      <c r="N16" s="53">
        <f>VLOOKUP($A16,test6_2!$A:$U,COLUMN(test6_1!$O:$O),FALSE)</f>
        <v>0.62</v>
      </c>
      <c r="O16" s="62">
        <f t="shared" si="2"/>
        <v>0.05636363636</v>
      </c>
      <c r="P16" s="53">
        <f t="shared" si="3"/>
        <v>1.726017717</v>
      </c>
      <c r="Q16" s="27"/>
      <c r="R16" s="27"/>
      <c r="S16" s="27"/>
      <c r="T16" s="30">
        <f t="shared" si="4"/>
        <v>1</v>
      </c>
      <c r="U16" s="30">
        <f t="shared" si="5"/>
        <v>0.1</v>
      </c>
      <c r="V16" s="49"/>
      <c r="W16" s="63">
        <f>VLOOKUP($A16,test6_2!$A:$W,COLUMN(test6_2!$W:$W),FALSE)</f>
        <v>0.05790478209</v>
      </c>
      <c r="X16" s="27">
        <f t="shared" si="6"/>
        <v>2019</v>
      </c>
      <c r="Y16" s="27">
        <f>IFERROR(__xludf.DUMMYFUNCTION("filter(ghg!$F:$F,(ghg!$B:$B=$A16)*(ghg!$E:$E=$X16))"),52730.0)</f>
        <v>52730</v>
      </c>
      <c r="Z16" s="27" t="str">
        <f>IFERROR(__xludf.DUMMYFUNCTION("filter(ghg!$G:$G,(ghg!$B:$B=$A16)*(ghg!$E:$E=$X16))"),"")</f>
        <v/>
      </c>
      <c r="AA16" s="27">
        <f>IFERROR(__xludf.DUMMYFUNCTION("filter(ghg!$H:$H,(ghg!$B:$B=$A16)*(ghg!$E:$E=$X16))"),0.0)</f>
        <v>0</v>
      </c>
      <c r="AB16" s="27">
        <f>IFERROR(__xludf.DUMMYFUNCTION("filter(ghg!$J:$J,(ghg!$B:$B=$A16)*(ghg!$E:$E=$X16))"),2.498E7)</f>
        <v>24980000</v>
      </c>
      <c r="AC16" s="27">
        <f t="shared" si="7"/>
        <v>25032730</v>
      </c>
      <c r="AD16" s="63">
        <f t="shared" si="8"/>
        <v>0.09728463496</v>
      </c>
      <c r="AE16" s="63">
        <f t="shared" si="9"/>
        <v>1.680079459</v>
      </c>
      <c r="AF16" s="26"/>
      <c r="AG16" s="26"/>
      <c r="AH16" s="26"/>
      <c r="AI16" s="30">
        <f t="shared" si="10"/>
        <v>1</v>
      </c>
      <c r="AJ16" s="30">
        <f t="shared" si="11"/>
        <v>0.1</v>
      </c>
      <c r="AK16" s="26"/>
      <c r="AL16" s="30"/>
    </row>
    <row r="17" ht="12.75" customHeight="1">
      <c r="A17" s="23">
        <f t="shared" si="12"/>
        <v>15</v>
      </c>
      <c r="B17" s="27"/>
      <c r="C17" s="27"/>
      <c r="D17" s="27"/>
      <c r="E17" s="27"/>
      <c r="F17" s="27"/>
      <c r="G17" s="50" t="str">
        <f>VLOOKUP($A17,test6_2!$A:$H,COLUMN(test6_2!$H:$H),FALSE)</f>
        <v/>
      </c>
      <c r="H17" s="27" t="str">
        <f>VLOOKUP($A17,test6_2!$A:$U,COLUMN(test6_2!$I:$I),FALSE)</f>
        <v/>
      </c>
      <c r="I17" s="27">
        <f>VLOOKUP($A17,test6_2!$A:$U,COLUMN(test6_1!$Q:$Q),FALSE)</f>
        <v>2019</v>
      </c>
      <c r="J17" s="27">
        <f>VLOOKUP($A17,test6_2!$A:$U,COLUMN(test6_2!$N:$N),FALSE)</f>
        <v>0</v>
      </c>
      <c r="K17" s="27">
        <f>VLOOKUP($A17,test6_2!$A:$V,COLUMN(test6_2!$V:$V),FALSE)</f>
        <v>0</v>
      </c>
      <c r="L17" s="54">
        <f t="shared" si="1"/>
        <v>0</v>
      </c>
      <c r="M17" s="61" t="str">
        <f>VLOOKUP($A17,test6_2!$A:$U,COLUMN(test6_2!$G:$G),FALSE)</f>
        <v/>
      </c>
      <c r="N17" s="27" t="str">
        <f>VLOOKUP($A17,test6_2!$A:$U,COLUMN(test6_1!$O:$O),FALSE)</f>
        <v/>
      </c>
      <c r="O17" s="62">
        <f t="shared" si="2"/>
        <v>0</v>
      </c>
      <c r="P17" s="27">
        <f t="shared" si="3"/>
        <v>0</v>
      </c>
      <c r="Q17" s="27"/>
      <c r="R17" s="27"/>
      <c r="S17" s="27"/>
      <c r="T17" s="30">
        <f t="shared" si="4"/>
        <v>0</v>
      </c>
      <c r="U17" s="30">
        <f t="shared" si="5"/>
        <v>0</v>
      </c>
      <c r="V17" s="49"/>
      <c r="W17" s="63" t="str">
        <f>VLOOKUP($A17,test6_2!$A:$W,COLUMN(test6_2!$W:$W),FALSE)</f>
        <v/>
      </c>
      <c r="X17" s="27">
        <f t="shared" si="6"/>
        <v>2018</v>
      </c>
      <c r="Y17" s="27">
        <f>IFERROR(__xludf.DUMMYFUNCTION("filter(ghg!$F:$F,(ghg!$B:$B=$A17)*(ghg!$E:$E=$X17))"),1020000.0)</f>
        <v>1020000</v>
      </c>
      <c r="Z17" s="27">
        <f>IFERROR(__xludf.DUMMYFUNCTION("filter(ghg!$G:$G,(ghg!$B:$B=$A17)*(ghg!$E:$E=$X17))"),6660000.0)</f>
        <v>6660000</v>
      </c>
      <c r="AA17" s="27">
        <f>IFERROR(__xludf.DUMMYFUNCTION("filter(ghg!$H:$H,(ghg!$B:$B=$A17)*(ghg!$E:$E=$X17))"),6660000.0)</f>
        <v>6660000</v>
      </c>
      <c r="AB17" s="27" t="str">
        <f>IFERROR(__xludf.DUMMYFUNCTION("filter(ghg!$J:$J,(ghg!$B:$B=$A17)*(ghg!$E:$E=$X17))"),"")</f>
        <v/>
      </c>
      <c r="AC17" s="27">
        <f t="shared" si="7"/>
        <v>7680000</v>
      </c>
      <c r="AD17" s="63">
        <f t="shared" si="8"/>
        <v>1</v>
      </c>
      <c r="AE17" s="63">
        <f t="shared" si="9"/>
        <v>0</v>
      </c>
      <c r="AF17" s="26"/>
      <c r="AG17" s="26"/>
      <c r="AH17" s="26"/>
      <c r="AI17" s="30">
        <f t="shared" si="10"/>
        <v>0</v>
      </c>
      <c r="AJ17" s="30">
        <f t="shared" si="11"/>
        <v>0</v>
      </c>
      <c r="AK17" s="26"/>
      <c r="AL17" s="30"/>
    </row>
    <row r="18" ht="12.75" customHeight="1">
      <c r="A18" s="23">
        <f t="shared" si="12"/>
        <v>16</v>
      </c>
      <c r="B18" s="27"/>
      <c r="C18" s="27"/>
      <c r="D18" s="27"/>
      <c r="E18" s="27"/>
      <c r="F18" s="27"/>
      <c r="G18" s="50" t="str">
        <f>VLOOKUP($A18,test6_2!$A:$H,COLUMN(test6_2!$H:$H),FALSE)</f>
        <v/>
      </c>
      <c r="H18" s="27" t="str">
        <f>VLOOKUP($A18,test6_2!$A:$U,COLUMN(test6_2!$I:$I),FALSE)</f>
        <v/>
      </c>
      <c r="I18" s="27">
        <f>VLOOKUP($A18,test6_2!$A:$U,COLUMN(test6_1!$Q:$Q),FALSE)</f>
        <v>2020</v>
      </c>
      <c r="J18" s="27">
        <f>VLOOKUP($A18,test6_2!$A:$U,COLUMN(test6_2!$N:$N),FALSE)</f>
        <v>0</v>
      </c>
      <c r="K18" s="27">
        <f>VLOOKUP($A18,test6_2!$A:$V,COLUMN(test6_2!$V:$V),FALSE)</f>
        <v>0</v>
      </c>
      <c r="L18" s="54">
        <f t="shared" si="1"/>
        <v>0</v>
      </c>
      <c r="M18" s="61" t="str">
        <f>VLOOKUP($A18,test6_2!$A:$U,COLUMN(test6_2!$G:$G),FALSE)</f>
        <v/>
      </c>
      <c r="N18" s="27" t="str">
        <f>VLOOKUP($A18,test6_2!$A:$U,COLUMN(test6_1!$O:$O),FALSE)</f>
        <v/>
      </c>
      <c r="O18" s="62">
        <f t="shared" si="2"/>
        <v>0</v>
      </c>
      <c r="P18" s="27">
        <f t="shared" si="3"/>
        <v>0</v>
      </c>
      <c r="Q18" s="27"/>
      <c r="R18" s="27"/>
      <c r="S18" s="27"/>
      <c r="T18" s="30">
        <f t="shared" si="4"/>
        <v>0</v>
      </c>
      <c r="U18" s="30">
        <f t="shared" si="5"/>
        <v>0</v>
      </c>
      <c r="V18" s="49"/>
      <c r="W18" s="63" t="str">
        <f>VLOOKUP($A18,test6_2!$A:$W,COLUMN(test6_2!$W:$W),FALSE)</f>
        <v/>
      </c>
      <c r="X18" s="27">
        <f t="shared" si="6"/>
        <v>2019</v>
      </c>
      <c r="Y18" s="27">
        <f>IFERROR(__xludf.DUMMYFUNCTION("filter(ghg!$F:$F,(ghg!$B:$B=$A18)*(ghg!$E:$E=$X18))"),62639.0)</f>
        <v>62639</v>
      </c>
      <c r="Z18" s="27">
        <f>IFERROR(__xludf.DUMMYFUNCTION("filter(ghg!$G:$G,(ghg!$B:$B=$A18)*(ghg!$E:$E=$X18))"),728771.0)</f>
        <v>728771</v>
      </c>
      <c r="AA18" s="27">
        <f>IFERROR(__xludf.DUMMYFUNCTION("filter(ghg!$H:$H,(ghg!$B:$B=$A18)*(ghg!$E:$E=$X18))"),17523.0)</f>
        <v>17523</v>
      </c>
      <c r="AB18" s="27" t="str">
        <f>IFERROR(__xludf.DUMMYFUNCTION("filter(ghg!$J:$J,(ghg!$B:$B=$A18)*(ghg!$E:$E=$X18))"),"")</f>
        <v/>
      </c>
      <c r="AC18" s="27">
        <f t="shared" si="7"/>
        <v>80162</v>
      </c>
      <c r="AD18" s="63">
        <f t="shared" si="8"/>
        <v>1</v>
      </c>
      <c r="AE18" s="63">
        <f t="shared" si="9"/>
        <v>0</v>
      </c>
      <c r="AF18" s="26"/>
      <c r="AG18" s="26"/>
      <c r="AH18" s="26"/>
      <c r="AI18" s="30">
        <f t="shared" si="10"/>
        <v>0</v>
      </c>
      <c r="AJ18" s="30">
        <f t="shared" si="11"/>
        <v>0</v>
      </c>
      <c r="AK18" s="26"/>
      <c r="AL18" s="30"/>
    </row>
    <row r="19" ht="12.75" customHeight="1">
      <c r="A19" s="23">
        <f t="shared" si="12"/>
        <v>17</v>
      </c>
      <c r="B19" s="27"/>
      <c r="C19" s="27"/>
      <c r="D19" s="27"/>
      <c r="E19" s="27"/>
      <c r="F19" s="27"/>
      <c r="G19" s="50" t="str">
        <f>VLOOKUP($A19,test6_2!$A:$H,COLUMN(test6_2!$H:$H),FALSE)</f>
        <v/>
      </c>
      <c r="H19" s="27" t="str">
        <f>VLOOKUP($A19,test6_2!$A:$U,COLUMN(test6_2!$I:$I),FALSE)</f>
        <v/>
      </c>
      <c r="I19" s="27" t="str">
        <f>VLOOKUP($A19,test6_2!$A:$U,COLUMN(test6_1!$Q:$Q),FALSE)</f>
        <v>NR</v>
      </c>
      <c r="J19" s="27">
        <f>VLOOKUP($A19,test6_2!$A:$U,COLUMN(test6_2!$N:$N),FALSE)</f>
        <v>0</v>
      </c>
      <c r="K19" s="27">
        <f>VLOOKUP($A19,test6_2!$A:$V,COLUMN(test6_2!$V:$V),FALSE)</f>
        <v>0</v>
      </c>
      <c r="L19" s="54">
        <f t="shared" si="1"/>
        <v>0</v>
      </c>
      <c r="M19" s="61" t="str">
        <f>VLOOKUP($A19,test6_2!$A:$U,COLUMN(test6_2!$G:$G),FALSE)</f>
        <v/>
      </c>
      <c r="N19" s="27" t="str">
        <f>VLOOKUP($A19,test6_2!$A:$U,COLUMN(test6_1!$O:$O),FALSE)</f>
        <v/>
      </c>
      <c r="O19" s="62">
        <f t="shared" si="2"/>
        <v>0</v>
      </c>
      <c r="P19" s="27">
        <f t="shared" si="3"/>
        <v>0</v>
      </c>
      <c r="Q19" s="27"/>
      <c r="R19" s="27"/>
      <c r="S19" s="27"/>
      <c r="T19" s="30">
        <f t="shared" si="4"/>
        <v>0</v>
      </c>
      <c r="U19" s="30">
        <f t="shared" si="5"/>
        <v>0</v>
      </c>
      <c r="V19" s="49"/>
      <c r="W19" s="63" t="str">
        <f>VLOOKUP($A19,test6_2!$A:$W,COLUMN(test6_2!$W:$W),FALSE)</f>
        <v/>
      </c>
      <c r="X19" s="55"/>
      <c r="Y19" s="55"/>
      <c r="Z19" s="55"/>
      <c r="AA19" s="55"/>
      <c r="AB19" s="55"/>
      <c r="AC19" s="55"/>
      <c r="AD19" s="63"/>
      <c r="AE19" s="63">
        <f t="shared" si="9"/>
        <v>0</v>
      </c>
      <c r="AF19" s="26"/>
      <c r="AG19" s="26"/>
      <c r="AH19" s="26"/>
      <c r="AI19" s="30">
        <f t="shared" si="10"/>
        <v>0</v>
      </c>
      <c r="AJ19" s="30">
        <f t="shared" si="11"/>
        <v>0</v>
      </c>
      <c r="AK19" s="26"/>
      <c r="AL19" s="30"/>
    </row>
    <row r="20" ht="12.75" customHeight="1">
      <c r="A20" s="23">
        <f t="shared" si="12"/>
        <v>18</v>
      </c>
      <c r="B20" s="27"/>
      <c r="C20" s="27"/>
      <c r="D20" s="27"/>
      <c r="E20" s="27"/>
      <c r="F20" s="27"/>
      <c r="G20" s="50" t="str">
        <f>VLOOKUP($A20,test6_2!$A:$H,COLUMN(test6_2!$H:$H),FALSE)</f>
        <v/>
      </c>
      <c r="H20" s="27" t="str">
        <f>VLOOKUP($A20,test6_2!$A:$U,COLUMN(test6_2!$I:$I),FALSE)</f>
        <v/>
      </c>
      <c r="I20" s="27">
        <f>VLOOKUP($A20,test6_2!$A:$U,COLUMN(test6_1!$Q:$Q),FALSE)</f>
        <v>2020</v>
      </c>
      <c r="J20" s="27">
        <f>VLOOKUP($A20,test6_2!$A:$U,COLUMN(test6_2!$N:$N),FALSE)</f>
        <v>0</v>
      </c>
      <c r="K20" s="27">
        <f>VLOOKUP($A20,test6_2!$A:$V,COLUMN(test6_2!$V:$V),FALSE)</f>
        <v>0</v>
      </c>
      <c r="L20" s="54">
        <f t="shared" si="1"/>
        <v>0</v>
      </c>
      <c r="M20" s="61" t="str">
        <f>VLOOKUP($A20,test6_2!$A:$U,COLUMN(test6_2!$G:$G),FALSE)</f>
        <v/>
      </c>
      <c r="N20" s="27" t="str">
        <f>VLOOKUP($A20,test6_2!$A:$U,COLUMN(test6_1!$O:$O),FALSE)</f>
        <v/>
      </c>
      <c r="O20" s="62">
        <f t="shared" si="2"/>
        <v>0</v>
      </c>
      <c r="P20" s="27">
        <f t="shared" si="3"/>
        <v>0</v>
      </c>
      <c r="Q20" s="27"/>
      <c r="R20" s="27"/>
      <c r="S20" s="27"/>
      <c r="T20" s="30">
        <f t="shared" si="4"/>
        <v>0</v>
      </c>
      <c r="U20" s="30">
        <f t="shared" si="5"/>
        <v>0</v>
      </c>
      <c r="V20" s="49"/>
      <c r="W20" s="63" t="str">
        <f>VLOOKUP($A20,test6_2!$A:$W,COLUMN(test6_2!$W:$W),FALSE)</f>
        <v/>
      </c>
      <c r="X20" s="27">
        <f t="shared" ref="X20:X22" si="13">I20-1</f>
        <v>2019</v>
      </c>
      <c r="Y20" s="27">
        <f>IFERROR(__xludf.DUMMYFUNCTION("filter(ghg!$F:$F,(ghg!$B:$B=$A20)*(ghg!$E:$E=$X20))"),67447.0)</f>
        <v>67447</v>
      </c>
      <c r="Z20" s="27">
        <f>IFERROR(__xludf.DUMMYFUNCTION("filter(ghg!$G:$G,(ghg!$B:$B=$A20)*(ghg!$E:$E=$X20))"),37712.0)</f>
        <v>37712</v>
      </c>
      <c r="AA20" s="27">
        <f>IFERROR(__xludf.DUMMYFUNCTION("filter(ghg!$H:$H,(ghg!$B:$B=$A20)*(ghg!$E:$E=$X20))"),106.0)</f>
        <v>106</v>
      </c>
      <c r="AB20" s="27">
        <f>IFERROR(__xludf.DUMMYFUNCTION("filter(ghg!$J:$J,(ghg!$B:$B=$A20)*(ghg!$E:$E=$X20))"),424592.0)</f>
        <v>424592</v>
      </c>
      <c r="AC20" s="27">
        <f t="shared" ref="AC20:AC22" si="14">Y20+min(Z20:AA20)+AB20</f>
        <v>492145</v>
      </c>
      <c r="AD20" s="63">
        <f t="shared" ref="AD20:AD22" si="15">-K20/AC20+1</f>
        <v>1</v>
      </c>
      <c r="AE20" s="63">
        <f t="shared" si="9"/>
        <v>0</v>
      </c>
      <c r="AF20" s="26"/>
      <c r="AG20" s="26"/>
      <c r="AH20" s="26"/>
      <c r="AI20" s="30">
        <f t="shared" si="10"/>
        <v>0</v>
      </c>
      <c r="AJ20" s="30">
        <f t="shared" si="11"/>
        <v>0</v>
      </c>
      <c r="AK20" s="26"/>
      <c r="AL20" s="30"/>
    </row>
    <row r="21" ht="12.75" customHeight="1">
      <c r="A21" s="23">
        <f t="shared" si="12"/>
        <v>19</v>
      </c>
      <c r="B21" s="27"/>
      <c r="C21" s="27"/>
      <c r="D21" s="27"/>
      <c r="E21" s="27"/>
      <c r="F21" s="27"/>
      <c r="G21" s="50" t="str">
        <f>VLOOKUP($A21,test6_2!$A:$H,COLUMN(test6_2!$H:$H),FALSE)</f>
        <v/>
      </c>
      <c r="H21" s="27" t="str">
        <f>VLOOKUP($A21,test6_2!$A:$U,COLUMN(test6_2!$I:$I),FALSE)</f>
        <v/>
      </c>
      <c r="I21" s="27">
        <f>VLOOKUP($A21,test6_2!$A:$U,COLUMN(test6_1!$Q:$Q),FALSE)</f>
        <v>2020</v>
      </c>
      <c r="J21" s="27">
        <f>VLOOKUP($A21,test6_2!$A:$U,COLUMN(test6_2!$N:$N),FALSE)</f>
        <v>0</v>
      </c>
      <c r="K21" s="27">
        <f>VLOOKUP($A21,test6_2!$A:$V,COLUMN(test6_2!$V:$V),FALSE)</f>
        <v>0</v>
      </c>
      <c r="L21" s="54">
        <f t="shared" si="1"/>
        <v>0</v>
      </c>
      <c r="M21" s="61" t="str">
        <f>VLOOKUP($A21,test6_2!$A:$U,COLUMN(test6_2!$G:$G),FALSE)</f>
        <v/>
      </c>
      <c r="N21" s="27" t="str">
        <f>VLOOKUP($A21,test6_2!$A:$U,COLUMN(test6_1!$O:$O),FALSE)</f>
        <v/>
      </c>
      <c r="O21" s="62">
        <f t="shared" si="2"/>
        <v>0</v>
      </c>
      <c r="P21" s="27">
        <f t="shared" si="3"/>
        <v>0</v>
      </c>
      <c r="Q21" s="27"/>
      <c r="R21" s="27"/>
      <c r="S21" s="27"/>
      <c r="T21" s="30">
        <f t="shared" si="4"/>
        <v>0</v>
      </c>
      <c r="U21" s="30">
        <f t="shared" si="5"/>
        <v>0</v>
      </c>
      <c r="V21" s="49"/>
      <c r="W21" s="63" t="str">
        <f>VLOOKUP($A21,test6_2!$A:$W,COLUMN(test6_2!$W:$W),FALSE)</f>
        <v/>
      </c>
      <c r="X21" s="27">
        <f t="shared" si="13"/>
        <v>2019</v>
      </c>
      <c r="Y21" s="27">
        <f>IFERROR(__xludf.DUMMYFUNCTION("filter(ghg!$F:$F,(ghg!$B:$B=$A21)*(ghg!$E:$E=$X21))"),5589.0)</f>
        <v>5589</v>
      </c>
      <c r="Z21" s="27">
        <f>IFERROR(__xludf.DUMMYFUNCTION("filter(ghg!$G:$G,(ghg!$B:$B=$A21)*(ghg!$E:$E=$X21))"),20369.0)</f>
        <v>20369</v>
      </c>
      <c r="AA21" s="27">
        <f>IFERROR(__xludf.DUMMYFUNCTION("filter(ghg!$H:$H,(ghg!$B:$B=$A21)*(ghg!$E:$E=$X21))"),0.0)</f>
        <v>0</v>
      </c>
      <c r="AB21" s="27" t="str">
        <f>IFERROR(__xludf.DUMMYFUNCTION("filter(ghg!$J:$J,(ghg!$B:$B=$A21)*(ghg!$E:$E=$X21))"),"")</f>
        <v/>
      </c>
      <c r="AC21" s="27">
        <f t="shared" si="14"/>
        <v>5589</v>
      </c>
      <c r="AD21" s="63">
        <f t="shared" si="15"/>
        <v>1</v>
      </c>
      <c r="AE21" s="63">
        <f t="shared" si="9"/>
        <v>0</v>
      </c>
      <c r="AF21" s="26"/>
      <c r="AG21" s="26"/>
      <c r="AH21" s="26"/>
      <c r="AI21" s="30">
        <f t="shared" si="10"/>
        <v>0</v>
      </c>
      <c r="AJ21" s="30">
        <f t="shared" si="11"/>
        <v>0</v>
      </c>
      <c r="AK21" s="26"/>
      <c r="AL21" s="30"/>
    </row>
    <row r="22" ht="12.75" customHeight="1">
      <c r="A22" s="31">
        <v>66.0</v>
      </c>
      <c r="B22" s="27"/>
      <c r="C22" s="27"/>
      <c r="D22" s="27"/>
      <c r="E22" s="27"/>
      <c r="F22" s="27"/>
      <c r="G22" s="50">
        <f>VLOOKUP($A22,test6_2!$A:$H,COLUMN(test6_2!$H:$H),FALSE)</f>
        <v>1</v>
      </c>
      <c r="H22" s="27">
        <f>VLOOKUP($A22,test6_2!$A:$U,COLUMN(test6_2!$I:$I),FALSE)</f>
        <v>2019</v>
      </c>
      <c r="I22" s="27">
        <f>VLOOKUP($A22,test6_2!$A:$U,COLUMN(test6_1!$Q:$Q),FALSE)</f>
        <v>2020</v>
      </c>
      <c r="J22" s="27">
        <f>VLOOKUP($A22,test6_2!$A:$U,COLUMN(test6_2!$N:$N),FALSE)</f>
        <v>393376</v>
      </c>
      <c r="K22" s="27">
        <f>VLOOKUP($A22,test6_2!$A:$V,COLUMN(test6_2!$V:$V),FALSE)</f>
        <v>346294</v>
      </c>
      <c r="L22" s="54">
        <f t="shared" si="1"/>
        <v>0.119687017</v>
      </c>
      <c r="M22" s="61">
        <f>VLOOKUP($A22,test6_2!$A:$U,COLUMN(test6_2!$G:$G),FALSE)</f>
        <v>2030</v>
      </c>
      <c r="N22" s="53">
        <f>VLOOKUP($A22,test6_2!$A:$U,COLUMN(test6_1!$O:$O),FALSE)</f>
        <v>0.5</v>
      </c>
      <c r="O22" s="62">
        <f t="shared" si="2"/>
        <v>0.04545454545</v>
      </c>
      <c r="P22" s="53">
        <f t="shared" si="3"/>
        <v>2.633114374</v>
      </c>
      <c r="Q22" s="27"/>
      <c r="R22" s="27"/>
      <c r="S22" s="27"/>
      <c r="T22" s="30">
        <f t="shared" si="4"/>
        <v>1</v>
      </c>
      <c r="U22" s="30">
        <f t="shared" si="5"/>
        <v>0.1</v>
      </c>
      <c r="V22" s="49"/>
      <c r="W22" s="63">
        <f>VLOOKUP($A22,test6_2!$A:$W,COLUMN(test6_2!$W:$W),FALSE)</f>
        <v>0.04320201909</v>
      </c>
      <c r="X22" s="27">
        <f t="shared" si="13"/>
        <v>2019</v>
      </c>
      <c r="Y22" s="27">
        <f>IFERROR(__xludf.DUMMYFUNCTION("filter(ghg!$F:$F,(ghg!$B:$B=$A22)*(ghg!$E:$E=$X22))"),117956.0)</f>
        <v>117956</v>
      </c>
      <c r="Z22" s="27">
        <f>IFERROR(__xludf.DUMMYFUNCTION("filter(ghg!$G:$G,(ghg!$B:$B=$A22)*(ghg!$E:$E=$X22))"),3357518.0)</f>
        <v>3357518</v>
      </c>
      <c r="AA22" s="27">
        <f>IFERROR(__xludf.DUMMYFUNCTION("filter(ghg!$H:$H,(ghg!$B:$B=$A22)*(ghg!$E:$E=$X22))"),275420.0)</f>
        <v>275420</v>
      </c>
      <c r="AB22" s="27" t="str">
        <f>IFERROR(__xludf.DUMMYFUNCTION("filter(ghg!$J:$J,(ghg!$B:$B=$A22)*(ghg!$E:$E=$X22))"),"")</f>
        <v/>
      </c>
      <c r="AC22" s="27">
        <f t="shared" si="14"/>
        <v>393376</v>
      </c>
      <c r="AD22" s="63">
        <f t="shared" si="15"/>
        <v>0.119687017</v>
      </c>
      <c r="AE22" s="63">
        <f t="shared" si="9"/>
        <v>2.770403317</v>
      </c>
      <c r="AF22" s="26"/>
      <c r="AG22" s="26"/>
      <c r="AH22" s="26"/>
      <c r="AI22" s="30">
        <f t="shared" si="10"/>
        <v>1</v>
      </c>
      <c r="AJ22" s="30">
        <f t="shared" si="11"/>
        <v>0.1</v>
      </c>
      <c r="AK22" s="26"/>
      <c r="AL22" s="30"/>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0.29"/>
    <col customWidth="1" min="2" max="2" width="25.29"/>
    <col customWidth="1" min="3" max="12" width="7.86"/>
    <col customWidth="1" min="13" max="13" width="9.86"/>
    <col customWidth="1" min="14" max="23" width="8.71"/>
  </cols>
  <sheetData>
    <row r="1" ht="12.75" customHeight="1">
      <c r="A1" s="17" t="s">
        <v>2</v>
      </c>
      <c r="B1" s="36"/>
      <c r="C1" s="64" t="s">
        <v>586</v>
      </c>
      <c r="D1" s="64" t="s">
        <v>589</v>
      </c>
      <c r="E1" s="64" t="s">
        <v>591</v>
      </c>
      <c r="F1" s="64" t="s">
        <v>644</v>
      </c>
      <c r="G1" s="64" t="s">
        <v>645</v>
      </c>
      <c r="H1" s="64" t="s">
        <v>646</v>
      </c>
      <c r="I1" s="64" t="s">
        <v>647</v>
      </c>
      <c r="J1" s="64" t="s">
        <v>648</v>
      </c>
      <c r="K1" s="64" t="s">
        <v>649</v>
      </c>
      <c r="L1" s="64" t="s">
        <v>650</v>
      </c>
      <c r="M1" s="65" t="s">
        <v>576</v>
      </c>
      <c r="N1" s="64" t="s">
        <v>651</v>
      </c>
      <c r="P1" s="36" t="s">
        <v>652</v>
      </c>
      <c r="Q1" s="36" t="s">
        <v>653</v>
      </c>
      <c r="R1" s="36" t="s">
        <v>654</v>
      </c>
      <c r="S1" s="36" t="s">
        <v>655</v>
      </c>
      <c r="T1" s="36" t="s">
        <v>656</v>
      </c>
      <c r="U1" s="36" t="s">
        <v>657</v>
      </c>
      <c r="V1" s="36" t="s">
        <v>658</v>
      </c>
      <c r="W1" s="36" t="s">
        <v>659</v>
      </c>
    </row>
    <row r="2">
      <c r="A2" s="26"/>
      <c r="B2" s="26"/>
      <c r="C2" s="26"/>
      <c r="D2" s="26"/>
      <c r="E2" s="26"/>
      <c r="F2" s="26"/>
      <c r="G2" s="26"/>
      <c r="H2" s="26"/>
      <c r="I2" s="26"/>
      <c r="J2" s="26"/>
      <c r="K2" s="26"/>
      <c r="L2" s="26"/>
      <c r="M2" s="26"/>
      <c r="N2" s="26"/>
      <c r="O2" s="26"/>
      <c r="P2" s="26"/>
      <c r="Q2" s="26"/>
      <c r="R2" s="26"/>
      <c r="S2" s="26"/>
      <c r="T2" s="26"/>
      <c r="U2" s="26"/>
      <c r="V2" s="26"/>
      <c r="W2" s="26"/>
    </row>
    <row r="3" ht="12.75" customHeight="1">
      <c r="A3" s="23">
        <v>1.0</v>
      </c>
      <c r="B3" s="14" t="str">
        <f>VLOOKUP(A3,companies!$A:$B,2,FALSE)</f>
        <v>3M</v>
      </c>
      <c r="C3" s="63">
        <f t="shared" ref="C3:C22" si="1">P3+Q3</f>
        <v>0.1</v>
      </c>
      <c r="D3" s="63">
        <f>VLOOKUP($A3,test2!$A:$O,COLUMN(test2!$O:$O),FALSE)</f>
        <v>0.1</v>
      </c>
      <c r="E3" s="63">
        <f>VLOOKUP($A3,test3!$A:$J,COLUMN(test3!$J:$J),FALSE)</f>
        <v>0.025</v>
      </c>
      <c r="F3" s="63">
        <f>VLOOKUP($A3,test4!$A:$P,COLUMN(test4!P:P),FALSE)</f>
        <v>0.06</v>
      </c>
      <c r="G3" s="63">
        <f>VLOOKUP($A3,test5!$A:$W,COLUMN(test5!W:W),FALSE)</f>
        <v>0</v>
      </c>
      <c r="H3" s="63">
        <f t="shared" ref="H3:H22" si="2">R3+S3</f>
        <v>0.04463917526</v>
      </c>
      <c r="I3" s="63">
        <f>VLOOKUP($A3,test7!$A:$O,COLUMN(test7!$O:$O),FALSE)</f>
        <v>0</v>
      </c>
      <c r="J3" s="63">
        <f t="shared" ref="J3:J22" si="3">min(10%,T3+U3)</f>
        <v>0.05</v>
      </c>
      <c r="K3" s="63">
        <f t="shared" ref="K3:K22" si="4">min(10%,V3+W3)</f>
        <v>0.05</v>
      </c>
      <c r="L3" s="41">
        <v>0.1</v>
      </c>
      <c r="M3" s="66">
        <f t="shared" ref="M3:M22" si="5">SUM(C3:L3)</f>
        <v>0.5296391753</v>
      </c>
      <c r="N3" s="67">
        <f t="shared" ref="N3:N22" si="6">RANK(M3,$M$3:$M$212)</f>
        <v>6</v>
      </c>
      <c r="O3" s="68"/>
      <c r="P3" s="63">
        <f>VLOOKUP($A3,test1_1!$A:$Q,COLUMN(test1_1!$Q:$Q),FALSE)</f>
        <v>0.05</v>
      </c>
      <c r="Q3" s="63">
        <f>VLOOKUP($A3,test1_2!$A:$U,COLUMN(test1_2!$U:$U),FALSE)</f>
        <v>0.05</v>
      </c>
      <c r="R3" s="63">
        <f>VLOOKUP($A3,test6_1!$A:$AB,COLUMN(test6_1!$AB:$AB),FALSE)</f>
        <v>0.04463917526</v>
      </c>
      <c r="S3" s="63">
        <f>VLOOKUP($A3,test6_2!$A:$AD,COLUMN(test6_2!$AD:$AD),FALSE)</f>
        <v>0</v>
      </c>
      <c r="T3" s="63">
        <f>VLOOKUP($A3,'test8+9_1'!$A:$AK,COLUMN('test8+9_1'!$U:$U),FALSE)</f>
        <v>0.05</v>
      </c>
      <c r="U3" s="63">
        <f>VLOOKUP($A3,'test8+9_2'!$A:$AL,COLUMN('test8+9_2'!$U:$U),FALSE)</f>
        <v>0</v>
      </c>
      <c r="V3" s="63">
        <f>VLOOKUP($A3,'test8+9_1'!$A:$AK,COLUMN('test8+9_1'!$AI:$AI),FALSE)</f>
        <v>0.05</v>
      </c>
      <c r="W3" s="63">
        <f>VLOOKUP($A3,'test8+9_2'!$A:$AL,COLUMN('test8+9_2'!$AJ:$AJ),FALSE)</f>
        <v>0</v>
      </c>
    </row>
    <row r="4" ht="12.75" customHeight="1">
      <c r="A4" s="23">
        <f t="shared" ref="A4:A21" si="7">A3+1</f>
        <v>2</v>
      </c>
      <c r="B4" s="14" t="str">
        <f>VLOOKUP(A4,companies!$A:$B,2,FALSE)</f>
        <v>Abbott Laboratories</v>
      </c>
      <c r="C4" s="63">
        <f t="shared" si="1"/>
        <v>0.05</v>
      </c>
      <c r="D4" s="63">
        <f>VLOOKUP($A4,test2!$A:$O,COLUMN(test2!$O:$O),FALSE)</f>
        <v>0.05</v>
      </c>
      <c r="E4" s="63">
        <f>VLOOKUP($A4,test3!$A:$J,COLUMN(test3!$J:$J),FALSE)</f>
        <v>0</v>
      </c>
      <c r="F4" s="63">
        <f>VLOOKUP($A4,test4!$A:$P,COLUMN(test4!P:P),FALSE)</f>
        <v>0.03</v>
      </c>
      <c r="G4" s="63">
        <f>VLOOKUP($A4,test5!$A:$W,COLUMN(test5!W:W),FALSE)</f>
        <v>0</v>
      </c>
      <c r="H4" s="63">
        <f t="shared" si="2"/>
        <v>0.02428256071</v>
      </c>
      <c r="I4" s="63">
        <f>VLOOKUP($A4,test7!$A:$O,COLUMN(test7!$O:$O),FALSE)</f>
        <v>0</v>
      </c>
      <c r="J4" s="63">
        <f t="shared" si="3"/>
        <v>0.05</v>
      </c>
      <c r="K4" s="63">
        <f t="shared" si="4"/>
        <v>0.05</v>
      </c>
      <c r="L4" s="41">
        <v>0.1</v>
      </c>
      <c r="M4" s="66">
        <f t="shared" si="5"/>
        <v>0.3542825607</v>
      </c>
      <c r="N4" s="67">
        <f t="shared" si="6"/>
        <v>12</v>
      </c>
      <c r="O4" s="68"/>
      <c r="P4" s="63">
        <f>VLOOKUP($A4,test1_1!$A:$Q,COLUMN(test1_1!$Q:$Q),FALSE)</f>
        <v>0.05</v>
      </c>
      <c r="Q4" s="63">
        <f>VLOOKUP($A4,test1_2!$A:$U,COLUMN(test1_2!$U:$U),FALSE)</f>
        <v>0</v>
      </c>
      <c r="R4" s="63">
        <f>VLOOKUP($A4,test6_1!$A:$AB,COLUMN(test6_1!$AB:$AB),FALSE)</f>
        <v>0.02428256071</v>
      </c>
      <c r="S4" s="63">
        <f>VLOOKUP($A4,test6_2!$A:$AD,COLUMN(test6_2!$AD:$AD),FALSE)</f>
        <v>0</v>
      </c>
      <c r="T4" s="63">
        <f>VLOOKUP($A4,'test8+9_1'!$A:$AK,COLUMN('test8+9_1'!$U:$U),FALSE)</f>
        <v>0.05</v>
      </c>
      <c r="U4" s="63">
        <f>VLOOKUP($A4,'test8+9_2'!$A:$AL,COLUMN('test8+9_2'!$U:$U),FALSE)</f>
        <v>0</v>
      </c>
      <c r="V4" s="63">
        <f>VLOOKUP($A4,'test8+9_1'!$A:$AK,COLUMN('test8+9_1'!$AI:$AI),FALSE)</f>
        <v>0.05</v>
      </c>
      <c r="W4" s="63">
        <f>VLOOKUP($A4,'test8+9_2'!$A:$AL,COLUMN('test8+9_2'!$AJ:$AJ),FALSE)</f>
        <v>0</v>
      </c>
    </row>
    <row r="5" ht="12.75" customHeight="1">
      <c r="A5" s="23">
        <f t="shared" si="7"/>
        <v>3</v>
      </c>
      <c r="B5" s="14" t="str">
        <f>VLOOKUP(A5,companies!$A:$B,2,FALSE)</f>
        <v>AbbVie Inc.</v>
      </c>
      <c r="C5" s="63">
        <f t="shared" si="1"/>
        <v>0.05</v>
      </c>
      <c r="D5" s="63">
        <f>VLOOKUP($A5,test2!$A:$O,COLUMN(test2!$O:$O),FALSE)</f>
        <v>0.05</v>
      </c>
      <c r="E5" s="63">
        <f>VLOOKUP($A5,test3!$A:$J,COLUMN(test3!$J:$J),FALSE)</f>
        <v>0</v>
      </c>
      <c r="F5" s="63">
        <f>VLOOKUP($A5,test4!$A:$P,COLUMN(test4!P:P),FALSE)</f>
        <v>0.03</v>
      </c>
      <c r="G5" s="63">
        <f>VLOOKUP($A5,test5!$A:$W,COLUMN(test5!W:W),FALSE)</f>
        <v>0</v>
      </c>
      <c r="H5" s="63">
        <f t="shared" si="2"/>
        <v>0.01988188976</v>
      </c>
      <c r="I5" s="63">
        <f>VLOOKUP($A5,test7!$A:$O,COLUMN(test7!$O:$O),FALSE)</f>
        <v>0.01875</v>
      </c>
      <c r="J5" s="63">
        <f t="shared" si="3"/>
        <v>0.05</v>
      </c>
      <c r="K5" s="63">
        <f t="shared" si="4"/>
        <v>0.05</v>
      </c>
      <c r="L5" s="41">
        <v>0.1</v>
      </c>
      <c r="M5" s="66">
        <f t="shared" si="5"/>
        <v>0.3686318898</v>
      </c>
      <c r="N5" s="67">
        <f t="shared" si="6"/>
        <v>11</v>
      </c>
      <c r="O5" s="68"/>
      <c r="P5" s="63">
        <f>VLOOKUP($A5,test1_1!$A:$Q,COLUMN(test1_1!$Q:$Q),FALSE)</f>
        <v>0.05</v>
      </c>
      <c r="Q5" s="63">
        <f>VLOOKUP($A5,test1_2!$A:$U,COLUMN(test1_2!$U:$U),FALSE)</f>
        <v>0</v>
      </c>
      <c r="R5" s="63">
        <f>VLOOKUP($A5,test6_1!$A:$AB,COLUMN(test6_1!$AB:$AB),FALSE)</f>
        <v>0.01988188976</v>
      </c>
      <c r="S5" s="63">
        <f>VLOOKUP($A5,test6_2!$A:$AD,COLUMN(test6_2!$AD:$AD),FALSE)</f>
        <v>0</v>
      </c>
      <c r="T5" s="63">
        <f>VLOOKUP($A5,'test8+9_1'!$A:$AK,COLUMN('test8+9_1'!$U:$U),FALSE)</f>
        <v>0.05</v>
      </c>
      <c r="U5" s="63">
        <f>VLOOKUP($A5,'test8+9_2'!$A:$AL,COLUMN('test8+9_2'!$U:$U),FALSE)</f>
        <v>0</v>
      </c>
      <c r="V5" s="63">
        <f>VLOOKUP($A5,'test8+9_1'!$A:$AK,COLUMN('test8+9_1'!$AI:$AI),FALSE)</f>
        <v>0.05</v>
      </c>
      <c r="W5" s="63">
        <f>VLOOKUP($A5,'test8+9_2'!$A:$AL,COLUMN('test8+9_2'!$AJ:$AJ),FALSE)</f>
        <v>0</v>
      </c>
    </row>
    <row r="6" ht="12.75" customHeight="1">
      <c r="A6" s="23">
        <f t="shared" si="7"/>
        <v>4</v>
      </c>
      <c r="B6" s="14" t="str">
        <f>VLOOKUP(A6,companies!$A:$B,2,FALSE)</f>
        <v>Accenture</v>
      </c>
      <c r="C6" s="63">
        <f t="shared" si="1"/>
        <v>0.1</v>
      </c>
      <c r="D6" s="63">
        <f>VLOOKUP($A6,test2!$A:$O,COLUMN(test2!$O:$O),FALSE)</f>
        <v>0.06</v>
      </c>
      <c r="E6" s="63">
        <f>VLOOKUP($A6,test3!$A:$J,COLUMN(test3!$J:$J),FALSE)</f>
        <v>0</v>
      </c>
      <c r="F6" s="63">
        <f>VLOOKUP($A6,test4!$A:$P,COLUMN(test4!P:P),FALSE)</f>
        <v>0.06</v>
      </c>
      <c r="G6" s="63">
        <f>VLOOKUP($A6,test5!$A:$W,COLUMN(test5!W:W),FALSE)</f>
        <v>0.04166666667</v>
      </c>
      <c r="H6" s="63">
        <f t="shared" si="2"/>
        <v>0.05</v>
      </c>
      <c r="I6" s="63">
        <f>VLOOKUP($A6,test7!$A:$O,COLUMN(test7!$O:$O),FALSE)</f>
        <v>0.075</v>
      </c>
      <c r="J6" s="63">
        <f t="shared" si="3"/>
        <v>0.1</v>
      </c>
      <c r="K6" s="63">
        <f t="shared" si="4"/>
        <v>0.05</v>
      </c>
      <c r="L6" s="41">
        <v>0.1</v>
      </c>
      <c r="M6" s="66">
        <f t="shared" si="5"/>
        <v>0.6366666667</v>
      </c>
      <c r="N6" s="67">
        <f t="shared" si="6"/>
        <v>3</v>
      </c>
      <c r="O6" s="68"/>
      <c r="P6" s="63">
        <f>VLOOKUP($A6,test1_1!$A:$Q,COLUMN(test1_1!$Q:$Q),FALSE)</f>
        <v>0.05</v>
      </c>
      <c r="Q6" s="63">
        <f>VLOOKUP($A6,test1_2!$A:$U,COLUMN(test1_2!$U:$U),FALSE)</f>
        <v>0.05</v>
      </c>
      <c r="R6" s="63">
        <f>VLOOKUP($A6,test6_1!$A:$AB,COLUMN(test6_1!$AB:$AB),FALSE)</f>
        <v>0.05</v>
      </c>
      <c r="S6" s="63">
        <f>VLOOKUP($A6,test6_2!$A:$AD,COLUMN(test6_2!$AD:$AD),FALSE)</f>
        <v>0</v>
      </c>
      <c r="T6" s="63">
        <f>VLOOKUP($A6,'test8+9_1'!$A:$AK,COLUMN('test8+9_1'!$U:$U),FALSE)</f>
        <v>0</v>
      </c>
      <c r="U6" s="63">
        <f>VLOOKUP($A6,'test8+9_2'!$A:$AL,COLUMN('test8+9_2'!$U:$U),FALSE)</f>
        <v>0.1</v>
      </c>
      <c r="V6" s="63">
        <f>VLOOKUP($A6,'test8+9_1'!$A:$AK,COLUMN('test8+9_1'!$AI:$AI),FALSE)</f>
        <v>0.05</v>
      </c>
      <c r="W6" s="63">
        <f>VLOOKUP($A6,'test8+9_2'!$A:$AL,COLUMN('test8+9_2'!$AJ:$AJ),FALSE)</f>
        <v>0</v>
      </c>
    </row>
    <row r="7" ht="12.75" customHeight="1">
      <c r="A7" s="23">
        <f t="shared" si="7"/>
        <v>5</v>
      </c>
      <c r="B7" s="14" t="str">
        <f>VLOOKUP(A7,companies!$A:$B,2,FALSE)</f>
        <v>Adobe Inc.</v>
      </c>
      <c r="C7" s="63">
        <f t="shared" si="1"/>
        <v>0.1</v>
      </c>
      <c r="D7" s="63">
        <f>VLOOKUP($A7,test2!$A:$O,COLUMN(test2!$O:$O),FALSE)</f>
        <v>0.05</v>
      </c>
      <c r="E7" s="63">
        <f>VLOOKUP($A7,test3!$A:$J,COLUMN(test3!$J:$J),FALSE)</f>
        <v>0</v>
      </c>
      <c r="F7" s="63">
        <f>VLOOKUP($A7,test4!$A:$P,COLUMN(test4!P:P),FALSE)</f>
        <v>0.03</v>
      </c>
      <c r="G7" s="63">
        <f>VLOOKUP($A7,test5!$A:$W,COLUMN(test5!W:W),FALSE)</f>
        <v>0</v>
      </c>
      <c r="H7" s="63">
        <f t="shared" si="2"/>
        <v>0.02428236673</v>
      </c>
      <c r="I7" s="63">
        <f>VLOOKUP($A7,test7!$A:$O,COLUMN(test7!$O:$O),FALSE)</f>
        <v>0.075</v>
      </c>
      <c r="J7" s="63">
        <f t="shared" si="3"/>
        <v>0.05</v>
      </c>
      <c r="K7" s="63">
        <f t="shared" si="4"/>
        <v>0.05</v>
      </c>
      <c r="L7" s="41">
        <v>0.1</v>
      </c>
      <c r="M7" s="66">
        <f t="shared" si="5"/>
        <v>0.4792823667</v>
      </c>
      <c r="N7" s="67">
        <f t="shared" si="6"/>
        <v>8</v>
      </c>
      <c r="O7" s="68"/>
      <c r="P7" s="63">
        <f>VLOOKUP($A7,test1_1!$A:$Q,COLUMN(test1_1!$Q:$Q),FALSE)</f>
        <v>0.05</v>
      </c>
      <c r="Q7" s="63">
        <f>VLOOKUP($A7,test1_2!$A:$U,COLUMN(test1_2!$U:$U),FALSE)</f>
        <v>0.05</v>
      </c>
      <c r="R7" s="63">
        <f>VLOOKUP($A7,test6_1!$A:$AB,COLUMN(test6_1!$AB:$AB),FALSE)</f>
        <v>0.02428236673</v>
      </c>
      <c r="S7" s="63">
        <f>VLOOKUP($A7,test6_2!$A:$AD,COLUMN(test6_2!$AD:$AD),FALSE)</f>
        <v>0</v>
      </c>
      <c r="T7" s="63">
        <f>VLOOKUP($A7,'test8+9_1'!$A:$AK,COLUMN('test8+9_1'!$U:$U),FALSE)</f>
        <v>0.05</v>
      </c>
      <c r="U7" s="63">
        <f>VLOOKUP($A7,'test8+9_2'!$A:$AL,COLUMN('test8+9_2'!$U:$U),FALSE)</f>
        <v>0</v>
      </c>
      <c r="V7" s="63">
        <f>VLOOKUP($A7,'test8+9_1'!$A:$AK,COLUMN('test8+9_1'!$AI:$AI),FALSE)</f>
        <v>0.05</v>
      </c>
      <c r="W7" s="63">
        <f>VLOOKUP($A7,'test8+9_2'!$A:$AL,COLUMN('test8+9_2'!$AJ:$AJ),FALSE)</f>
        <v>0</v>
      </c>
    </row>
    <row r="8" ht="12.75" customHeight="1">
      <c r="A8" s="23">
        <f t="shared" si="7"/>
        <v>6</v>
      </c>
      <c r="B8" s="14" t="str">
        <f>VLOOKUP(A8,companies!$A:$B,2,FALSE)</f>
        <v>Allstate Corp</v>
      </c>
      <c r="C8" s="63">
        <f t="shared" si="1"/>
        <v>0.1</v>
      </c>
      <c r="D8" s="63">
        <f>VLOOKUP($A8,test2!$A:$O,COLUMN(test2!$O:$O),FALSE)</f>
        <v>0.062</v>
      </c>
      <c r="E8" s="63">
        <f>VLOOKUP($A8,test3!$A:$J,COLUMN(test3!$J:$J),FALSE)</f>
        <v>0</v>
      </c>
      <c r="F8" s="63">
        <f>VLOOKUP($A8,test4!$A:$P,COLUMN(test4!P:P),FALSE)</f>
        <v>0</v>
      </c>
      <c r="G8" s="63">
        <f>VLOOKUP($A8,test5!$A:$W,COLUMN(test5!W:W),FALSE)</f>
        <v>0</v>
      </c>
      <c r="H8" s="63">
        <f t="shared" si="2"/>
        <v>0</v>
      </c>
      <c r="I8" s="63">
        <f>VLOOKUP($A8,test7!$A:$O,COLUMN(test7!$O:$O),FALSE)</f>
        <v>0</v>
      </c>
      <c r="J8" s="63">
        <f t="shared" si="3"/>
        <v>0</v>
      </c>
      <c r="K8" s="63">
        <f t="shared" si="4"/>
        <v>0</v>
      </c>
      <c r="L8" s="41">
        <v>0.1</v>
      </c>
      <c r="M8" s="66">
        <f t="shared" si="5"/>
        <v>0.262</v>
      </c>
      <c r="N8" s="67">
        <f t="shared" si="6"/>
        <v>16</v>
      </c>
      <c r="O8" s="68"/>
      <c r="P8" s="63">
        <f>VLOOKUP($A8,test1_1!$A:$Q,COLUMN(test1_1!$Q:$Q),FALSE)</f>
        <v>0.05</v>
      </c>
      <c r="Q8" s="63">
        <f>VLOOKUP($A8,test1_2!$A:$U,COLUMN(test1_2!$U:$U),FALSE)</f>
        <v>0.05</v>
      </c>
      <c r="R8" s="63">
        <f>VLOOKUP($A8,test6_1!$A:$AB,COLUMN(test6_1!$AB:$AB),FALSE)</f>
        <v>0</v>
      </c>
      <c r="S8" s="63">
        <f>VLOOKUP($A8,test6_2!$A:$AD,COLUMN(test6_2!$AD:$AD),FALSE)</f>
        <v>0</v>
      </c>
      <c r="T8" s="63">
        <f>VLOOKUP($A8,'test8+9_1'!$A:$AK,COLUMN('test8+9_1'!$U:$U),FALSE)</f>
        <v>0</v>
      </c>
      <c r="U8" s="63">
        <f>VLOOKUP($A8,'test8+9_2'!$A:$AL,COLUMN('test8+9_2'!$U:$U),FALSE)</f>
        <v>0</v>
      </c>
      <c r="V8" s="63">
        <f>VLOOKUP($A8,'test8+9_1'!$A:$AK,COLUMN('test8+9_1'!$AI:$AI),FALSE)</f>
        <v>0</v>
      </c>
      <c r="W8" s="63">
        <f>VLOOKUP($A8,'test8+9_2'!$A:$AL,COLUMN('test8+9_2'!$AJ:$AJ),FALSE)</f>
        <v>0</v>
      </c>
    </row>
    <row r="9" ht="12.75" customHeight="1">
      <c r="A9" s="23">
        <f t="shared" si="7"/>
        <v>7</v>
      </c>
      <c r="B9" s="14" t="str">
        <f>VLOOKUP(A9,companies!$A:$B,2,FALSE)</f>
        <v>Alphabet Inc. Google</v>
      </c>
      <c r="C9" s="63">
        <f t="shared" si="1"/>
        <v>0.1</v>
      </c>
      <c r="D9" s="63">
        <f>VLOOKUP($A9,test2!$A:$O,COLUMN(test2!$O:$O),FALSE)</f>
        <v>0.052</v>
      </c>
      <c r="E9" s="63">
        <f>VLOOKUP($A9,test3!$A:$J,COLUMN(test3!$J:$J),FALSE)</f>
        <v>0</v>
      </c>
      <c r="F9" s="63">
        <f>VLOOKUP($A9,test4!$A:$P,COLUMN(test4!P:P),FALSE)</f>
        <v>0.03</v>
      </c>
      <c r="G9" s="63">
        <f>VLOOKUP($A9,test5!$A:$W,COLUMN(test5!W:W),FALSE)</f>
        <v>0.05</v>
      </c>
      <c r="H9" s="63">
        <f t="shared" si="2"/>
        <v>0</v>
      </c>
      <c r="I9" s="63">
        <f>VLOOKUP($A9,test7!$A:$O,COLUMN(test7!$O:$O),FALSE)</f>
        <v>0</v>
      </c>
      <c r="J9" s="63">
        <f t="shared" si="3"/>
        <v>0</v>
      </c>
      <c r="K9" s="63">
        <f t="shared" si="4"/>
        <v>0</v>
      </c>
      <c r="L9" s="41">
        <v>0.1</v>
      </c>
      <c r="M9" s="66">
        <f t="shared" si="5"/>
        <v>0.332</v>
      </c>
      <c r="N9" s="67">
        <f t="shared" si="6"/>
        <v>13</v>
      </c>
      <c r="O9" s="68"/>
      <c r="P9" s="63">
        <f>VLOOKUP($A9,test1_1!$A:$Q,COLUMN(test1_1!$Q:$Q),FALSE)</f>
        <v>0.05</v>
      </c>
      <c r="Q9" s="63">
        <f>VLOOKUP($A9,test1_2!$A:$U,COLUMN(test1_2!$U:$U),FALSE)</f>
        <v>0.05</v>
      </c>
      <c r="R9" s="63">
        <f>VLOOKUP($A9,test6_1!$A:$AB,COLUMN(test6_1!$AB:$AB),FALSE)</f>
        <v>0</v>
      </c>
      <c r="S9" s="63">
        <f>VLOOKUP($A9,test6_2!$A:$AD,COLUMN(test6_2!$AD:$AD),FALSE)</f>
        <v>0</v>
      </c>
      <c r="T9" s="63">
        <f>VLOOKUP($A9,'test8+9_1'!$A:$AK,COLUMN('test8+9_1'!$U:$U),FALSE)</f>
        <v>0</v>
      </c>
      <c r="U9" s="63">
        <f>VLOOKUP($A9,'test8+9_2'!$A:$AL,COLUMN('test8+9_2'!$U:$U),FALSE)</f>
        <v>0</v>
      </c>
      <c r="V9" s="63">
        <f>VLOOKUP($A9,'test8+9_1'!$A:$AK,COLUMN('test8+9_1'!$AI:$AI),FALSE)</f>
        <v>0</v>
      </c>
      <c r="W9" s="63">
        <f>VLOOKUP($A9,'test8+9_2'!$A:$AL,COLUMN('test8+9_2'!$AJ:$AJ),FALSE)</f>
        <v>0</v>
      </c>
    </row>
    <row r="10" ht="12.75" customHeight="1">
      <c r="A10" s="23">
        <f t="shared" si="7"/>
        <v>8</v>
      </c>
      <c r="B10" s="14" t="str">
        <f>VLOOKUP(A10,companies!$A:$B,2,FALSE)</f>
        <v>Altria Group Inc</v>
      </c>
      <c r="C10" s="63">
        <f t="shared" si="1"/>
        <v>0.1</v>
      </c>
      <c r="D10" s="63">
        <f>VLOOKUP($A10,test2!$A:$O,COLUMN(test2!$O:$O),FALSE)</f>
        <v>0.05</v>
      </c>
      <c r="E10" s="63">
        <f>VLOOKUP($A10,test3!$A:$J,COLUMN(test3!$J:$J),FALSE)</f>
        <v>0</v>
      </c>
      <c r="F10" s="63">
        <f>VLOOKUP($A10,test4!$A:$P,COLUMN(test4!P:P),FALSE)</f>
        <v>0.03</v>
      </c>
      <c r="G10" s="63">
        <f>VLOOKUP($A10,test5!$A:$W,COLUMN(test5!W:W),FALSE)</f>
        <v>0</v>
      </c>
      <c r="H10" s="63">
        <f t="shared" si="2"/>
        <v>0.04602476083</v>
      </c>
      <c r="I10" s="63">
        <f>VLOOKUP($A10,test7!$A:$O,COLUMN(test7!$O:$O),FALSE)</f>
        <v>0.075</v>
      </c>
      <c r="J10" s="63">
        <f t="shared" si="3"/>
        <v>0.05</v>
      </c>
      <c r="K10" s="63">
        <f t="shared" si="4"/>
        <v>0.05</v>
      </c>
      <c r="L10" s="41">
        <v>0.1</v>
      </c>
      <c r="M10" s="66">
        <f t="shared" si="5"/>
        <v>0.5010247608</v>
      </c>
      <c r="N10" s="67">
        <f t="shared" si="6"/>
        <v>7</v>
      </c>
      <c r="O10" s="68"/>
      <c r="P10" s="63">
        <f>VLOOKUP($A10,test1_1!$A:$Q,COLUMN(test1_1!$Q:$Q),FALSE)</f>
        <v>0.05</v>
      </c>
      <c r="Q10" s="63">
        <f>VLOOKUP($A10,test1_2!$A:$U,COLUMN(test1_2!$U:$U),FALSE)</f>
        <v>0.05</v>
      </c>
      <c r="R10" s="63">
        <f>VLOOKUP($A10,test6_1!$A:$AB,COLUMN(test6_1!$AB:$AB),FALSE)</f>
        <v>0.04602476083</v>
      </c>
      <c r="S10" s="63">
        <f>VLOOKUP($A10,test6_2!$A:$AD,COLUMN(test6_2!$AD:$AD),FALSE)</f>
        <v>0</v>
      </c>
      <c r="T10" s="63">
        <f>VLOOKUP($A10,'test8+9_1'!$A:$AK,COLUMN('test8+9_1'!$U:$U),FALSE)</f>
        <v>0.05</v>
      </c>
      <c r="U10" s="63">
        <f>VLOOKUP($A10,'test8+9_2'!$A:$AL,COLUMN('test8+9_2'!$U:$U),FALSE)</f>
        <v>0</v>
      </c>
      <c r="V10" s="63">
        <f>VLOOKUP($A10,'test8+9_1'!$A:$AK,COLUMN('test8+9_1'!$AI:$AI),FALSE)</f>
        <v>0.05</v>
      </c>
      <c r="W10" s="63">
        <f>VLOOKUP($A10,'test8+9_2'!$A:$AL,COLUMN('test8+9_2'!$AJ:$AJ),FALSE)</f>
        <v>0</v>
      </c>
    </row>
    <row r="11" ht="12.75" customHeight="1">
      <c r="A11" s="23">
        <f t="shared" si="7"/>
        <v>9</v>
      </c>
      <c r="B11" s="14" t="str">
        <f>VLOOKUP(A11,companies!$A:$B,2,FALSE)</f>
        <v>Amazon.com Inc.</v>
      </c>
      <c r="C11" s="63">
        <f t="shared" si="1"/>
        <v>0.1</v>
      </c>
      <c r="D11" s="63">
        <f>VLOOKUP($A11,test2!$A:$O,COLUMN(test2!$O:$O),FALSE)</f>
        <v>0.075</v>
      </c>
      <c r="E11" s="63">
        <f>VLOOKUP($A11,test3!$A:$J,COLUMN(test3!$J:$J),FALSE)</f>
        <v>0</v>
      </c>
      <c r="F11" s="63">
        <f>VLOOKUP($A11,test4!$A:$P,COLUMN(test4!P:P),FALSE)</f>
        <v>0.07</v>
      </c>
      <c r="G11" s="63">
        <f>VLOOKUP($A11,test5!$A:$W,COLUMN(test5!W:W),FALSE)</f>
        <v>0.06666666667</v>
      </c>
      <c r="H11" s="63">
        <f t="shared" si="2"/>
        <v>0</v>
      </c>
      <c r="I11" s="63">
        <f>VLOOKUP($A11,test7!$A:$O,COLUMN(test7!$O:$O),FALSE)</f>
        <v>0</v>
      </c>
      <c r="J11" s="63">
        <f t="shared" si="3"/>
        <v>0</v>
      </c>
      <c r="K11" s="63">
        <f t="shared" si="4"/>
        <v>0</v>
      </c>
      <c r="L11" s="41">
        <v>0.1</v>
      </c>
      <c r="M11" s="66">
        <f t="shared" si="5"/>
        <v>0.4116666667</v>
      </c>
      <c r="N11" s="67">
        <f t="shared" si="6"/>
        <v>9</v>
      </c>
      <c r="O11" s="68"/>
      <c r="P11" s="63">
        <f>VLOOKUP($A11,test1_1!$A:$Q,COLUMN(test1_1!$Q:$Q),FALSE)</f>
        <v>0.05</v>
      </c>
      <c r="Q11" s="63">
        <f>VLOOKUP($A11,test1_2!$A:$U,COLUMN(test1_2!$U:$U),FALSE)</f>
        <v>0.05</v>
      </c>
      <c r="R11" s="63">
        <f>VLOOKUP($A11,test6_1!$A:$AB,COLUMN(test6_1!$AB:$AB),FALSE)</f>
        <v>0</v>
      </c>
      <c r="S11" s="63">
        <f>VLOOKUP($A11,test6_2!$A:$AD,COLUMN(test6_2!$AD:$AD),FALSE)</f>
        <v>0</v>
      </c>
      <c r="T11" s="63">
        <f>VLOOKUP($A11,'test8+9_1'!$A:$AK,COLUMN('test8+9_1'!$U:$U),FALSE)</f>
        <v>0</v>
      </c>
      <c r="U11" s="63">
        <f>VLOOKUP($A11,'test8+9_2'!$A:$AL,COLUMN('test8+9_2'!$U:$U),FALSE)</f>
        <v>0</v>
      </c>
      <c r="V11" s="63">
        <f>VLOOKUP($A11,'test8+9_1'!$A:$AK,COLUMN('test8+9_1'!$AI:$AI),FALSE)</f>
        <v>0</v>
      </c>
      <c r="W11" s="63">
        <f>VLOOKUP($A11,'test8+9_2'!$A:$AL,COLUMN('test8+9_2'!$AJ:$AJ),FALSE)</f>
        <v>0</v>
      </c>
    </row>
    <row r="12" ht="12.75" customHeight="1">
      <c r="A12" s="23">
        <f t="shared" si="7"/>
        <v>10</v>
      </c>
      <c r="B12" s="14" t="str">
        <f>VLOOKUP(A12,companies!$A:$B,2,FALSE)</f>
        <v>American Express</v>
      </c>
      <c r="C12" s="63">
        <f t="shared" si="1"/>
        <v>0.1</v>
      </c>
      <c r="D12" s="63">
        <f>VLOOKUP($A12,test2!$A:$O,COLUMN(test2!$O:$O),FALSE)</f>
        <v>0.05</v>
      </c>
      <c r="E12" s="63">
        <f>VLOOKUP($A12,test3!$A:$J,COLUMN(test3!$J:$J),FALSE)</f>
        <v>0</v>
      </c>
      <c r="F12" s="63">
        <f>VLOOKUP($A12,test4!$A:$P,COLUMN(test4!P:P),FALSE)</f>
        <v>0</v>
      </c>
      <c r="G12" s="63">
        <f>VLOOKUP($A12,test5!$A:$W,COLUMN(test5!W:W),FALSE)</f>
        <v>0</v>
      </c>
      <c r="H12" s="63">
        <f t="shared" si="2"/>
        <v>0</v>
      </c>
      <c r="I12" s="63">
        <f>VLOOKUP($A12,test7!$A:$O,COLUMN(test7!$O:$O),FALSE)</f>
        <v>0</v>
      </c>
      <c r="J12" s="63">
        <f t="shared" si="3"/>
        <v>0</v>
      </c>
      <c r="K12" s="63">
        <f t="shared" si="4"/>
        <v>0</v>
      </c>
      <c r="L12" s="41">
        <v>0.1</v>
      </c>
      <c r="M12" s="66">
        <f t="shared" si="5"/>
        <v>0.25</v>
      </c>
      <c r="N12" s="67">
        <f t="shared" si="6"/>
        <v>17</v>
      </c>
      <c r="O12" s="68"/>
      <c r="P12" s="63">
        <f>VLOOKUP($A12,test1_1!$A:$Q,COLUMN(test1_1!$Q:$Q),FALSE)</f>
        <v>0.05</v>
      </c>
      <c r="Q12" s="63">
        <f>VLOOKUP($A12,test1_2!$A:$U,COLUMN(test1_2!$U:$U),FALSE)</f>
        <v>0.05</v>
      </c>
      <c r="R12" s="63">
        <f>VLOOKUP($A12,test6_1!$A:$AB,COLUMN(test6_1!$AB:$AB),FALSE)</f>
        <v>0</v>
      </c>
      <c r="S12" s="63">
        <f>VLOOKUP($A12,test6_2!$A:$AD,COLUMN(test6_2!$AD:$AD),FALSE)</f>
        <v>0</v>
      </c>
      <c r="T12" s="63">
        <f>VLOOKUP($A12,'test8+9_1'!$A:$AK,COLUMN('test8+9_1'!$U:$U),FALSE)</f>
        <v>0</v>
      </c>
      <c r="U12" s="63">
        <f>VLOOKUP($A12,'test8+9_2'!$A:$AL,COLUMN('test8+9_2'!$U:$U),FALSE)</f>
        <v>0</v>
      </c>
      <c r="V12" s="63">
        <f>VLOOKUP($A12,'test8+9_1'!$A:$AK,COLUMN('test8+9_1'!$AI:$AI),FALSE)</f>
        <v>0</v>
      </c>
      <c r="W12" s="63">
        <f>VLOOKUP($A12,'test8+9_2'!$A:$AL,COLUMN('test8+9_2'!$AJ:$AJ),FALSE)</f>
        <v>0</v>
      </c>
    </row>
    <row r="13" ht="12.75" customHeight="1">
      <c r="A13" s="23">
        <f t="shared" si="7"/>
        <v>11</v>
      </c>
      <c r="B13" s="14" t="str">
        <f>VLOOKUP(A13,companies!$A:$B,2,FALSE)</f>
        <v>American International Group (AIG)</v>
      </c>
      <c r="C13" s="63">
        <f t="shared" si="1"/>
        <v>0.05</v>
      </c>
      <c r="D13" s="63">
        <f>VLOOKUP($A13,test2!$A:$O,COLUMN(test2!$O:$O),FALSE)</f>
        <v>0.05</v>
      </c>
      <c r="E13" s="63">
        <f>VLOOKUP($A13,test3!$A:$J,COLUMN(test3!$J:$J),FALSE)</f>
        <v>0</v>
      </c>
      <c r="F13" s="63">
        <f>VLOOKUP($A13,test4!$A:$P,COLUMN(test4!P:P),FALSE)</f>
        <v>0.03</v>
      </c>
      <c r="G13" s="63">
        <f>VLOOKUP($A13,test5!$A:$W,COLUMN(test5!W:W),FALSE)</f>
        <v>0</v>
      </c>
      <c r="H13" s="63">
        <f t="shared" si="2"/>
        <v>0</v>
      </c>
      <c r="I13" s="63">
        <f>VLOOKUP($A13,test7!$A:$O,COLUMN(test7!$O:$O),FALSE)</f>
        <v>0</v>
      </c>
      <c r="J13" s="63">
        <f t="shared" si="3"/>
        <v>0</v>
      </c>
      <c r="K13" s="63">
        <f t="shared" si="4"/>
        <v>0</v>
      </c>
      <c r="L13" s="41">
        <v>0.1</v>
      </c>
      <c r="M13" s="66">
        <f t="shared" si="5"/>
        <v>0.23</v>
      </c>
      <c r="N13" s="67">
        <f t="shared" si="6"/>
        <v>18</v>
      </c>
      <c r="O13" s="68"/>
      <c r="P13" s="63">
        <f>VLOOKUP($A13,test1_1!$A:$Q,COLUMN(test1_1!$Q:$Q),FALSE)</f>
        <v>0.05</v>
      </c>
      <c r="Q13" s="63">
        <f>VLOOKUP($A13,test1_2!$A:$U,COLUMN(test1_2!$U:$U),FALSE)</f>
        <v>0</v>
      </c>
      <c r="R13" s="63">
        <f>VLOOKUP($A13,test6_1!$A:$AB,COLUMN(test6_1!$AB:$AB),FALSE)</f>
        <v>0</v>
      </c>
      <c r="S13" s="63">
        <f>VLOOKUP($A13,test6_2!$A:$AD,COLUMN(test6_2!$AD:$AD),FALSE)</f>
        <v>0</v>
      </c>
      <c r="T13" s="63">
        <f>VLOOKUP($A13,'test8+9_1'!$A:$AK,COLUMN('test8+9_1'!$U:$U),FALSE)</f>
        <v>0</v>
      </c>
      <c r="U13" s="63">
        <f>VLOOKUP($A13,'test8+9_2'!$A:$AL,COLUMN('test8+9_2'!$U:$U),FALSE)</f>
        <v>0</v>
      </c>
      <c r="V13" s="63">
        <f>VLOOKUP($A13,'test8+9_1'!$A:$AK,COLUMN('test8+9_1'!$AI:$AI),FALSE)</f>
        <v>0</v>
      </c>
      <c r="W13" s="63">
        <f>VLOOKUP($A13,'test8+9_2'!$A:$AL,COLUMN('test8+9_2'!$AJ:$AJ),FALSE)</f>
        <v>0</v>
      </c>
    </row>
    <row r="14" ht="12.75" customHeight="1">
      <c r="A14" s="23">
        <f t="shared" si="7"/>
        <v>12</v>
      </c>
      <c r="B14" s="14" t="str">
        <f>VLOOKUP(A14,companies!$A:$B,2,FALSE)</f>
        <v>American Tower</v>
      </c>
      <c r="C14" s="63">
        <f t="shared" si="1"/>
        <v>0.05</v>
      </c>
      <c r="D14" s="63">
        <f>VLOOKUP($A14,test2!$A:$O,COLUMN(test2!$O:$O),FALSE)</f>
        <v>0.05</v>
      </c>
      <c r="E14" s="63">
        <f>VLOOKUP($A14,test3!$A:$J,COLUMN(test3!$J:$J),FALSE)</f>
        <v>0</v>
      </c>
      <c r="F14" s="63">
        <f>VLOOKUP($A14,test4!$A:$P,COLUMN(test4!P:P),FALSE)</f>
        <v>0</v>
      </c>
      <c r="G14" s="63">
        <f>VLOOKUP($A14,test5!$A:$W,COLUMN(test5!W:W),FALSE)</f>
        <v>0</v>
      </c>
      <c r="H14" s="63">
        <f t="shared" si="2"/>
        <v>0</v>
      </c>
      <c r="I14" s="63">
        <f>VLOOKUP($A14,test7!$A:$O,COLUMN(test7!$O:$O),FALSE)</f>
        <v>0</v>
      </c>
      <c r="J14" s="63">
        <f t="shared" si="3"/>
        <v>0</v>
      </c>
      <c r="K14" s="63">
        <f t="shared" si="4"/>
        <v>0</v>
      </c>
      <c r="L14" s="41">
        <v>0.1</v>
      </c>
      <c r="M14" s="66">
        <f t="shared" si="5"/>
        <v>0.2</v>
      </c>
      <c r="N14" s="67">
        <f t="shared" si="6"/>
        <v>19</v>
      </c>
      <c r="O14" s="68"/>
      <c r="P14" s="63">
        <f>VLOOKUP($A14,test1_1!$A:$Q,COLUMN(test1_1!$Q:$Q),FALSE)</f>
        <v>0.05</v>
      </c>
      <c r="Q14" s="63">
        <f>VLOOKUP($A14,test1_2!$A:$U,COLUMN(test1_2!$U:$U),FALSE)</f>
        <v>0</v>
      </c>
      <c r="R14" s="63">
        <f>VLOOKUP($A14,test6_1!$A:$AB,COLUMN(test6_1!$AB:$AB),FALSE)</f>
        <v>0</v>
      </c>
      <c r="S14" s="63">
        <f>VLOOKUP($A14,test6_2!$A:$AD,COLUMN(test6_2!$AD:$AD),FALSE)</f>
        <v>0</v>
      </c>
      <c r="T14" s="63">
        <f>VLOOKUP($A14,'test8+9_1'!$A:$AK,COLUMN('test8+9_1'!$U:$U),FALSE)</f>
        <v>0</v>
      </c>
      <c r="U14" s="63">
        <f>VLOOKUP($A14,'test8+9_2'!$A:$AL,COLUMN('test8+9_2'!$U:$U),FALSE)</f>
        <v>0</v>
      </c>
      <c r="V14" s="63">
        <f>VLOOKUP($A14,'test8+9_1'!$A:$AK,COLUMN('test8+9_1'!$AI:$AI),FALSE)</f>
        <v>0</v>
      </c>
      <c r="W14" s="63">
        <f>VLOOKUP($A14,'test8+9_2'!$A:$AL,COLUMN('test8+9_2'!$AJ:$AJ),FALSE)</f>
        <v>0</v>
      </c>
    </row>
    <row r="15" ht="12.75" customHeight="1">
      <c r="A15" s="23">
        <f t="shared" si="7"/>
        <v>13</v>
      </c>
      <c r="B15" s="14" t="str">
        <f>VLOOKUP(A15,companies!$A:$B,2,FALSE)</f>
        <v>Amgen Inc.</v>
      </c>
      <c r="C15" s="63">
        <f t="shared" si="1"/>
        <v>0.1</v>
      </c>
      <c r="D15" s="63">
        <f>VLOOKUP($A15,test2!$A:$O,COLUMN(test2!$O:$O),FALSE)</f>
        <v>0.05</v>
      </c>
      <c r="E15" s="63">
        <f>VLOOKUP($A15,test3!$A:$J,COLUMN(test3!$J:$J),FALSE)</f>
        <v>0</v>
      </c>
      <c r="F15" s="63">
        <f>VLOOKUP($A15,test4!$A:$P,COLUMN(test4!P:P),FALSE)</f>
        <v>0.06</v>
      </c>
      <c r="G15" s="63">
        <f>VLOOKUP($A15,test5!$A:$W,COLUMN(test5!W:W),FALSE)</f>
        <v>0.03833333333</v>
      </c>
      <c r="H15" s="63">
        <f t="shared" si="2"/>
        <v>0.05</v>
      </c>
      <c r="I15" s="63">
        <f>VLOOKUP($A15,test7!$A:$O,COLUMN(test7!$O:$O),FALSE)</f>
        <v>0</v>
      </c>
      <c r="J15" s="63">
        <f t="shared" si="3"/>
        <v>0</v>
      </c>
      <c r="K15" s="63">
        <f t="shared" si="4"/>
        <v>0</v>
      </c>
      <c r="L15" s="41">
        <v>0.1</v>
      </c>
      <c r="M15" s="66">
        <f t="shared" si="5"/>
        <v>0.3983333333</v>
      </c>
      <c r="N15" s="67">
        <f t="shared" si="6"/>
        <v>10</v>
      </c>
      <c r="O15" s="68"/>
      <c r="P15" s="63">
        <f>VLOOKUP($A15,test1_1!$A:$Q,COLUMN(test1_1!$Q:$Q),FALSE)</f>
        <v>0.05</v>
      </c>
      <c r="Q15" s="63">
        <f>VLOOKUP($A15,test1_2!$A:$U,COLUMN(test1_2!$U:$U),FALSE)</f>
        <v>0.05</v>
      </c>
      <c r="R15" s="63">
        <f>VLOOKUP($A15,test6_1!$A:$AB,COLUMN(test6_1!$AB:$AB),FALSE)</f>
        <v>0.05</v>
      </c>
      <c r="S15" s="63">
        <f>VLOOKUP($A15,test6_2!$A:$AD,COLUMN(test6_2!$AD:$AD),FALSE)</f>
        <v>0</v>
      </c>
      <c r="T15" s="63">
        <f>VLOOKUP($A15,'test8+9_1'!$A:$AK,COLUMN('test8+9_1'!$U:$U),FALSE)</f>
        <v>0</v>
      </c>
      <c r="U15" s="63">
        <f>VLOOKUP($A15,'test8+9_2'!$A:$AL,COLUMN('test8+9_2'!$U:$U),FALSE)</f>
        <v>0</v>
      </c>
      <c r="V15" s="63">
        <f>VLOOKUP($A15,'test8+9_1'!$A:$AK,COLUMN('test8+9_1'!$AI:$AI),FALSE)</f>
        <v>0</v>
      </c>
      <c r="W15" s="63">
        <f>VLOOKUP($A15,'test8+9_2'!$A:$AL,COLUMN('test8+9_2'!$AJ:$AJ),FALSE)</f>
        <v>0</v>
      </c>
    </row>
    <row r="16" ht="12.75" customHeight="1">
      <c r="A16" s="23">
        <f t="shared" si="7"/>
        <v>14</v>
      </c>
      <c r="B16" s="14" t="str">
        <f>VLOOKUP(A16,companies!$A:$B,2,FALSE)</f>
        <v>Apple Inc.</v>
      </c>
      <c r="C16" s="63">
        <f t="shared" si="1"/>
        <v>0.1</v>
      </c>
      <c r="D16" s="63">
        <f>VLOOKUP($A16,test2!$A:$O,COLUMN(test2!$O:$O),FALSE)</f>
        <v>0.1</v>
      </c>
      <c r="E16" s="63">
        <f>VLOOKUP($A16,test3!$A:$J,COLUMN(test3!$J:$J),FALSE)</f>
        <v>0</v>
      </c>
      <c r="F16" s="63">
        <f>VLOOKUP($A16,test4!$A:$P,COLUMN(test4!P:P),FALSE)</f>
        <v>0.06</v>
      </c>
      <c r="G16" s="63">
        <f>VLOOKUP($A16,test5!$A:$W,COLUMN(test5!W:W),FALSE)</f>
        <v>0</v>
      </c>
      <c r="H16" s="63">
        <f t="shared" si="2"/>
        <v>0.05</v>
      </c>
      <c r="I16" s="63">
        <f>VLOOKUP($A16,test7!$A:$O,COLUMN(test7!$O:$O),FALSE)</f>
        <v>0.075</v>
      </c>
      <c r="J16" s="63">
        <f t="shared" si="3"/>
        <v>0.1</v>
      </c>
      <c r="K16" s="63">
        <f t="shared" si="4"/>
        <v>0.1</v>
      </c>
      <c r="L16" s="41">
        <v>0.1</v>
      </c>
      <c r="M16" s="66">
        <f t="shared" si="5"/>
        <v>0.685</v>
      </c>
      <c r="N16" s="67">
        <f t="shared" si="6"/>
        <v>2</v>
      </c>
      <c r="O16" s="68"/>
      <c r="P16" s="63">
        <f>VLOOKUP($A16,test1_1!$A:$Q,COLUMN(test1_1!$Q:$Q),FALSE)</f>
        <v>0.05</v>
      </c>
      <c r="Q16" s="63">
        <f>VLOOKUP($A16,test1_2!$A:$U,COLUMN(test1_2!$U:$U),FALSE)</f>
        <v>0.05</v>
      </c>
      <c r="R16" s="63">
        <f>VLOOKUP($A16,test6_1!$A:$AB,COLUMN(test6_1!$AB:$AB),FALSE)</f>
        <v>0</v>
      </c>
      <c r="S16" s="63">
        <f>VLOOKUP($A16,test6_2!$A:$AD,COLUMN(test6_2!$AD:$AD),FALSE)</f>
        <v>0.05</v>
      </c>
      <c r="T16" s="63">
        <f>VLOOKUP($A16,'test8+9_1'!$A:$AK,COLUMN('test8+9_1'!$U:$U),FALSE)</f>
        <v>0</v>
      </c>
      <c r="U16" s="63">
        <f>VLOOKUP($A16,'test8+9_2'!$A:$AL,COLUMN('test8+9_2'!$U:$U),FALSE)</f>
        <v>0.1</v>
      </c>
      <c r="V16" s="63">
        <f>VLOOKUP($A16,'test8+9_1'!$A:$AK,COLUMN('test8+9_1'!$AI:$AI),FALSE)</f>
        <v>0</v>
      </c>
      <c r="W16" s="63">
        <f>VLOOKUP($A16,'test8+9_2'!$A:$AL,COLUMN('test8+9_2'!$AJ:$AJ),FALSE)</f>
        <v>0.1</v>
      </c>
    </row>
    <row r="17" ht="12.75" customHeight="1">
      <c r="A17" s="23">
        <f t="shared" si="7"/>
        <v>15</v>
      </c>
      <c r="B17" s="14" t="str">
        <f>VLOOKUP(A17,companies!$A:$B,2,FALSE)</f>
        <v>AT&amp;T Inc.</v>
      </c>
      <c r="C17" s="63">
        <f t="shared" si="1"/>
        <v>0.1</v>
      </c>
      <c r="D17" s="63">
        <f>VLOOKUP($A17,test2!$A:$O,COLUMN(test2!$O:$O),FALSE)</f>
        <v>0.05</v>
      </c>
      <c r="E17" s="63">
        <f>VLOOKUP($A17,test3!$A:$J,COLUMN(test3!$J:$J),FALSE)</f>
        <v>0</v>
      </c>
      <c r="F17" s="63">
        <f>VLOOKUP($A17,test4!$A:$P,COLUMN(test4!P:P),FALSE)</f>
        <v>0.06</v>
      </c>
      <c r="G17" s="63">
        <f>VLOOKUP($A17,test5!$A:$W,COLUMN(test5!W:W),FALSE)</f>
        <v>0.025</v>
      </c>
      <c r="H17" s="63">
        <f t="shared" si="2"/>
        <v>0.04539458124</v>
      </c>
      <c r="I17" s="63">
        <f>VLOOKUP($A17,test7!$A:$O,COLUMN(test7!$O:$O),FALSE)</f>
        <v>0.075</v>
      </c>
      <c r="J17" s="63">
        <f t="shared" si="3"/>
        <v>0.05</v>
      </c>
      <c r="K17" s="63">
        <f t="shared" si="4"/>
        <v>0.05</v>
      </c>
      <c r="L17" s="41">
        <v>0.1</v>
      </c>
      <c r="M17" s="66">
        <f t="shared" si="5"/>
        <v>0.5553945812</v>
      </c>
      <c r="N17" s="67">
        <f t="shared" si="6"/>
        <v>5</v>
      </c>
      <c r="O17" s="68"/>
      <c r="P17" s="63">
        <f>VLOOKUP($A17,test1_1!$A:$Q,COLUMN(test1_1!$Q:$Q),FALSE)</f>
        <v>0.05</v>
      </c>
      <c r="Q17" s="63">
        <f>VLOOKUP($A17,test1_2!$A:$U,COLUMN(test1_2!$U:$U),FALSE)</f>
        <v>0.05</v>
      </c>
      <c r="R17" s="63">
        <f>VLOOKUP($A17,test6_1!$A:$AB,COLUMN(test6_1!$AB:$AB),FALSE)</f>
        <v>0.04539458124</v>
      </c>
      <c r="S17" s="63">
        <f>VLOOKUP($A17,test6_2!$A:$AD,COLUMN(test6_2!$AD:$AD),FALSE)</f>
        <v>0</v>
      </c>
      <c r="T17" s="63">
        <f>VLOOKUP($A17,'test8+9_1'!$A:$AK,COLUMN('test8+9_1'!$U:$U),FALSE)</f>
        <v>0.05</v>
      </c>
      <c r="U17" s="63">
        <f>VLOOKUP($A17,'test8+9_2'!$A:$AL,COLUMN('test8+9_2'!$U:$U),FALSE)</f>
        <v>0</v>
      </c>
      <c r="V17" s="63">
        <f>VLOOKUP($A17,'test8+9_1'!$A:$AK,COLUMN('test8+9_1'!$AI:$AI),FALSE)</f>
        <v>0.05</v>
      </c>
      <c r="W17" s="63">
        <f>VLOOKUP($A17,'test8+9_2'!$A:$AL,COLUMN('test8+9_2'!$AJ:$AJ),FALSE)</f>
        <v>0</v>
      </c>
    </row>
    <row r="18" ht="12.75" customHeight="1">
      <c r="A18" s="23">
        <f t="shared" si="7"/>
        <v>16</v>
      </c>
      <c r="B18" s="14" t="str">
        <f>VLOOKUP(A18,companies!$A:$B,2,FALSE)</f>
        <v>Bank of America</v>
      </c>
      <c r="C18" s="63">
        <f t="shared" si="1"/>
        <v>0.05</v>
      </c>
      <c r="D18" s="63">
        <f>VLOOKUP($A18,test2!$A:$O,COLUMN(test2!$O:$O),FALSE)</f>
        <v>0.05</v>
      </c>
      <c r="E18" s="63">
        <f>VLOOKUP($A18,test3!$A:$J,COLUMN(test3!$J:$J),FALSE)</f>
        <v>0</v>
      </c>
      <c r="F18" s="63">
        <f>VLOOKUP($A18,test4!$A:$P,COLUMN(test4!P:P),FALSE)</f>
        <v>0.07</v>
      </c>
      <c r="G18" s="63">
        <f>VLOOKUP($A18,test5!$A:$W,COLUMN(test5!W:W),FALSE)</f>
        <v>0</v>
      </c>
      <c r="H18" s="63">
        <f t="shared" si="2"/>
        <v>0</v>
      </c>
      <c r="I18" s="63">
        <f>VLOOKUP($A18,test7!$A:$O,COLUMN(test7!$O:$O),FALSE)</f>
        <v>0</v>
      </c>
      <c r="J18" s="63">
        <f t="shared" si="3"/>
        <v>0</v>
      </c>
      <c r="K18" s="63">
        <f t="shared" si="4"/>
        <v>0</v>
      </c>
      <c r="L18" s="41">
        <v>0.1</v>
      </c>
      <c r="M18" s="66">
        <f t="shared" si="5"/>
        <v>0.27</v>
      </c>
      <c r="N18" s="67">
        <f t="shared" si="6"/>
        <v>14</v>
      </c>
      <c r="O18" s="68"/>
      <c r="P18" s="63">
        <f>VLOOKUP($A18,test1_1!$A:$Q,COLUMN(test1_1!$Q:$Q),FALSE)</f>
        <v>0.05</v>
      </c>
      <c r="Q18" s="63">
        <f>VLOOKUP($A18,test1_2!$A:$U,COLUMN(test1_2!$U:$U),FALSE)</f>
        <v>0</v>
      </c>
      <c r="R18" s="63">
        <f>VLOOKUP($A18,test6_1!$A:$AB,COLUMN(test6_1!$AB:$AB),FALSE)</f>
        <v>0</v>
      </c>
      <c r="S18" s="63">
        <f>VLOOKUP($A18,test6_2!$A:$AD,COLUMN(test6_2!$AD:$AD),FALSE)</f>
        <v>0</v>
      </c>
      <c r="T18" s="63">
        <f>VLOOKUP($A18,'test8+9_1'!$A:$AK,COLUMN('test8+9_1'!$U:$U),FALSE)</f>
        <v>0</v>
      </c>
      <c r="U18" s="63">
        <f>VLOOKUP($A18,'test8+9_2'!$A:$AL,COLUMN('test8+9_2'!$U:$U),FALSE)</f>
        <v>0</v>
      </c>
      <c r="V18" s="63">
        <f>VLOOKUP($A18,'test8+9_1'!$A:$AK,COLUMN('test8+9_1'!$AI:$AI),FALSE)</f>
        <v>0</v>
      </c>
      <c r="W18" s="63">
        <f>VLOOKUP($A18,'test8+9_2'!$A:$AL,COLUMN('test8+9_2'!$AJ:$AJ),FALSE)</f>
        <v>0</v>
      </c>
    </row>
    <row r="19" ht="12.75" customHeight="1">
      <c r="A19" s="23">
        <f t="shared" si="7"/>
        <v>17</v>
      </c>
      <c r="B19" s="14" t="str">
        <f>VLOOKUP(A19,companies!$A:$B,2,FALSE)</f>
        <v>Berkshire Hathaway Inc.</v>
      </c>
      <c r="C19" s="63">
        <f t="shared" si="1"/>
        <v>0</v>
      </c>
      <c r="D19" s="63">
        <f>VLOOKUP($A19,test2!$A:$O,COLUMN(test2!$O:$O),FALSE)</f>
        <v>0</v>
      </c>
      <c r="E19" s="63">
        <f>VLOOKUP($A19,test3!$A:$J,COLUMN(test3!$J:$J),FALSE)</f>
        <v>0</v>
      </c>
      <c r="F19" s="63">
        <f>VLOOKUP($A19,test4!$A:$P,COLUMN(test4!P:P),FALSE)</f>
        <v>0</v>
      </c>
      <c r="G19" s="63">
        <f>VLOOKUP($A19,test5!$A:$W,COLUMN(test5!W:W),FALSE)</f>
        <v>0</v>
      </c>
      <c r="H19" s="63">
        <f t="shared" si="2"/>
        <v>0</v>
      </c>
      <c r="I19" s="63">
        <f>VLOOKUP($A19,test7!$A:$O,COLUMN(test7!$O:$O),FALSE)</f>
        <v>0</v>
      </c>
      <c r="J19" s="63">
        <f t="shared" si="3"/>
        <v>0</v>
      </c>
      <c r="K19" s="63">
        <f t="shared" si="4"/>
        <v>0</v>
      </c>
      <c r="L19" s="41">
        <v>0.0</v>
      </c>
      <c r="M19" s="66">
        <f t="shared" si="5"/>
        <v>0</v>
      </c>
      <c r="N19" s="67">
        <f t="shared" si="6"/>
        <v>20</v>
      </c>
      <c r="O19" s="68"/>
      <c r="P19" s="63">
        <f>VLOOKUP($A19,test1_1!$A:$Q,COLUMN(test1_1!$Q:$Q),FALSE)</f>
        <v>0</v>
      </c>
      <c r="Q19" s="63">
        <f>VLOOKUP($A19,test1_2!$A:$U,COLUMN(test1_2!$U:$U),FALSE)</f>
        <v>0</v>
      </c>
      <c r="R19" s="63">
        <f>VLOOKUP($A19,test6_1!$A:$AB,COLUMN(test6_1!$AB:$AB),FALSE)</f>
        <v>0</v>
      </c>
      <c r="S19" s="63">
        <f>VLOOKUP($A19,test6_2!$A:$AD,COLUMN(test6_2!$AD:$AD),FALSE)</f>
        <v>0</v>
      </c>
      <c r="T19" s="63">
        <f>VLOOKUP($A19,'test8+9_1'!$A:$AK,COLUMN('test8+9_1'!$U:$U),FALSE)</f>
        <v>0</v>
      </c>
      <c r="U19" s="63">
        <f>VLOOKUP($A19,'test8+9_2'!$A:$AL,COLUMN('test8+9_2'!$U:$U),FALSE)</f>
        <v>0</v>
      </c>
      <c r="V19" s="63">
        <f>VLOOKUP($A19,'test8+9_1'!$A:$AK,COLUMN('test8+9_1'!$AI:$AI),FALSE)</f>
        <v>0</v>
      </c>
      <c r="W19" s="63">
        <f>VLOOKUP($A19,'test8+9_2'!$A:$AL,COLUMN('test8+9_2'!$AJ:$AJ),FALSE)</f>
        <v>0</v>
      </c>
    </row>
    <row r="20" ht="12.75" customHeight="1">
      <c r="A20" s="23">
        <f t="shared" si="7"/>
        <v>18</v>
      </c>
      <c r="B20" s="14" t="str">
        <f>VLOOKUP(A20,companies!$A:$B,2,FALSE)</f>
        <v>Biogen Inc.</v>
      </c>
      <c r="C20" s="63">
        <f t="shared" si="1"/>
        <v>0.1</v>
      </c>
      <c r="D20" s="63">
        <f>VLOOKUP($A20,test2!$A:$O,COLUMN(test2!$O:$O),FALSE)</f>
        <v>0.1</v>
      </c>
      <c r="E20" s="63">
        <f>VLOOKUP($A20,test3!$A:$J,COLUMN(test3!$J:$J),FALSE)</f>
        <v>0</v>
      </c>
      <c r="F20" s="63">
        <f>VLOOKUP($A20,test4!$A:$P,COLUMN(test4!P:P),FALSE)</f>
        <v>0.07</v>
      </c>
      <c r="G20" s="63">
        <f>VLOOKUP($A20,test5!$A:$W,COLUMN(test5!W:W),FALSE)</f>
        <v>0.06666666667</v>
      </c>
      <c r="H20" s="63">
        <f t="shared" si="2"/>
        <v>0.03945711226</v>
      </c>
      <c r="I20" s="63">
        <f>VLOOKUP($A20,test7!$A:$O,COLUMN(test7!$O:$O),FALSE)</f>
        <v>0</v>
      </c>
      <c r="J20" s="63">
        <f t="shared" si="3"/>
        <v>0.05</v>
      </c>
      <c r="K20" s="63">
        <f t="shared" si="4"/>
        <v>0.05</v>
      </c>
      <c r="L20" s="41">
        <v>0.1</v>
      </c>
      <c r="M20" s="66">
        <f t="shared" si="5"/>
        <v>0.5761237789</v>
      </c>
      <c r="N20" s="67">
        <f t="shared" si="6"/>
        <v>4</v>
      </c>
      <c r="O20" s="68"/>
      <c r="P20" s="63">
        <f>VLOOKUP($A20,test1_1!$A:$Q,COLUMN(test1_1!$Q:$Q),FALSE)</f>
        <v>0.05</v>
      </c>
      <c r="Q20" s="63">
        <f>VLOOKUP($A20,test1_2!$A:$U,COLUMN(test1_2!$U:$U),FALSE)</f>
        <v>0.05</v>
      </c>
      <c r="R20" s="63">
        <f>VLOOKUP($A20,test6_1!$A:$AB,COLUMN(test6_1!$AB:$AB),FALSE)</f>
        <v>0.03945711226</v>
      </c>
      <c r="S20" s="63">
        <f>VLOOKUP($A20,test6_2!$A:$AD,COLUMN(test6_2!$AD:$AD),FALSE)</f>
        <v>0</v>
      </c>
      <c r="T20" s="63">
        <f>VLOOKUP($A20,'test8+9_1'!$A:$AK,COLUMN('test8+9_1'!$U:$U),FALSE)</f>
        <v>0.05</v>
      </c>
      <c r="U20" s="63">
        <f>VLOOKUP($A20,'test8+9_2'!$A:$AL,COLUMN('test8+9_2'!$U:$U),FALSE)</f>
        <v>0</v>
      </c>
      <c r="V20" s="63">
        <f>VLOOKUP($A20,'test8+9_1'!$A:$AK,COLUMN('test8+9_1'!$AI:$AI),FALSE)</f>
        <v>0.05</v>
      </c>
      <c r="W20" s="63">
        <f>VLOOKUP($A20,'test8+9_2'!$A:$AL,COLUMN('test8+9_2'!$AJ:$AJ),FALSE)</f>
        <v>0</v>
      </c>
    </row>
    <row r="21" ht="12.75" customHeight="1">
      <c r="A21" s="23">
        <f t="shared" si="7"/>
        <v>19</v>
      </c>
      <c r="B21" s="14" t="str">
        <f>VLOOKUP(A21,companies!$A:$B,2,FALSE)</f>
        <v>BlackRock Inc.</v>
      </c>
      <c r="C21" s="63">
        <f t="shared" si="1"/>
        <v>0.1</v>
      </c>
      <c r="D21" s="63">
        <f>VLOOKUP($A21,test2!$A:$O,COLUMN(test2!$O:$O),FALSE)</f>
        <v>0.0355</v>
      </c>
      <c r="E21" s="63">
        <f>VLOOKUP($A21,test3!$A:$J,COLUMN(test3!$J:$J),FALSE)</f>
        <v>0</v>
      </c>
      <c r="F21" s="63">
        <f>VLOOKUP($A21,test4!$A:$P,COLUMN(test4!P:P),FALSE)</f>
        <v>0.03</v>
      </c>
      <c r="G21" s="63">
        <f>VLOOKUP($A21,test5!$A:$W,COLUMN(test5!W:W),FALSE)</f>
        <v>0</v>
      </c>
      <c r="H21" s="63">
        <f t="shared" si="2"/>
        <v>0</v>
      </c>
      <c r="I21" s="63">
        <f>VLOOKUP($A21,test7!$A:$O,COLUMN(test7!$O:$O),FALSE)</f>
        <v>0</v>
      </c>
      <c r="J21" s="63">
        <f t="shared" si="3"/>
        <v>0</v>
      </c>
      <c r="K21" s="63">
        <f t="shared" si="4"/>
        <v>0</v>
      </c>
      <c r="L21" s="41">
        <v>0.1</v>
      </c>
      <c r="M21" s="66">
        <f t="shared" si="5"/>
        <v>0.2655</v>
      </c>
      <c r="N21" s="67">
        <f t="shared" si="6"/>
        <v>15</v>
      </c>
      <c r="O21" s="68"/>
      <c r="P21" s="63">
        <f>VLOOKUP($A21,test1_1!$A:$Q,COLUMN(test1_1!$Q:$Q),FALSE)</f>
        <v>0.05</v>
      </c>
      <c r="Q21" s="63">
        <f>VLOOKUP($A21,test1_2!$A:$U,COLUMN(test1_2!$U:$U),FALSE)</f>
        <v>0.05</v>
      </c>
      <c r="R21" s="63">
        <f>VLOOKUP($A21,test6_1!$A:$AB,COLUMN(test6_1!$AB:$AB),FALSE)</f>
        <v>0</v>
      </c>
      <c r="S21" s="63">
        <f>VLOOKUP($A21,test6_2!$A:$AD,COLUMN(test6_2!$AD:$AD),FALSE)</f>
        <v>0</v>
      </c>
      <c r="T21" s="63">
        <f>VLOOKUP($A21,'test8+9_1'!$A:$AK,COLUMN('test8+9_1'!$U:$U),FALSE)</f>
        <v>0</v>
      </c>
      <c r="U21" s="63">
        <f>VLOOKUP($A21,'test8+9_2'!$A:$AL,COLUMN('test8+9_2'!$U:$U),FALSE)</f>
        <v>0</v>
      </c>
      <c r="V21" s="63">
        <f>VLOOKUP($A21,'test8+9_1'!$A:$AK,COLUMN('test8+9_1'!$AI:$AI),FALSE)</f>
        <v>0</v>
      </c>
      <c r="W21" s="63">
        <f>VLOOKUP($A21,'test8+9_2'!$A:$AL,COLUMN('test8+9_2'!$AJ:$AJ),FALSE)</f>
        <v>0</v>
      </c>
    </row>
    <row r="22" ht="12.75" customHeight="1">
      <c r="A22" s="31">
        <v>66.0</v>
      </c>
      <c r="B22" s="14" t="str">
        <f>VLOOKUP(A22,companies!$A:$B,2,FALSE)</f>
        <v>Microsoft Corp.</v>
      </c>
      <c r="C22" s="63">
        <f t="shared" si="1"/>
        <v>0.1</v>
      </c>
      <c r="D22" s="63">
        <f>VLOOKUP($A22,test2!$A:$O,COLUMN(test2!$O:$O),FALSE)</f>
        <v>0.1</v>
      </c>
      <c r="E22" s="63">
        <f>VLOOKUP($A22,test3!$A:$J,COLUMN(test3!$J:$J),FALSE)</f>
        <v>0.075</v>
      </c>
      <c r="F22" s="63">
        <f>VLOOKUP($A22,test4!$A:$P,COLUMN(test4!P:P),FALSE)</f>
        <v>0.1</v>
      </c>
      <c r="G22" s="63">
        <f>VLOOKUP($A22,test5!$A:$W,COLUMN(test5!W:W),FALSE)</f>
        <v>0.08333333333</v>
      </c>
      <c r="H22" s="63">
        <f t="shared" si="2"/>
        <v>0.04320201909</v>
      </c>
      <c r="I22" s="63">
        <f>VLOOKUP($A22,test7!$A:$O,COLUMN(test7!$O:$O),FALSE)</f>
        <v>0.1</v>
      </c>
      <c r="J22" s="63">
        <f t="shared" si="3"/>
        <v>0.1</v>
      </c>
      <c r="K22" s="63">
        <f t="shared" si="4"/>
        <v>0.1</v>
      </c>
      <c r="L22" s="41">
        <v>0.1</v>
      </c>
      <c r="M22" s="66">
        <f t="shared" si="5"/>
        <v>0.9015353524</v>
      </c>
      <c r="N22" s="67">
        <f t="shared" si="6"/>
        <v>1</v>
      </c>
      <c r="O22" s="68"/>
      <c r="P22" s="63">
        <f>VLOOKUP($A22,test1_1!$A:$Q,COLUMN(test1_1!$Q:$Q),FALSE)</f>
        <v>0.05</v>
      </c>
      <c r="Q22" s="63">
        <f>VLOOKUP($A22,test1_2!$A:$U,COLUMN(test1_2!$U:$U),FALSE)</f>
        <v>0.05</v>
      </c>
      <c r="R22" s="63">
        <f>VLOOKUP($A22,test6_1!$A:$AB,COLUMN(test6_1!$AB:$AB),FALSE)</f>
        <v>0</v>
      </c>
      <c r="S22" s="63">
        <f>VLOOKUP($A22,test6_2!$A:$AD,COLUMN(test6_2!$AD:$AD),FALSE)</f>
        <v>0.04320201909</v>
      </c>
      <c r="T22" s="63">
        <f>VLOOKUP($A22,'test8+9_1'!$A:$AK,COLUMN('test8+9_1'!$U:$U),FALSE)</f>
        <v>0</v>
      </c>
      <c r="U22" s="63">
        <f>VLOOKUP($A22,'test8+9_2'!$A:$AL,COLUMN('test8+9_2'!$U:$U),FALSE)</f>
        <v>0.1</v>
      </c>
      <c r="V22" s="63">
        <f>VLOOKUP($A22,'test8+9_1'!$A:$AK,COLUMN('test8+9_1'!$AI:$AI),FALSE)</f>
        <v>0</v>
      </c>
      <c r="W22" s="63">
        <f>VLOOKUP($A22,'test8+9_2'!$A:$AL,COLUMN('test8+9_2'!$AJ:$AJ),FALSE)</f>
        <v>0.1</v>
      </c>
    </row>
    <row r="23" ht="12.75" customHeight="1"/>
    <row r="24" ht="12.75" customHeight="1"/>
    <row r="25" ht="12.75" customHeight="1"/>
    <row r="26" ht="12.75" customHeight="1"/>
    <row r="27" ht="12.75" customHeight="1">
      <c r="R27" s="69" t="s">
        <v>660</v>
      </c>
      <c r="S27" s="70"/>
      <c r="T27" s="71"/>
      <c r="U27" s="72" t="s">
        <v>638</v>
      </c>
    </row>
    <row r="28" ht="12.75" customHeight="1">
      <c r="R28" s="73">
        <v>1.0</v>
      </c>
      <c r="S28" s="74" t="str">
        <f>IFERROR(__xludf.DUMMYFUNCTION("filter($B$3:$B$22,$N$3:$N$22=$R28)"),"Microsoft Corp.")</f>
        <v>Microsoft Corp.</v>
      </c>
      <c r="T28" s="75"/>
      <c r="U28" s="76">
        <f>IFERROR(__xludf.DUMMYFUNCTION("filter($M$3:$M$22,$N$3:$N$22=$R28)"),0.9015353524269358)</f>
        <v>0.9015353524</v>
      </c>
    </row>
    <row r="29" ht="12.75" customHeight="1">
      <c r="R29" s="77">
        <f t="shared" ref="R29:R37" si="8">R28+1</f>
        <v>2</v>
      </c>
      <c r="S29" s="1" t="str">
        <f>IFERROR(__xludf.DUMMYFUNCTION("filter($B$3:$B$22,$N$3:$N$22=$R29)"),"Apple Inc.")</f>
        <v>Apple Inc.</v>
      </c>
      <c r="T29" s="78"/>
      <c r="U29" s="79">
        <f>IFERROR(__xludf.DUMMYFUNCTION("filter($M$3:$M$22,$N$3:$N$22=$R29)"),0.6849999999999999)</f>
        <v>0.685</v>
      </c>
    </row>
    <row r="30" ht="12.75" customHeight="1">
      <c r="R30" s="77">
        <f t="shared" si="8"/>
        <v>3</v>
      </c>
      <c r="S30" s="1" t="str">
        <f>IFERROR(__xludf.DUMMYFUNCTION("filter($B$3:$B$22,$N$3:$N$22=$R30)"),"Accenture")</f>
        <v>Accenture</v>
      </c>
      <c r="T30" s="78"/>
      <c r="U30" s="79">
        <f>IFERROR(__xludf.DUMMYFUNCTION("filter($M$3:$M$22,$N$3:$N$22=$R30)"),0.6366666666666667)</f>
        <v>0.6366666667</v>
      </c>
    </row>
    <row r="31" ht="12.75" customHeight="1">
      <c r="N31" s="80">
        <v>0.0</v>
      </c>
      <c r="P31" s="1">
        <f t="shared" ref="P31:P41" si="9">COUNTIFS($M$3:$M$22,"&lt;"&amp;N31,$M$3:$M$22,"&gt;="&amp;N30)</f>
        <v>0</v>
      </c>
      <c r="R31" s="77">
        <f t="shared" si="8"/>
        <v>4</v>
      </c>
      <c r="S31" s="1" t="str">
        <f>IFERROR(__xludf.DUMMYFUNCTION("filter($B$3:$B$22,$N$3:$N$22=$R31)"),"Biogen Inc.")</f>
        <v>Biogen Inc.</v>
      </c>
      <c r="T31" s="78"/>
      <c r="U31" s="79">
        <f>IFERROR(__xludf.DUMMYFUNCTION("filter($M$3:$M$22,$N$3:$N$22=$R31)"),0.576123778924761)</f>
        <v>0.5761237789</v>
      </c>
    </row>
    <row r="32" ht="12.75" customHeight="1">
      <c r="N32" s="81">
        <f t="shared" ref="N32:N41" si="10">N31+10%</f>
        <v>0.1</v>
      </c>
      <c r="O32" s="36" t="s">
        <v>661</v>
      </c>
      <c r="P32" s="1">
        <f t="shared" si="9"/>
        <v>1</v>
      </c>
      <c r="R32" s="77">
        <f t="shared" si="8"/>
        <v>5</v>
      </c>
      <c r="S32" s="1" t="str">
        <f>IFERROR(__xludf.DUMMYFUNCTION("filter($B$3:$B$22,$N$3:$N$22=$R32)"),"AT&amp;T Inc.")</f>
        <v>AT&amp;T Inc.</v>
      </c>
      <c r="T32" s="78"/>
      <c r="U32" s="79">
        <f>IFERROR(__xludf.DUMMYFUNCTION("filter($M$3:$M$22,$N$3:$N$22=$R32)"),0.5553945812380784)</f>
        <v>0.5553945812</v>
      </c>
    </row>
    <row r="33" ht="12.75" customHeight="1">
      <c r="N33" s="81">
        <f t="shared" si="10"/>
        <v>0.2</v>
      </c>
      <c r="O33" s="36" t="s">
        <v>662</v>
      </c>
      <c r="P33" s="1">
        <f t="shared" si="9"/>
        <v>0</v>
      </c>
      <c r="R33" s="77">
        <f t="shared" si="8"/>
        <v>6</v>
      </c>
      <c r="S33" s="1" t="str">
        <f>IFERROR(__xludf.DUMMYFUNCTION("filter($B$3:$B$22,$N$3:$N$22=$R33)"),"3M")</f>
        <v>3M</v>
      </c>
      <c r="T33" s="78"/>
      <c r="U33" s="79">
        <f>IFERROR(__xludf.DUMMYFUNCTION("filter($M$3:$M$22,$N$3:$N$22=$R33)"),0.529639175257732)</f>
        <v>0.5296391753</v>
      </c>
    </row>
    <row r="34" ht="12.75" customHeight="1">
      <c r="N34" s="81">
        <f t="shared" si="10"/>
        <v>0.3</v>
      </c>
      <c r="O34" s="36" t="s">
        <v>663</v>
      </c>
      <c r="P34" s="1">
        <f t="shared" si="9"/>
        <v>6</v>
      </c>
      <c r="R34" s="77">
        <f t="shared" si="8"/>
        <v>7</v>
      </c>
      <c r="S34" s="1" t="str">
        <f>IFERROR(__xludf.DUMMYFUNCTION("filter($B$3:$B$22,$N$3:$N$22=$R34)"),"Altria Group Inc")</f>
        <v>Altria Group Inc</v>
      </c>
      <c r="T34" s="78"/>
      <c r="U34" s="79">
        <f>IFERROR(__xludf.DUMMYFUNCTION("filter($M$3:$M$22,$N$3:$N$22=$R34)"),0.5010247608268558)</f>
        <v>0.5010247608</v>
      </c>
    </row>
    <row r="35" ht="12.75" customHeight="1">
      <c r="N35" s="81">
        <f t="shared" si="10"/>
        <v>0.4</v>
      </c>
      <c r="O35" s="36" t="s">
        <v>664</v>
      </c>
      <c r="P35" s="1">
        <f t="shared" si="9"/>
        <v>4</v>
      </c>
      <c r="R35" s="77">
        <f t="shared" si="8"/>
        <v>8</v>
      </c>
      <c r="S35" s="1" t="str">
        <f>IFERROR(__xludf.DUMMYFUNCTION("filter($B$3:$B$22,$N$3:$N$22=$R35)"),"Adobe Inc.")</f>
        <v>Adobe Inc.</v>
      </c>
      <c r="T35" s="78"/>
      <c r="U35" s="79">
        <f>IFERROR(__xludf.DUMMYFUNCTION("filter($M$3:$M$22,$N$3:$N$22=$R35)"),0.47928236672524893)</f>
        <v>0.4792823667</v>
      </c>
    </row>
    <row r="36" ht="12.75" customHeight="1">
      <c r="N36" s="81">
        <f t="shared" si="10"/>
        <v>0.5</v>
      </c>
      <c r="O36" s="36" t="s">
        <v>665</v>
      </c>
      <c r="P36" s="1">
        <f t="shared" si="9"/>
        <v>2</v>
      </c>
      <c r="R36" s="77">
        <f t="shared" si="8"/>
        <v>9</v>
      </c>
      <c r="S36" s="1" t="str">
        <f>IFERROR(__xludf.DUMMYFUNCTION("filter($B$3:$B$22,$N$3:$N$22=$R36)"),"Amazon.com Inc.")</f>
        <v>Amazon.com Inc.</v>
      </c>
      <c r="T36" s="78"/>
      <c r="U36" s="79">
        <f>IFERROR(__xludf.DUMMYFUNCTION("filter($M$3:$M$22,$N$3:$N$22=$R36)"),0.41166666666666674)</f>
        <v>0.4116666667</v>
      </c>
    </row>
    <row r="37" ht="12.75" customHeight="1">
      <c r="N37" s="81">
        <f t="shared" si="10"/>
        <v>0.6</v>
      </c>
      <c r="O37" s="36" t="s">
        <v>666</v>
      </c>
      <c r="P37" s="1">
        <f t="shared" si="9"/>
        <v>4</v>
      </c>
      <c r="R37" s="82">
        <f t="shared" si="8"/>
        <v>10</v>
      </c>
      <c r="S37" s="83" t="str">
        <f>IFERROR(__xludf.DUMMYFUNCTION("filter($B$3:$B$22,$N$3:$N$22=$R37)"),"Amgen Inc.")</f>
        <v>Amgen Inc.</v>
      </c>
      <c r="T37" s="84"/>
      <c r="U37" s="85">
        <f>IFERROR(__xludf.DUMMYFUNCTION("filter($M$3:$M$22,$N$3:$N$22=$R37)"),0.3983333333333333)</f>
        <v>0.3983333333</v>
      </c>
    </row>
    <row r="38" ht="12.75" customHeight="1">
      <c r="N38" s="81">
        <f t="shared" si="10"/>
        <v>0.7</v>
      </c>
      <c r="O38" s="36" t="s">
        <v>667</v>
      </c>
      <c r="P38" s="1">
        <f t="shared" si="9"/>
        <v>2</v>
      </c>
    </row>
    <row r="39" ht="12.75" customHeight="1">
      <c r="N39" s="81">
        <f t="shared" si="10"/>
        <v>0.8</v>
      </c>
      <c r="O39" s="36" t="s">
        <v>668</v>
      </c>
      <c r="P39" s="1">
        <f t="shared" si="9"/>
        <v>0</v>
      </c>
    </row>
    <row r="40" ht="12.75" customHeight="1">
      <c r="N40" s="81">
        <f t="shared" si="10"/>
        <v>0.9</v>
      </c>
      <c r="O40" s="36" t="s">
        <v>669</v>
      </c>
      <c r="P40" s="1">
        <f t="shared" si="9"/>
        <v>0</v>
      </c>
    </row>
    <row r="41" ht="12.75" customHeight="1">
      <c r="N41" s="81">
        <f t="shared" si="10"/>
        <v>1</v>
      </c>
      <c r="O41" s="36" t="s">
        <v>670</v>
      </c>
      <c r="P41" s="1">
        <f t="shared" si="9"/>
        <v>1</v>
      </c>
    </row>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conditionalFormatting sqref="C3:L22">
    <cfRule type="colorScale" priority="1">
      <colorScale>
        <cfvo type="min"/>
        <cfvo type="max"/>
        <color rgb="FFFFFFFF"/>
        <color rgb="FF57BB8A"/>
      </colorScale>
    </cfRule>
  </conditionalFormatting>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sheetData>
    <row r="1" ht="26.25" customHeight="1">
      <c r="A1" s="86" t="s">
        <v>671</v>
      </c>
      <c r="B1" s="10" t="s">
        <v>2</v>
      </c>
      <c r="C1" s="11" t="s">
        <v>3</v>
      </c>
      <c r="D1" s="12" t="s">
        <v>533</v>
      </c>
      <c r="E1" s="12" t="s">
        <v>672</v>
      </c>
      <c r="F1" s="12" t="s">
        <v>599</v>
      </c>
      <c r="G1" s="12" t="s">
        <v>673</v>
      </c>
      <c r="H1" s="12" t="s">
        <v>674</v>
      </c>
      <c r="I1" s="12" t="s">
        <v>675</v>
      </c>
      <c r="J1" s="12" t="s">
        <v>594</v>
      </c>
      <c r="K1" s="12" t="s">
        <v>676</v>
      </c>
      <c r="L1" s="12" t="s">
        <v>677</v>
      </c>
      <c r="M1" s="12" t="s">
        <v>678</v>
      </c>
      <c r="N1" s="12" t="s">
        <v>611</v>
      </c>
      <c r="O1" s="12" t="s">
        <v>606</v>
      </c>
      <c r="P1" s="12" t="s">
        <v>601</v>
      </c>
      <c r="Q1" s="12" t="s">
        <v>679</v>
      </c>
      <c r="R1" s="12" t="s">
        <v>680</v>
      </c>
      <c r="S1" s="12" t="s">
        <v>681</v>
      </c>
    </row>
    <row r="2">
      <c r="A2" s="13">
        <v>0.0</v>
      </c>
      <c r="B2" s="13">
        <v>66.0</v>
      </c>
      <c r="C2" s="14" t="str">
        <f>VLOOKUP(B2,companies!$A:$B,2,FALSE)</f>
        <v>Microsoft Corp.</v>
      </c>
      <c r="D2" s="15" t="s">
        <v>535</v>
      </c>
      <c r="E2" s="15">
        <v>0.0</v>
      </c>
      <c r="F2" s="15" t="s">
        <v>603</v>
      </c>
      <c r="G2" s="87" t="s">
        <v>682</v>
      </c>
      <c r="H2" s="88" t="s">
        <v>683</v>
      </c>
      <c r="I2" s="88" t="s">
        <v>683</v>
      </c>
      <c r="J2" s="88" t="s">
        <v>593</v>
      </c>
      <c r="K2" s="89">
        <v>1.0</v>
      </c>
      <c r="L2" s="89">
        <v>1.0</v>
      </c>
      <c r="M2" s="89">
        <v>1.0</v>
      </c>
      <c r="N2" s="89">
        <v>1.0</v>
      </c>
      <c r="O2" s="88">
        <v>2019.0</v>
      </c>
      <c r="P2" s="88">
        <v>2030.0</v>
      </c>
      <c r="Q2" s="88">
        <v>2020.0</v>
      </c>
      <c r="R2" s="88" t="s">
        <v>684</v>
      </c>
      <c r="S2" s="90"/>
    </row>
    <row r="3">
      <c r="A3" s="91">
        <v>1.0</v>
      </c>
      <c r="B3" s="91">
        <v>66.0</v>
      </c>
      <c r="C3" s="92" t="s">
        <v>345</v>
      </c>
      <c r="D3" s="93" t="s">
        <v>685</v>
      </c>
      <c r="E3" s="93" t="s">
        <v>685</v>
      </c>
      <c r="F3" s="93" t="s">
        <v>603</v>
      </c>
      <c r="G3" s="87" t="s">
        <v>582</v>
      </c>
      <c r="H3" s="94" t="s">
        <v>683</v>
      </c>
      <c r="I3" s="94" t="s">
        <v>683</v>
      </c>
      <c r="J3" s="94" t="s">
        <v>593</v>
      </c>
      <c r="K3" s="95">
        <v>1.0</v>
      </c>
      <c r="L3" s="95">
        <v>1.0</v>
      </c>
      <c r="M3" s="95">
        <v>1.0</v>
      </c>
      <c r="N3" s="95">
        <v>0.5</v>
      </c>
      <c r="O3" s="94">
        <v>2019.0</v>
      </c>
      <c r="P3" s="94">
        <v>2030.0</v>
      </c>
      <c r="Q3" s="94">
        <v>2020.0</v>
      </c>
      <c r="R3" s="94"/>
      <c r="S3" s="96"/>
    </row>
    <row r="4">
      <c r="A4" s="13">
        <f t="shared" ref="A4:A41" si="1">A3+1</f>
        <v>2</v>
      </c>
      <c r="B4" s="13">
        <v>66.0</v>
      </c>
      <c r="C4" s="14" t="str">
        <f>VLOOKUP(B4,companies!$A:$B,2,FALSE)</f>
        <v>Microsoft Corp.</v>
      </c>
      <c r="D4" s="15" t="s">
        <v>535</v>
      </c>
      <c r="E4" s="15">
        <v>1.0</v>
      </c>
      <c r="F4" s="15" t="s">
        <v>686</v>
      </c>
      <c r="G4" s="87" t="s">
        <v>582</v>
      </c>
      <c r="H4" s="88" t="s">
        <v>687</v>
      </c>
      <c r="I4" s="88" t="s">
        <v>688</v>
      </c>
      <c r="J4" s="88" t="s">
        <v>689</v>
      </c>
      <c r="K4" s="88" t="s">
        <v>683</v>
      </c>
      <c r="L4" s="88" t="s">
        <v>683</v>
      </c>
      <c r="M4" s="89">
        <v>1.0</v>
      </c>
      <c r="N4" s="89">
        <v>0.3</v>
      </c>
      <c r="O4" s="88">
        <v>2017.0</v>
      </c>
      <c r="P4" s="88">
        <v>2030.0</v>
      </c>
      <c r="Q4" s="88">
        <v>2020.0</v>
      </c>
      <c r="R4" s="88"/>
    </row>
    <row r="5">
      <c r="A5" s="13">
        <f t="shared" si="1"/>
        <v>3</v>
      </c>
      <c r="B5" s="13">
        <v>66.0</v>
      </c>
      <c r="C5" s="14" t="str">
        <f>VLOOKUP(B5,companies!$A:$B,2,FALSE)</f>
        <v>Microsoft Corp.</v>
      </c>
      <c r="D5" s="15" t="s">
        <v>535</v>
      </c>
      <c r="E5" s="15">
        <v>1.0</v>
      </c>
      <c r="F5" s="15" t="s">
        <v>603</v>
      </c>
      <c r="G5" s="87" t="s">
        <v>582</v>
      </c>
      <c r="H5" s="88" t="s">
        <v>687</v>
      </c>
      <c r="I5" s="88" t="s">
        <v>683</v>
      </c>
      <c r="J5" s="88" t="s">
        <v>689</v>
      </c>
      <c r="K5" s="88" t="s">
        <v>683</v>
      </c>
      <c r="L5" s="88" t="s">
        <v>683</v>
      </c>
      <c r="M5" s="89">
        <v>1.0</v>
      </c>
      <c r="N5" s="89">
        <v>0.0</v>
      </c>
      <c r="O5" s="88">
        <v>2017.0</v>
      </c>
      <c r="P5" s="88">
        <v>2030.0</v>
      </c>
      <c r="Q5" s="88">
        <v>2020.0</v>
      </c>
      <c r="R5" s="88"/>
    </row>
    <row r="6">
      <c r="A6" s="13">
        <f t="shared" si="1"/>
        <v>4</v>
      </c>
      <c r="B6" s="13">
        <v>66.0</v>
      </c>
      <c r="C6" s="14" t="str">
        <f>VLOOKUP(B6,companies!$A:$B,2,FALSE)</f>
        <v>Microsoft Corp.</v>
      </c>
      <c r="D6" s="97">
        <v>44263.0</v>
      </c>
      <c r="E6" s="98"/>
      <c r="F6" s="15" t="s">
        <v>603</v>
      </c>
      <c r="G6" s="87" t="s">
        <v>682</v>
      </c>
      <c r="H6" s="88" t="s">
        <v>683</v>
      </c>
      <c r="I6" s="88" t="s">
        <v>683</v>
      </c>
      <c r="J6" s="88" t="s">
        <v>598</v>
      </c>
      <c r="K6" s="89">
        <v>1.0</v>
      </c>
      <c r="L6" s="89">
        <v>1.0</v>
      </c>
      <c r="M6" s="89">
        <v>0.0</v>
      </c>
      <c r="N6" s="88" t="s">
        <v>597</v>
      </c>
      <c r="O6" s="99"/>
      <c r="P6" s="99"/>
      <c r="Q6" s="94">
        <v>2020.0</v>
      </c>
      <c r="R6" s="88"/>
    </row>
    <row r="7">
      <c r="A7" s="13">
        <f t="shared" si="1"/>
        <v>5</v>
      </c>
      <c r="B7" s="13">
        <v>1.0</v>
      </c>
      <c r="C7" s="14" t="str">
        <f>VLOOKUP(B7,companies!$A:$B,2,FALSE)</f>
        <v>3M</v>
      </c>
      <c r="D7" s="15" t="s">
        <v>535</v>
      </c>
      <c r="E7" s="15">
        <v>2.0</v>
      </c>
      <c r="F7" s="15" t="s">
        <v>603</v>
      </c>
      <c r="G7" s="87" t="s">
        <v>582</v>
      </c>
      <c r="H7" s="88" t="s">
        <v>683</v>
      </c>
      <c r="I7" s="88" t="s">
        <v>683</v>
      </c>
      <c r="J7" s="88" t="s">
        <v>598</v>
      </c>
      <c r="K7" s="89">
        <v>1.0</v>
      </c>
      <c r="L7" s="89">
        <v>1.0</v>
      </c>
      <c r="M7" s="89">
        <v>0.0</v>
      </c>
      <c r="N7" s="89">
        <v>0.5</v>
      </c>
      <c r="O7" s="88">
        <v>2019.0</v>
      </c>
      <c r="P7" s="88">
        <v>2030.0</v>
      </c>
      <c r="Q7" s="88">
        <v>2021.0</v>
      </c>
      <c r="R7" s="88"/>
    </row>
    <row r="8">
      <c r="A8" s="13">
        <f t="shared" si="1"/>
        <v>6</v>
      </c>
      <c r="B8" s="13">
        <v>1.0</v>
      </c>
      <c r="C8" s="14" t="str">
        <f>VLOOKUP(B8,companies!$A:$B,2,FALSE)</f>
        <v>3M</v>
      </c>
      <c r="D8" s="15" t="s">
        <v>535</v>
      </c>
      <c r="E8" s="15">
        <v>2.0</v>
      </c>
      <c r="F8" s="15" t="s">
        <v>603</v>
      </c>
      <c r="G8" s="87" t="s">
        <v>582</v>
      </c>
      <c r="H8" s="88" t="s">
        <v>683</v>
      </c>
      <c r="I8" s="88" t="s">
        <v>683</v>
      </c>
      <c r="J8" s="88" t="s">
        <v>598</v>
      </c>
      <c r="K8" s="89">
        <v>1.0</v>
      </c>
      <c r="L8" s="89">
        <v>1.0</v>
      </c>
      <c r="M8" s="89">
        <v>0.0</v>
      </c>
      <c r="N8" s="89">
        <v>0.8</v>
      </c>
      <c r="O8" s="88">
        <v>2019.0</v>
      </c>
      <c r="P8" s="88">
        <v>2040.0</v>
      </c>
      <c r="Q8" s="88">
        <v>2021.0</v>
      </c>
      <c r="R8" s="88"/>
    </row>
    <row r="9">
      <c r="A9" s="13">
        <f t="shared" si="1"/>
        <v>7</v>
      </c>
      <c r="B9" s="100">
        <v>1.0</v>
      </c>
      <c r="C9" s="14" t="str">
        <f>VLOOKUP(B9,companies!$A:$B,2,FALSE)</f>
        <v>3M</v>
      </c>
      <c r="D9" s="15" t="s">
        <v>535</v>
      </c>
      <c r="E9" s="101">
        <v>2.0</v>
      </c>
      <c r="F9" s="101" t="s">
        <v>603</v>
      </c>
      <c r="G9" s="87" t="s">
        <v>582</v>
      </c>
      <c r="H9" s="102" t="s">
        <v>683</v>
      </c>
      <c r="I9" s="102" t="s">
        <v>683</v>
      </c>
      <c r="J9" s="102" t="s">
        <v>598</v>
      </c>
      <c r="K9" s="103">
        <v>1.0</v>
      </c>
      <c r="L9" s="103">
        <v>1.0</v>
      </c>
      <c r="M9" s="103">
        <v>0.0</v>
      </c>
      <c r="N9" s="89">
        <v>1.0</v>
      </c>
      <c r="O9" s="88">
        <v>2019.0</v>
      </c>
      <c r="P9" s="88">
        <v>2050.0</v>
      </c>
      <c r="Q9" s="88">
        <v>2021.0</v>
      </c>
      <c r="R9" s="88"/>
    </row>
    <row r="10">
      <c r="A10" s="13">
        <f t="shared" si="1"/>
        <v>8</v>
      </c>
      <c r="B10" s="13">
        <v>2.0</v>
      </c>
      <c r="C10" s="14" t="str">
        <f>VLOOKUP(B10,companies!$A:$B,2,FALSE)</f>
        <v>Abbott Laboratories</v>
      </c>
      <c r="D10" s="15" t="s">
        <v>535</v>
      </c>
      <c r="E10" s="15">
        <v>3.0</v>
      </c>
      <c r="F10" s="15" t="s">
        <v>603</v>
      </c>
      <c r="G10" s="87" t="s">
        <v>582</v>
      </c>
      <c r="H10" s="104" t="s">
        <v>683</v>
      </c>
      <c r="I10" s="104" t="s">
        <v>683</v>
      </c>
      <c r="J10" s="104" t="s">
        <v>598</v>
      </c>
      <c r="K10" s="89">
        <v>1.0</v>
      </c>
      <c r="L10" s="89">
        <v>1.0</v>
      </c>
      <c r="M10" s="89">
        <v>0.0</v>
      </c>
      <c r="N10" s="89">
        <v>0.3</v>
      </c>
      <c r="O10" s="88">
        <v>2018.0</v>
      </c>
      <c r="P10" s="88">
        <v>2030.0</v>
      </c>
      <c r="Q10" s="88">
        <v>2021.0</v>
      </c>
      <c r="R10" s="88" t="s">
        <v>690</v>
      </c>
      <c r="S10" s="36" t="s">
        <v>582</v>
      </c>
    </row>
    <row r="11">
      <c r="A11" s="13">
        <f t="shared" si="1"/>
        <v>9</v>
      </c>
      <c r="B11" s="13">
        <v>3.0</v>
      </c>
      <c r="C11" s="14" t="str">
        <f>VLOOKUP(B11,companies!$A:$B,2,FALSE)</f>
        <v>AbbVie Inc.</v>
      </c>
      <c r="D11" s="15" t="s">
        <v>535</v>
      </c>
      <c r="E11" s="15">
        <v>4.0</v>
      </c>
      <c r="F11" s="15" t="s">
        <v>603</v>
      </c>
      <c r="G11" s="87" t="s">
        <v>582</v>
      </c>
      <c r="H11" s="104" t="s">
        <v>683</v>
      </c>
      <c r="I11" s="104" t="s">
        <v>683</v>
      </c>
      <c r="J11" s="104" t="s">
        <v>598</v>
      </c>
      <c r="K11" s="89">
        <v>1.0</v>
      </c>
      <c r="L11" s="89">
        <v>1.0</v>
      </c>
      <c r="M11" s="89">
        <v>0.0</v>
      </c>
      <c r="N11" s="89">
        <v>0.25</v>
      </c>
      <c r="O11" s="88">
        <v>2015.0</v>
      </c>
      <c r="P11" s="88">
        <v>2025.0</v>
      </c>
      <c r="Q11" s="88">
        <v>2016.0</v>
      </c>
      <c r="R11" s="88"/>
    </row>
    <row r="12">
      <c r="A12" s="13">
        <f t="shared" si="1"/>
        <v>10</v>
      </c>
      <c r="B12" s="13">
        <v>3.0</v>
      </c>
      <c r="C12" s="14" t="str">
        <f>VLOOKUP(B12,companies!$A:$B,2,FALSE)</f>
        <v>AbbVie Inc.</v>
      </c>
      <c r="D12" s="15" t="s">
        <v>535</v>
      </c>
      <c r="E12" s="15">
        <v>4.0</v>
      </c>
      <c r="F12" s="15" t="s">
        <v>603</v>
      </c>
      <c r="G12" s="87" t="s">
        <v>582</v>
      </c>
      <c r="H12" s="104" t="s">
        <v>683</v>
      </c>
      <c r="I12" s="104" t="s">
        <v>683</v>
      </c>
      <c r="J12" s="104" t="s">
        <v>598</v>
      </c>
      <c r="K12" s="89">
        <v>1.0</v>
      </c>
      <c r="L12" s="89">
        <v>1.0</v>
      </c>
      <c r="M12" s="89">
        <v>0.0</v>
      </c>
      <c r="N12" s="89">
        <v>0.5</v>
      </c>
      <c r="O12" s="88">
        <v>2015.0</v>
      </c>
      <c r="P12" s="88">
        <v>2035.0</v>
      </c>
      <c r="Q12" s="88">
        <v>2016.0</v>
      </c>
      <c r="R12" s="88"/>
    </row>
    <row r="13">
      <c r="A13" s="13">
        <f t="shared" si="1"/>
        <v>11</v>
      </c>
      <c r="B13" s="13">
        <v>4.0</v>
      </c>
      <c r="C13" s="14" t="str">
        <f>VLOOKUP(B13,companies!$A:$B,2,FALSE)</f>
        <v>Accenture</v>
      </c>
      <c r="D13" s="15" t="s">
        <v>535</v>
      </c>
      <c r="E13" s="15">
        <v>6.0</v>
      </c>
      <c r="F13" s="15" t="s">
        <v>603</v>
      </c>
      <c r="G13" s="87" t="s">
        <v>582</v>
      </c>
      <c r="H13" s="88" t="s">
        <v>687</v>
      </c>
      <c r="I13" s="88" t="s">
        <v>683</v>
      </c>
      <c r="J13" s="88" t="s">
        <v>593</v>
      </c>
      <c r="K13" s="89">
        <v>1.0</v>
      </c>
      <c r="L13" s="89">
        <v>1.0</v>
      </c>
      <c r="M13" s="89">
        <v>1.0</v>
      </c>
      <c r="N13" s="89">
        <v>0.11</v>
      </c>
      <c r="O13" s="88">
        <v>2016.0</v>
      </c>
      <c r="P13" s="88">
        <v>2025.0</v>
      </c>
      <c r="Q13" s="88">
        <v>2018.0</v>
      </c>
      <c r="R13" s="88" t="s">
        <v>691</v>
      </c>
    </row>
    <row r="14">
      <c r="A14" s="13">
        <f t="shared" si="1"/>
        <v>12</v>
      </c>
      <c r="B14" s="13">
        <v>4.0</v>
      </c>
      <c r="C14" s="14" t="str">
        <f>VLOOKUP(B14,companies!$A:$B,2,FALSE)</f>
        <v>Accenture</v>
      </c>
      <c r="D14" s="15" t="s">
        <v>535</v>
      </c>
      <c r="E14" s="15">
        <v>6.0</v>
      </c>
      <c r="F14" s="15" t="s">
        <v>603</v>
      </c>
      <c r="G14" s="87" t="s">
        <v>582</v>
      </c>
      <c r="H14" s="88" t="s">
        <v>687</v>
      </c>
      <c r="I14" s="88" t="s">
        <v>683</v>
      </c>
      <c r="J14" s="88" t="s">
        <v>598</v>
      </c>
      <c r="K14" s="89">
        <v>1.0</v>
      </c>
      <c r="L14" s="89">
        <v>1.0</v>
      </c>
      <c r="M14" s="89">
        <v>0.0</v>
      </c>
      <c r="N14" s="89">
        <v>0.65</v>
      </c>
      <c r="O14" s="88">
        <v>2016.0</v>
      </c>
      <c r="P14" s="88">
        <v>2025.0</v>
      </c>
      <c r="Q14" s="88">
        <v>2018.0</v>
      </c>
      <c r="R14" s="88" t="s">
        <v>691</v>
      </c>
    </row>
    <row r="15">
      <c r="A15" s="13">
        <f t="shared" si="1"/>
        <v>13</v>
      </c>
      <c r="B15" s="13">
        <v>4.0</v>
      </c>
      <c r="C15" s="14" t="str">
        <f>VLOOKUP(B15,companies!$A:$B,2,FALSE)</f>
        <v>Accenture</v>
      </c>
      <c r="D15" s="15" t="s">
        <v>535</v>
      </c>
      <c r="E15" s="15">
        <v>6.0</v>
      </c>
      <c r="F15" s="15" t="s">
        <v>686</v>
      </c>
      <c r="G15" s="87" t="s">
        <v>582</v>
      </c>
      <c r="H15" s="88" t="s">
        <v>687</v>
      </c>
      <c r="I15" s="88" t="s">
        <v>688</v>
      </c>
      <c r="J15" s="88" t="s">
        <v>593</v>
      </c>
      <c r="K15" s="89">
        <v>1.0</v>
      </c>
      <c r="L15" s="89">
        <v>1.0</v>
      </c>
      <c r="M15" s="89">
        <v>1.0</v>
      </c>
      <c r="N15" s="89">
        <v>0.4</v>
      </c>
      <c r="O15" s="88">
        <v>2016.0</v>
      </c>
      <c r="P15" s="88">
        <v>2025.0</v>
      </c>
      <c r="Q15" s="88">
        <v>2018.0</v>
      </c>
      <c r="R15" s="88" t="s">
        <v>691</v>
      </c>
    </row>
    <row r="16">
      <c r="A16" s="13">
        <f t="shared" si="1"/>
        <v>14</v>
      </c>
      <c r="B16" s="13">
        <v>4.0</v>
      </c>
      <c r="C16" s="14" t="str">
        <f>VLOOKUP(B16,companies!$A:$B,2,FALSE)</f>
        <v>Accenture</v>
      </c>
      <c r="D16" s="15" t="s">
        <v>535</v>
      </c>
      <c r="E16" s="15">
        <v>7.0</v>
      </c>
      <c r="F16" s="24" t="s">
        <v>603</v>
      </c>
      <c r="G16" s="87" t="s">
        <v>682</v>
      </c>
      <c r="H16" s="88" t="s">
        <v>683</v>
      </c>
      <c r="I16" s="88" t="s">
        <v>683</v>
      </c>
      <c r="J16" s="88" t="s">
        <v>598</v>
      </c>
      <c r="K16" s="89">
        <v>1.0</v>
      </c>
      <c r="L16" s="89">
        <v>1.0</v>
      </c>
      <c r="M16" s="89">
        <v>0.0</v>
      </c>
      <c r="N16" s="89">
        <v>1.0</v>
      </c>
      <c r="O16" s="88">
        <v>2019.0</v>
      </c>
      <c r="P16" s="88">
        <v>2025.0</v>
      </c>
      <c r="Q16" s="88">
        <v>2020.0</v>
      </c>
    </row>
    <row r="17">
      <c r="A17" s="13">
        <f t="shared" si="1"/>
        <v>15</v>
      </c>
      <c r="B17" s="13">
        <v>5.0</v>
      </c>
      <c r="C17" s="14" t="str">
        <f>VLOOKUP(B17,companies!$A:$B,2,FALSE)</f>
        <v>Adobe Inc.</v>
      </c>
      <c r="D17" s="15" t="s">
        <v>535</v>
      </c>
      <c r="E17" s="15">
        <v>8.0</v>
      </c>
      <c r="F17" s="15" t="s">
        <v>603</v>
      </c>
      <c r="G17" s="87" t="s">
        <v>582</v>
      </c>
      <c r="H17" s="88" t="s">
        <v>687</v>
      </c>
      <c r="I17" s="88" t="s">
        <v>683</v>
      </c>
      <c r="J17" s="88" t="s">
        <v>598</v>
      </c>
      <c r="K17" s="89">
        <v>1.0</v>
      </c>
      <c r="L17" s="89">
        <v>1.0</v>
      </c>
      <c r="M17" s="89">
        <v>0.0</v>
      </c>
      <c r="N17" s="89">
        <v>0.35</v>
      </c>
      <c r="O17" s="88">
        <v>2018.0</v>
      </c>
      <c r="P17" s="88">
        <v>2025.0</v>
      </c>
      <c r="Q17" s="88">
        <v>2019.0</v>
      </c>
      <c r="R17" s="88" t="s">
        <v>692</v>
      </c>
    </row>
    <row r="18">
      <c r="A18" s="13">
        <f t="shared" si="1"/>
        <v>16</v>
      </c>
      <c r="B18" s="13">
        <v>5.0</v>
      </c>
      <c r="C18" s="14" t="str">
        <f>VLOOKUP(B18,companies!$A:$B,2,FALSE)</f>
        <v>Adobe Inc.</v>
      </c>
      <c r="D18" s="15" t="s">
        <v>535</v>
      </c>
      <c r="E18" s="15">
        <v>8.0</v>
      </c>
      <c r="F18" s="15" t="s">
        <v>603</v>
      </c>
      <c r="G18" s="87" t="s">
        <v>582</v>
      </c>
      <c r="H18" s="88" t="s">
        <v>687</v>
      </c>
      <c r="I18" s="88" t="s">
        <v>683</v>
      </c>
      <c r="J18" s="88" t="s">
        <v>689</v>
      </c>
      <c r="K18" s="89">
        <v>0.0</v>
      </c>
      <c r="L18" s="89">
        <v>0.0</v>
      </c>
      <c r="M18" s="89">
        <v>0.16</v>
      </c>
      <c r="N18" s="89">
        <v>0.3</v>
      </c>
      <c r="O18" s="88">
        <v>2018.0</v>
      </c>
      <c r="P18" s="88">
        <v>2025.0</v>
      </c>
      <c r="Q18" s="88">
        <v>2019.0</v>
      </c>
      <c r="R18" s="88" t="s">
        <v>693</v>
      </c>
    </row>
    <row r="19">
      <c r="A19" s="105">
        <f t="shared" si="1"/>
        <v>17</v>
      </c>
      <c r="B19" s="105">
        <v>5.0</v>
      </c>
      <c r="C19" s="106" t="str">
        <f>VLOOKUP(B19,companies!$A:$B,2,FALSE)</f>
        <v>Adobe Inc.</v>
      </c>
      <c r="D19" s="107"/>
      <c r="E19" s="107"/>
      <c r="F19" s="107"/>
      <c r="G19" s="108"/>
      <c r="H19" s="108"/>
      <c r="I19" s="108"/>
      <c r="J19" s="108"/>
      <c r="K19" s="109"/>
      <c r="L19" s="109"/>
      <c r="M19" s="109"/>
      <c r="N19" s="109"/>
      <c r="O19" s="108"/>
      <c r="P19" s="108"/>
      <c r="Q19" s="108"/>
      <c r="R19" s="108"/>
    </row>
    <row r="20">
      <c r="A20" s="13">
        <f t="shared" si="1"/>
        <v>18</v>
      </c>
      <c r="B20" s="13">
        <v>5.0</v>
      </c>
      <c r="C20" s="14" t="str">
        <f>VLOOKUP(B20,companies!$A:$B,2,FALSE)</f>
        <v>Adobe Inc.</v>
      </c>
      <c r="D20" s="15" t="s">
        <v>535</v>
      </c>
      <c r="E20" s="15">
        <v>8.0</v>
      </c>
      <c r="F20" s="15" t="s">
        <v>603</v>
      </c>
      <c r="G20" s="87" t="s">
        <v>582</v>
      </c>
      <c r="H20" s="88" t="s">
        <v>687</v>
      </c>
      <c r="I20" s="88" t="s">
        <v>683</v>
      </c>
      <c r="J20" s="88" t="s">
        <v>598</v>
      </c>
      <c r="K20" s="89">
        <v>1.0</v>
      </c>
      <c r="L20" s="89">
        <v>1.0</v>
      </c>
      <c r="M20" s="89">
        <v>0.0</v>
      </c>
      <c r="N20" s="89">
        <v>0.8</v>
      </c>
      <c r="O20" s="88">
        <v>2018.0</v>
      </c>
      <c r="P20" s="88">
        <v>2035.0</v>
      </c>
      <c r="Q20" s="88">
        <v>2019.0</v>
      </c>
      <c r="R20" s="88" t="s">
        <v>694</v>
      </c>
    </row>
    <row r="21">
      <c r="A21" s="13">
        <f t="shared" si="1"/>
        <v>19</v>
      </c>
      <c r="B21" s="13">
        <v>5.0</v>
      </c>
      <c r="C21" s="14" t="str">
        <f>VLOOKUP(B21,companies!$A:$B,2,FALSE)</f>
        <v>Adobe Inc.</v>
      </c>
      <c r="D21" s="15" t="s">
        <v>535</v>
      </c>
      <c r="E21" s="15">
        <v>8.0</v>
      </c>
      <c r="F21" s="15" t="s">
        <v>603</v>
      </c>
      <c r="G21" s="87" t="s">
        <v>582</v>
      </c>
      <c r="H21" s="88" t="s">
        <v>687</v>
      </c>
      <c r="I21" s="88" t="s">
        <v>683</v>
      </c>
      <c r="J21" s="88" t="s">
        <v>598</v>
      </c>
      <c r="K21" s="89">
        <v>1.0</v>
      </c>
      <c r="L21" s="89">
        <v>1.0</v>
      </c>
      <c r="M21" s="89">
        <v>0.0</v>
      </c>
      <c r="N21" s="89">
        <v>1.0</v>
      </c>
      <c r="O21" s="88">
        <v>2018.0</v>
      </c>
      <c r="P21" s="88">
        <v>2050.0</v>
      </c>
      <c r="Q21" s="88">
        <v>2019.0</v>
      </c>
      <c r="R21" s="88" t="s">
        <v>695</v>
      </c>
    </row>
    <row r="22">
      <c r="A22" s="13">
        <f t="shared" si="1"/>
        <v>20</v>
      </c>
      <c r="B22" s="13">
        <v>7.0</v>
      </c>
      <c r="C22" s="14" t="str">
        <f>VLOOKUP(B22,companies!$A:$B,2,FALSE)</f>
        <v>Alphabet Inc. Google</v>
      </c>
      <c r="D22" s="16">
        <v>44204.0</v>
      </c>
      <c r="E22" s="15">
        <v>10.0</v>
      </c>
      <c r="F22" s="15" t="s">
        <v>603</v>
      </c>
      <c r="G22" s="87" t="s">
        <v>682</v>
      </c>
      <c r="H22" s="88" t="s">
        <v>683</v>
      </c>
      <c r="I22" s="88" t="s">
        <v>683</v>
      </c>
      <c r="J22" s="88" t="s">
        <v>598</v>
      </c>
      <c r="K22" s="89">
        <v>1.0</v>
      </c>
      <c r="L22" s="89">
        <v>1.0</v>
      </c>
      <c r="M22" s="89">
        <v>0.0</v>
      </c>
      <c r="N22" s="88" t="s">
        <v>597</v>
      </c>
      <c r="O22" s="88"/>
      <c r="P22" s="88"/>
      <c r="Q22" s="94">
        <v>2020.0</v>
      </c>
      <c r="R22" s="88" t="s">
        <v>696</v>
      </c>
    </row>
    <row r="23">
      <c r="A23" s="13">
        <f t="shared" si="1"/>
        <v>21</v>
      </c>
      <c r="B23" s="13">
        <v>8.0</v>
      </c>
      <c r="C23" s="14" t="str">
        <f>VLOOKUP(B23,companies!$A:$B,2,FALSE)</f>
        <v>Altria Group Inc</v>
      </c>
      <c r="D23" s="16">
        <v>44204.0</v>
      </c>
      <c r="E23" s="15">
        <v>11.0</v>
      </c>
      <c r="F23" s="15" t="s">
        <v>603</v>
      </c>
      <c r="G23" s="87" t="s">
        <v>582</v>
      </c>
      <c r="H23" s="88" t="s">
        <v>687</v>
      </c>
      <c r="I23" s="88" t="s">
        <v>683</v>
      </c>
      <c r="J23" s="88" t="s">
        <v>598</v>
      </c>
      <c r="K23" s="89">
        <v>1.0</v>
      </c>
      <c r="L23" s="89">
        <v>1.0</v>
      </c>
      <c r="M23" s="89">
        <v>0.0</v>
      </c>
      <c r="N23" s="89">
        <v>0.55</v>
      </c>
      <c r="O23" s="88">
        <v>2017.0</v>
      </c>
      <c r="P23" s="88">
        <v>2030.0</v>
      </c>
      <c r="Q23" s="88">
        <v>2020.0</v>
      </c>
      <c r="R23" s="88" t="s">
        <v>697</v>
      </c>
    </row>
    <row r="24">
      <c r="A24" s="13">
        <f t="shared" si="1"/>
        <v>22</v>
      </c>
      <c r="B24" s="13">
        <v>8.0</v>
      </c>
      <c r="C24" s="14" t="str">
        <f>VLOOKUP(B24,companies!$A:$B,2,FALSE)</f>
        <v>Altria Group Inc</v>
      </c>
      <c r="D24" s="16">
        <v>44204.0</v>
      </c>
      <c r="E24" s="15">
        <v>11.0</v>
      </c>
      <c r="F24" s="15" t="s">
        <v>603</v>
      </c>
      <c r="G24" s="87" t="s">
        <v>582</v>
      </c>
      <c r="H24" s="88" t="s">
        <v>687</v>
      </c>
      <c r="I24" s="88" t="s">
        <v>683</v>
      </c>
      <c r="J24" s="88" t="s">
        <v>689</v>
      </c>
      <c r="K24" s="89">
        <v>0.0</v>
      </c>
      <c r="L24" s="89">
        <v>0.0</v>
      </c>
      <c r="M24" s="89">
        <v>1.0</v>
      </c>
      <c r="N24" s="89">
        <v>0.18</v>
      </c>
      <c r="O24" s="88">
        <v>2017.0</v>
      </c>
      <c r="P24" s="88">
        <v>2030.0</v>
      </c>
      <c r="Q24" s="88">
        <v>2020.0</v>
      </c>
      <c r="R24" s="88" t="s">
        <v>697</v>
      </c>
    </row>
    <row r="25">
      <c r="A25" s="13">
        <f t="shared" si="1"/>
        <v>23</v>
      </c>
      <c r="B25" s="13">
        <v>13.0</v>
      </c>
      <c r="C25" s="14" t="str">
        <f>VLOOKUP(B25,companies!$A:$B,2,FALSE)</f>
        <v>Amgen Inc.</v>
      </c>
      <c r="D25" s="16">
        <v>44235.0</v>
      </c>
      <c r="E25" s="15">
        <v>15.0</v>
      </c>
      <c r="F25" s="15" t="s">
        <v>603</v>
      </c>
      <c r="G25" s="87" t="s">
        <v>582</v>
      </c>
      <c r="H25" s="88" t="s">
        <v>683</v>
      </c>
      <c r="I25" s="88" t="s">
        <v>683</v>
      </c>
      <c r="J25" s="88" t="s">
        <v>598</v>
      </c>
      <c r="K25" s="89">
        <v>1.0</v>
      </c>
      <c r="L25" s="89">
        <v>1.0</v>
      </c>
      <c r="M25" s="89">
        <v>0.0</v>
      </c>
      <c r="N25" s="89">
        <v>1.0</v>
      </c>
      <c r="O25" s="88">
        <v>2019.0</v>
      </c>
      <c r="P25" s="88">
        <v>2027.0</v>
      </c>
      <c r="Q25" s="88">
        <v>2020.0</v>
      </c>
      <c r="R25" s="88" t="s">
        <v>698</v>
      </c>
    </row>
    <row r="26">
      <c r="A26" s="13">
        <f t="shared" si="1"/>
        <v>24</v>
      </c>
      <c r="B26" s="13">
        <v>14.0</v>
      </c>
      <c r="C26" s="14" t="str">
        <f>VLOOKUP(B26,companies!$A:$B,2,FALSE)</f>
        <v>Apple Inc.</v>
      </c>
      <c r="D26" s="16">
        <v>44235.0</v>
      </c>
      <c r="E26" s="15">
        <v>17.0</v>
      </c>
      <c r="F26" s="15" t="s">
        <v>603</v>
      </c>
      <c r="G26" s="87" t="s">
        <v>582</v>
      </c>
      <c r="H26" s="88" t="s">
        <v>687</v>
      </c>
      <c r="I26" s="88" t="s">
        <v>683</v>
      </c>
      <c r="J26" s="88" t="s">
        <v>593</v>
      </c>
      <c r="K26" s="89">
        <v>1.0</v>
      </c>
      <c r="L26" s="89">
        <v>1.0</v>
      </c>
      <c r="M26" s="89">
        <v>1.0</v>
      </c>
      <c r="N26" s="89">
        <v>0.62</v>
      </c>
      <c r="O26" s="88">
        <v>2019.0</v>
      </c>
      <c r="P26" s="88">
        <v>2030.0</v>
      </c>
      <c r="Q26" s="88">
        <v>2020.0</v>
      </c>
      <c r="R26" s="88" t="s">
        <v>699</v>
      </c>
    </row>
    <row r="27">
      <c r="A27" s="110">
        <f t="shared" si="1"/>
        <v>25</v>
      </c>
      <c r="B27" s="110">
        <v>14.0</v>
      </c>
      <c r="C27" s="111" t="str">
        <f>VLOOKUP(B27,companies!$A:$B,2,FALSE)</f>
        <v>Apple Inc.</v>
      </c>
      <c r="D27" s="112"/>
      <c r="E27" s="113">
        <v>16.0</v>
      </c>
      <c r="F27" s="113" t="s">
        <v>603</v>
      </c>
      <c r="G27" s="87" t="s">
        <v>682</v>
      </c>
      <c r="H27" s="87"/>
      <c r="I27" s="87"/>
      <c r="J27" s="87"/>
      <c r="K27" s="114"/>
      <c r="L27" s="114"/>
      <c r="M27" s="114"/>
      <c r="N27" s="114"/>
      <c r="O27" s="87"/>
      <c r="P27" s="87"/>
      <c r="Q27" s="87"/>
      <c r="R27" s="87"/>
    </row>
    <row r="28">
      <c r="A28" s="13">
        <f t="shared" si="1"/>
        <v>26</v>
      </c>
      <c r="B28" s="13">
        <v>15.0</v>
      </c>
      <c r="C28" s="14" t="str">
        <f>VLOOKUP(B28,companies!$A:$B,2,FALSE)</f>
        <v>AT&amp;T Inc.</v>
      </c>
      <c r="D28" s="16">
        <v>44235.0</v>
      </c>
      <c r="E28" s="15">
        <v>18.0</v>
      </c>
      <c r="F28" s="15" t="s">
        <v>603</v>
      </c>
      <c r="G28" s="87" t="s">
        <v>582</v>
      </c>
      <c r="H28" s="88" t="s">
        <v>687</v>
      </c>
      <c r="I28" s="88" t="s">
        <v>683</v>
      </c>
      <c r="J28" s="88" t="s">
        <v>598</v>
      </c>
      <c r="K28" s="89">
        <v>1.0</v>
      </c>
      <c r="L28" s="89">
        <v>1.0</v>
      </c>
      <c r="M28" s="89">
        <v>0.0</v>
      </c>
      <c r="N28" s="89">
        <v>0.63</v>
      </c>
      <c r="O28" s="88">
        <v>2015.0</v>
      </c>
      <c r="P28" s="88">
        <v>2030.0</v>
      </c>
      <c r="Q28" s="88">
        <v>2020.0</v>
      </c>
      <c r="R28" s="88"/>
    </row>
    <row r="29">
      <c r="A29" s="13">
        <f t="shared" si="1"/>
        <v>27</v>
      </c>
      <c r="B29" s="13">
        <v>15.0</v>
      </c>
      <c r="C29" s="14" t="str">
        <f>VLOOKUP(B29,companies!$A:$B,2,FALSE)</f>
        <v>AT&amp;T Inc.</v>
      </c>
      <c r="D29" s="16">
        <v>44235.0</v>
      </c>
      <c r="E29" s="15">
        <v>18.0</v>
      </c>
      <c r="F29" s="15" t="s">
        <v>603</v>
      </c>
      <c r="G29" s="87" t="s">
        <v>582</v>
      </c>
      <c r="H29" s="88" t="s">
        <v>683</v>
      </c>
      <c r="I29" s="88" t="s">
        <v>683</v>
      </c>
      <c r="J29" s="88" t="s">
        <v>598</v>
      </c>
      <c r="K29" s="89">
        <v>1.0</v>
      </c>
      <c r="L29" s="89">
        <v>1.0</v>
      </c>
      <c r="M29" s="89">
        <v>0.0</v>
      </c>
      <c r="N29" s="89">
        <v>1.0</v>
      </c>
      <c r="O29" s="88">
        <v>2015.0</v>
      </c>
      <c r="P29" s="88">
        <v>2035.0</v>
      </c>
      <c r="Q29" s="88">
        <v>2020.0</v>
      </c>
      <c r="R29" s="88"/>
    </row>
    <row r="30">
      <c r="A30" s="13">
        <f t="shared" si="1"/>
        <v>28</v>
      </c>
      <c r="B30" s="13">
        <v>16.0</v>
      </c>
      <c r="C30" s="14" t="str">
        <f>VLOOKUP(B30,companies!$A:$B,2,FALSE)</f>
        <v>Bank of America</v>
      </c>
      <c r="D30" s="16">
        <v>44235.0</v>
      </c>
      <c r="E30" s="15">
        <v>20.0</v>
      </c>
      <c r="F30" s="15" t="s">
        <v>603</v>
      </c>
      <c r="G30" s="87" t="s">
        <v>682</v>
      </c>
      <c r="H30" s="88" t="s">
        <v>683</v>
      </c>
      <c r="I30" s="88" t="s">
        <v>683</v>
      </c>
      <c r="J30" s="88" t="s">
        <v>593</v>
      </c>
      <c r="K30" s="89">
        <v>1.0</v>
      </c>
      <c r="L30" s="89">
        <v>1.0</v>
      </c>
      <c r="M30" s="89">
        <v>1.0</v>
      </c>
      <c r="N30" s="89">
        <v>1.0</v>
      </c>
      <c r="O30" s="88">
        <v>2020.0</v>
      </c>
      <c r="P30" s="88">
        <v>2050.0</v>
      </c>
      <c r="Q30" s="88">
        <v>2020.0</v>
      </c>
      <c r="R30" s="88" t="s">
        <v>700</v>
      </c>
    </row>
    <row r="31">
      <c r="A31" s="13">
        <f t="shared" si="1"/>
        <v>29</v>
      </c>
      <c r="B31" s="13">
        <v>9.0</v>
      </c>
      <c r="C31" s="14" t="str">
        <f>VLOOKUP(B31,companies!$A:$B,2,FALSE)</f>
        <v>Amazon.com Inc.</v>
      </c>
      <c r="D31" s="16">
        <v>44235.0</v>
      </c>
      <c r="E31" s="15">
        <v>21.0</v>
      </c>
      <c r="F31" s="15" t="s">
        <v>603</v>
      </c>
      <c r="G31" s="87" t="s">
        <v>682</v>
      </c>
      <c r="H31" s="88" t="s">
        <v>683</v>
      </c>
      <c r="I31" s="88" t="s">
        <v>683</v>
      </c>
      <c r="J31" s="88" t="s">
        <v>593</v>
      </c>
      <c r="K31" s="89">
        <v>1.0</v>
      </c>
      <c r="L31" s="89">
        <v>1.0</v>
      </c>
      <c r="M31" s="89">
        <v>1.0</v>
      </c>
      <c r="N31" s="89">
        <v>1.0</v>
      </c>
      <c r="O31" s="88">
        <v>2019.0</v>
      </c>
      <c r="P31" s="88">
        <v>2040.0</v>
      </c>
      <c r="Q31" s="88">
        <v>2019.0</v>
      </c>
      <c r="R31" s="88" t="s">
        <v>701</v>
      </c>
    </row>
    <row r="32">
      <c r="A32" s="115">
        <f t="shared" si="1"/>
        <v>30</v>
      </c>
      <c r="B32" s="115">
        <v>9.0</v>
      </c>
      <c r="C32" s="116" t="str">
        <f>VLOOKUP(B32,companies!$A:$B,2,FALSE)</f>
        <v>Amazon.com Inc.</v>
      </c>
      <c r="D32" s="117"/>
      <c r="E32" s="118"/>
      <c r="F32" s="118" t="s">
        <v>603</v>
      </c>
      <c r="G32" s="119" t="s">
        <v>682</v>
      </c>
      <c r="H32" s="119" t="s">
        <v>683</v>
      </c>
      <c r="I32" s="119" t="s">
        <v>683</v>
      </c>
      <c r="J32" s="119" t="s">
        <v>598</v>
      </c>
      <c r="K32" s="120">
        <v>1.0</v>
      </c>
      <c r="L32" s="120">
        <v>1.0</v>
      </c>
      <c r="M32" s="120">
        <v>0.0</v>
      </c>
      <c r="N32" s="119" t="s">
        <v>597</v>
      </c>
      <c r="O32" s="119"/>
      <c r="P32" s="119"/>
      <c r="Q32" s="119">
        <v>2020.0</v>
      </c>
      <c r="R32" s="119"/>
    </row>
    <row r="33">
      <c r="A33" s="13">
        <f t="shared" si="1"/>
        <v>31</v>
      </c>
      <c r="B33" s="13">
        <v>18.0</v>
      </c>
      <c r="C33" s="14" t="str">
        <f>VLOOKUP(B33,companies!$A:$B,2,FALSE)</f>
        <v>Biogen Inc.</v>
      </c>
      <c r="D33" s="16">
        <v>44235.0</v>
      </c>
      <c r="E33" s="15">
        <v>22.0</v>
      </c>
      <c r="F33" s="15" t="s">
        <v>603</v>
      </c>
      <c r="G33" s="87" t="s">
        <v>582</v>
      </c>
      <c r="H33" s="88" t="s">
        <v>687</v>
      </c>
      <c r="I33" s="88" t="s">
        <v>683</v>
      </c>
      <c r="J33" s="88" t="s">
        <v>598</v>
      </c>
      <c r="K33" s="89">
        <v>1.0</v>
      </c>
      <c r="L33" s="89">
        <v>1.0</v>
      </c>
      <c r="M33" s="89">
        <v>0.0</v>
      </c>
      <c r="N33" s="89">
        <v>0.55</v>
      </c>
      <c r="O33" s="88">
        <v>2019.0</v>
      </c>
      <c r="P33" s="88">
        <v>2032.0</v>
      </c>
      <c r="Q33" s="88">
        <v>2019.0</v>
      </c>
      <c r="R33" s="88"/>
    </row>
    <row r="34">
      <c r="A34" s="13">
        <f t="shared" si="1"/>
        <v>32</v>
      </c>
      <c r="B34" s="13">
        <v>18.0</v>
      </c>
      <c r="C34" s="14" t="str">
        <f>VLOOKUP(B34,companies!$A:$B,2,FALSE)</f>
        <v>Biogen Inc.</v>
      </c>
      <c r="D34" s="16">
        <v>44235.0</v>
      </c>
      <c r="E34" s="15">
        <v>22.0</v>
      </c>
      <c r="F34" s="15" t="s">
        <v>603</v>
      </c>
      <c r="G34" s="87" t="s">
        <v>582</v>
      </c>
      <c r="H34" s="88" t="s">
        <v>687</v>
      </c>
      <c r="I34" s="88" t="s">
        <v>683</v>
      </c>
      <c r="J34" s="88" t="s">
        <v>598</v>
      </c>
      <c r="K34" s="89">
        <v>1.0</v>
      </c>
      <c r="L34" s="89">
        <v>1.0</v>
      </c>
      <c r="M34" s="89">
        <v>0.0</v>
      </c>
      <c r="N34" s="89">
        <v>1.0</v>
      </c>
      <c r="O34" s="88">
        <v>2019.0</v>
      </c>
      <c r="P34" s="88">
        <v>2040.0</v>
      </c>
      <c r="Q34" s="88">
        <v>2019.0</v>
      </c>
      <c r="R34" s="88"/>
    </row>
    <row r="35">
      <c r="A35" s="13">
        <f t="shared" si="1"/>
        <v>33</v>
      </c>
      <c r="B35" s="13">
        <v>18.0</v>
      </c>
      <c r="C35" s="14" t="str">
        <f>VLOOKUP(B35,companies!$A:$B,2,FALSE)</f>
        <v>Biogen Inc.</v>
      </c>
      <c r="D35" s="117"/>
      <c r="E35" s="118"/>
      <c r="F35" s="118" t="s">
        <v>603</v>
      </c>
      <c r="G35" s="119" t="s">
        <v>682</v>
      </c>
      <c r="H35" s="119" t="s">
        <v>683</v>
      </c>
      <c r="I35" s="119" t="s">
        <v>683</v>
      </c>
      <c r="J35" s="119" t="s">
        <v>598</v>
      </c>
      <c r="K35" s="120">
        <v>1.0</v>
      </c>
      <c r="L35" s="120">
        <v>1.0</v>
      </c>
      <c r="M35" s="120">
        <v>0.0</v>
      </c>
      <c r="N35" s="119" t="s">
        <v>597</v>
      </c>
      <c r="O35" s="119"/>
      <c r="P35" s="119"/>
      <c r="Q35" s="119">
        <v>2020.0</v>
      </c>
      <c r="R35" s="119"/>
    </row>
    <row r="36">
      <c r="A36" s="13">
        <f t="shared" si="1"/>
        <v>34</v>
      </c>
      <c r="B36" s="13">
        <v>18.0</v>
      </c>
      <c r="C36" s="14" t="str">
        <f>VLOOKUP(B36,companies!$A:$B,2,FALSE)</f>
        <v>Biogen Inc.</v>
      </c>
      <c r="D36" s="16">
        <v>44235.0</v>
      </c>
      <c r="E36" s="15">
        <v>23.0</v>
      </c>
      <c r="F36" s="15" t="s">
        <v>603</v>
      </c>
      <c r="G36" s="87" t="s">
        <v>682</v>
      </c>
      <c r="H36" s="88" t="s">
        <v>683</v>
      </c>
      <c r="I36" s="88" t="s">
        <v>683</v>
      </c>
      <c r="J36" s="88" t="s">
        <v>593</v>
      </c>
      <c r="K36" s="89">
        <v>1.0</v>
      </c>
      <c r="L36" s="89">
        <v>1.0</v>
      </c>
      <c r="M36" s="89">
        <v>1.0</v>
      </c>
      <c r="N36" s="89">
        <v>1.0</v>
      </c>
      <c r="O36" s="88">
        <v>2020.0</v>
      </c>
      <c r="P36" s="88">
        <v>2050.0</v>
      </c>
      <c r="Q36" s="88">
        <v>2020.0</v>
      </c>
      <c r="R36" s="88" t="s">
        <v>702</v>
      </c>
    </row>
    <row r="37">
      <c r="A37" s="13">
        <f t="shared" si="1"/>
        <v>35</v>
      </c>
      <c r="B37" s="13"/>
      <c r="C37" s="14"/>
      <c r="D37" s="16"/>
      <c r="E37" s="15"/>
      <c r="F37" s="15"/>
      <c r="G37" s="88"/>
      <c r="H37" s="88"/>
      <c r="I37" s="88"/>
      <c r="J37" s="88"/>
      <c r="K37" s="88"/>
      <c r="L37" s="88"/>
      <c r="M37" s="89"/>
      <c r="N37" s="89"/>
      <c r="O37" s="88"/>
      <c r="P37" s="88"/>
      <c r="Q37" s="88"/>
      <c r="R37" s="88"/>
    </row>
    <row r="38">
      <c r="A38" s="13">
        <f t="shared" si="1"/>
        <v>36</v>
      </c>
      <c r="B38" s="13"/>
      <c r="C38" s="14"/>
      <c r="D38" s="16"/>
      <c r="E38" s="15"/>
      <c r="F38" s="15"/>
      <c r="G38" s="88"/>
      <c r="H38" s="88"/>
      <c r="I38" s="88"/>
      <c r="J38" s="88"/>
      <c r="K38" s="88"/>
      <c r="L38" s="88"/>
      <c r="M38" s="89"/>
      <c r="N38" s="89"/>
      <c r="O38" s="88"/>
      <c r="P38" s="88"/>
      <c r="Q38" s="88"/>
      <c r="R38" s="88"/>
    </row>
    <row r="39">
      <c r="A39" s="13">
        <f t="shared" si="1"/>
        <v>37</v>
      </c>
      <c r="B39" s="13"/>
      <c r="C39" s="14"/>
      <c r="D39" s="16"/>
      <c r="E39" s="15"/>
      <c r="F39" s="15"/>
      <c r="G39" s="88"/>
      <c r="H39" s="88"/>
      <c r="I39" s="88"/>
      <c r="J39" s="88"/>
      <c r="K39" s="88"/>
      <c r="L39" s="88"/>
      <c r="M39" s="89"/>
      <c r="N39" s="89"/>
      <c r="O39" s="88"/>
      <c r="P39" s="88"/>
      <c r="Q39" s="88"/>
      <c r="R39" s="88"/>
    </row>
    <row r="40">
      <c r="A40" s="13">
        <f t="shared" si="1"/>
        <v>38</v>
      </c>
      <c r="B40" s="13"/>
      <c r="C40" s="14"/>
      <c r="D40" s="16"/>
      <c r="E40" s="15"/>
      <c r="F40" s="15"/>
      <c r="G40" s="88"/>
      <c r="H40" s="88"/>
      <c r="I40" s="88"/>
      <c r="J40" s="88"/>
      <c r="K40" s="88"/>
      <c r="L40" s="88"/>
      <c r="M40" s="89"/>
      <c r="N40" s="89"/>
      <c r="O40" s="88"/>
      <c r="P40" s="88"/>
      <c r="Q40" s="88"/>
      <c r="R40" s="88"/>
    </row>
    <row r="41">
      <c r="A41" s="13">
        <f t="shared" si="1"/>
        <v>39</v>
      </c>
      <c r="B41" s="13"/>
      <c r="C41" s="14"/>
      <c r="D41" s="16"/>
      <c r="E41" s="15"/>
      <c r="F41" s="15"/>
      <c r="G41" s="88"/>
      <c r="H41" s="88"/>
      <c r="I41" s="88"/>
      <c r="J41" s="88"/>
      <c r="K41" s="88"/>
      <c r="L41" s="88"/>
      <c r="M41" s="89"/>
      <c r="N41" s="89"/>
      <c r="O41" s="88"/>
      <c r="P41" s="88"/>
      <c r="Q41" s="88"/>
      <c r="R41" s="88"/>
    </row>
  </sheetData>
  <drawing r:id="rId1"/>
  <tableParts count="3">
    <tablePart r:id="rId5"/>
    <tablePart r:id="rId6"/>
    <tablePart r:id="rId7"/>
  </tableParts>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22.71"/>
    <col customWidth="1" min="2" max="3" width="25.14"/>
    <col customWidth="1" min="4" max="34" width="13.86"/>
    <col customWidth="1" min="35" max="36" width="16.57"/>
    <col customWidth="1" min="37" max="37" width="29.71"/>
    <col customWidth="1" min="38" max="47" width="16.57"/>
  </cols>
  <sheetData>
    <row r="1">
      <c r="A1" s="86" t="s">
        <v>703</v>
      </c>
      <c r="B1" s="10" t="s">
        <v>2</v>
      </c>
      <c r="C1" s="11" t="s">
        <v>3</v>
      </c>
      <c r="D1" s="12" t="s">
        <v>533</v>
      </c>
      <c r="E1" s="121" t="s">
        <v>537</v>
      </c>
      <c r="F1" s="121" t="s">
        <v>704</v>
      </c>
      <c r="G1" s="121" t="s">
        <v>705</v>
      </c>
      <c r="H1" s="121" t="s">
        <v>706</v>
      </c>
      <c r="I1" s="122" t="s">
        <v>707</v>
      </c>
      <c r="J1" s="121" t="s">
        <v>708</v>
      </c>
      <c r="K1" s="122" t="s">
        <v>709</v>
      </c>
      <c r="L1" s="122" t="s">
        <v>710</v>
      </c>
      <c r="M1" s="122" t="s">
        <v>711</v>
      </c>
      <c r="N1" s="122" t="s">
        <v>712</v>
      </c>
      <c r="O1" s="122" t="s">
        <v>713</v>
      </c>
      <c r="P1" s="122" t="s">
        <v>714</v>
      </c>
      <c r="Q1" s="122" t="s">
        <v>715</v>
      </c>
      <c r="R1" s="122" t="s">
        <v>716</v>
      </c>
      <c r="S1" s="122" t="s">
        <v>717</v>
      </c>
      <c r="T1" s="122" t="s">
        <v>718</v>
      </c>
      <c r="U1" s="122" t="s">
        <v>719</v>
      </c>
      <c r="V1" s="122" t="s">
        <v>720</v>
      </c>
      <c r="W1" s="122" t="s">
        <v>721</v>
      </c>
      <c r="X1" s="122" t="s">
        <v>722</v>
      </c>
      <c r="Y1" s="122" t="s">
        <v>723</v>
      </c>
      <c r="Z1" s="122" t="s">
        <v>724</v>
      </c>
      <c r="AA1" s="123" t="s">
        <v>725</v>
      </c>
      <c r="AB1" s="123" t="s">
        <v>726</v>
      </c>
      <c r="AC1" s="123" t="s">
        <v>727</v>
      </c>
      <c r="AD1" s="124" t="s">
        <v>728</v>
      </c>
      <c r="AE1" s="122" t="s">
        <v>729</v>
      </c>
      <c r="AF1" s="125" t="s">
        <v>571</v>
      </c>
      <c r="AG1" s="125" t="s">
        <v>730</v>
      </c>
      <c r="AH1" s="125" t="s">
        <v>731</v>
      </c>
      <c r="AI1" s="125" t="s">
        <v>732</v>
      </c>
      <c r="AJ1" s="12" t="s">
        <v>733</v>
      </c>
      <c r="AK1" s="12" t="s">
        <v>680</v>
      </c>
      <c r="AL1" s="12" t="s">
        <v>681</v>
      </c>
      <c r="AN1" s="36"/>
      <c r="AO1" s="36"/>
      <c r="AP1" s="36"/>
      <c r="AQ1" s="36"/>
      <c r="AR1" s="36" t="s">
        <v>734</v>
      </c>
      <c r="AS1" s="36"/>
      <c r="AT1" s="36"/>
      <c r="AU1" s="36"/>
    </row>
    <row r="2">
      <c r="A2" s="13">
        <v>0.0</v>
      </c>
      <c r="B2" s="13">
        <v>66.0</v>
      </c>
      <c r="C2" s="14" t="str">
        <f>VLOOKUP(B2,companies!$A:$B,2,FALSE)</f>
        <v>Microsoft Corp.</v>
      </c>
      <c r="D2" s="15" t="s">
        <v>535</v>
      </c>
      <c r="E2" s="15">
        <v>2020.0</v>
      </c>
      <c r="F2" s="15">
        <v>118100.0</v>
      </c>
      <c r="G2" s="15">
        <v>4102445.0</v>
      </c>
      <c r="H2" s="15">
        <v>228194.0</v>
      </c>
      <c r="I2" s="15" t="s">
        <v>578</v>
      </c>
      <c r="J2" s="15"/>
      <c r="K2" s="15">
        <v>4050000.0</v>
      </c>
      <c r="L2" s="15">
        <v>2750000.0</v>
      </c>
      <c r="M2" s="15">
        <v>770000.0</v>
      </c>
      <c r="N2" s="15">
        <v>180000.0</v>
      </c>
      <c r="O2" s="15">
        <v>100000.0</v>
      </c>
      <c r="P2" s="15">
        <v>800.0</v>
      </c>
      <c r="Q2" s="15">
        <v>329356.0</v>
      </c>
      <c r="R2" s="15">
        <v>317000.0</v>
      </c>
      <c r="S2" s="126"/>
      <c r="T2" s="15">
        <v>44000.0</v>
      </c>
      <c r="U2" s="126"/>
      <c r="V2" s="15">
        <v>3025000.0</v>
      </c>
      <c r="W2" s="15">
        <v>17000.0</v>
      </c>
      <c r="X2" s="15">
        <v>4600.0</v>
      </c>
      <c r="Y2" s="126"/>
      <c r="Z2" s="126"/>
      <c r="AA2" s="127"/>
      <c r="AB2" s="127"/>
      <c r="AC2" s="127"/>
      <c r="AD2" s="127">
        <f t="shared" ref="AD2:AD16" si="1">SUM(N2:Z2,H2:L2,F2)</f>
        <v>11164050</v>
      </c>
      <c r="AE2" s="13">
        <v>612927.0</v>
      </c>
      <c r="AF2" s="128">
        <v>1.0</v>
      </c>
      <c r="AG2" s="128">
        <v>1.0</v>
      </c>
      <c r="AH2" s="128">
        <v>1.0</v>
      </c>
      <c r="AI2" s="128">
        <v>1.0</v>
      </c>
      <c r="AJ2" s="24"/>
      <c r="AK2" s="52" t="s">
        <v>735</v>
      </c>
      <c r="AL2" s="52" t="s">
        <v>682</v>
      </c>
      <c r="AR2" s="1" t="str">
        <f t="shared" ref="AR2:AR16" si="2">"id"&amp;B2&amp;"year"&amp;E2</f>
        <v>id66year2020</v>
      </c>
    </row>
    <row r="3" ht="27.0" customHeight="1">
      <c r="A3" s="13">
        <f t="shared" ref="A3:A78" si="3">A2+1</f>
        <v>1</v>
      </c>
      <c r="B3" s="13">
        <v>66.0</v>
      </c>
      <c r="C3" s="14" t="str">
        <f>VLOOKUP(B3,companies!$A:$B,2,FALSE)</f>
        <v>Microsoft Corp.</v>
      </c>
      <c r="D3" s="15" t="s">
        <v>535</v>
      </c>
      <c r="E3" s="15">
        <v>2019.0</v>
      </c>
      <c r="F3" s="15">
        <v>117956.0</v>
      </c>
      <c r="G3" s="15">
        <v>3357518.0</v>
      </c>
      <c r="H3" s="15">
        <v>275420.0</v>
      </c>
      <c r="I3" s="15" t="s">
        <v>578</v>
      </c>
      <c r="J3" s="15"/>
      <c r="K3" s="15">
        <v>4190000.0</v>
      </c>
      <c r="L3" s="15">
        <v>2180000.0</v>
      </c>
      <c r="M3" s="15">
        <v>650000.0</v>
      </c>
      <c r="N3" s="15">
        <v>170000.0</v>
      </c>
      <c r="O3" s="15">
        <v>100000.0</v>
      </c>
      <c r="P3" s="15">
        <v>1100.0</v>
      </c>
      <c r="Q3" s="15">
        <v>476457.0</v>
      </c>
      <c r="R3" s="15">
        <v>411000.0</v>
      </c>
      <c r="S3" s="126"/>
      <c r="T3" s="15">
        <v>57000.0</v>
      </c>
      <c r="U3" s="126"/>
      <c r="V3" s="15">
        <v>3753000.0</v>
      </c>
      <c r="W3" s="15">
        <v>18000.0</v>
      </c>
      <c r="X3" s="15">
        <v>800.0</v>
      </c>
      <c r="Y3" s="126"/>
      <c r="Z3" s="126"/>
      <c r="AA3" s="127"/>
      <c r="AB3" s="127"/>
      <c r="AC3" s="127"/>
      <c r="AD3" s="127">
        <f t="shared" si="1"/>
        <v>11750733</v>
      </c>
      <c r="AE3" s="13">
        <v>781344.0</v>
      </c>
      <c r="AF3" s="128">
        <v>1.0</v>
      </c>
      <c r="AG3" s="128">
        <v>1.0</v>
      </c>
      <c r="AH3" s="128">
        <v>1.0</v>
      </c>
      <c r="AI3" s="128">
        <v>1.0</v>
      </c>
      <c r="AJ3" s="128"/>
      <c r="AK3" s="128"/>
      <c r="AL3" s="128"/>
      <c r="AR3" s="1" t="str">
        <f t="shared" si="2"/>
        <v>id66year2019</v>
      </c>
    </row>
    <row r="4" ht="27.0" customHeight="1">
      <c r="A4" s="13">
        <f t="shared" si="3"/>
        <v>2</v>
      </c>
      <c r="B4" s="13">
        <v>66.0</v>
      </c>
      <c r="C4" s="14" t="str">
        <f>VLOOKUP(B4,companies!$A:$B,2,FALSE)</f>
        <v>Microsoft Corp.</v>
      </c>
      <c r="D4" s="15" t="s">
        <v>535</v>
      </c>
      <c r="E4" s="15">
        <v>2018.0</v>
      </c>
      <c r="F4" s="15">
        <v>99008.0</v>
      </c>
      <c r="G4" s="15">
        <v>2946043.0</v>
      </c>
      <c r="H4" s="15">
        <v>183329.0</v>
      </c>
      <c r="I4" s="15" t="s">
        <v>578</v>
      </c>
      <c r="J4" s="15"/>
      <c r="K4" s="15">
        <v>4120000.0</v>
      </c>
      <c r="L4" s="15">
        <v>2230000.0</v>
      </c>
      <c r="M4" s="15">
        <v>550000.0</v>
      </c>
      <c r="N4" s="15">
        <v>110000.0</v>
      </c>
      <c r="O4" s="15">
        <v>50000.0</v>
      </c>
      <c r="P4" s="15">
        <v>500.0</v>
      </c>
      <c r="Q4" s="15">
        <v>461787.0</v>
      </c>
      <c r="R4" s="15">
        <v>345000.0</v>
      </c>
      <c r="S4" s="126"/>
      <c r="T4" s="15">
        <v>98000.0</v>
      </c>
      <c r="U4" s="126"/>
      <c r="V4" s="15">
        <v>4230000.0</v>
      </c>
      <c r="W4" s="15">
        <v>18000.0</v>
      </c>
      <c r="X4" s="15">
        <v>1700.0</v>
      </c>
      <c r="Y4" s="126"/>
      <c r="Z4" s="126"/>
      <c r="AA4" s="127"/>
      <c r="AB4" s="127"/>
      <c r="AC4" s="127"/>
      <c r="AD4" s="127">
        <f t="shared" si="1"/>
        <v>11947324</v>
      </c>
      <c r="AE4" s="127"/>
      <c r="AF4" s="128">
        <v>1.0</v>
      </c>
      <c r="AG4" s="128">
        <v>1.0</v>
      </c>
      <c r="AH4" s="128">
        <v>1.0</v>
      </c>
      <c r="AI4" s="128">
        <v>1.0</v>
      </c>
      <c r="AJ4" s="128"/>
      <c r="AK4" s="128"/>
      <c r="AL4" s="128"/>
      <c r="AR4" s="1" t="str">
        <f t="shared" si="2"/>
        <v>id66year2018</v>
      </c>
    </row>
    <row r="5">
      <c r="A5" s="13">
        <f t="shared" si="3"/>
        <v>3</v>
      </c>
      <c r="B5" s="13">
        <v>1.0</v>
      </c>
      <c r="C5" s="14" t="str">
        <f>VLOOKUP(B5,companies!$A:$B,2,FALSE)</f>
        <v>3M</v>
      </c>
      <c r="D5" s="15" t="s">
        <v>535</v>
      </c>
      <c r="E5" s="15">
        <v>2020.0</v>
      </c>
      <c r="F5" s="15">
        <v>3600000.0</v>
      </c>
      <c r="G5" s="15">
        <v>1680000.0</v>
      </c>
      <c r="H5" s="15">
        <v>1250000.0</v>
      </c>
      <c r="I5" s="15" t="s">
        <v>578</v>
      </c>
      <c r="J5" s="15"/>
      <c r="K5" s="129">
        <v>6270000.0</v>
      </c>
      <c r="L5" s="15">
        <v>459000.0</v>
      </c>
      <c r="N5" s="15">
        <v>556000.0</v>
      </c>
      <c r="O5" s="15">
        <v>1080000.0</v>
      </c>
      <c r="P5" s="15">
        <v>138000.0</v>
      </c>
      <c r="Q5" s="15">
        <v>13000.0</v>
      </c>
      <c r="R5" s="15">
        <v>324000.0</v>
      </c>
      <c r="S5" s="15">
        <v>0.0</v>
      </c>
      <c r="T5" s="15">
        <v>438000.0</v>
      </c>
      <c r="U5" s="15" t="s">
        <v>536</v>
      </c>
      <c r="V5" s="15" t="s">
        <v>536</v>
      </c>
      <c r="W5" s="15" t="s">
        <v>536</v>
      </c>
      <c r="X5" s="15">
        <v>1000.0</v>
      </c>
      <c r="Y5" s="15">
        <v>0.0</v>
      </c>
      <c r="Z5" s="15">
        <v>0.0</v>
      </c>
      <c r="AA5" s="15"/>
      <c r="AB5" s="15"/>
      <c r="AC5" s="15"/>
      <c r="AD5" s="127">
        <f t="shared" si="1"/>
        <v>14129000</v>
      </c>
      <c r="AE5" s="13">
        <v>0.0</v>
      </c>
      <c r="AF5" s="128">
        <v>1.0</v>
      </c>
      <c r="AG5" s="128">
        <v>1.0</v>
      </c>
      <c r="AH5" s="128">
        <v>1.0</v>
      </c>
      <c r="AI5" s="128">
        <v>1.0</v>
      </c>
      <c r="AJ5" s="24" t="s">
        <v>736</v>
      </c>
      <c r="AK5" s="24" t="s">
        <v>737</v>
      </c>
      <c r="AL5" s="24" t="s">
        <v>682</v>
      </c>
      <c r="AR5" s="1" t="str">
        <f t="shared" si="2"/>
        <v>id1year2020</v>
      </c>
    </row>
    <row r="6">
      <c r="A6" s="13">
        <f t="shared" si="3"/>
        <v>4</v>
      </c>
      <c r="B6" s="13">
        <v>1.0</v>
      </c>
      <c r="C6" s="14" t="str">
        <f>VLOOKUP(B6,companies!$A:$B,2,FALSE)</f>
        <v>3M</v>
      </c>
      <c r="D6" s="15" t="s">
        <v>535</v>
      </c>
      <c r="E6" s="15">
        <v>2019.0</v>
      </c>
      <c r="F6" s="15">
        <v>4050000.0</v>
      </c>
      <c r="G6" s="15">
        <v>1780000.0</v>
      </c>
      <c r="H6" s="15">
        <v>1320000.0</v>
      </c>
      <c r="I6" s="15" t="s">
        <v>578</v>
      </c>
      <c r="J6" s="15"/>
      <c r="K6" s="15">
        <v>6140000.0</v>
      </c>
      <c r="L6" s="15">
        <v>556000.0</v>
      </c>
      <c r="M6" s="130"/>
      <c r="N6" s="15">
        <v>578000.0</v>
      </c>
      <c r="O6" s="15">
        <v>1070000.0</v>
      </c>
      <c r="P6" s="15">
        <v>192000.0</v>
      </c>
      <c r="Q6" s="15">
        <v>52800.0</v>
      </c>
      <c r="R6" s="15">
        <v>336000.0</v>
      </c>
      <c r="S6" s="15">
        <v>0.0</v>
      </c>
      <c r="T6" s="15" t="s">
        <v>536</v>
      </c>
      <c r="U6" s="15" t="s">
        <v>536</v>
      </c>
      <c r="V6" s="15" t="s">
        <v>536</v>
      </c>
      <c r="W6" s="15" t="s">
        <v>536</v>
      </c>
      <c r="X6" s="15">
        <v>1000.0</v>
      </c>
      <c r="Y6" s="15">
        <v>0.0</v>
      </c>
      <c r="Z6" s="15">
        <v>0.0</v>
      </c>
      <c r="AA6" s="131"/>
      <c r="AB6" s="131"/>
      <c r="AC6" s="131"/>
      <c r="AD6" s="127">
        <f t="shared" si="1"/>
        <v>14295800</v>
      </c>
      <c r="AE6" s="13">
        <v>0.0</v>
      </c>
      <c r="AF6" s="128">
        <v>1.0</v>
      </c>
      <c r="AG6" s="128">
        <v>1.0</v>
      </c>
      <c r="AH6" s="128">
        <v>1.0</v>
      </c>
      <c r="AI6" s="128">
        <v>1.0</v>
      </c>
      <c r="AJ6" s="24" t="s">
        <v>738</v>
      </c>
      <c r="AK6" s="128"/>
      <c r="AL6" s="128"/>
      <c r="AR6" s="1" t="str">
        <f t="shared" si="2"/>
        <v>id1year2019</v>
      </c>
    </row>
    <row r="7">
      <c r="A7" s="13">
        <f t="shared" si="3"/>
        <v>5</v>
      </c>
      <c r="B7" s="13">
        <v>1.0</v>
      </c>
      <c r="C7" s="14" t="str">
        <f>VLOOKUP(B7,companies!$A:$B,2,FALSE)</f>
        <v>3M</v>
      </c>
      <c r="D7" s="15" t="s">
        <v>535</v>
      </c>
      <c r="E7" s="15">
        <v>2018.0</v>
      </c>
      <c r="F7" s="15">
        <v>4790000.0</v>
      </c>
      <c r="G7" s="132">
        <v>1860000.0</v>
      </c>
      <c r="H7" s="15">
        <v>1480000.0</v>
      </c>
      <c r="I7" s="15" t="s">
        <v>578</v>
      </c>
      <c r="J7" s="15"/>
      <c r="K7" s="15">
        <v>6840000.0</v>
      </c>
      <c r="L7" s="15">
        <v>369000.0</v>
      </c>
      <c r="M7" s="130"/>
      <c r="N7" s="15">
        <v>596000.0</v>
      </c>
      <c r="O7" s="15">
        <v>1170000.0</v>
      </c>
      <c r="P7" s="15">
        <v>171000.0</v>
      </c>
      <c r="Q7" s="15">
        <v>61600.0</v>
      </c>
      <c r="R7" s="15">
        <v>327000.0</v>
      </c>
      <c r="S7" s="15">
        <v>0.0</v>
      </c>
      <c r="T7" s="15" t="s">
        <v>536</v>
      </c>
      <c r="U7" s="15" t="s">
        <v>536</v>
      </c>
      <c r="V7" s="15" t="s">
        <v>536</v>
      </c>
      <c r="W7" s="15" t="s">
        <v>536</v>
      </c>
      <c r="X7" s="15">
        <v>1000.0</v>
      </c>
      <c r="Y7" s="15">
        <v>0.0</v>
      </c>
      <c r="Z7" s="15">
        <v>0.0</v>
      </c>
      <c r="AA7" s="131"/>
      <c r="AB7" s="131"/>
      <c r="AC7" s="131"/>
      <c r="AD7" s="127">
        <f t="shared" si="1"/>
        <v>15805600</v>
      </c>
      <c r="AE7" s="13">
        <v>0.0</v>
      </c>
      <c r="AF7" s="128">
        <v>1.0</v>
      </c>
      <c r="AG7" s="128">
        <v>1.0</v>
      </c>
      <c r="AH7" s="128">
        <v>1.0</v>
      </c>
      <c r="AI7" s="128">
        <v>1.0</v>
      </c>
      <c r="AJ7" s="24" t="s">
        <v>738</v>
      </c>
      <c r="AK7" s="52"/>
      <c r="AL7" s="52"/>
      <c r="AR7" s="1" t="str">
        <f t="shared" si="2"/>
        <v>id1year2018</v>
      </c>
    </row>
    <row r="8">
      <c r="A8" s="13">
        <f t="shared" si="3"/>
        <v>6</v>
      </c>
      <c r="B8" s="13">
        <v>2.0</v>
      </c>
      <c r="C8" s="14" t="str">
        <f>VLOOKUP(B8,companies!$A:$B,2,FALSE)</f>
        <v>Abbott Laboratories</v>
      </c>
      <c r="D8" s="15" t="s">
        <v>535</v>
      </c>
      <c r="E8" s="15">
        <v>2020.0</v>
      </c>
      <c r="F8" s="15">
        <v>500000.0</v>
      </c>
      <c r="G8" s="132">
        <v>480000.0</v>
      </c>
      <c r="H8" s="15">
        <v>406000.0</v>
      </c>
      <c r="I8" s="15" t="s">
        <v>578</v>
      </c>
      <c r="J8" s="15"/>
      <c r="K8" s="15"/>
      <c r="L8" s="15"/>
      <c r="M8" s="130"/>
      <c r="N8" s="15"/>
      <c r="O8" s="15"/>
      <c r="P8" s="15"/>
      <c r="Q8" s="15"/>
      <c r="R8" s="15"/>
      <c r="S8" s="15"/>
      <c r="T8" s="15"/>
      <c r="U8" s="15"/>
      <c r="V8" s="15"/>
      <c r="W8" s="15"/>
      <c r="X8" s="15"/>
      <c r="Y8" s="15"/>
      <c r="Z8" s="15"/>
      <c r="AA8" s="131"/>
      <c r="AB8" s="131"/>
      <c r="AC8" s="131"/>
      <c r="AD8" s="127">
        <f t="shared" si="1"/>
        <v>906000</v>
      </c>
      <c r="AE8" s="13"/>
      <c r="AF8" s="133"/>
      <c r="AG8" s="133"/>
      <c r="AH8" s="133"/>
      <c r="AI8" s="133"/>
      <c r="AJ8" s="24"/>
      <c r="AK8" s="52"/>
      <c r="AL8" s="52"/>
      <c r="AR8" s="1" t="str">
        <f t="shared" si="2"/>
        <v>id2year2020</v>
      </c>
    </row>
    <row r="9">
      <c r="A9" s="13">
        <f t="shared" si="3"/>
        <v>7</v>
      </c>
      <c r="B9" s="13">
        <v>2.0</v>
      </c>
      <c r="C9" s="14" t="str">
        <f>VLOOKUP(B9,companies!$A:$B,2,FALSE)</f>
        <v>Abbott Laboratories</v>
      </c>
      <c r="D9" s="15" t="s">
        <v>535</v>
      </c>
      <c r="E9" s="15">
        <v>2019.0</v>
      </c>
      <c r="F9" s="15">
        <v>543000.0</v>
      </c>
      <c r="G9" s="132">
        <v>498000.0</v>
      </c>
      <c r="H9" s="15">
        <v>419000.0</v>
      </c>
      <c r="I9" s="15" t="s">
        <v>578</v>
      </c>
      <c r="J9" s="15"/>
      <c r="K9" s="15"/>
      <c r="L9" s="15"/>
      <c r="M9" s="130"/>
      <c r="N9" s="15"/>
      <c r="O9" s="15"/>
      <c r="P9" s="15"/>
      <c r="Q9" s="15"/>
      <c r="R9" s="15"/>
      <c r="S9" s="15"/>
      <c r="T9" s="15"/>
      <c r="U9" s="15"/>
      <c r="V9" s="15"/>
      <c r="W9" s="15"/>
      <c r="X9" s="15"/>
      <c r="Y9" s="15"/>
      <c r="Z9" s="15"/>
      <c r="AA9" s="131"/>
      <c r="AB9" s="131"/>
      <c r="AC9" s="131"/>
      <c r="AD9" s="127">
        <f t="shared" si="1"/>
        <v>962000</v>
      </c>
      <c r="AE9" s="13"/>
      <c r="AF9" s="133"/>
      <c r="AG9" s="133"/>
      <c r="AH9" s="133"/>
      <c r="AI9" s="133"/>
      <c r="AJ9" s="24"/>
      <c r="AK9" s="24" t="s">
        <v>739</v>
      </c>
      <c r="AL9" s="24" t="s">
        <v>682</v>
      </c>
      <c r="AR9" s="1" t="str">
        <f t="shared" si="2"/>
        <v>id2year2019</v>
      </c>
    </row>
    <row r="10">
      <c r="A10" s="13">
        <f t="shared" si="3"/>
        <v>8</v>
      </c>
      <c r="B10" s="13">
        <v>2.0</v>
      </c>
      <c r="C10" s="14" t="str">
        <f>VLOOKUP(B10,companies!$A:$B,2,FALSE)</f>
        <v>Abbott Laboratories</v>
      </c>
      <c r="D10" s="15" t="s">
        <v>535</v>
      </c>
      <c r="E10" s="15">
        <v>2018.0</v>
      </c>
      <c r="F10" s="15">
        <v>539000.0</v>
      </c>
      <c r="G10" s="132">
        <v>517000.0</v>
      </c>
      <c r="H10" s="15">
        <v>441000.0</v>
      </c>
      <c r="I10" s="15" t="s">
        <v>578</v>
      </c>
      <c r="J10" s="15"/>
      <c r="K10" s="15"/>
      <c r="L10" s="15"/>
      <c r="M10" s="130"/>
      <c r="N10" s="15"/>
      <c r="O10" s="15"/>
      <c r="P10" s="15"/>
      <c r="Q10" s="15"/>
      <c r="R10" s="15"/>
      <c r="S10" s="15"/>
      <c r="T10" s="15"/>
      <c r="U10" s="15"/>
      <c r="V10" s="15"/>
      <c r="W10" s="15"/>
      <c r="X10" s="15"/>
      <c r="Y10" s="15"/>
      <c r="Z10" s="15"/>
      <c r="AA10" s="131"/>
      <c r="AB10" s="131"/>
      <c r="AC10" s="131"/>
      <c r="AD10" s="127">
        <f t="shared" si="1"/>
        <v>980000</v>
      </c>
      <c r="AE10" s="13"/>
      <c r="AF10" s="133"/>
      <c r="AG10" s="133"/>
      <c r="AH10" s="133"/>
      <c r="AI10" s="133"/>
      <c r="AJ10" s="24"/>
      <c r="AK10" s="24" t="s">
        <v>740</v>
      </c>
      <c r="AL10" s="24"/>
      <c r="AR10" s="1" t="str">
        <f t="shared" si="2"/>
        <v>id2year2018</v>
      </c>
    </row>
    <row r="11">
      <c r="A11" s="13">
        <f t="shared" si="3"/>
        <v>9</v>
      </c>
      <c r="B11" s="13">
        <v>2.0</v>
      </c>
      <c r="C11" s="14" t="str">
        <f>VLOOKUP(B11,companies!$A:$B,2,FALSE)</f>
        <v>Abbott Laboratories</v>
      </c>
      <c r="D11" s="15" t="s">
        <v>535</v>
      </c>
      <c r="E11" s="15">
        <v>2017.0</v>
      </c>
      <c r="F11" s="15">
        <v>540000.0</v>
      </c>
      <c r="G11" s="132">
        <v>527000.0</v>
      </c>
      <c r="H11" s="15">
        <v>478000.0</v>
      </c>
      <c r="I11" s="15" t="s">
        <v>578</v>
      </c>
      <c r="J11" s="15"/>
      <c r="K11" s="15"/>
      <c r="L11" s="15"/>
      <c r="M11" s="130"/>
      <c r="N11" s="15"/>
      <c r="O11" s="15"/>
      <c r="P11" s="15"/>
      <c r="Q11" s="15"/>
      <c r="R11" s="15"/>
      <c r="S11" s="15"/>
      <c r="T11" s="15"/>
      <c r="U11" s="15"/>
      <c r="V11" s="15"/>
      <c r="W11" s="15"/>
      <c r="X11" s="15"/>
      <c r="Y11" s="15"/>
      <c r="Z11" s="15"/>
      <c r="AA11" s="131"/>
      <c r="AB11" s="131"/>
      <c r="AC11" s="131"/>
      <c r="AD11" s="127">
        <f t="shared" si="1"/>
        <v>1018000</v>
      </c>
      <c r="AE11" s="13"/>
      <c r="AF11" s="133"/>
      <c r="AG11" s="133"/>
      <c r="AH11" s="133"/>
      <c r="AI11" s="133"/>
      <c r="AJ11" s="24"/>
      <c r="AK11" s="24"/>
      <c r="AL11" s="52"/>
      <c r="AR11" s="1" t="str">
        <f t="shared" si="2"/>
        <v>id2year2017</v>
      </c>
    </row>
    <row r="12">
      <c r="A12" s="13">
        <f t="shared" si="3"/>
        <v>10</v>
      </c>
      <c r="B12" s="13">
        <v>3.0</v>
      </c>
      <c r="C12" s="14" t="str">
        <f>VLOOKUP(B12,companies!$A:$B,2,FALSE)</f>
        <v>AbbVie Inc.</v>
      </c>
      <c r="D12" s="15" t="s">
        <v>535</v>
      </c>
      <c r="E12" s="15">
        <v>2020.0</v>
      </c>
      <c r="F12" s="15">
        <v>265000.0</v>
      </c>
      <c r="G12" s="132">
        <v>313000.0</v>
      </c>
      <c r="H12" s="15">
        <v>243000.0</v>
      </c>
      <c r="I12" s="15" t="s">
        <v>578</v>
      </c>
      <c r="J12" s="15"/>
      <c r="K12" s="15"/>
      <c r="L12" s="15"/>
      <c r="M12" s="130"/>
      <c r="N12" s="15"/>
      <c r="O12" s="15"/>
      <c r="P12" s="15"/>
      <c r="Q12" s="15"/>
      <c r="R12" s="15"/>
      <c r="S12" s="15"/>
      <c r="T12" s="15"/>
      <c r="U12" s="15"/>
      <c r="V12" s="15"/>
      <c r="W12" s="15"/>
      <c r="X12" s="15"/>
      <c r="Y12" s="15"/>
      <c r="Z12" s="15"/>
      <c r="AA12" s="131"/>
      <c r="AB12" s="131"/>
      <c r="AC12" s="131"/>
      <c r="AD12" s="127">
        <f t="shared" si="1"/>
        <v>508000</v>
      </c>
      <c r="AE12" s="13"/>
      <c r="AF12" s="133"/>
      <c r="AG12" s="133"/>
      <c r="AH12" s="133"/>
      <c r="AI12" s="133"/>
      <c r="AJ12" s="24"/>
      <c r="AK12" s="24" t="s">
        <v>741</v>
      </c>
      <c r="AL12" s="52"/>
      <c r="AR12" s="1" t="str">
        <f t="shared" si="2"/>
        <v>id3year2020</v>
      </c>
    </row>
    <row r="13">
      <c r="A13" s="13">
        <f t="shared" si="3"/>
        <v>11</v>
      </c>
      <c r="B13" s="13">
        <v>3.0</v>
      </c>
      <c r="C13" s="14" t="str">
        <f>VLOOKUP(B13,companies!$A:$B,2,FALSE)</f>
        <v>AbbVie Inc.</v>
      </c>
      <c r="D13" s="15" t="s">
        <v>535</v>
      </c>
      <c r="E13" s="15">
        <v>2019.0</v>
      </c>
      <c r="F13" s="15">
        <v>315000.0</v>
      </c>
      <c r="G13" s="132">
        <v>308000.0</v>
      </c>
      <c r="H13" s="15">
        <v>250000.0</v>
      </c>
      <c r="I13" s="15" t="s">
        <v>578</v>
      </c>
      <c r="J13" s="15"/>
      <c r="K13" s="15"/>
      <c r="L13" s="15"/>
      <c r="M13" s="130"/>
      <c r="N13" s="15"/>
      <c r="O13" s="15"/>
      <c r="P13" s="15"/>
      <c r="Q13" s="15"/>
      <c r="R13" s="15"/>
      <c r="S13" s="15"/>
      <c r="T13" s="15"/>
      <c r="U13" s="15"/>
      <c r="V13" s="15"/>
      <c r="W13" s="15"/>
      <c r="X13" s="15"/>
      <c r="Y13" s="15"/>
      <c r="Z13" s="15"/>
      <c r="AA13" s="131"/>
      <c r="AB13" s="131"/>
      <c r="AC13" s="131"/>
      <c r="AD13" s="127">
        <f t="shared" si="1"/>
        <v>565000</v>
      </c>
      <c r="AE13" s="13"/>
      <c r="AF13" s="133"/>
      <c r="AG13" s="133"/>
      <c r="AH13" s="133"/>
      <c r="AI13" s="133"/>
      <c r="AJ13" s="24"/>
      <c r="AK13" s="24" t="s">
        <v>742</v>
      </c>
      <c r="AL13" s="52"/>
      <c r="AR13" s="1" t="str">
        <f t="shared" si="2"/>
        <v>id3year2019</v>
      </c>
    </row>
    <row r="14">
      <c r="A14" s="13">
        <f t="shared" si="3"/>
        <v>12</v>
      </c>
      <c r="B14" s="13">
        <v>3.0</v>
      </c>
      <c r="C14" s="14" t="str">
        <f>VLOOKUP(B14,companies!$A:$B,2,FALSE)</f>
        <v>AbbVie Inc.</v>
      </c>
      <c r="D14" s="15" t="s">
        <v>535</v>
      </c>
      <c r="E14" s="15">
        <v>2018.0</v>
      </c>
      <c r="F14" s="15">
        <v>314000.0</v>
      </c>
      <c r="G14" s="132"/>
      <c r="H14" s="15">
        <v>271000.0</v>
      </c>
      <c r="I14" s="15" t="s">
        <v>578</v>
      </c>
      <c r="J14" s="15"/>
      <c r="K14" s="15"/>
      <c r="L14" s="15"/>
      <c r="M14" s="130"/>
      <c r="N14" s="15"/>
      <c r="O14" s="15"/>
      <c r="P14" s="15"/>
      <c r="Q14" s="15"/>
      <c r="R14" s="15"/>
      <c r="S14" s="15"/>
      <c r="T14" s="15"/>
      <c r="U14" s="15"/>
      <c r="V14" s="15"/>
      <c r="W14" s="15"/>
      <c r="X14" s="15"/>
      <c r="Y14" s="15"/>
      <c r="Z14" s="15"/>
      <c r="AA14" s="131"/>
      <c r="AB14" s="131"/>
      <c r="AC14" s="131"/>
      <c r="AD14" s="127">
        <f t="shared" si="1"/>
        <v>585000</v>
      </c>
      <c r="AE14" s="13"/>
      <c r="AF14" s="133"/>
      <c r="AG14" s="133"/>
      <c r="AH14" s="133"/>
      <c r="AI14" s="133"/>
      <c r="AJ14" s="24"/>
      <c r="AK14" s="24" t="s">
        <v>742</v>
      </c>
      <c r="AL14" s="52"/>
      <c r="AR14" s="1" t="str">
        <f t="shared" si="2"/>
        <v>id3year2018</v>
      </c>
    </row>
    <row r="15">
      <c r="A15" s="13">
        <f t="shared" si="3"/>
        <v>13</v>
      </c>
      <c r="B15" s="13">
        <v>3.0</v>
      </c>
      <c r="C15" s="14" t="str">
        <f>VLOOKUP(B15,companies!$A:$B,2,FALSE)</f>
        <v>AbbVie Inc.</v>
      </c>
      <c r="D15" s="15" t="s">
        <v>535</v>
      </c>
      <c r="E15" s="15">
        <v>2017.0</v>
      </c>
      <c r="F15" s="15">
        <v>299000.0</v>
      </c>
      <c r="G15" s="132"/>
      <c r="H15" s="15">
        <v>284000.0</v>
      </c>
      <c r="I15" s="15" t="s">
        <v>578</v>
      </c>
      <c r="J15" s="15"/>
      <c r="K15" s="15"/>
      <c r="L15" s="15"/>
      <c r="M15" s="130"/>
      <c r="N15" s="15"/>
      <c r="O15" s="15"/>
      <c r="P15" s="15"/>
      <c r="Q15" s="15"/>
      <c r="R15" s="15"/>
      <c r="S15" s="15"/>
      <c r="T15" s="15"/>
      <c r="U15" s="15"/>
      <c r="V15" s="15"/>
      <c r="W15" s="15"/>
      <c r="X15" s="15"/>
      <c r="Y15" s="15"/>
      <c r="Z15" s="15"/>
      <c r="AA15" s="131"/>
      <c r="AB15" s="131"/>
      <c r="AC15" s="131"/>
      <c r="AD15" s="127">
        <f t="shared" si="1"/>
        <v>583000</v>
      </c>
      <c r="AE15" s="13"/>
      <c r="AF15" s="133"/>
      <c r="AG15" s="133"/>
      <c r="AH15" s="133"/>
      <c r="AI15" s="133"/>
      <c r="AJ15" s="24"/>
      <c r="AK15" s="24" t="s">
        <v>742</v>
      </c>
      <c r="AL15" s="52"/>
      <c r="AR15" s="1" t="str">
        <f t="shared" si="2"/>
        <v>id3year2017</v>
      </c>
    </row>
    <row r="16">
      <c r="A16" s="13">
        <f t="shared" si="3"/>
        <v>14</v>
      </c>
      <c r="B16" s="13">
        <v>3.0</v>
      </c>
      <c r="C16" s="14" t="str">
        <f>VLOOKUP(B16,companies!$A:$B,2,FALSE)</f>
        <v>AbbVie Inc.</v>
      </c>
      <c r="D16" s="15" t="s">
        <v>535</v>
      </c>
      <c r="E16" s="15">
        <v>2016.0</v>
      </c>
      <c r="F16" s="15">
        <v>305000.0</v>
      </c>
      <c r="G16" s="132"/>
      <c r="H16" s="15">
        <v>305000.0</v>
      </c>
      <c r="I16" s="15" t="s">
        <v>578</v>
      </c>
      <c r="J16" s="15"/>
      <c r="K16" s="15"/>
      <c r="L16" s="15"/>
      <c r="M16" s="130"/>
      <c r="N16" s="15"/>
      <c r="O16" s="15"/>
      <c r="P16" s="15"/>
      <c r="Q16" s="15"/>
      <c r="R16" s="15"/>
      <c r="S16" s="15"/>
      <c r="T16" s="15"/>
      <c r="U16" s="15"/>
      <c r="V16" s="15"/>
      <c r="W16" s="15"/>
      <c r="X16" s="15"/>
      <c r="Y16" s="15"/>
      <c r="Z16" s="15"/>
      <c r="AA16" s="131"/>
      <c r="AB16" s="131"/>
      <c r="AC16" s="131"/>
      <c r="AD16" s="127">
        <f t="shared" si="1"/>
        <v>610000</v>
      </c>
      <c r="AE16" s="13"/>
      <c r="AF16" s="133"/>
      <c r="AG16" s="133"/>
      <c r="AH16" s="133"/>
      <c r="AI16" s="133"/>
      <c r="AJ16" s="24"/>
      <c r="AK16" s="24" t="s">
        <v>742</v>
      </c>
      <c r="AR16" s="1" t="str">
        <f t="shared" si="2"/>
        <v>id3year2016</v>
      </c>
    </row>
    <row r="17">
      <c r="A17" s="134">
        <f t="shared" si="3"/>
        <v>15</v>
      </c>
      <c r="B17" s="134">
        <v>3.0</v>
      </c>
      <c r="C17" s="135" t="str">
        <f>VLOOKUP(B17,companies!$A:$B,2,FALSE)</f>
        <v>AbbVie Inc.</v>
      </c>
      <c r="D17" s="136"/>
      <c r="E17" s="136">
        <v>2015.0</v>
      </c>
      <c r="F17" s="136">
        <f>F16</f>
        <v>305000</v>
      </c>
      <c r="G17" s="136"/>
      <c r="H17" s="136">
        <f>H16</f>
        <v>305000</v>
      </c>
      <c r="I17" s="136"/>
      <c r="J17" s="136"/>
      <c r="K17" s="136"/>
      <c r="L17" s="136"/>
      <c r="M17" s="137"/>
      <c r="N17" s="136"/>
      <c r="O17" s="136"/>
      <c r="P17" s="136"/>
      <c r="Q17" s="136"/>
      <c r="R17" s="136"/>
      <c r="S17" s="136"/>
      <c r="T17" s="136"/>
      <c r="U17" s="136"/>
      <c r="V17" s="136"/>
      <c r="W17" s="136"/>
      <c r="X17" s="136"/>
      <c r="Y17" s="136"/>
      <c r="Z17" s="136"/>
      <c r="AA17" s="138"/>
      <c r="AB17" s="138"/>
      <c r="AC17" s="134"/>
      <c r="AD17" s="136"/>
      <c r="AE17" s="134"/>
      <c r="AF17" s="133"/>
      <c r="AG17" s="133"/>
      <c r="AH17" s="133"/>
      <c r="AI17" s="133"/>
      <c r="AJ17" s="139"/>
      <c r="AK17" s="139"/>
      <c r="AL17" s="140"/>
    </row>
    <row r="18">
      <c r="A18" s="13">
        <f t="shared" si="3"/>
        <v>16</v>
      </c>
      <c r="B18" s="13">
        <v>4.0</v>
      </c>
      <c r="C18" s="14" t="str">
        <f>VLOOKUP(B18,companies!$A:$B,2,FALSE)</f>
        <v>Accenture</v>
      </c>
      <c r="D18" s="15" t="s">
        <v>535</v>
      </c>
      <c r="E18" s="15">
        <v>2020.0</v>
      </c>
      <c r="F18" s="15">
        <v>13945.0</v>
      </c>
      <c r="G18" s="132">
        <v>228373.0</v>
      </c>
      <c r="H18" s="15">
        <v>162983.0</v>
      </c>
      <c r="I18" s="15" t="s">
        <v>578</v>
      </c>
      <c r="J18" s="15">
        <v>677994.0</v>
      </c>
      <c r="K18" s="15"/>
      <c r="L18" s="15"/>
      <c r="M18" s="130"/>
      <c r="N18" s="15"/>
      <c r="O18" s="15"/>
      <c r="P18" s="15"/>
      <c r="Q18" s="15"/>
      <c r="R18" s="15"/>
      <c r="S18" s="15"/>
      <c r="T18" s="15"/>
      <c r="U18" s="15"/>
      <c r="V18" s="15"/>
      <c r="W18" s="15"/>
      <c r="X18" s="15"/>
      <c r="Y18" s="15"/>
      <c r="Z18" s="15"/>
      <c r="AA18" s="131"/>
      <c r="AB18" s="131"/>
      <c r="AC18" s="13"/>
      <c r="AD18" s="127">
        <f>SUM(N18:Z18,H18:L18,F18)</f>
        <v>854922</v>
      </c>
      <c r="AE18" s="13"/>
      <c r="AF18" s="128">
        <v>1.0</v>
      </c>
      <c r="AG18" s="128">
        <v>1.0</v>
      </c>
      <c r="AH18" s="128">
        <v>1.0</v>
      </c>
      <c r="AI18" s="128">
        <v>0.2</v>
      </c>
      <c r="AJ18" s="24"/>
      <c r="AK18" s="24" t="s">
        <v>743</v>
      </c>
      <c r="AL18" s="36" t="s">
        <v>682</v>
      </c>
      <c r="AR18" s="1" t="str">
        <f t="shared" ref="AR18:AR20" si="4">"id"&amp;B18&amp;"year"&amp;E18</f>
        <v>id4year2020</v>
      </c>
    </row>
    <row r="19">
      <c r="A19" s="13">
        <f t="shared" si="3"/>
        <v>17</v>
      </c>
      <c r="B19" s="13">
        <v>4.0</v>
      </c>
      <c r="C19" s="14" t="str">
        <f>VLOOKUP(B19,companies!$A:$B,2,FALSE)</f>
        <v>Accenture</v>
      </c>
      <c r="D19" s="15" t="s">
        <v>535</v>
      </c>
      <c r="E19" s="15">
        <v>2019.0</v>
      </c>
      <c r="F19" s="15">
        <v>18923.0</v>
      </c>
      <c r="G19" s="132"/>
      <c r="H19" s="15">
        <v>214680.0</v>
      </c>
      <c r="I19" s="15" t="s">
        <v>578</v>
      </c>
      <c r="J19" s="15">
        <v>932653.0</v>
      </c>
      <c r="K19" s="15"/>
      <c r="L19" s="15"/>
      <c r="M19" s="130"/>
      <c r="N19" s="15"/>
      <c r="O19" s="15"/>
      <c r="P19" s="15"/>
      <c r="Q19" s="15"/>
      <c r="R19" s="15"/>
      <c r="S19" s="15"/>
      <c r="T19" s="15"/>
      <c r="U19" s="15"/>
      <c r="V19" s="15"/>
      <c r="W19" s="15"/>
      <c r="X19" s="15"/>
      <c r="Y19" s="15"/>
      <c r="Z19" s="15"/>
      <c r="AA19" s="131"/>
      <c r="AB19" s="131"/>
      <c r="AC19" s="131"/>
      <c r="AD19" s="127">
        <f t="shared" ref="AD19:AD20" si="5">SUM(O19:AA19,H19,K19:M19,F19)</f>
        <v>233603</v>
      </c>
      <c r="AE19" s="13"/>
      <c r="AF19" s="128">
        <v>1.0</v>
      </c>
      <c r="AG19" s="128">
        <v>1.0</v>
      </c>
      <c r="AH19" s="128">
        <v>1.0</v>
      </c>
      <c r="AI19" s="13" t="s">
        <v>744</v>
      </c>
      <c r="AJ19" s="24"/>
      <c r="AK19" s="24" t="s">
        <v>745</v>
      </c>
      <c r="AR19" s="1" t="str">
        <f t="shared" si="4"/>
        <v>id4year2019</v>
      </c>
    </row>
    <row r="20">
      <c r="A20" s="13">
        <f t="shared" si="3"/>
        <v>18</v>
      </c>
      <c r="B20" s="13">
        <v>4.0</v>
      </c>
      <c r="C20" s="14" t="str">
        <f>VLOOKUP(B20,companies!$A:$B,2,FALSE)</f>
        <v>Accenture</v>
      </c>
      <c r="D20" s="15" t="s">
        <v>535</v>
      </c>
      <c r="E20" s="15">
        <v>2018.0</v>
      </c>
      <c r="F20" s="15">
        <v>22183.0</v>
      </c>
      <c r="G20" s="132"/>
      <c r="H20" s="15">
        <v>218855.0</v>
      </c>
      <c r="I20" s="15" t="s">
        <v>578</v>
      </c>
      <c r="J20" s="15">
        <v>948756.0</v>
      </c>
      <c r="K20" s="15"/>
      <c r="L20" s="15"/>
      <c r="M20" s="130"/>
      <c r="N20" s="15"/>
      <c r="O20" s="15"/>
      <c r="P20" s="15"/>
      <c r="Q20" s="15"/>
      <c r="R20" s="15"/>
      <c r="S20" s="15"/>
      <c r="T20" s="15"/>
      <c r="U20" s="15"/>
      <c r="V20" s="15"/>
      <c r="W20" s="15"/>
      <c r="X20" s="15"/>
      <c r="Y20" s="15"/>
      <c r="Z20" s="15"/>
      <c r="AA20" s="131"/>
      <c r="AB20" s="131"/>
      <c r="AC20" s="131"/>
      <c r="AD20" s="127">
        <f t="shared" si="5"/>
        <v>241038</v>
      </c>
      <c r="AE20" s="13">
        <v>0.0</v>
      </c>
      <c r="AF20" s="128">
        <v>1.0</v>
      </c>
      <c r="AG20" s="128">
        <v>1.0</v>
      </c>
      <c r="AH20" s="128">
        <v>1.0</v>
      </c>
      <c r="AI20" s="128">
        <v>0.0</v>
      </c>
      <c r="AJ20" s="24"/>
      <c r="AK20" s="24" t="s">
        <v>746</v>
      </c>
      <c r="AR20" s="1" t="str">
        <f t="shared" si="4"/>
        <v>id4year2018</v>
      </c>
    </row>
    <row r="21">
      <c r="A21" s="134">
        <f t="shared" si="3"/>
        <v>19</v>
      </c>
      <c r="B21" s="134">
        <v>4.0</v>
      </c>
      <c r="C21" s="135" t="str">
        <f>VLOOKUP(B21,companies!$A:$B,2,FALSE)</f>
        <v>Accenture</v>
      </c>
      <c r="D21" s="136"/>
      <c r="E21" s="136">
        <v>2016.0</v>
      </c>
      <c r="F21" s="136">
        <f>F20</f>
        <v>22183</v>
      </c>
      <c r="G21" s="136"/>
      <c r="H21" s="136">
        <f>H20</f>
        <v>218855</v>
      </c>
      <c r="I21" s="136"/>
      <c r="J21" s="136">
        <f>J20</f>
        <v>948756</v>
      </c>
      <c r="K21" s="136"/>
      <c r="L21" s="136"/>
      <c r="M21" s="137"/>
      <c r="N21" s="136"/>
      <c r="O21" s="136"/>
      <c r="P21" s="136"/>
      <c r="Q21" s="136"/>
      <c r="R21" s="136"/>
      <c r="S21" s="136"/>
      <c r="T21" s="136"/>
      <c r="U21" s="136"/>
      <c r="V21" s="136"/>
      <c r="W21" s="136"/>
      <c r="X21" s="136"/>
      <c r="Y21" s="136"/>
      <c r="Z21" s="136"/>
      <c r="AA21" s="138"/>
      <c r="AB21" s="138"/>
      <c r="AC21" s="134"/>
      <c r="AD21" s="141"/>
      <c r="AE21" s="134"/>
      <c r="AF21" s="133"/>
      <c r="AG21" s="133"/>
      <c r="AH21" s="133"/>
      <c r="AI21" s="133"/>
      <c r="AJ21" s="139"/>
      <c r="AK21" s="139"/>
      <c r="AL21" s="140"/>
    </row>
    <row r="22">
      <c r="A22" s="13">
        <f t="shared" si="3"/>
        <v>20</v>
      </c>
      <c r="B22" s="13">
        <v>5.0</v>
      </c>
      <c r="C22" s="14" t="str">
        <f>VLOOKUP(B22,companies!$A:$B,2,FALSE)</f>
        <v>Adobe Inc.</v>
      </c>
      <c r="D22" s="15" t="s">
        <v>535</v>
      </c>
      <c r="E22" s="15">
        <v>2020.0</v>
      </c>
      <c r="F22" s="15">
        <v>9842.0</v>
      </c>
      <c r="G22" s="15">
        <v>51176.0</v>
      </c>
      <c r="H22" s="15">
        <v>34540.0</v>
      </c>
      <c r="I22" s="15" t="s">
        <v>578</v>
      </c>
      <c r="J22" s="15">
        <v>438210.0</v>
      </c>
      <c r="K22" s="15">
        <v>359994.0</v>
      </c>
      <c r="L22" s="15">
        <v>38955.0</v>
      </c>
      <c r="M22" s="15" t="s">
        <v>683</v>
      </c>
      <c r="N22" s="15">
        <v>12692.0</v>
      </c>
      <c r="O22" s="15">
        <v>682.0</v>
      </c>
      <c r="P22" s="15" t="s">
        <v>683</v>
      </c>
      <c r="Q22" s="15">
        <v>11978.0</v>
      </c>
      <c r="R22" s="15">
        <v>13908.0</v>
      </c>
      <c r="S22" s="15" t="s">
        <v>683</v>
      </c>
      <c r="T22" s="15" t="s">
        <v>683</v>
      </c>
      <c r="U22" s="15" t="s">
        <v>683</v>
      </c>
      <c r="V22" s="15" t="s">
        <v>683</v>
      </c>
      <c r="W22" s="15" t="s">
        <v>683</v>
      </c>
      <c r="X22" s="15" t="s">
        <v>683</v>
      </c>
      <c r="Y22" s="15" t="s">
        <v>683</v>
      </c>
      <c r="Z22" s="15" t="s">
        <v>683</v>
      </c>
      <c r="AA22" s="131" t="s">
        <v>683</v>
      </c>
      <c r="AB22" s="131" t="s">
        <v>683</v>
      </c>
      <c r="AC22" s="131"/>
      <c r="AD22" s="127">
        <f t="shared" ref="AD22:AD29" si="6">SUM(O22:AA22,H22,K22:M22,F22)</f>
        <v>469899</v>
      </c>
      <c r="AE22" s="13">
        <v>0.0</v>
      </c>
      <c r="AF22" s="128">
        <v>1.0</v>
      </c>
      <c r="AG22" s="128">
        <v>1.0</v>
      </c>
      <c r="AH22" s="128">
        <v>1.0</v>
      </c>
      <c r="AI22" s="128"/>
      <c r="AJ22" s="24"/>
      <c r="AK22" s="24"/>
      <c r="AR22" s="1" t="str">
        <f t="shared" ref="AR22:AR85" si="7">"id"&amp;B22&amp;"year"&amp;E22</f>
        <v>id5year2020</v>
      </c>
    </row>
    <row r="23">
      <c r="A23" s="13">
        <f t="shared" si="3"/>
        <v>21</v>
      </c>
      <c r="B23" s="13">
        <v>5.0</v>
      </c>
      <c r="C23" s="14" t="str">
        <f>VLOOKUP(B23,companies!$A:$B,2,FALSE)</f>
        <v>Adobe Inc.</v>
      </c>
      <c r="D23" s="15" t="s">
        <v>535</v>
      </c>
      <c r="E23" s="15">
        <v>2019.0</v>
      </c>
      <c r="F23" s="15">
        <v>11817.0</v>
      </c>
      <c r="G23" s="15">
        <v>56128.0</v>
      </c>
      <c r="H23" s="15">
        <v>43893.0</v>
      </c>
      <c r="I23" s="15" t="s">
        <v>578</v>
      </c>
      <c r="J23" s="15">
        <v>542874.0</v>
      </c>
      <c r="K23" s="15">
        <v>358472.0</v>
      </c>
      <c r="L23" s="15">
        <v>39706.0</v>
      </c>
      <c r="M23" s="15" t="s">
        <v>683</v>
      </c>
      <c r="N23" s="15">
        <v>14180.0</v>
      </c>
      <c r="O23" s="15">
        <v>739.0</v>
      </c>
      <c r="P23" s="15" t="s">
        <v>683</v>
      </c>
      <c r="Q23" s="15">
        <v>88959.0</v>
      </c>
      <c r="R23" s="15">
        <v>42037.0</v>
      </c>
      <c r="S23" s="15" t="s">
        <v>683</v>
      </c>
      <c r="T23" s="15" t="s">
        <v>683</v>
      </c>
      <c r="U23" s="15" t="s">
        <v>683</v>
      </c>
      <c r="V23" s="15" t="s">
        <v>683</v>
      </c>
      <c r="W23" s="15" t="s">
        <v>683</v>
      </c>
      <c r="X23" s="15" t="s">
        <v>683</v>
      </c>
      <c r="Y23" s="15" t="s">
        <v>683</v>
      </c>
      <c r="Z23" s="15" t="s">
        <v>683</v>
      </c>
      <c r="AA23" s="131" t="s">
        <v>683</v>
      </c>
      <c r="AB23" s="131" t="s">
        <v>683</v>
      </c>
      <c r="AC23" s="131"/>
      <c r="AD23" s="127">
        <f t="shared" si="6"/>
        <v>585623</v>
      </c>
      <c r="AE23" s="13">
        <v>0.0</v>
      </c>
      <c r="AF23" s="128">
        <v>1.0</v>
      </c>
      <c r="AG23" s="128">
        <v>1.0</v>
      </c>
      <c r="AH23" s="128">
        <v>1.0</v>
      </c>
      <c r="AI23" s="128"/>
      <c r="AJ23" s="24"/>
      <c r="AK23" s="24"/>
      <c r="AR23" s="1" t="str">
        <f t="shared" si="7"/>
        <v>id5year2019</v>
      </c>
    </row>
    <row r="24">
      <c r="A24" s="13">
        <f t="shared" si="3"/>
        <v>22</v>
      </c>
      <c r="B24" s="13">
        <v>5.0</v>
      </c>
      <c r="C24" s="14" t="str">
        <f>VLOOKUP(B24,companies!$A:$B,2,FALSE)</f>
        <v>Adobe Inc.</v>
      </c>
      <c r="D24" s="15" t="s">
        <v>535</v>
      </c>
      <c r="E24" s="15">
        <v>2018.0</v>
      </c>
      <c r="F24" s="15">
        <v>12119.0</v>
      </c>
      <c r="G24" s="15">
        <v>58874.0</v>
      </c>
      <c r="H24" s="15">
        <v>47871.0</v>
      </c>
      <c r="I24" s="15" t="s">
        <v>578</v>
      </c>
      <c r="J24" s="15">
        <v>51738.0</v>
      </c>
      <c r="K24" s="15" t="s">
        <v>536</v>
      </c>
      <c r="L24" s="15" t="s">
        <v>536</v>
      </c>
      <c r="M24" s="15" t="s">
        <v>683</v>
      </c>
      <c r="N24" s="15" t="s">
        <v>536</v>
      </c>
      <c r="O24" s="15" t="s">
        <v>536</v>
      </c>
      <c r="P24" s="15" t="s">
        <v>683</v>
      </c>
      <c r="Q24" s="15">
        <v>40498.0</v>
      </c>
      <c r="R24" s="15">
        <v>10603.0</v>
      </c>
      <c r="S24" s="15" t="s">
        <v>683</v>
      </c>
      <c r="T24" s="15" t="s">
        <v>683</v>
      </c>
      <c r="U24" s="15" t="s">
        <v>683</v>
      </c>
      <c r="V24" s="15" t="s">
        <v>683</v>
      </c>
      <c r="W24" s="15" t="s">
        <v>683</v>
      </c>
      <c r="X24" s="15" t="s">
        <v>683</v>
      </c>
      <c r="Y24" s="15" t="s">
        <v>683</v>
      </c>
      <c r="Z24" s="15" t="s">
        <v>683</v>
      </c>
      <c r="AA24" s="131" t="s">
        <v>683</v>
      </c>
      <c r="AB24" s="131" t="s">
        <v>683</v>
      </c>
      <c r="AC24" s="131"/>
      <c r="AD24" s="127">
        <f t="shared" si="6"/>
        <v>111091</v>
      </c>
      <c r="AE24" s="13">
        <v>0.0</v>
      </c>
      <c r="AF24" s="128">
        <v>1.0</v>
      </c>
      <c r="AG24" s="128">
        <v>1.0</v>
      </c>
      <c r="AH24" s="128">
        <v>1.0</v>
      </c>
      <c r="AI24" s="128">
        <v>0.1</v>
      </c>
      <c r="AJ24" s="24"/>
      <c r="AK24" s="24" t="s">
        <v>747</v>
      </c>
      <c r="AR24" s="1" t="str">
        <f t="shared" si="7"/>
        <v>id5year2018</v>
      </c>
    </row>
    <row r="25">
      <c r="A25" s="13">
        <f t="shared" si="3"/>
        <v>23</v>
      </c>
      <c r="B25" s="13">
        <v>5.0</v>
      </c>
      <c r="C25" s="14" t="str">
        <f>VLOOKUP(B25,companies!$A:$B,2,FALSE)</f>
        <v>Adobe Inc.</v>
      </c>
      <c r="D25" s="15" t="s">
        <v>535</v>
      </c>
      <c r="E25" s="15">
        <v>2017.0</v>
      </c>
      <c r="F25" s="15">
        <v>11361.0</v>
      </c>
      <c r="G25" s="15">
        <v>66268.0</v>
      </c>
      <c r="H25" s="15">
        <v>59184.0</v>
      </c>
      <c r="I25" s="15" t="s">
        <v>578</v>
      </c>
      <c r="J25" s="15">
        <v>43258.0</v>
      </c>
      <c r="K25" s="15" t="s">
        <v>536</v>
      </c>
      <c r="L25" s="15" t="s">
        <v>536</v>
      </c>
      <c r="M25" s="15" t="s">
        <v>683</v>
      </c>
      <c r="N25" s="15" t="s">
        <v>536</v>
      </c>
      <c r="O25" s="15" t="s">
        <v>536</v>
      </c>
      <c r="P25" s="15" t="s">
        <v>683</v>
      </c>
      <c r="Q25" s="15">
        <v>32512.0</v>
      </c>
      <c r="R25" s="15">
        <v>10746.0</v>
      </c>
      <c r="S25" s="15" t="s">
        <v>683</v>
      </c>
      <c r="T25" s="15" t="s">
        <v>683</v>
      </c>
      <c r="U25" s="15" t="s">
        <v>683</v>
      </c>
      <c r="V25" s="15" t="s">
        <v>683</v>
      </c>
      <c r="W25" s="15" t="s">
        <v>683</v>
      </c>
      <c r="X25" s="15" t="s">
        <v>683</v>
      </c>
      <c r="Y25" s="15" t="s">
        <v>683</v>
      </c>
      <c r="Z25" s="15" t="s">
        <v>683</v>
      </c>
      <c r="AA25" s="131" t="s">
        <v>683</v>
      </c>
      <c r="AB25" s="131" t="s">
        <v>683</v>
      </c>
      <c r="AC25" s="131"/>
      <c r="AD25" s="127">
        <f t="shared" si="6"/>
        <v>113803</v>
      </c>
      <c r="AE25" s="13">
        <v>0.0</v>
      </c>
      <c r="AF25" s="128">
        <v>1.0</v>
      </c>
      <c r="AG25" s="128">
        <v>1.0</v>
      </c>
      <c r="AH25" s="128">
        <v>1.0</v>
      </c>
      <c r="AI25" s="128">
        <v>0.1</v>
      </c>
      <c r="AJ25" s="24"/>
      <c r="AK25" s="24" t="s">
        <v>747</v>
      </c>
      <c r="AR25" s="1" t="str">
        <f t="shared" si="7"/>
        <v>id5year2017</v>
      </c>
    </row>
    <row r="26">
      <c r="A26" s="13">
        <f t="shared" si="3"/>
        <v>24</v>
      </c>
      <c r="B26" s="13">
        <v>6.0</v>
      </c>
      <c r="C26" s="14" t="str">
        <f>VLOOKUP(B26,companies!$A:$B,2,FALSE)</f>
        <v>Allstate Corp</v>
      </c>
      <c r="D26" s="15" t="s">
        <v>535</v>
      </c>
      <c r="E26" s="15">
        <v>2020.0</v>
      </c>
      <c r="F26" s="15">
        <v>20849.0</v>
      </c>
      <c r="G26" s="15">
        <v>75630.0</v>
      </c>
      <c r="H26" s="15">
        <v>58970.0</v>
      </c>
      <c r="I26" s="15" t="s">
        <v>578</v>
      </c>
      <c r="J26" s="15"/>
      <c r="K26" s="15"/>
      <c r="L26" s="15"/>
      <c r="M26" s="130"/>
      <c r="N26" s="15"/>
      <c r="O26" s="15"/>
      <c r="P26" s="15"/>
      <c r="Q26" s="15">
        <v>7800.0</v>
      </c>
      <c r="R26" s="15"/>
      <c r="S26" s="15"/>
      <c r="T26" s="15"/>
      <c r="U26" s="15"/>
      <c r="V26" s="15"/>
      <c r="W26" s="15"/>
      <c r="X26" s="15"/>
      <c r="Y26" s="15"/>
      <c r="Z26" s="15"/>
      <c r="AA26" s="131"/>
      <c r="AB26" s="131"/>
      <c r="AC26" s="131"/>
      <c r="AD26" s="127">
        <f t="shared" si="6"/>
        <v>87619</v>
      </c>
      <c r="AE26" s="13">
        <v>0.0</v>
      </c>
      <c r="AF26" s="128">
        <v>1.0</v>
      </c>
      <c r="AG26" s="128">
        <v>1.0</v>
      </c>
      <c r="AH26" s="128">
        <v>1.0</v>
      </c>
      <c r="AI26" s="128">
        <v>0.24</v>
      </c>
      <c r="AJ26" s="24"/>
      <c r="AK26" s="24" t="s">
        <v>748</v>
      </c>
      <c r="AL26" s="36" t="s">
        <v>682</v>
      </c>
      <c r="AR26" s="1" t="str">
        <f t="shared" si="7"/>
        <v>id6year2020</v>
      </c>
    </row>
    <row r="27">
      <c r="A27" s="13">
        <f t="shared" si="3"/>
        <v>25</v>
      </c>
      <c r="B27" s="13">
        <v>6.0</v>
      </c>
      <c r="C27" s="14" t="str">
        <f>VLOOKUP(B27,companies!$A:$B,2,FALSE)</f>
        <v>Allstate Corp</v>
      </c>
      <c r="D27" s="15" t="s">
        <v>535</v>
      </c>
      <c r="E27" s="15">
        <v>2019.0</v>
      </c>
      <c r="F27" s="15">
        <v>39200.0</v>
      </c>
      <c r="G27" s="15">
        <v>86900.0</v>
      </c>
      <c r="H27" s="15">
        <v>74200.0</v>
      </c>
      <c r="I27" s="15" t="s">
        <v>578</v>
      </c>
      <c r="J27" s="15"/>
      <c r="K27" s="142"/>
      <c r="L27" s="15"/>
      <c r="M27" s="143"/>
      <c r="N27" s="15"/>
      <c r="O27" s="15"/>
      <c r="P27" s="15"/>
      <c r="Q27" s="15">
        <v>8900.0</v>
      </c>
      <c r="R27" s="15"/>
      <c r="S27" s="144"/>
      <c r="T27" s="144"/>
      <c r="U27" s="144"/>
      <c r="V27" s="144"/>
      <c r="W27" s="144"/>
      <c r="X27" s="15"/>
      <c r="Y27" s="144"/>
      <c r="Z27" s="144"/>
      <c r="AA27" s="144"/>
      <c r="AB27" s="144"/>
      <c r="AC27" s="15"/>
      <c r="AD27" s="127">
        <f t="shared" si="6"/>
        <v>122300</v>
      </c>
      <c r="AE27" s="13">
        <v>0.0</v>
      </c>
      <c r="AF27" s="128">
        <v>1.0</v>
      </c>
      <c r="AG27" s="128">
        <v>1.0</v>
      </c>
      <c r="AH27" s="128">
        <v>1.0</v>
      </c>
      <c r="AI27" s="128">
        <v>0.24</v>
      </c>
      <c r="AJ27" s="24"/>
      <c r="AK27" s="24" t="s">
        <v>748</v>
      </c>
      <c r="AL27" s="36" t="s">
        <v>682</v>
      </c>
      <c r="AR27" s="1" t="str">
        <f t="shared" si="7"/>
        <v>id6year2019</v>
      </c>
    </row>
    <row r="28">
      <c r="A28" s="13">
        <f t="shared" si="3"/>
        <v>26</v>
      </c>
      <c r="B28" s="13">
        <v>6.0</v>
      </c>
      <c r="C28" s="14" t="str">
        <f>VLOOKUP(B28,companies!$A:$B,2,FALSE)</f>
        <v>Allstate Corp</v>
      </c>
      <c r="D28" s="15" t="s">
        <v>535</v>
      </c>
      <c r="E28" s="15">
        <v>2018.0</v>
      </c>
      <c r="F28" s="15">
        <v>45.966</v>
      </c>
      <c r="G28" s="15">
        <v>82.887</v>
      </c>
      <c r="H28" s="15" t="s">
        <v>536</v>
      </c>
      <c r="I28" s="15" t="s">
        <v>578</v>
      </c>
      <c r="J28" s="15"/>
      <c r="K28" s="142"/>
      <c r="L28" s="15"/>
      <c r="M28" s="143"/>
      <c r="N28" s="15"/>
      <c r="O28" s="15"/>
      <c r="P28" s="15"/>
      <c r="Q28" s="15">
        <v>13264.0</v>
      </c>
      <c r="R28" s="15"/>
      <c r="S28" s="144"/>
      <c r="T28" s="144"/>
      <c r="U28" s="144"/>
      <c r="V28" s="144"/>
      <c r="W28" s="144"/>
      <c r="X28" s="15"/>
      <c r="Y28" s="144"/>
      <c r="Z28" s="144"/>
      <c r="AA28" s="144"/>
      <c r="AB28" s="144"/>
      <c r="AC28" s="15"/>
      <c r="AD28" s="127">
        <f t="shared" si="6"/>
        <v>13309.966</v>
      </c>
      <c r="AE28" s="13">
        <v>0.0</v>
      </c>
      <c r="AF28" s="128">
        <v>1.0</v>
      </c>
      <c r="AG28" s="128">
        <v>1.0</v>
      </c>
      <c r="AH28" s="128">
        <v>1.0</v>
      </c>
      <c r="AI28" s="128">
        <v>0.24</v>
      </c>
      <c r="AJ28" s="24"/>
      <c r="AK28" s="24" t="s">
        <v>748</v>
      </c>
      <c r="AL28" s="36" t="s">
        <v>682</v>
      </c>
      <c r="AR28" s="1" t="str">
        <f t="shared" si="7"/>
        <v>id6year2018</v>
      </c>
    </row>
    <row r="29">
      <c r="A29" s="13">
        <f t="shared" si="3"/>
        <v>27</v>
      </c>
      <c r="B29" s="13">
        <v>6.0</v>
      </c>
      <c r="C29" s="14" t="str">
        <f>VLOOKUP(B29,companies!$A:$B,2,FALSE)</f>
        <v>Allstate Corp</v>
      </c>
      <c r="D29" s="15" t="s">
        <v>535</v>
      </c>
      <c r="E29" s="15">
        <v>2017.0</v>
      </c>
      <c r="F29" s="15">
        <v>53818.0</v>
      </c>
      <c r="G29" s="15">
        <v>91209.0</v>
      </c>
      <c r="H29" s="15" t="s">
        <v>536</v>
      </c>
      <c r="I29" s="15" t="s">
        <v>578</v>
      </c>
      <c r="J29" s="15"/>
      <c r="K29" s="142"/>
      <c r="L29" s="15"/>
      <c r="M29" s="143"/>
      <c r="N29" s="15"/>
      <c r="O29" s="15"/>
      <c r="P29" s="15"/>
      <c r="Q29" s="15">
        <v>20119.0</v>
      </c>
      <c r="R29" s="15"/>
      <c r="S29" s="144"/>
      <c r="T29" s="144"/>
      <c r="U29" s="144"/>
      <c r="V29" s="144"/>
      <c r="W29" s="144"/>
      <c r="X29" s="15"/>
      <c r="Y29" s="144"/>
      <c r="Z29" s="144"/>
      <c r="AA29" s="144"/>
      <c r="AB29" s="144"/>
      <c r="AC29" s="15"/>
      <c r="AD29" s="127">
        <f t="shared" si="6"/>
        <v>73937</v>
      </c>
      <c r="AE29" s="13">
        <v>0.0</v>
      </c>
      <c r="AF29" s="128">
        <v>1.0</v>
      </c>
      <c r="AG29" s="128">
        <v>1.0</v>
      </c>
      <c r="AH29" s="128">
        <v>1.0</v>
      </c>
      <c r="AI29" s="128">
        <v>0.24</v>
      </c>
      <c r="AJ29" s="24"/>
      <c r="AK29" s="24" t="s">
        <v>748</v>
      </c>
      <c r="AL29" s="36" t="s">
        <v>682</v>
      </c>
      <c r="AR29" s="1" t="str">
        <f t="shared" si="7"/>
        <v>id6year2017</v>
      </c>
    </row>
    <row r="30">
      <c r="A30" s="13">
        <f t="shared" si="3"/>
        <v>28</v>
      </c>
      <c r="B30" s="13">
        <v>7.0</v>
      </c>
      <c r="C30" s="14" t="str">
        <f>VLOOKUP(B30,companies!$A:$B,2,FALSE)</f>
        <v>Alphabet Inc. Google</v>
      </c>
      <c r="D30" s="16">
        <v>44204.0</v>
      </c>
      <c r="E30" s="15">
        <v>2020.0</v>
      </c>
      <c r="F30" s="15"/>
      <c r="G30" s="15"/>
      <c r="H30" s="15"/>
      <c r="I30" s="15" t="s">
        <v>578</v>
      </c>
      <c r="J30" s="15"/>
      <c r="K30" s="15"/>
      <c r="L30" s="15"/>
      <c r="M30" s="130"/>
      <c r="N30" s="15"/>
      <c r="O30" s="15"/>
      <c r="P30" s="15"/>
      <c r="Q30" s="15"/>
      <c r="R30" s="15"/>
      <c r="S30" s="15"/>
      <c r="T30" s="15"/>
      <c r="U30" s="15"/>
      <c r="V30" s="15"/>
      <c r="W30" s="15"/>
      <c r="X30" s="15"/>
      <c r="Y30" s="15"/>
      <c r="Z30" s="15"/>
      <c r="AA30" s="131"/>
      <c r="AB30" s="131"/>
      <c r="AC30" s="131"/>
      <c r="AD30" s="127"/>
      <c r="AE30" s="13"/>
      <c r="AF30" s="128"/>
      <c r="AG30" s="128"/>
      <c r="AH30" s="128"/>
      <c r="AI30" s="128"/>
      <c r="AJ30" s="24"/>
      <c r="AK30" s="24"/>
      <c r="AR30" s="1" t="str">
        <f t="shared" si="7"/>
        <v>id7year2020</v>
      </c>
    </row>
    <row r="31">
      <c r="A31" s="13">
        <f t="shared" si="3"/>
        <v>29</v>
      </c>
      <c r="B31" s="13">
        <v>7.0</v>
      </c>
      <c r="C31" s="14" t="str">
        <f>VLOOKUP(B31,companies!$A:$B,2,FALSE)</f>
        <v>Alphabet Inc. Google</v>
      </c>
      <c r="D31" s="16">
        <v>44204.0</v>
      </c>
      <c r="E31" s="15">
        <v>2019.0</v>
      </c>
      <c r="F31" s="15">
        <v>66686.0</v>
      </c>
      <c r="G31" s="15">
        <v>5116949.0</v>
      </c>
      <c r="H31" s="15">
        <v>794267.0</v>
      </c>
      <c r="I31" s="15" t="s">
        <v>578</v>
      </c>
      <c r="J31" s="15">
        <v>1.1669E7</v>
      </c>
      <c r="K31" s="15" t="s">
        <v>683</v>
      </c>
      <c r="L31" s="15">
        <f>VLOOKUP($B31,'GHG19'!$A:$Y,COLUMN('GHG19'!G$1),FALSE)</f>
        <v>2158000</v>
      </c>
      <c r="M31" s="130" t="s">
        <v>683</v>
      </c>
      <c r="N31" s="15" t="s">
        <v>683</v>
      </c>
      <c r="O31" s="15">
        <v>460000.0</v>
      </c>
      <c r="P31" s="15" t="s">
        <v>683</v>
      </c>
      <c r="Q31" s="15">
        <v>369000.0</v>
      </c>
      <c r="R31" s="15">
        <v>173000.0</v>
      </c>
      <c r="S31" s="15" t="s">
        <v>683</v>
      </c>
      <c r="T31" s="15">
        <v>0.0</v>
      </c>
      <c r="U31" s="15" t="s">
        <v>683</v>
      </c>
      <c r="V31" s="15">
        <v>0.0</v>
      </c>
      <c r="W31" s="15">
        <v>0.0</v>
      </c>
      <c r="X31" s="15" t="s">
        <v>683</v>
      </c>
      <c r="Y31" s="15" t="s">
        <v>683</v>
      </c>
      <c r="Z31" s="15" t="s">
        <v>683</v>
      </c>
      <c r="AA31" s="131">
        <v>8509000.0</v>
      </c>
      <c r="AB31" s="131" t="s">
        <v>683</v>
      </c>
      <c r="AC31" s="131"/>
      <c r="AD31" s="127">
        <f>SUM(O31:AA31,H31,K31:M31,F31)</f>
        <v>12529953</v>
      </c>
      <c r="AE31" s="13">
        <v>1402953.0</v>
      </c>
      <c r="AF31" s="128">
        <v>1.0</v>
      </c>
      <c r="AG31" s="128">
        <v>1.0</v>
      </c>
      <c r="AH31" s="128">
        <v>1.0</v>
      </c>
      <c r="AI31" s="128">
        <f>542000/12529953</f>
        <v>0.04325634741</v>
      </c>
      <c r="AJ31" s="24"/>
      <c r="AK31" s="24" t="s">
        <v>749</v>
      </c>
      <c r="AR31" s="1" t="str">
        <f t="shared" si="7"/>
        <v>id7year2019</v>
      </c>
    </row>
    <row r="32">
      <c r="A32" s="13">
        <f t="shared" si="3"/>
        <v>30</v>
      </c>
      <c r="B32" s="13">
        <v>7.0</v>
      </c>
      <c r="C32" s="14" t="str">
        <f>VLOOKUP(B32,companies!$A:$B,2,FALSE)</f>
        <v>Alphabet Inc. Google</v>
      </c>
      <c r="D32" s="16">
        <v>44204.0</v>
      </c>
      <c r="E32" s="15">
        <v>2018.0</v>
      </c>
      <c r="F32" s="15">
        <v>63521.0</v>
      </c>
      <c r="G32" s="15">
        <v>4344686.0</v>
      </c>
      <c r="H32" s="15">
        <v>684236.0</v>
      </c>
      <c r="I32" s="15" t="s">
        <v>578</v>
      </c>
      <c r="J32" s="15">
        <v>1.2900467E7</v>
      </c>
      <c r="K32" s="15"/>
      <c r="L32" s="15"/>
      <c r="M32" s="130"/>
      <c r="N32" s="15"/>
      <c r="O32" s="15"/>
      <c r="P32" s="15"/>
      <c r="Q32" s="15"/>
      <c r="R32" s="15"/>
      <c r="S32" s="15"/>
      <c r="T32" s="15"/>
      <c r="U32" s="15"/>
      <c r="V32" s="15"/>
      <c r="W32" s="15"/>
      <c r="X32" s="15"/>
      <c r="Y32" s="15"/>
      <c r="Z32" s="15"/>
      <c r="AA32" s="131"/>
      <c r="AB32" s="131"/>
      <c r="AC32" s="131"/>
      <c r="AD32" s="127">
        <f t="shared" ref="AD32:AD39" si="8">SUM(O32:AA32,H32:M32,F32)</f>
        <v>13648224</v>
      </c>
      <c r="AE32" s="13">
        <v>1211224.0</v>
      </c>
      <c r="AF32" s="128">
        <v>1.0</v>
      </c>
      <c r="AG32" s="128">
        <v>1.0</v>
      </c>
      <c r="AH32" s="128">
        <v>1.0</v>
      </c>
      <c r="AI32" s="128">
        <f>463467/12900467</f>
        <v>0.03592637383</v>
      </c>
      <c r="AJ32" s="24"/>
      <c r="AK32" s="24" t="s">
        <v>750</v>
      </c>
      <c r="AL32" s="1" t="s">
        <v>682</v>
      </c>
      <c r="AR32" s="1" t="str">
        <f t="shared" si="7"/>
        <v>id7year2018</v>
      </c>
    </row>
    <row r="33">
      <c r="A33" s="13">
        <f t="shared" si="3"/>
        <v>31</v>
      </c>
      <c r="B33" s="13">
        <v>7.0</v>
      </c>
      <c r="C33" s="14" t="str">
        <f>VLOOKUP(B33,companies!$A:$B,2,FALSE)</f>
        <v>Alphabet Inc. Google</v>
      </c>
      <c r="D33" s="16">
        <v>44204.0</v>
      </c>
      <c r="E33" s="15">
        <v>2017.0</v>
      </c>
      <c r="F33" s="15">
        <v>66546.0</v>
      </c>
      <c r="G33" s="15">
        <v>3301392.0</v>
      </c>
      <c r="H33" s="15">
        <v>509334.0</v>
      </c>
      <c r="I33" s="15" t="s">
        <v>578</v>
      </c>
      <c r="J33" s="15">
        <v>2719024.0</v>
      </c>
      <c r="K33" s="15"/>
      <c r="L33" s="15"/>
      <c r="M33" s="130"/>
      <c r="N33" s="15"/>
      <c r="O33" s="15"/>
      <c r="P33" s="15"/>
      <c r="Q33" s="15"/>
      <c r="R33" s="15"/>
      <c r="S33" s="15"/>
      <c r="T33" s="15"/>
      <c r="U33" s="15"/>
      <c r="V33" s="15"/>
      <c r="W33" s="15"/>
      <c r="X33" s="15"/>
      <c r="Y33" s="15"/>
      <c r="Z33" s="15"/>
      <c r="AA33" s="131"/>
      <c r="AB33" s="131"/>
      <c r="AC33" s="131"/>
      <c r="AD33" s="127">
        <f t="shared" si="8"/>
        <v>3294904</v>
      </c>
      <c r="AE33" s="13">
        <v>931943.0</v>
      </c>
      <c r="AF33" s="128">
        <v>1.0</v>
      </c>
      <c r="AG33" s="128">
        <v>1.0</v>
      </c>
      <c r="AH33" s="128">
        <v>1.0</v>
      </c>
      <c r="AI33" s="128">
        <v>0.04</v>
      </c>
      <c r="AJ33" s="24"/>
      <c r="AK33" s="24" t="s">
        <v>751</v>
      </c>
      <c r="AR33" s="1" t="str">
        <f t="shared" si="7"/>
        <v>id7year2017</v>
      </c>
    </row>
    <row r="34">
      <c r="A34" s="13">
        <f t="shared" si="3"/>
        <v>32</v>
      </c>
      <c r="B34" s="13">
        <v>7.0</v>
      </c>
      <c r="C34" s="14" t="str">
        <f>VLOOKUP(B34,companies!$A:$B,2,FALSE)</f>
        <v>Alphabet Inc. Google</v>
      </c>
      <c r="D34" s="16">
        <v>44204.0</v>
      </c>
      <c r="E34" s="15">
        <v>2016.0</v>
      </c>
      <c r="F34" s="15">
        <v>66218.0</v>
      </c>
      <c r="G34" s="15">
        <v>2902554.0</v>
      </c>
      <c r="H34" s="15">
        <v>1518643.0</v>
      </c>
      <c r="I34" s="15" t="s">
        <v>578</v>
      </c>
      <c r="J34" s="15">
        <v>1292268.0</v>
      </c>
      <c r="K34" s="15"/>
      <c r="L34" s="15"/>
      <c r="M34" s="130"/>
      <c r="N34" s="15"/>
      <c r="O34" s="15"/>
      <c r="P34" s="15"/>
      <c r="Q34" s="15"/>
      <c r="R34" s="15"/>
      <c r="S34" s="15"/>
      <c r="T34" s="15"/>
      <c r="U34" s="15"/>
      <c r="V34" s="15"/>
      <c r="W34" s="15"/>
      <c r="X34" s="15"/>
      <c r="Y34" s="15"/>
      <c r="Z34" s="15"/>
      <c r="AA34" s="131"/>
      <c r="AB34" s="131"/>
      <c r="AC34" s="131"/>
      <c r="AD34" s="127">
        <f t="shared" si="8"/>
        <v>2877129</v>
      </c>
      <c r="AE34" s="13">
        <v>1898889.0</v>
      </c>
      <c r="AF34" s="128">
        <v>1.0</v>
      </c>
      <c r="AG34" s="128">
        <v>1.0</v>
      </c>
      <c r="AH34" s="128">
        <v>1.0</v>
      </c>
      <c r="AI34" s="128">
        <v>0.04</v>
      </c>
      <c r="AJ34" s="24"/>
      <c r="AK34" s="24" t="s">
        <v>752</v>
      </c>
      <c r="AR34" s="1" t="str">
        <f t="shared" si="7"/>
        <v>id7year2016</v>
      </c>
    </row>
    <row r="35">
      <c r="A35" s="13">
        <f t="shared" si="3"/>
        <v>33</v>
      </c>
      <c r="B35" s="13">
        <v>7.0</v>
      </c>
      <c r="C35" s="14" t="str">
        <f>VLOOKUP(B35,companies!$A:$B,2,FALSE)</f>
        <v>Alphabet Inc. Google</v>
      </c>
      <c r="D35" s="16">
        <v>44204.0</v>
      </c>
      <c r="E35" s="15">
        <v>2015.0</v>
      </c>
      <c r="F35" s="15">
        <v>66991.0</v>
      </c>
      <c r="G35" s="15">
        <v>2450438.0</v>
      </c>
      <c r="H35" s="15">
        <v>1384427.0</v>
      </c>
      <c r="I35" s="15" t="s">
        <v>578</v>
      </c>
      <c r="J35" s="15">
        <v>1234683.0</v>
      </c>
      <c r="K35" s="15"/>
      <c r="L35" s="15"/>
      <c r="M35" s="130"/>
      <c r="N35" s="15"/>
      <c r="O35" s="15"/>
      <c r="P35" s="15"/>
      <c r="Q35" s="15"/>
      <c r="R35" s="15"/>
      <c r="S35" s="15"/>
      <c r="T35" s="15"/>
      <c r="U35" s="15"/>
      <c r="V35" s="15"/>
      <c r="W35" s="15"/>
      <c r="X35" s="15"/>
      <c r="Y35" s="15"/>
      <c r="Z35" s="15"/>
      <c r="AA35" s="131"/>
      <c r="AB35" s="131"/>
      <c r="AC35" s="131"/>
      <c r="AD35" s="127">
        <f t="shared" si="8"/>
        <v>2686101</v>
      </c>
      <c r="AE35" s="13">
        <v>2686101.0</v>
      </c>
      <c r="AF35" s="128">
        <v>1.0</v>
      </c>
      <c r="AG35" s="128">
        <v>1.0</v>
      </c>
      <c r="AH35" s="128">
        <v>1.0</v>
      </c>
      <c r="AI35" s="128">
        <v>0.04</v>
      </c>
      <c r="AJ35" s="24"/>
      <c r="AK35" s="24" t="s">
        <v>752</v>
      </c>
      <c r="AR35" s="1" t="str">
        <f t="shared" si="7"/>
        <v>id7year2015</v>
      </c>
    </row>
    <row r="36">
      <c r="A36" s="13">
        <f t="shared" si="3"/>
        <v>34</v>
      </c>
      <c r="B36" s="13">
        <v>8.0</v>
      </c>
      <c r="C36" s="14" t="str">
        <f>VLOOKUP(B36,companies!$A:$B,2,FALSE)</f>
        <v>Altria Group Inc</v>
      </c>
      <c r="D36" s="16">
        <v>44204.0</v>
      </c>
      <c r="E36" s="15">
        <v>2020.0</v>
      </c>
      <c r="F36" s="15">
        <v>139868.0</v>
      </c>
      <c r="G36" s="15">
        <v>144140.0</v>
      </c>
      <c r="H36" s="15">
        <v>141100.0</v>
      </c>
      <c r="I36" s="15" t="s">
        <v>578</v>
      </c>
      <c r="J36" s="15"/>
      <c r="K36" s="15">
        <v>1680841.0</v>
      </c>
      <c r="L36" s="15">
        <v>26999.0</v>
      </c>
      <c r="M36" s="130"/>
      <c r="N36" s="15">
        <v>96877.0</v>
      </c>
      <c r="O36" s="15">
        <v>230858.0</v>
      </c>
      <c r="P36" s="15">
        <v>21661.0</v>
      </c>
      <c r="Q36" s="15">
        <v>2546.0</v>
      </c>
      <c r="R36" s="15">
        <v>6188.0</v>
      </c>
      <c r="S36" s="130"/>
      <c r="T36" s="15">
        <v>20086.0</v>
      </c>
      <c r="U36" s="130"/>
      <c r="V36" s="130"/>
      <c r="W36" s="15">
        <v>64723.0</v>
      </c>
      <c r="X36" s="130"/>
      <c r="Y36" s="130"/>
      <c r="Z36" s="15">
        <v>2858340.0</v>
      </c>
      <c r="AA36" s="13"/>
      <c r="AB36" s="13"/>
      <c r="AC36" s="127"/>
      <c r="AD36" s="127">
        <f t="shared" si="8"/>
        <v>5193210</v>
      </c>
      <c r="AE36" s="13"/>
      <c r="AF36" s="128">
        <v>1.0</v>
      </c>
      <c r="AG36" s="128">
        <v>1.0</v>
      </c>
      <c r="AH36" s="128">
        <v>1.0</v>
      </c>
      <c r="AI36" s="128">
        <v>0.0</v>
      </c>
      <c r="AJ36" s="24"/>
      <c r="AK36" s="24" t="s">
        <v>753</v>
      </c>
      <c r="AL36" s="36" t="s">
        <v>682</v>
      </c>
      <c r="AR36" s="1" t="str">
        <f t="shared" si="7"/>
        <v>id8year2020</v>
      </c>
    </row>
    <row r="37">
      <c r="A37" s="13">
        <f t="shared" si="3"/>
        <v>35</v>
      </c>
      <c r="B37" s="13">
        <v>8.0</v>
      </c>
      <c r="C37" s="14" t="str">
        <f>VLOOKUP(B37,companies!$A:$B,2,FALSE)</f>
        <v>Altria Group Inc</v>
      </c>
      <c r="D37" s="16">
        <v>44204.0</v>
      </c>
      <c r="E37" s="15">
        <v>2019.0</v>
      </c>
      <c r="F37" s="15">
        <v>154507.0</v>
      </c>
      <c r="G37" s="15">
        <v>151259.0</v>
      </c>
      <c r="H37" s="15">
        <v>147909.0</v>
      </c>
      <c r="I37" s="15" t="s">
        <v>578</v>
      </c>
      <c r="J37" s="15"/>
      <c r="K37" s="15">
        <v>1297850.0</v>
      </c>
      <c r="L37" s="15">
        <v>6713.0</v>
      </c>
      <c r="M37" s="130"/>
      <c r="N37" s="15">
        <v>96806.0</v>
      </c>
      <c r="O37" s="15">
        <v>278393.0</v>
      </c>
      <c r="P37" s="15">
        <v>27853.0</v>
      </c>
      <c r="Q37" s="15">
        <v>14102.0</v>
      </c>
      <c r="R37" s="15">
        <v>11373.0</v>
      </c>
      <c r="S37" s="130"/>
      <c r="T37" s="15">
        <v>199307.0</v>
      </c>
      <c r="U37" s="130"/>
      <c r="V37" s="130"/>
      <c r="W37" s="15">
        <v>67173.0</v>
      </c>
      <c r="X37" s="130"/>
      <c r="Y37" s="130"/>
      <c r="Z37" s="15">
        <v>3228163.0</v>
      </c>
      <c r="AA37" s="127"/>
      <c r="AB37" s="127"/>
      <c r="AC37" s="127"/>
      <c r="AD37" s="127">
        <f t="shared" si="8"/>
        <v>5433343</v>
      </c>
      <c r="AE37" s="13"/>
      <c r="AF37" s="128">
        <v>1.0</v>
      </c>
      <c r="AG37" s="128">
        <v>1.0</v>
      </c>
      <c r="AH37" s="128">
        <v>1.0</v>
      </c>
      <c r="AI37" s="128">
        <v>0.0</v>
      </c>
      <c r="AJ37" s="24"/>
      <c r="AK37" s="24"/>
      <c r="AR37" s="1" t="str">
        <f t="shared" si="7"/>
        <v>id8year2019</v>
      </c>
    </row>
    <row r="38">
      <c r="A38" s="13">
        <f t="shared" si="3"/>
        <v>36</v>
      </c>
      <c r="B38" s="13">
        <v>8.0</v>
      </c>
      <c r="C38" s="14" t="str">
        <f>VLOOKUP(B38,companies!$A:$B,2,FALSE)</f>
        <v>Altria Group Inc</v>
      </c>
      <c r="D38" s="16">
        <v>44204.0</v>
      </c>
      <c r="E38" s="15">
        <v>2018.0</v>
      </c>
      <c r="F38" s="15">
        <v>162162.0</v>
      </c>
      <c r="G38" s="15"/>
      <c r="H38" s="15">
        <v>16712.0</v>
      </c>
      <c r="I38" s="15" t="s">
        <v>578</v>
      </c>
      <c r="J38" s="15"/>
      <c r="K38" s="15">
        <v>1344729.0</v>
      </c>
      <c r="L38" s="15">
        <v>11515.0</v>
      </c>
      <c r="M38" s="130"/>
      <c r="N38" s="15">
        <v>98424.0</v>
      </c>
      <c r="O38" s="15">
        <v>225799.0</v>
      </c>
      <c r="P38" s="15">
        <v>4929.0</v>
      </c>
      <c r="Q38" s="15">
        <v>20286.0</v>
      </c>
      <c r="R38" s="15">
        <v>17436.0</v>
      </c>
      <c r="S38" s="130"/>
      <c r="T38" s="15">
        <v>148.0</v>
      </c>
      <c r="U38" s="130"/>
      <c r="V38" s="130"/>
      <c r="W38" s="15">
        <v>80439.0</v>
      </c>
      <c r="X38" s="130"/>
      <c r="Y38" s="130"/>
      <c r="Z38" s="15">
        <v>3126891.0</v>
      </c>
      <c r="AA38" s="127"/>
      <c r="AB38" s="127"/>
      <c r="AC38" s="127"/>
      <c r="AD38" s="127">
        <f t="shared" si="8"/>
        <v>5011046</v>
      </c>
      <c r="AE38" s="13"/>
      <c r="AF38" s="128">
        <v>1.0</v>
      </c>
      <c r="AG38" s="128">
        <v>1.0</v>
      </c>
      <c r="AH38" s="128">
        <v>1.0</v>
      </c>
      <c r="AI38" s="128">
        <v>0.0</v>
      </c>
      <c r="AJ38" s="24"/>
      <c r="AK38" s="24"/>
      <c r="AR38" s="1" t="str">
        <f t="shared" si="7"/>
        <v>id8year2018</v>
      </c>
    </row>
    <row r="39">
      <c r="A39" s="13">
        <f t="shared" si="3"/>
        <v>37</v>
      </c>
      <c r="B39" s="13">
        <v>8.0</v>
      </c>
      <c r="C39" s="14" t="str">
        <f>VLOOKUP(B39,companies!$A:$B,2,FALSE)</f>
        <v>Altria Group Inc</v>
      </c>
      <c r="D39" s="16">
        <v>44204.0</v>
      </c>
      <c r="E39" s="15">
        <v>2017.0</v>
      </c>
      <c r="F39" s="15">
        <v>167720.0</v>
      </c>
      <c r="G39" s="15"/>
      <c r="H39" s="15">
        <v>169287.0</v>
      </c>
      <c r="I39" s="15" t="s">
        <v>578</v>
      </c>
      <c r="J39" s="15"/>
      <c r="K39" s="15">
        <v>1402570.0</v>
      </c>
      <c r="L39" s="15">
        <v>11934.0</v>
      </c>
      <c r="M39" s="130"/>
      <c r="N39" s="15">
        <v>103063.0</v>
      </c>
      <c r="O39" s="15">
        <v>235413.0</v>
      </c>
      <c r="P39" s="15">
        <v>5111.0</v>
      </c>
      <c r="Q39" s="15">
        <v>15298.0</v>
      </c>
      <c r="R39" s="15">
        <v>18112.0</v>
      </c>
      <c r="S39" s="130"/>
      <c r="T39" s="15">
        <v>151736.0</v>
      </c>
      <c r="U39" s="130"/>
      <c r="V39" s="130"/>
      <c r="W39" s="15">
        <v>84728.0</v>
      </c>
      <c r="X39" s="130"/>
      <c r="Y39" s="130"/>
      <c r="Z39" s="15">
        <v>3236400.0</v>
      </c>
      <c r="AA39" s="127"/>
      <c r="AB39" s="127"/>
      <c r="AC39" s="127"/>
      <c r="AD39" s="127">
        <f t="shared" si="8"/>
        <v>5498309</v>
      </c>
      <c r="AE39" s="13"/>
      <c r="AF39" s="128">
        <v>1.0</v>
      </c>
      <c r="AG39" s="128">
        <v>1.0</v>
      </c>
      <c r="AH39" s="128">
        <v>1.0</v>
      </c>
      <c r="AI39" s="128">
        <v>0.0</v>
      </c>
      <c r="AJ39" s="24"/>
      <c r="AK39" s="24"/>
      <c r="AR39" s="1" t="str">
        <f t="shared" si="7"/>
        <v>id8year2017</v>
      </c>
    </row>
    <row r="40">
      <c r="A40" s="13">
        <f t="shared" si="3"/>
        <v>38</v>
      </c>
      <c r="B40" s="13">
        <v>10.0</v>
      </c>
      <c r="C40" s="14" t="str">
        <f>VLOOKUP(B40,companies!$A:$B,2,FALSE)</f>
        <v>American Express</v>
      </c>
      <c r="D40" s="16">
        <v>44204.0</v>
      </c>
      <c r="E40" s="15">
        <v>2020.0</v>
      </c>
      <c r="F40" s="15"/>
      <c r="G40" s="15"/>
      <c r="H40" s="15"/>
      <c r="I40" s="15" t="s">
        <v>578</v>
      </c>
      <c r="J40" s="15"/>
      <c r="K40" s="15"/>
      <c r="L40" s="15"/>
      <c r="M40" s="130"/>
      <c r="N40" s="15"/>
      <c r="O40" s="15"/>
      <c r="P40" s="15"/>
      <c r="Q40" s="15"/>
      <c r="R40" s="15"/>
      <c r="S40" s="130"/>
      <c r="T40" s="15"/>
      <c r="U40" s="130"/>
      <c r="V40" s="130"/>
      <c r="W40" s="15"/>
      <c r="X40" s="130"/>
      <c r="Y40" s="130"/>
      <c r="Z40" s="15"/>
      <c r="AA40" s="127"/>
      <c r="AB40" s="127"/>
      <c r="AC40" s="127"/>
      <c r="AD40" s="127"/>
      <c r="AE40" s="13"/>
      <c r="AF40" s="128"/>
      <c r="AG40" s="128"/>
      <c r="AH40" s="128"/>
      <c r="AI40" s="128"/>
      <c r="AJ40" s="24"/>
      <c r="AK40" s="24"/>
      <c r="AR40" s="1" t="str">
        <f t="shared" si="7"/>
        <v>id10year2020</v>
      </c>
    </row>
    <row r="41">
      <c r="A41" s="13">
        <f t="shared" si="3"/>
        <v>39</v>
      </c>
      <c r="B41" s="13">
        <v>10.0</v>
      </c>
      <c r="C41" s="14" t="str">
        <f>VLOOKUP(B41,companies!$A:$B,2,FALSE)</f>
        <v>American Express</v>
      </c>
      <c r="D41" s="16">
        <v>44204.0</v>
      </c>
      <c r="E41" s="15">
        <v>2019.0</v>
      </c>
      <c r="F41" s="15">
        <v>24363.0</v>
      </c>
      <c r="G41" s="15">
        <v>113964.0</v>
      </c>
      <c r="H41" s="15">
        <v>3153.0</v>
      </c>
      <c r="I41" s="15" t="s">
        <v>578</v>
      </c>
      <c r="J41" s="15"/>
      <c r="K41" s="15"/>
      <c r="L41" s="15"/>
      <c r="M41" s="130"/>
      <c r="N41" s="15"/>
      <c r="O41" s="15"/>
      <c r="P41" s="15"/>
      <c r="Q41" s="15">
        <v>51.679</v>
      </c>
      <c r="R41" s="15"/>
      <c r="S41" s="130"/>
      <c r="T41" s="15"/>
      <c r="U41" s="130"/>
      <c r="V41" s="130"/>
      <c r="W41" s="15"/>
      <c r="X41" s="130"/>
      <c r="Y41" s="130"/>
      <c r="Z41" s="15"/>
      <c r="AA41" s="127"/>
      <c r="AB41" s="127"/>
      <c r="AC41" s="127"/>
      <c r="AD41" s="127"/>
      <c r="AE41" s="13">
        <v>80194.0</v>
      </c>
      <c r="AF41" s="128">
        <v>1.0</v>
      </c>
      <c r="AG41" s="128">
        <v>1.0</v>
      </c>
      <c r="AH41" s="128">
        <v>1.0</v>
      </c>
      <c r="AI41" s="128">
        <v>0.0</v>
      </c>
      <c r="AJ41" s="24"/>
      <c r="AK41" s="24" t="s">
        <v>754</v>
      </c>
      <c r="AL41" s="36" t="s">
        <v>682</v>
      </c>
      <c r="AR41" s="1" t="str">
        <f t="shared" si="7"/>
        <v>id10year2019</v>
      </c>
    </row>
    <row r="42">
      <c r="A42" s="13">
        <f t="shared" si="3"/>
        <v>40</v>
      </c>
      <c r="B42" s="13">
        <v>10.0</v>
      </c>
      <c r="C42" s="14" t="str">
        <f>VLOOKUP(B42,companies!$A:$B,2,FALSE)</f>
        <v>American Express</v>
      </c>
      <c r="D42" s="16">
        <v>44204.0</v>
      </c>
      <c r="E42" s="15">
        <v>2018.0</v>
      </c>
      <c r="F42" s="15">
        <v>23981.0</v>
      </c>
      <c r="G42" s="15">
        <v>112745.0</v>
      </c>
      <c r="H42" s="15">
        <v>2994.0</v>
      </c>
      <c r="I42" s="15" t="s">
        <v>578</v>
      </c>
      <c r="J42" s="15"/>
      <c r="K42" s="15"/>
      <c r="L42" s="15"/>
      <c r="M42" s="130"/>
      <c r="N42" s="15"/>
      <c r="O42" s="15"/>
      <c r="P42" s="15"/>
      <c r="Q42" s="15"/>
      <c r="R42" s="15"/>
      <c r="S42" s="130"/>
      <c r="T42" s="15"/>
      <c r="U42" s="130"/>
      <c r="V42" s="130"/>
      <c r="W42" s="15"/>
      <c r="X42" s="130"/>
      <c r="Y42" s="130"/>
      <c r="Z42" s="15"/>
      <c r="AA42" s="127"/>
      <c r="AB42" s="127"/>
      <c r="AC42" s="127"/>
      <c r="AD42" s="127"/>
      <c r="AE42" s="13">
        <v>75970.0</v>
      </c>
      <c r="AF42" s="128">
        <v>1.0</v>
      </c>
      <c r="AG42" s="128">
        <v>1.0</v>
      </c>
      <c r="AH42" s="128">
        <v>1.0</v>
      </c>
      <c r="AI42" s="128">
        <v>0.0</v>
      </c>
      <c r="AJ42" s="24"/>
      <c r="AK42" s="24"/>
      <c r="AR42" s="1" t="str">
        <f t="shared" si="7"/>
        <v>id10year2018</v>
      </c>
    </row>
    <row r="43">
      <c r="A43" s="13">
        <f t="shared" si="3"/>
        <v>41</v>
      </c>
      <c r="B43" s="13">
        <v>10.0</v>
      </c>
      <c r="C43" s="14" t="str">
        <f>VLOOKUP(B43,companies!$A:$B,2,FALSE)</f>
        <v>American Express</v>
      </c>
      <c r="D43" s="16">
        <v>44204.0</v>
      </c>
      <c r="E43" s="15">
        <v>2017.0</v>
      </c>
      <c r="F43" s="15">
        <v>24162.0</v>
      </c>
      <c r="G43" s="15">
        <v>119932.0</v>
      </c>
      <c r="H43" s="15">
        <v>55273.0</v>
      </c>
      <c r="I43" s="15" t="s">
        <v>578</v>
      </c>
      <c r="J43" s="15"/>
      <c r="K43" s="15"/>
      <c r="L43" s="15"/>
      <c r="M43" s="130"/>
      <c r="N43" s="15"/>
      <c r="O43" s="15"/>
      <c r="P43" s="15"/>
      <c r="Q43" s="15"/>
      <c r="R43" s="15"/>
      <c r="S43" s="130"/>
      <c r="T43" s="15"/>
      <c r="U43" s="130"/>
      <c r="V43" s="130"/>
      <c r="W43" s="15"/>
      <c r="X43" s="130"/>
      <c r="Y43" s="130"/>
      <c r="Z43" s="15"/>
      <c r="AA43" s="127"/>
      <c r="AB43" s="127"/>
      <c r="AC43" s="127"/>
      <c r="AD43" s="127"/>
      <c r="AE43" s="13">
        <v>35000.0</v>
      </c>
      <c r="AF43" s="128">
        <v>1.0</v>
      </c>
      <c r="AG43" s="128">
        <v>1.0</v>
      </c>
      <c r="AH43" s="128">
        <v>1.0</v>
      </c>
      <c r="AI43" s="128">
        <v>0.0</v>
      </c>
      <c r="AJ43" s="24"/>
      <c r="AK43" s="24"/>
      <c r="AR43" s="1" t="str">
        <f t="shared" si="7"/>
        <v>id10year2017</v>
      </c>
    </row>
    <row r="44">
      <c r="A44" s="13">
        <f t="shared" si="3"/>
        <v>42</v>
      </c>
      <c r="B44" s="13">
        <v>11.0</v>
      </c>
      <c r="C44" s="14" t="str">
        <f>VLOOKUP(B44,companies!$A:$B,2,FALSE)</f>
        <v>American International Group (AIG)</v>
      </c>
      <c r="D44" s="16">
        <v>44204.0</v>
      </c>
      <c r="E44" s="15">
        <v>2020.0</v>
      </c>
      <c r="F44" s="15">
        <v>6156.0</v>
      </c>
      <c r="G44" s="15" t="s">
        <v>536</v>
      </c>
      <c r="H44" s="15">
        <v>71106.0</v>
      </c>
      <c r="I44" s="15" t="s">
        <v>578</v>
      </c>
      <c r="J44" s="15"/>
      <c r="K44" s="15"/>
      <c r="L44" s="15"/>
      <c r="M44" s="130"/>
      <c r="N44" s="15"/>
      <c r="O44" s="15"/>
      <c r="P44" s="15"/>
      <c r="Q44" s="15">
        <v>1394.0</v>
      </c>
      <c r="R44" s="15"/>
      <c r="S44" s="130"/>
      <c r="T44" s="15"/>
      <c r="U44" s="130"/>
      <c r="V44" s="130"/>
      <c r="W44" s="15"/>
      <c r="X44" s="130"/>
      <c r="Y44" s="130"/>
      <c r="Z44" s="15"/>
      <c r="AA44" s="127"/>
      <c r="AB44" s="127"/>
      <c r="AC44" s="127"/>
      <c r="AD44" s="127"/>
      <c r="AE44" s="13"/>
      <c r="AF44" s="128">
        <v>0.0</v>
      </c>
      <c r="AG44" s="128">
        <v>0.0</v>
      </c>
      <c r="AH44" s="128">
        <v>0.0</v>
      </c>
      <c r="AI44" s="128">
        <v>0.0</v>
      </c>
      <c r="AJ44" s="24"/>
      <c r="AK44" s="24" t="s">
        <v>755</v>
      </c>
      <c r="AR44" s="1" t="str">
        <f t="shared" si="7"/>
        <v>id11year2020</v>
      </c>
    </row>
    <row r="45">
      <c r="A45" s="13">
        <f t="shared" si="3"/>
        <v>43</v>
      </c>
      <c r="B45" s="13">
        <v>11.0</v>
      </c>
      <c r="C45" s="14" t="str">
        <f>VLOOKUP(B45,companies!$A:$B,2,FALSE)</f>
        <v>American International Group (AIG)</v>
      </c>
      <c r="D45" s="16">
        <v>44204.0</v>
      </c>
      <c r="E45" s="15">
        <v>2019.0</v>
      </c>
      <c r="F45" s="15">
        <v>17121.0</v>
      </c>
      <c r="G45" s="15" t="s">
        <v>536</v>
      </c>
      <c r="H45" s="15">
        <v>93782.0</v>
      </c>
      <c r="I45" s="15" t="s">
        <v>578</v>
      </c>
      <c r="J45" s="130"/>
      <c r="K45" s="15"/>
      <c r="L45" s="15"/>
      <c r="M45" s="130"/>
      <c r="N45" s="15"/>
      <c r="O45" s="15"/>
      <c r="P45" s="15"/>
      <c r="Q45" s="15">
        <v>44695.0</v>
      </c>
      <c r="R45" s="15"/>
      <c r="S45" s="15"/>
      <c r="T45" s="15"/>
      <c r="U45" s="15"/>
      <c r="V45" s="15"/>
      <c r="W45" s="15"/>
      <c r="X45" s="15"/>
      <c r="Y45" s="15"/>
      <c r="Z45" s="15"/>
      <c r="AA45" s="131"/>
      <c r="AB45" s="131"/>
      <c r="AC45" s="131"/>
      <c r="AD45" s="127"/>
      <c r="AE45" s="13"/>
      <c r="AF45" s="128">
        <v>0.0</v>
      </c>
      <c r="AG45" s="128">
        <v>0.0</v>
      </c>
      <c r="AH45" s="128">
        <v>0.0</v>
      </c>
      <c r="AI45" s="128">
        <v>0.0</v>
      </c>
      <c r="AJ45" s="24"/>
      <c r="AK45" s="24"/>
      <c r="AR45" s="1" t="str">
        <f t="shared" si="7"/>
        <v>id11year2019</v>
      </c>
    </row>
    <row r="46">
      <c r="A46" s="13">
        <f t="shared" si="3"/>
        <v>44</v>
      </c>
      <c r="B46" s="13">
        <v>11.0</v>
      </c>
      <c r="C46" s="14" t="str">
        <f>VLOOKUP(B46,companies!$A:$B,2,FALSE)</f>
        <v>American International Group (AIG)</v>
      </c>
      <c r="D46" s="16">
        <v>44204.0</v>
      </c>
      <c r="E46" s="15">
        <v>2018.0</v>
      </c>
      <c r="F46" s="15" t="s">
        <v>536</v>
      </c>
      <c r="G46" s="15" t="s">
        <v>536</v>
      </c>
      <c r="H46" s="15" t="s">
        <v>536</v>
      </c>
      <c r="I46" s="15" t="s">
        <v>578</v>
      </c>
      <c r="J46" s="130"/>
      <c r="K46" s="15"/>
      <c r="L46" s="15"/>
      <c r="M46" s="130"/>
      <c r="N46" s="15"/>
      <c r="O46" s="15"/>
      <c r="P46" s="15"/>
      <c r="Q46" s="15" t="s">
        <v>536</v>
      </c>
      <c r="R46" s="15"/>
      <c r="S46" s="15"/>
      <c r="T46" s="15"/>
      <c r="U46" s="15"/>
      <c r="V46" s="15"/>
      <c r="W46" s="15"/>
      <c r="X46" s="15"/>
      <c r="Y46" s="15"/>
      <c r="Z46" s="15"/>
      <c r="AA46" s="131"/>
      <c r="AB46" s="131"/>
      <c r="AC46" s="131"/>
      <c r="AD46" s="127"/>
      <c r="AE46" s="13"/>
      <c r="AF46" s="128">
        <v>0.0</v>
      </c>
      <c r="AG46" s="128">
        <v>0.0</v>
      </c>
      <c r="AH46" s="128">
        <v>0.0</v>
      </c>
      <c r="AI46" s="128">
        <v>0.0</v>
      </c>
      <c r="AJ46" s="24"/>
      <c r="AK46" s="24"/>
      <c r="AR46" s="1" t="str">
        <f t="shared" si="7"/>
        <v>id11year2018</v>
      </c>
    </row>
    <row r="47">
      <c r="A47" s="13">
        <f t="shared" si="3"/>
        <v>45</v>
      </c>
      <c r="B47" s="13">
        <v>11.0</v>
      </c>
      <c r="C47" s="14" t="str">
        <f>VLOOKUP(B47,companies!$A:$B,2,FALSE)</f>
        <v>American International Group (AIG)</v>
      </c>
      <c r="D47" s="16">
        <v>44204.0</v>
      </c>
      <c r="E47" s="15">
        <v>2017.0</v>
      </c>
      <c r="F47" s="15" t="s">
        <v>536</v>
      </c>
      <c r="G47" s="15" t="s">
        <v>536</v>
      </c>
      <c r="H47" s="15" t="s">
        <v>536</v>
      </c>
      <c r="I47" s="15" t="s">
        <v>578</v>
      </c>
      <c r="J47" s="130"/>
      <c r="K47" s="15"/>
      <c r="L47" s="15"/>
      <c r="M47" s="130"/>
      <c r="N47" s="15"/>
      <c r="O47" s="15"/>
      <c r="P47" s="15"/>
      <c r="Q47" s="15" t="s">
        <v>536</v>
      </c>
      <c r="R47" s="15"/>
      <c r="S47" s="15"/>
      <c r="T47" s="15"/>
      <c r="U47" s="15"/>
      <c r="V47" s="15"/>
      <c r="W47" s="15"/>
      <c r="X47" s="15"/>
      <c r="Y47" s="15"/>
      <c r="Z47" s="15"/>
      <c r="AA47" s="131"/>
      <c r="AB47" s="131"/>
      <c r="AC47" s="131"/>
      <c r="AD47" s="127"/>
      <c r="AE47" s="13"/>
      <c r="AF47" s="128">
        <v>0.0</v>
      </c>
      <c r="AG47" s="128">
        <v>0.0</v>
      </c>
      <c r="AH47" s="128">
        <v>0.0</v>
      </c>
      <c r="AI47" s="128">
        <v>0.0</v>
      </c>
      <c r="AJ47" s="24"/>
      <c r="AK47" s="24"/>
      <c r="AR47" s="1" t="str">
        <f t="shared" si="7"/>
        <v>id11year2017</v>
      </c>
    </row>
    <row r="48">
      <c r="A48" s="13">
        <f t="shared" si="3"/>
        <v>46</v>
      </c>
      <c r="B48" s="13">
        <v>12.0</v>
      </c>
      <c r="C48" s="14" t="str">
        <f>VLOOKUP(B48,companies!$A:$B,2,FALSE)</f>
        <v>American Tower</v>
      </c>
      <c r="D48" s="16">
        <v>44204.0</v>
      </c>
      <c r="E48" s="15">
        <v>2020.0</v>
      </c>
      <c r="F48" s="15" t="s">
        <v>536</v>
      </c>
      <c r="G48" s="15" t="s">
        <v>536</v>
      </c>
      <c r="H48" s="15" t="s">
        <v>536</v>
      </c>
      <c r="I48" s="15" t="s">
        <v>578</v>
      </c>
      <c r="J48" s="130"/>
      <c r="K48" s="15"/>
      <c r="L48" s="15"/>
      <c r="M48" s="130"/>
      <c r="N48" s="15"/>
      <c r="O48" s="15"/>
      <c r="P48" s="15"/>
      <c r="Q48" s="15"/>
      <c r="R48" s="15"/>
      <c r="S48" s="15"/>
      <c r="T48" s="15"/>
      <c r="U48" s="15"/>
      <c r="V48" s="15"/>
      <c r="W48" s="15"/>
      <c r="X48" s="15"/>
      <c r="Y48" s="15"/>
      <c r="Z48" s="15"/>
      <c r="AA48" s="131"/>
      <c r="AB48" s="131"/>
      <c r="AC48" s="131"/>
      <c r="AD48" s="127"/>
      <c r="AE48" s="13"/>
      <c r="AF48" s="128"/>
      <c r="AG48" s="128"/>
      <c r="AH48" s="128"/>
      <c r="AI48" s="128"/>
      <c r="AJ48" s="24"/>
      <c r="AK48" s="24"/>
      <c r="AR48" s="1" t="str">
        <f t="shared" si="7"/>
        <v>id12year2020</v>
      </c>
    </row>
    <row r="49">
      <c r="A49" s="13">
        <f t="shared" si="3"/>
        <v>47</v>
      </c>
      <c r="B49" s="13">
        <v>12.0</v>
      </c>
      <c r="C49" s="14" t="str">
        <f>VLOOKUP(B49,companies!$A:$B,2,FALSE)</f>
        <v>American Tower</v>
      </c>
      <c r="D49" s="16">
        <v>44204.0</v>
      </c>
      <c r="E49" s="15">
        <v>2019.0</v>
      </c>
      <c r="F49" s="15">
        <v>556281.0</v>
      </c>
      <c r="H49" s="15">
        <v>1780621.0</v>
      </c>
      <c r="I49" s="15" t="s">
        <v>578</v>
      </c>
      <c r="J49" s="130"/>
      <c r="K49" s="15"/>
      <c r="L49" s="15"/>
      <c r="M49" s="130"/>
      <c r="N49" s="15"/>
      <c r="O49" s="15"/>
      <c r="P49" s="15"/>
      <c r="Q49" s="15"/>
      <c r="R49" s="15"/>
      <c r="S49" s="15"/>
      <c r="T49" s="15"/>
      <c r="U49" s="15"/>
      <c r="V49" s="15"/>
      <c r="W49" s="15"/>
      <c r="X49" s="15"/>
      <c r="Y49" s="15"/>
      <c r="Z49" s="15"/>
      <c r="AA49" s="131"/>
      <c r="AB49" s="131"/>
      <c r="AC49" s="131"/>
      <c r="AD49" s="127"/>
      <c r="AE49" s="13"/>
      <c r="AF49" s="128">
        <v>0.0</v>
      </c>
      <c r="AG49" s="128">
        <v>0.0</v>
      </c>
      <c r="AH49" s="128">
        <v>0.0</v>
      </c>
      <c r="AI49" s="128">
        <v>0.0</v>
      </c>
      <c r="AJ49" s="24"/>
      <c r="AK49" s="24" t="s">
        <v>756</v>
      </c>
      <c r="AR49" s="1" t="str">
        <f t="shared" si="7"/>
        <v>id12year2019</v>
      </c>
    </row>
    <row r="50">
      <c r="A50" s="13">
        <f t="shared" si="3"/>
        <v>48</v>
      </c>
      <c r="B50" s="13">
        <v>12.0</v>
      </c>
      <c r="C50" s="14" t="str">
        <f>VLOOKUP(B50,companies!$A:$B,2,FALSE)</f>
        <v>American Tower</v>
      </c>
      <c r="D50" s="16">
        <v>44204.0</v>
      </c>
      <c r="E50" s="15">
        <v>2018.0</v>
      </c>
      <c r="F50" s="15">
        <v>615347.0</v>
      </c>
      <c r="G50" s="15"/>
      <c r="H50" s="15">
        <v>1796960.0</v>
      </c>
      <c r="I50" s="15" t="s">
        <v>578</v>
      </c>
      <c r="J50" s="130"/>
      <c r="K50" s="15"/>
      <c r="L50" s="15"/>
      <c r="M50" s="130"/>
      <c r="N50" s="15"/>
      <c r="O50" s="15"/>
      <c r="P50" s="15"/>
      <c r="Q50" s="15"/>
      <c r="R50" s="15"/>
      <c r="S50" s="15"/>
      <c r="T50" s="15"/>
      <c r="U50" s="15"/>
      <c r="V50" s="15"/>
      <c r="W50" s="15"/>
      <c r="X50" s="15"/>
      <c r="Y50" s="15"/>
      <c r="Z50" s="15"/>
      <c r="AA50" s="131"/>
      <c r="AB50" s="131"/>
      <c r="AC50" s="131"/>
      <c r="AD50" s="127"/>
      <c r="AE50" s="13"/>
      <c r="AF50" s="128">
        <v>0.0</v>
      </c>
      <c r="AG50" s="128">
        <v>0.0</v>
      </c>
      <c r="AH50" s="128">
        <v>0.0</v>
      </c>
      <c r="AI50" s="128">
        <v>0.0</v>
      </c>
      <c r="AJ50" s="24"/>
      <c r="AK50" s="24" t="s">
        <v>756</v>
      </c>
      <c r="AR50" s="1" t="str">
        <f t="shared" si="7"/>
        <v>id12year2018</v>
      </c>
    </row>
    <row r="51">
      <c r="A51" s="13">
        <f t="shared" si="3"/>
        <v>49</v>
      </c>
      <c r="B51" s="13">
        <v>12.0</v>
      </c>
      <c r="C51" s="14" t="str">
        <f>VLOOKUP(B51,companies!$A:$B,2,FALSE)</f>
        <v>American Tower</v>
      </c>
      <c r="D51" s="16">
        <v>44204.0</v>
      </c>
      <c r="E51" s="15">
        <v>2017.0</v>
      </c>
      <c r="F51" s="15">
        <v>650755.0</v>
      </c>
      <c r="G51" s="15"/>
      <c r="H51" s="15">
        <v>1617395.0</v>
      </c>
      <c r="I51" s="15" t="s">
        <v>578</v>
      </c>
      <c r="J51" s="130"/>
      <c r="K51" s="15"/>
      <c r="L51" s="15"/>
      <c r="M51" s="130"/>
      <c r="N51" s="15"/>
      <c r="O51" s="15"/>
      <c r="P51" s="15"/>
      <c r="Q51" s="15"/>
      <c r="R51" s="15"/>
      <c r="S51" s="15"/>
      <c r="T51" s="15"/>
      <c r="U51" s="15"/>
      <c r="V51" s="15"/>
      <c r="W51" s="15"/>
      <c r="X51" s="15"/>
      <c r="Y51" s="15"/>
      <c r="Z51" s="15"/>
      <c r="AA51" s="131"/>
      <c r="AB51" s="131"/>
      <c r="AC51" s="131"/>
      <c r="AD51" s="127"/>
      <c r="AE51" s="13"/>
      <c r="AF51" s="128">
        <v>0.0</v>
      </c>
      <c r="AG51" s="128">
        <v>0.0</v>
      </c>
      <c r="AH51" s="128">
        <v>0.0</v>
      </c>
      <c r="AI51" s="128">
        <v>0.0</v>
      </c>
      <c r="AJ51" s="24"/>
      <c r="AK51" s="24"/>
      <c r="AR51" s="1" t="str">
        <f t="shared" si="7"/>
        <v>id12year2017</v>
      </c>
    </row>
    <row r="52">
      <c r="A52" s="13">
        <f t="shared" si="3"/>
        <v>50</v>
      </c>
      <c r="B52" s="13">
        <v>13.0</v>
      </c>
      <c r="C52" s="14" t="str">
        <f>VLOOKUP(B52,companies!$A:$B,2,FALSE)</f>
        <v>Amgen Inc.</v>
      </c>
      <c r="D52" s="16">
        <v>44204.0</v>
      </c>
      <c r="E52" s="15">
        <v>2020.0</v>
      </c>
      <c r="F52" s="15">
        <f>107000+27000+1400+3700</f>
        <v>139100</v>
      </c>
      <c r="G52" s="15">
        <v>138900.0</v>
      </c>
      <c r="H52" s="15">
        <v>136100.0</v>
      </c>
      <c r="I52" s="15" t="s">
        <v>578</v>
      </c>
      <c r="J52" s="130"/>
      <c r="K52" s="15">
        <v>2316000.0</v>
      </c>
      <c r="L52" s="15">
        <v>210000.0</v>
      </c>
      <c r="M52" s="130"/>
      <c r="N52" s="15">
        <v>45000.0</v>
      </c>
      <c r="O52" s="15">
        <v>21000.0</v>
      </c>
      <c r="P52" s="15">
        <v>7600.0</v>
      </c>
      <c r="Q52" s="15">
        <v>13000.0</v>
      </c>
      <c r="R52" s="15">
        <v>14000.0</v>
      </c>
      <c r="S52" s="15"/>
      <c r="T52" s="15"/>
      <c r="U52" s="15"/>
      <c r="V52" s="15"/>
      <c r="W52" s="15"/>
      <c r="X52" s="15"/>
      <c r="Y52" s="15"/>
      <c r="Z52" s="15"/>
      <c r="AA52" s="131"/>
      <c r="AB52" s="131"/>
      <c r="AC52" s="131"/>
      <c r="AD52" s="127"/>
      <c r="AE52" s="13"/>
      <c r="AF52" s="128">
        <v>1.0</v>
      </c>
      <c r="AG52" s="128">
        <v>1.0</v>
      </c>
      <c r="AH52" s="128">
        <v>1.0</v>
      </c>
      <c r="AI52" s="128" t="str">
        <f>AI53</f>
        <v>#N/A</v>
      </c>
      <c r="AJ52" s="24"/>
      <c r="AK52" s="24" t="s">
        <v>757</v>
      </c>
      <c r="AR52" s="1" t="str">
        <f t="shared" si="7"/>
        <v>id13year2020</v>
      </c>
    </row>
    <row r="53">
      <c r="A53" s="13">
        <f t="shared" si="3"/>
        <v>51</v>
      </c>
      <c r="B53" s="13">
        <v>13.0</v>
      </c>
      <c r="C53" s="14" t="str">
        <f>VLOOKUP(B53,companies!$A:$B,2,FALSE)</f>
        <v>Amgen Inc.</v>
      </c>
      <c r="D53" s="16">
        <v>44204.0</v>
      </c>
      <c r="E53" s="15">
        <v>2019.0</v>
      </c>
      <c r="F53" s="15">
        <v>135954.0</v>
      </c>
      <c r="G53" s="15">
        <v>173922.0</v>
      </c>
      <c r="H53" s="15">
        <v>160360.0</v>
      </c>
      <c r="I53" s="15" t="s">
        <v>578</v>
      </c>
      <c r="J53" s="130"/>
      <c r="K53" s="15">
        <v>2323917.0</v>
      </c>
      <c r="L53" s="15">
        <v>258132.0</v>
      </c>
      <c r="M53" s="130"/>
      <c r="N53" s="15">
        <v>52554.0</v>
      </c>
      <c r="O53" s="15">
        <v>22572.0</v>
      </c>
      <c r="P53" s="15">
        <v>3454.0</v>
      </c>
      <c r="Q53" s="15">
        <v>56478.0</v>
      </c>
      <c r="R53" s="15">
        <v>56210.0</v>
      </c>
      <c r="S53" s="15"/>
      <c r="T53" s="15"/>
      <c r="U53" s="15"/>
      <c r="V53" s="15"/>
      <c r="W53" s="15"/>
      <c r="X53" s="15"/>
      <c r="Y53" s="15"/>
      <c r="Z53" s="15"/>
      <c r="AA53" s="131"/>
      <c r="AB53" s="131"/>
      <c r="AC53" s="131"/>
      <c r="AD53" s="127"/>
      <c r="AE53" s="13"/>
      <c r="AF53" s="128">
        <v>1.0</v>
      </c>
      <c r="AG53" s="128">
        <v>1.0</v>
      </c>
      <c r="AH53" s="128">
        <v>1.0</v>
      </c>
      <c r="AI53" s="128" t="str">
        <f t="shared" ref="AI53:AI54" si="9">sum(K53:R53)/AC81</f>
        <v>#N/A</v>
      </c>
      <c r="AJ53" s="24"/>
      <c r="AK53" s="24"/>
      <c r="AR53" s="1" t="str">
        <f t="shared" si="7"/>
        <v>id13year2019</v>
      </c>
    </row>
    <row r="54">
      <c r="A54" s="13">
        <f t="shared" si="3"/>
        <v>52</v>
      </c>
      <c r="B54" s="13">
        <v>13.0</v>
      </c>
      <c r="C54" s="14" t="str">
        <f>VLOOKUP(B54,companies!$A:$B,2,FALSE)</f>
        <v>Amgen Inc.</v>
      </c>
      <c r="D54" s="16">
        <v>44204.0</v>
      </c>
      <c r="E54" s="15">
        <v>2018.0</v>
      </c>
      <c r="F54" s="15">
        <v>160184.0</v>
      </c>
      <c r="G54" s="15"/>
      <c r="H54" s="15">
        <v>159848.0</v>
      </c>
      <c r="I54" s="15" t="s">
        <v>578</v>
      </c>
      <c r="J54" s="130"/>
      <c r="K54" s="15">
        <v>2414000.0</v>
      </c>
      <c r="L54" s="15">
        <v>263000.0</v>
      </c>
      <c r="M54" s="130"/>
      <c r="N54" s="15">
        <v>29000.0</v>
      </c>
      <c r="O54" s="15">
        <v>33000.0</v>
      </c>
      <c r="P54" s="15">
        <v>1400.0</v>
      </c>
      <c r="Q54" s="15">
        <v>59000.0</v>
      </c>
      <c r="R54" s="15">
        <v>56000.0</v>
      </c>
      <c r="S54" s="15"/>
      <c r="T54" s="15"/>
      <c r="U54" s="15"/>
      <c r="V54" s="15"/>
      <c r="W54" s="15"/>
      <c r="X54" s="15"/>
      <c r="Y54" s="15"/>
      <c r="Z54" s="15"/>
      <c r="AA54" s="131"/>
      <c r="AB54" s="131"/>
      <c r="AC54" s="131"/>
      <c r="AD54" s="127"/>
      <c r="AE54" s="13"/>
      <c r="AF54" s="128">
        <v>1.0</v>
      </c>
      <c r="AG54" s="128">
        <v>1.0</v>
      </c>
      <c r="AH54" s="128">
        <v>1.0</v>
      </c>
      <c r="AI54" s="128" t="str">
        <f t="shared" si="9"/>
        <v>#N/A</v>
      </c>
      <c r="AJ54" s="24"/>
      <c r="AK54" s="24"/>
      <c r="AR54" s="1" t="str">
        <f t="shared" si="7"/>
        <v>id13year2018</v>
      </c>
    </row>
    <row r="55">
      <c r="A55" s="13">
        <f t="shared" si="3"/>
        <v>53</v>
      </c>
      <c r="B55" s="13">
        <v>13.0</v>
      </c>
      <c r="C55" s="14" t="str">
        <f>VLOOKUP(B55,companies!$A:$B,2,FALSE)</f>
        <v>Amgen Inc.</v>
      </c>
      <c r="D55" s="16">
        <v>44204.0</v>
      </c>
      <c r="E55" s="15">
        <v>2017.0</v>
      </c>
      <c r="F55" s="15">
        <v>163362.0</v>
      </c>
      <c r="G55" s="15"/>
      <c r="H55" s="15">
        <v>154000.0</v>
      </c>
      <c r="I55" s="15" t="s">
        <v>578</v>
      </c>
      <c r="J55" s="130"/>
      <c r="K55" s="15" t="s">
        <v>536</v>
      </c>
      <c r="L55" s="15" t="s">
        <v>536</v>
      </c>
      <c r="M55" s="130"/>
      <c r="N55" s="15" t="s">
        <v>536</v>
      </c>
      <c r="O55" s="15">
        <v>40000.0</v>
      </c>
      <c r="P55" s="15" t="s">
        <v>536</v>
      </c>
      <c r="Q55" s="15">
        <v>85000.0</v>
      </c>
      <c r="R55" s="15">
        <v>60000.0</v>
      </c>
      <c r="S55" s="15"/>
      <c r="T55" s="15"/>
      <c r="U55" s="15"/>
      <c r="V55" s="15"/>
      <c r="W55" s="15"/>
      <c r="X55" s="15"/>
      <c r="Y55" s="15"/>
      <c r="Z55" s="15"/>
      <c r="AA55" s="131"/>
      <c r="AB55" s="131"/>
      <c r="AC55" s="131"/>
      <c r="AD55" s="127"/>
      <c r="AE55" s="13"/>
      <c r="AF55" s="128"/>
      <c r="AG55" s="128"/>
      <c r="AH55" s="128"/>
      <c r="AI55" s="128"/>
      <c r="AJ55" s="24"/>
      <c r="AK55" s="24"/>
      <c r="AR55" s="1" t="str">
        <f t="shared" si="7"/>
        <v>id13year2017</v>
      </c>
    </row>
    <row r="56">
      <c r="A56" s="13">
        <f t="shared" si="3"/>
        <v>54</v>
      </c>
      <c r="B56" s="13">
        <v>14.0</v>
      </c>
      <c r="C56" s="14" t="str">
        <f>VLOOKUP(B56,companies!$A:$B,2,FALSE)</f>
        <v>Apple Inc.</v>
      </c>
      <c r="D56" s="16">
        <v>44235.0</v>
      </c>
      <c r="E56" s="15">
        <v>2020.0</v>
      </c>
      <c r="F56" s="15">
        <v>47430.0</v>
      </c>
      <c r="G56" s="15">
        <v>890189.0</v>
      </c>
      <c r="H56" s="15">
        <v>0.0</v>
      </c>
      <c r="I56" s="15" t="s">
        <v>578</v>
      </c>
      <c r="J56" s="15">
        <v>2.255E7</v>
      </c>
      <c r="K56" s="15">
        <v>1.61E7</v>
      </c>
      <c r="L56" s="15"/>
      <c r="M56" s="130"/>
      <c r="N56" s="15"/>
      <c r="O56" s="15"/>
      <c r="P56" s="15"/>
      <c r="Q56" s="15">
        <v>153000.0</v>
      </c>
      <c r="R56" s="15">
        <v>134000.0</v>
      </c>
      <c r="S56" s="15"/>
      <c r="T56" s="15"/>
      <c r="U56" s="15"/>
      <c r="V56" s="15">
        <v>4300000.0</v>
      </c>
      <c r="W56" s="15">
        <v>60000.0</v>
      </c>
      <c r="X56" s="15"/>
      <c r="Y56" s="15"/>
      <c r="Z56" s="15"/>
      <c r="AA56" s="131"/>
      <c r="AB56" s="131"/>
      <c r="AC56" s="131"/>
      <c r="AD56" s="127"/>
      <c r="AE56" s="13"/>
      <c r="AF56" s="128">
        <v>1.0</v>
      </c>
      <c r="AG56" s="128">
        <v>1.0</v>
      </c>
      <c r="AH56" s="128">
        <v>1.0</v>
      </c>
      <c r="AI56" s="128">
        <v>1.0</v>
      </c>
      <c r="AJ56" s="24"/>
      <c r="AK56" s="24" t="s">
        <v>758</v>
      </c>
      <c r="AL56" s="36" t="s">
        <v>682</v>
      </c>
      <c r="AR56" s="1" t="str">
        <f t="shared" si="7"/>
        <v>id14year2020</v>
      </c>
    </row>
    <row r="57">
      <c r="A57" s="13">
        <f t="shared" si="3"/>
        <v>55</v>
      </c>
      <c r="B57" s="13">
        <v>14.0</v>
      </c>
      <c r="C57" s="14" t="str">
        <f>VLOOKUP(B57,companies!$A:$B,2,FALSE)</f>
        <v>Apple Inc.</v>
      </c>
      <c r="D57" s="16">
        <v>44235.0</v>
      </c>
      <c r="E57" s="15">
        <v>2019.0</v>
      </c>
      <c r="F57" s="15">
        <v>52730.0</v>
      </c>
      <c r="G57" s="15"/>
      <c r="H57" s="15">
        <v>0.0</v>
      </c>
      <c r="I57" s="15" t="s">
        <v>578</v>
      </c>
      <c r="J57" s="15">
        <v>2.498E7</v>
      </c>
      <c r="K57" s="15">
        <v>1.89E7</v>
      </c>
      <c r="L57" s="15"/>
      <c r="M57" s="130"/>
      <c r="N57" s="15"/>
      <c r="O57" s="15"/>
      <c r="P57" s="15"/>
      <c r="Q57" s="15">
        <v>326000.0</v>
      </c>
      <c r="R57" s="15">
        <v>195000.0</v>
      </c>
      <c r="S57" s="15"/>
      <c r="T57" s="15"/>
      <c r="U57" s="15"/>
      <c r="V57" s="15">
        <v>4100000.0</v>
      </c>
      <c r="W57" s="15">
        <v>60000.0</v>
      </c>
      <c r="X57" s="15"/>
      <c r="Y57" s="15"/>
      <c r="Z57" s="15"/>
      <c r="AA57" s="131"/>
      <c r="AB57" s="131"/>
      <c r="AC57" s="131"/>
      <c r="AD57" s="127"/>
      <c r="AE57" s="13"/>
      <c r="AF57" s="128">
        <v>1.0</v>
      </c>
      <c r="AG57" s="128">
        <v>1.0</v>
      </c>
      <c r="AH57" s="128">
        <v>1.0</v>
      </c>
      <c r="AI57" s="128">
        <v>1.0</v>
      </c>
      <c r="AJ57" s="24"/>
      <c r="AK57" s="24"/>
      <c r="AR57" s="1" t="str">
        <f t="shared" si="7"/>
        <v>id14year2019</v>
      </c>
    </row>
    <row r="58">
      <c r="A58" s="13">
        <f t="shared" si="3"/>
        <v>56</v>
      </c>
      <c r="B58" s="13">
        <v>14.0</v>
      </c>
      <c r="C58" s="14" t="str">
        <f>VLOOKUP(B58,companies!$A:$B,2,FALSE)</f>
        <v>Apple Inc.</v>
      </c>
      <c r="D58" s="16">
        <v>44235.0</v>
      </c>
      <c r="E58" s="15">
        <v>2018.0</v>
      </c>
      <c r="F58" s="15">
        <v>57440.0</v>
      </c>
      <c r="G58" s="15"/>
      <c r="H58" s="15">
        <v>8730.0</v>
      </c>
      <c r="I58" s="15" t="s">
        <v>578</v>
      </c>
      <c r="J58" s="15">
        <v>2.507E7</v>
      </c>
      <c r="K58" s="15">
        <v>1.85E7</v>
      </c>
      <c r="L58" s="15"/>
      <c r="M58" s="130"/>
      <c r="N58" s="15"/>
      <c r="O58" s="15"/>
      <c r="P58" s="15"/>
      <c r="Q58" s="15">
        <v>337000.0</v>
      </c>
      <c r="R58" s="15">
        <v>183000.0</v>
      </c>
      <c r="S58" s="15"/>
      <c r="T58" s="15"/>
      <c r="U58" s="15"/>
      <c r="V58" s="15">
        <v>4700000.0</v>
      </c>
      <c r="W58" s="15">
        <v>50000.0</v>
      </c>
      <c r="X58" s="15"/>
      <c r="Y58" s="15"/>
      <c r="Z58" s="15"/>
      <c r="AA58" s="131"/>
      <c r="AB58" s="131"/>
      <c r="AC58" s="131"/>
      <c r="AD58" s="127"/>
      <c r="AE58" s="13"/>
      <c r="AF58" s="128">
        <v>1.0</v>
      </c>
      <c r="AG58" s="128">
        <v>1.0</v>
      </c>
      <c r="AH58" s="128">
        <v>1.0</v>
      </c>
      <c r="AI58" s="128"/>
      <c r="AJ58" s="24"/>
      <c r="AK58" s="24"/>
      <c r="AR58" s="1" t="str">
        <f t="shared" si="7"/>
        <v>id14year2018</v>
      </c>
    </row>
    <row r="59">
      <c r="A59" s="13">
        <f t="shared" si="3"/>
        <v>57</v>
      </c>
      <c r="B59" s="13">
        <v>14.0</v>
      </c>
      <c r="C59" s="14" t="str">
        <f>VLOOKUP(B59,companies!$A:$B,2,FALSE)</f>
        <v>Apple Inc.</v>
      </c>
      <c r="D59" s="16">
        <v>44235.0</v>
      </c>
      <c r="E59" s="15">
        <v>2017.0</v>
      </c>
      <c r="F59" s="15">
        <v>47050.0</v>
      </c>
      <c r="G59" s="15"/>
      <c r="H59" s="15">
        <v>36250.0</v>
      </c>
      <c r="I59" s="15" t="s">
        <v>578</v>
      </c>
      <c r="J59" s="15">
        <v>2.733E7</v>
      </c>
      <c r="K59" s="15">
        <v>2.11E7</v>
      </c>
      <c r="L59" s="15"/>
      <c r="M59" s="130"/>
      <c r="N59" s="15"/>
      <c r="O59" s="15"/>
      <c r="P59" s="15"/>
      <c r="Q59" s="15">
        <v>121000.0</v>
      </c>
      <c r="R59" s="15">
        <v>172000.0</v>
      </c>
      <c r="S59" s="15"/>
      <c r="T59" s="15"/>
      <c r="U59" s="15"/>
      <c r="V59" s="15">
        <v>4700000.0</v>
      </c>
      <c r="W59" s="15">
        <v>40000.0</v>
      </c>
      <c r="X59" s="15"/>
      <c r="Y59" s="15"/>
      <c r="Z59" s="15"/>
      <c r="AA59" s="131"/>
      <c r="AB59" s="131"/>
      <c r="AC59" s="131"/>
      <c r="AD59" s="127"/>
      <c r="AE59" s="13"/>
      <c r="AF59" s="128">
        <v>1.0</v>
      </c>
      <c r="AG59" s="128">
        <v>1.0</v>
      </c>
      <c r="AH59" s="128">
        <v>1.0</v>
      </c>
      <c r="AI59" s="128"/>
      <c r="AJ59" s="24"/>
      <c r="AK59" s="24"/>
      <c r="AR59" s="1" t="str">
        <f t="shared" si="7"/>
        <v>id14year2017</v>
      </c>
    </row>
    <row r="60">
      <c r="A60" s="13">
        <f t="shared" si="3"/>
        <v>58</v>
      </c>
      <c r="B60" s="13">
        <v>15.0</v>
      </c>
      <c r="C60" s="14" t="str">
        <f>VLOOKUP(B60,companies!$A:$B,2,FALSE)</f>
        <v>AT&amp;T Inc.</v>
      </c>
      <c r="D60" s="16">
        <v>44235.0</v>
      </c>
      <c r="E60" s="15">
        <v>2020.0</v>
      </c>
      <c r="F60" s="15">
        <v>1044751.0</v>
      </c>
      <c r="G60" s="15">
        <v>5635263.0</v>
      </c>
      <c r="H60" s="15">
        <v>4743507.0</v>
      </c>
      <c r="I60" s="15" t="s">
        <v>578</v>
      </c>
      <c r="J60" s="15"/>
      <c r="K60" s="15"/>
      <c r="L60" s="15"/>
      <c r="M60" s="130"/>
      <c r="N60" s="15"/>
      <c r="O60" s="15"/>
      <c r="P60" s="15"/>
      <c r="Q60" s="15"/>
      <c r="R60" s="15"/>
      <c r="S60" s="15"/>
      <c r="T60" s="15"/>
      <c r="U60" s="15"/>
      <c r="V60" s="15"/>
      <c r="W60" s="15"/>
      <c r="X60" s="15"/>
      <c r="Y60" s="15"/>
      <c r="Z60" s="15"/>
      <c r="AA60" s="131"/>
      <c r="AB60" s="131"/>
      <c r="AC60" s="131"/>
      <c r="AD60" s="127"/>
      <c r="AE60" s="13"/>
      <c r="AF60" s="128">
        <v>1.0</v>
      </c>
      <c r="AG60" s="128">
        <v>1.0</v>
      </c>
      <c r="AH60" s="128">
        <v>1.0</v>
      </c>
      <c r="AI60" s="128" t="str">
        <f>AI61</f>
        <v>#N/A</v>
      </c>
      <c r="AJ60" s="24"/>
      <c r="AK60" s="24" t="s">
        <v>759</v>
      </c>
      <c r="AR60" s="1" t="str">
        <f t="shared" si="7"/>
        <v>id15year2020</v>
      </c>
    </row>
    <row r="61">
      <c r="A61" s="13">
        <f t="shared" si="3"/>
        <v>59</v>
      </c>
      <c r="B61" s="13">
        <v>15.0</v>
      </c>
      <c r="C61" s="14" t="str">
        <f>VLOOKUP(B61,companies!$A:$B,2,FALSE)</f>
        <v>AT&amp;T Inc.</v>
      </c>
      <c r="D61" s="16">
        <v>44235.0</v>
      </c>
      <c r="E61" s="15">
        <v>2019.0</v>
      </c>
      <c r="F61" s="15">
        <v>990955.0</v>
      </c>
      <c r="G61" s="15">
        <v>6015122.0</v>
      </c>
      <c r="H61" s="15">
        <v>5534088.0</v>
      </c>
      <c r="I61" s="15" t="s">
        <v>578</v>
      </c>
      <c r="J61" s="130"/>
      <c r="K61" s="15"/>
      <c r="L61" s="15"/>
      <c r="M61" s="130"/>
      <c r="N61" s="15"/>
      <c r="O61" s="15"/>
      <c r="P61" s="15">
        <v>34267.0</v>
      </c>
      <c r="Q61" s="15">
        <v>154670.0</v>
      </c>
      <c r="R61" s="15"/>
      <c r="S61" s="15"/>
      <c r="T61" s="15"/>
      <c r="U61" s="15"/>
      <c r="V61" s="15"/>
      <c r="W61" s="15"/>
      <c r="X61" s="15">
        <v>3705329.0</v>
      </c>
      <c r="Y61" s="15"/>
      <c r="Z61" s="15"/>
      <c r="AA61" s="131"/>
      <c r="AB61" s="131"/>
      <c r="AC61" s="131"/>
      <c r="AD61" s="127"/>
      <c r="AE61" s="13"/>
      <c r="AF61" s="128">
        <v>1.0</v>
      </c>
      <c r="AG61" s="128">
        <v>1.0</v>
      </c>
      <c r="AH61" s="128">
        <v>1.0</v>
      </c>
      <c r="AI61" s="128" t="str">
        <f>SUM(J61:Z61)/AC81</f>
        <v>#N/A</v>
      </c>
      <c r="AJ61" s="24"/>
      <c r="AK61" s="24" t="s">
        <v>760</v>
      </c>
      <c r="AR61" s="1" t="str">
        <f t="shared" si="7"/>
        <v>id15year2019</v>
      </c>
    </row>
    <row r="62">
      <c r="A62" s="13">
        <f t="shared" si="3"/>
        <v>60</v>
      </c>
      <c r="B62" s="13">
        <v>15.0</v>
      </c>
      <c r="C62" s="14" t="str">
        <f>VLOOKUP(B62,companies!$A:$B,2,FALSE)</f>
        <v>AT&amp;T Inc.</v>
      </c>
      <c r="D62" s="16">
        <v>44235.0</v>
      </c>
      <c r="E62" s="15">
        <v>2018.0</v>
      </c>
      <c r="F62" s="15">
        <v>1020000.0</v>
      </c>
      <c r="G62" s="15">
        <v>6660000.0</v>
      </c>
      <c r="H62" s="15">
        <v>6660000.0</v>
      </c>
      <c r="I62" s="15" t="s">
        <v>578</v>
      </c>
      <c r="J62" s="130"/>
      <c r="K62" s="15"/>
      <c r="L62" s="15"/>
      <c r="M62" s="130"/>
      <c r="N62" s="15"/>
      <c r="O62" s="15"/>
      <c r="P62" s="15"/>
      <c r="Q62" s="15"/>
      <c r="R62" s="15"/>
      <c r="S62" s="15"/>
      <c r="T62" s="15"/>
      <c r="U62" s="15"/>
      <c r="V62" s="15"/>
      <c r="W62" s="15"/>
      <c r="X62" s="15"/>
      <c r="Y62" s="15"/>
      <c r="Z62" s="15"/>
      <c r="AA62" s="131"/>
      <c r="AB62" s="131"/>
      <c r="AC62" s="131"/>
      <c r="AD62" s="127"/>
      <c r="AE62" s="13"/>
      <c r="AF62" s="128">
        <v>1.0</v>
      </c>
      <c r="AG62" s="128">
        <v>1.0</v>
      </c>
      <c r="AH62" s="128">
        <v>1.0</v>
      </c>
      <c r="AI62" s="128" t="str">
        <f>AI61</f>
        <v>#N/A</v>
      </c>
      <c r="AJ62" s="24"/>
      <c r="AK62" s="24"/>
      <c r="AR62" s="1" t="str">
        <f t="shared" si="7"/>
        <v>id15year2018</v>
      </c>
    </row>
    <row r="63">
      <c r="A63" s="13">
        <f t="shared" si="3"/>
        <v>61</v>
      </c>
      <c r="B63" s="13">
        <v>15.0</v>
      </c>
      <c r="C63" s="14" t="str">
        <f>VLOOKUP(B63,companies!$A:$B,2,FALSE)</f>
        <v>AT&amp;T Inc.</v>
      </c>
      <c r="D63" s="16">
        <v>44235.0</v>
      </c>
      <c r="E63" s="15">
        <v>2017.0</v>
      </c>
      <c r="F63" s="15">
        <v>1070000.0</v>
      </c>
      <c r="G63" s="15">
        <v>6950000.0</v>
      </c>
      <c r="H63" s="15">
        <v>6950000.0</v>
      </c>
      <c r="I63" s="15" t="s">
        <v>578</v>
      </c>
      <c r="J63" s="130"/>
      <c r="L63" s="15"/>
      <c r="M63" s="130"/>
      <c r="N63" s="15"/>
      <c r="O63" s="15"/>
      <c r="P63" s="15"/>
      <c r="Q63" s="15"/>
      <c r="R63" s="15"/>
      <c r="S63" s="15"/>
      <c r="T63" s="15"/>
      <c r="U63" s="15"/>
      <c r="V63" s="15"/>
      <c r="W63" s="15"/>
      <c r="X63" s="15"/>
      <c r="Y63" s="15"/>
      <c r="Z63" s="15"/>
      <c r="AA63" s="131"/>
      <c r="AB63" s="131"/>
      <c r="AC63" s="131"/>
      <c r="AD63" s="127"/>
      <c r="AE63" s="13"/>
      <c r="AF63" s="128">
        <v>1.0</v>
      </c>
      <c r="AG63" s="128">
        <v>1.0</v>
      </c>
      <c r="AH63" s="128">
        <v>1.0</v>
      </c>
      <c r="AI63" s="128">
        <v>1.0</v>
      </c>
      <c r="AJ63" s="24"/>
      <c r="AK63" s="24"/>
      <c r="AR63" s="1" t="str">
        <f t="shared" si="7"/>
        <v>id15year2017</v>
      </c>
    </row>
    <row r="64">
      <c r="A64" s="13">
        <f t="shared" si="3"/>
        <v>62</v>
      </c>
      <c r="B64" s="13">
        <v>15.0</v>
      </c>
      <c r="C64" s="14" t="str">
        <f>VLOOKUP(B64,companies!$A:$B,2,FALSE)</f>
        <v>AT&amp;T Inc.</v>
      </c>
      <c r="D64" s="16">
        <v>44235.0</v>
      </c>
      <c r="E64" s="15">
        <v>2015.0</v>
      </c>
      <c r="F64" s="15">
        <v>1134340.0</v>
      </c>
      <c r="G64" s="15">
        <v>7694918.0</v>
      </c>
      <c r="H64" s="15"/>
      <c r="I64" s="15" t="s">
        <v>578</v>
      </c>
      <c r="J64" s="130"/>
      <c r="L64" s="15"/>
      <c r="M64" s="130"/>
      <c r="N64" s="15"/>
      <c r="O64" s="15"/>
      <c r="P64" s="15"/>
      <c r="Q64" s="15"/>
      <c r="R64" s="15"/>
      <c r="S64" s="15"/>
      <c r="T64" s="15"/>
      <c r="U64" s="15"/>
      <c r="V64" s="15"/>
      <c r="W64" s="15"/>
      <c r="X64" s="15"/>
      <c r="Y64" s="15"/>
      <c r="Z64" s="15"/>
      <c r="AA64" s="131"/>
      <c r="AB64" s="131"/>
      <c r="AC64" s="131"/>
      <c r="AD64" s="127"/>
      <c r="AE64" s="13"/>
      <c r="AF64" s="128"/>
      <c r="AG64" s="128"/>
      <c r="AH64" s="128"/>
      <c r="AI64" s="128"/>
      <c r="AJ64" s="24"/>
      <c r="AK64" s="24"/>
      <c r="AR64" s="1" t="str">
        <f t="shared" si="7"/>
        <v>id15year2015</v>
      </c>
    </row>
    <row r="65">
      <c r="A65" s="13">
        <f t="shared" si="3"/>
        <v>63</v>
      </c>
      <c r="B65" s="13">
        <v>16.0</v>
      </c>
      <c r="C65" s="14" t="str">
        <f>VLOOKUP(B65,companies!$A:$B,2,FALSE)</f>
        <v>Bank of America</v>
      </c>
      <c r="D65" s="16">
        <v>44235.0</v>
      </c>
      <c r="E65" s="15">
        <v>2020.0</v>
      </c>
      <c r="F65" s="15">
        <v>53390.0</v>
      </c>
      <c r="G65" s="15">
        <v>657635.0</v>
      </c>
      <c r="H65" s="15">
        <v>7685.0</v>
      </c>
      <c r="I65" s="15" t="s">
        <v>578</v>
      </c>
      <c r="J65" s="15"/>
      <c r="K65" s="15">
        <v>1573430.0</v>
      </c>
      <c r="L65" s="15">
        <v>74283.0</v>
      </c>
      <c r="M65" s="15"/>
      <c r="N65" s="15">
        <v>134786.0</v>
      </c>
      <c r="O65" s="15">
        <v>116149.0</v>
      </c>
      <c r="P65" s="15">
        <v>15850.0</v>
      </c>
      <c r="Q65" s="15">
        <v>31482.0</v>
      </c>
      <c r="R65" s="15">
        <v>126415.0</v>
      </c>
      <c r="S65" s="15" t="s">
        <v>683</v>
      </c>
      <c r="T65" s="15">
        <v>1200000.0</v>
      </c>
      <c r="U65" s="15" t="s">
        <v>683</v>
      </c>
      <c r="V65" s="15">
        <v>4000.0</v>
      </c>
      <c r="W65" s="15">
        <v>15000.0</v>
      </c>
      <c r="X65" s="15" t="s">
        <v>683</v>
      </c>
      <c r="Y65" s="15" t="s">
        <v>683</v>
      </c>
      <c r="Z65" s="15" t="s">
        <v>536</v>
      </c>
      <c r="AA65" s="131" t="s">
        <v>683</v>
      </c>
      <c r="AB65" s="131" t="s">
        <v>683</v>
      </c>
      <c r="AC65" s="131"/>
      <c r="AD65" s="127"/>
      <c r="AE65" s="13">
        <v>61075.0</v>
      </c>
      <c r="AF65" s="145"/>
      <c r="AG65" s="145"/>
      <c r="AH65" s="145"/>
      <c r="AI65" s="145"/>
      <c r="AJ65" s="24"/>
      <c r="AK65" s="24"/>
      <c r="AR65" s="1" t="str">
        <f t="shared" si="7"/>
        <v>id16year2020</v>
      </c>
    </row>
    <row r="66">
      <c r="A66" s="13">
        <f t="shared" si="3"/>
        <v>64</v>
      </c>
      <c r="B66" s="13">
        <v>16.0</v>
      </c>
      <c r="C66" s="14" t="str">
        <f>VLOOKUP(B66,companies!$A:$B,2,FALSE)</f>
        <v>Bank of America</v>
      </c>
      <c r="D66" s="16">
        <v>44235.0</v>
      </c>
      <c r="E66" s="15">
        <v>2019.0</v>
      </c>
      <c r="F66" s="15">
        <v>62639.0</v>
      </c>
      <c r="G66" s="15">
        <v>728771.0</v>
      </c>
      <c r="H66" s="15">
        <v>17523.0</v>
      </c>
      <c r="I66" s="15" t="s">
        <v>578</v>
      </c>
      <c r="J66" s="15"/>
      <c r="K66" s="15">
        <v>1831511.0</v>
      </c>
      <c r="L66" s="15">
        <v>102448.0</v>
      </c>
      <c r="M66" s="15"/>
      <c r="N66" s="15">
        <v>161151.0</v>
      </c>
      <c r="O66" s="15">
        <v>140215.0</v>
      </c>
      <c r="P66" s="15">
        <v>22386.0</v>
      </c>
      <c r="Q66" s="15">
        <v>161748.0</v>
      </c>
      <c r="R66" s="15">
        <v>378088.0</v>
      </c>
      <c r="S66" s="15" t="s">
        <v>683</v>
      </c>
      <c r="T66" s="15">
        <v>1400000.0</v>
      </c>
      <c r="U66" s="15" t="s">
        <v>683</v>
      </c>
      <c r="V66" s="15">
        <v>4000.0</v>
      </c>
      <c r="W66" s="15">
        <v>19000.0</v>
      </c>
      <c r="X66" s="15" t="s">
        <v>683</v>
      </c>
      <c r="Y66" s="15" t="s">
        <v>683</v>
      </c>
      <c r="Z66" s="15" t="s">
        <v>536</v>
      </c>
      <c r="AA66" s="131" t="s">
        <v>683</v>
      </c>
      <c r="AB66" s="131" t="s">
        <v>683</v>
      </c>
      <c r="AC66" s="131"/>
      <c r="AD66" s="127"/>
      <c r="AE66" s="13">
        <v>80162.0</v>
      </c>
      <c r="AF66" s="128">
        <v>1.0</v>
      </c>
      <c r="AG66" s="128">
        <v>1.0</v>
      </c>
      <c r="AH66" s="128">
        <v>1.0</v>
      </c>
      <c r="AI66" s="128">
        <v>1.0</v>
      </c>
      <c r="AJ66" s="24"/>
      <c r="AK66" s="24"/>
      <c r="AR66" s="1" t="str">
        <f t="shared" si="7"/>
        <v>id16year2019</v>
      </c>
    </row>
    <row r="67">
      <c r="A67" s="13">
        <f t="shared" si="3"/>
        <v>65</v>
      </c>
      <c r="B67" s="13">
        <v>16.0</v>
      </c>
      <c r="C67" s="14" t="str">
        <f>VLOOKUP(B67,companies!$A:$B,2,FALSE)</f>
        <v>Bank of America</v>
      </c>
      <c r="D67" s="16">
        <v>44235.0</v>
      </c>
      <c r="E67" s="15">
        <v>2018.0</v>
      </c>
      <c r="F67" s="15">
        <v>62258.0</v>
      </c>
      <c r="G67" s="15">
        <v>789565.0</v>
      </c>
      <c r="H67" s="15">
        <v>106406.0</v>
      </c>
      <c r="I67" s="15" t="s">
        <v>578</v>
      </c>
      <c r="J67" s="15"/>
      <c r="K67" s="15">
        <v>1502821.0</v>
      </c>
      <c r="L67" s="15">
        <v>131997.0</v>
      </c>
      <c r="M67" s="15"/>
      <c r="N67" s="15">
        <v>167998.0</v>
      </c>
      <c r="O67" s="15">
        <v>143794.0</v>
      </c>
      <c r="P67" s="15">
        <v>22350.0</v>
      </c>
      <c r="Q67" s="15">
        <v>154569.0</v>
      </c>
      <c r="R67" s="15">
        <v>345402.0</v>
      </c>
      <c r="S67" s="15" t="s">
        <v>683</v>
      </c>
      <c r="T67" s="15">
        <v>1500000.0</v>
      </c>
      <c r="U67" s="15" t="s">
        <v>683</v>
      </c>
      <c r="V67" s="15">
        <v>4000.0</v>
      </c>
      <c r="W67" s="15">
        <v>20000.0</v>
      </c>
      <c r="X67" s="15" t="s">
        <v>683</v>
      </c>
      <c r="Y67" s="15" t="s">
        <v>683</v>
      </c>
      <c r="Z67" s="15" t="s">
        <v>536</v>
      </c>
      <c r="AA67" s="131" t="s">
        <v>683</v>
      </c>
      <c r="AB67" s="131" t="s">
        <v>683</v>
      </c>
      <c r="AC67" s="131"/>
      <c r="AD67" s="127"/>
      <c r="AE67" s="13"/>
      <c r="AF67" s="128"/>
      <c r="AG67" s="128"/>
      <c r="AH67" s="128"/>
      <c r="AI67" s="128"/>
      <c r="AJ67" s="24"/>
      <c r="AK67" s="24"/>
      <c r="AR67" s="1" t="str">
        <f t="shared" si="7"/>
        <v>id16year2018</v>
      </c>
    </row>
    <row r="68">
      <c r="A68" s="13">
        <f t="shared" si="3"/>
        <v>66</v>
      </c>
      <c r="B68" s="13">
        <v>9.0</v>
      </c>
      <c r="C68" s="14" t="str">
        <f>VLOOKUP(B68,companies!$A:$B,2,FALSE)</f>
        <v>Amazon.com Inc.</v>
      </c>
      <c r="D68" s="16">
        <v>44235.0</v>
      </c>
      <c r="E68" s="15">
        <v>2020.0</v>
      </c>
      <c r="F68" s="15">
        <v>9623000.0</v>
      </c>
      <c r="G68" s="15"/>
      <c r="H68" s="15">
        <v>5265000.0</v>
      </c>
      <c r="I68" s="15" t="s">
        <v>581</v>
      </c>
      <c r="J68" s="15">
        <v>4.5754E7</v>
      </c>
      <c r="K68" s="15"/>
      <c r="L68" s="15">
        <v>1.052E7</v>
      </c>
      <c r="M68" s="130"/>
      <c r="N68" s="130"/>
      <c r="O68" s="130"/>
      <c r="P68" s="130"/>
      <c r="Q68" s="130"/>
      <c r="R68" s="130"/>
      <c r="S68" s="130"/>
      <c r="T68" s="130"/>
      <c r="U68" s="130"/>
      <c r="V68" s="130"/>
      <c r="W68" s="130"/>
      <c r="X68" s="130"/>
      <c r="Y68" s="130"/>
      <c r="Z68" s="130"/>
      <c r="AA68" s="130"/>
      <c r="AB68" s="130"/>
      <c r="AC68" s="130"/>
      <c r="AD68" s="130"/>
      <c r="AE68" s="13"/>
      <c r="AF68" s="128">
        <v>1.0</v>
      </c>
      <c r="AG68" s="128">
        <v>1.0</v>
      </c>
      <c r="AH68" s="128">
        <v>1.0</v>
      </c>
      <c r="AI68" s="128">
        <v>1.0</v>
      </c>
      <c r="AJ68" s="24"/>
      <c r="AK68" s="24" t="s">
        <v>761</v>
      </c>
      <c r="AL68" s="36" t="s">
        <v>682</v>
      </c>
      <c r="AR68" s="1" t="str">
        <f t="shared" si="7"/>
        <v>id9year2020</v>
      </c>
    </row>
    <row r="69">
      <c r="A69" s="13">
        <f t="shared" si="3"/>
        <v>67</v>
      </c>
      <c r="B69" s="13">
        <v>9.0</v>
      </c>
      <c r="C69" s="14" t="str">
        <f>VLOOKUP(B69,companies!$A:$B,2,FALSE)</f>
        <v>Amazon.com Inc.</v>
      </c>
      <c r="D69" s="16">
        <v>44235.0</v>
      </c>
      <c r="E69" s="15">
        <v>2019.0</v>
      </c>
      <c r="F69" s="15">
        <v>5760000.0</v>
      </c>
      <c r="G69" s="15"/>
      <c r="H69" s="15">
        <v>5500000.0</v>
      </c>
      <c r="I69" s="15" t="s">
        <v>581</v>
      </c>
      <c r="J69" s="15">
        <v>3.9908E7</v>
      </c>
      <c r="K69" s="15"/>
      <c r="L69" s="15">
        <v>8010000.0</v>
      </c>
      <c r="M69" s="130"/>
      <c r="N69" s="130"/>
      <c r="O69" s="130"/>
      <c r="P69" s="130"/>
      <c r="Q69" s="130"/>
      <c r="R69" s="130"/>
      <c r="S69" s="130"/>
      <c r="T69" s="130"/>
      <c r="U69" s="130"/>
      <c r="V69" s="130"/>
      <c r="W69" s="130"/>
      <c r="X69" s="130"/>
      <c r="Y69" s="130"/>
      <c r="Z69" s="130"/>
      <c r="AA69" s="130"/>
      <c r="AB69" s="130"/>
      <c r="AC69" s="130"/>
      <c r="AD69" s="130"/>
      <c r="AE69" s="13"/>
      <c r="AF69" s="128">
        <v>1.0</v>
      </c>
      <c r="AG69" s="128">
        <v>1.0</v>
      </c>
      <c r="AH69" s="128">
        <v>1.0</v>
      </c>
      <c r="AI69" s="128">
        <v>1.0</v>
      </c>
      <c r="AJ69" s="24"/>
      <c r="AK69" s="24"/>
      <c r="AR69" s="1" t="str">
        <f t="shared" si="7"/>
        <v>id9year2019</v>
      </c>
    </row>
    <row r="70">
      <c r="A70" s="13">
        <f t="shared" si="3"/>
        <v>68</v>
      </c>
      <c r="B70" s="13">
        <v>9.0</v>
      </c>
      <c r="C70" s="14" t="str">
        <f>VLOOKUP(B70,companies!$A:$B,2,FALSE)</f>
        <v>Amazon.com Inc.</v>
      </c>
      <c r="D70" s="16">
        <v>44235.0</v>
      </c>
      <c r="E70" s="15">
        <v>2018.0</v>
      </c>
      <c r="F70" s="15">
        <v>4980000.0</v>
      </c>
      <c r="G70" s="15"/>
      <c r="H70" s="15">
        <v>4710000.0</v>
      </c>
      <c r="I70" s="15" t="s">
        <v>581</v>
      </c>
      <c r="J70" s="15">
        <v>3.471E7</v>
      </c>
      <c r="K70" s="15"/>
      <c r="L70" s="15">
        <v>4640000.0</v>
      </c>
      <c r="M70" s="130"/>
      <c r="N70" s="130"/>
      <c r="O70" s="130"/>
      <c r="P70" s="130"/>
      <c r="Q70" s="130"/>
      <c r="R70" s="130"/>
      <c r="S70" s="130"/>
      <c r="T70" s="130"/>
      <c r="U70" s="130"/>
      <c r="V70" s="130"/>
      <c r="W70" s="130"/>
      <c r="X70" s="130"/>
      <c r="Y70" s="130"/>
      <c r="Z70" s="130"/>
      <c r="AA70" s="130"/>
      <c r="AB70" s="130"/>
      <c r="AC70" s="130"/>
      <c r="AD70" s="130"/>
      <c r="AE70" s="130"/>
      <c r="AF70" s="128">
        <v>1.0</v>
      </c>
      <c r="AG70" s="128">
        <v>1.0</v>
      </c>
      <c r="AH70" s="128">
        <v>1.0</v>
      </c>
      <c r="AI70" s="128">
        <v>1.0</v>
      </c>
      <c r="AJ70" s="24"/>
      <c r="AK70" s="24"/>
      <c r="AR70" s="1" t="str">
        <f t="shared" si="7"/>
        <v>id9year2018</v>
      </c>
    </row>
    <row r="71">
      <c r="A71" s="13">
        <f t="shared" si="3"/>
        <v>69</v>
      </c>
      <c r="B71" s="13">
        <v>18.0</v>
      </c>
      <c r="C71" s="14" t="str">
        <f>VLOOKUP(B71,companies!$A:$B,2,FALSE)</f>
        <v>Biogen Inc.</v>
      </c>
      <c r="D71" s="16">
        <v>44235.0</v>
      </c>
      <c r="E71" s="15">
        <v>2020.0</v>
      </c>
      <c r="F71" s="15">
        <v>57553.0</v>
      </c>
      <c r="G71" s="15">
        <v>36953.0</v>
      </c>
      <c r="H71" s="15">
        <v>183.0</v>
      </c>
      <c r="I71" s="15" t="s">
        <v>578</v>
      </c>
      <c r="J71" s="15">
        <v>348911.0</v>
      </c>
      <c r="K71" s="15">
        <v>254670.0</v>
      </c>
      <c r="L71" s="15">
        <v>41356.0</v>
      </c>
      <c r="M71" s="15" t="s">
        <v>683</v>
      </c>
      <c r="N71" s="15">
        <v>8755.0</v>
      </c>
      <c r="O71" s="15">
        <v>17701.0</v>
      </c>
      <c r="P71" s="15">
        <v>487.0</v>
      </c>
      <c r="Q71" s="15">
        <v>4038.0</v>
      </c>
      <c r="R71" s="15">
        <v>12763.0</v>
      </c>
      <c r="S71" s="15" t="s">
        <v>683</v>
      </c>
      <c r="T71" s="15" t="s">
        <v>683</v>
      </c>
      <c r="U71" s="15" t="s">
        <v>683</v>
      </c>
      <c r="V71" s="15" t="s">
        <v>683</v>
      </c>
      <c r="W71" s="15">
        <v>9141.0</v>
      </c>
      <c r="X71" s="146" t="s">
        <v>683</v>
      </c>
      <c r="Y71" s="146" t="s">
        <v>683</v>
      </c>
      <c r="Z71" s="146" t="s">
        <v>683</v>
      </c>
      <c r="AA71" s="146"/>
      <c r="AB71" s="146"/>
      <c r="AC71" s="130"/>
      <c r="AD71" s="127"/>
      <c r="AE71" s="13">
        <v>29637.0</v>
      </c>
      <c r="AF71" s="128">
        <v>1.0</v>
      </c>
      <c r="AG71" s="128">
        <v>1.0</v>
      </c>
      <c r="AH71" s="128">
        <v>1.0</v>
      </c>
      <c r="AI71" s="128">
        <v>1.0</v>
      </c>
      <c r="AJ71" s="24"/>
      <c r="AK71" s="24"/>
      <c r="AR71" s="1" t="str">
        <f t="shared" si="7"/>
        <v>id18year2020</v>
      </c>
    </row>
    <row r="72">
      <c r="A72" s="13">
        <f t="shared" si="3"/>
        <v>70</v>
      </c>
      <c r="B72" s="13">
        <v>18.0</v>
      </c>
      <c r="C72" s="14" t="str">
        <f>VLOOKUP(B72,companies!$A:$B,2,FALSE)</f>
        <v>Biogen Inc.</v>
      </c>
      <c r="D72" s="16">
        <v>44235.0</v>
      </c>
      <c r="E72" s="15">
        <v>2019.0</v>
      </c>
      <c r="F72" s="15">
        <v>67447.0</v>
      </c>
      <c r="G72" s="15">
        <v>37712.0</v>
      </c>
      <c r="H72" s="15">
        <v>106.0</v>
      </c>
      <c r="I72" s="15" t="s">
        <v>578</v>
      </c>
      <c r="J72" s="15">
        <v>424592.0</v>
      </c>
      <c r="K72" s="15">
        <v>334954.0</v>
      </c>
      <c r="L72" s="15">
        <v>32759.0</v>
      </c>
      <c r="M72" s="15" t="s">
        <v>683</v>
      </c>
      <c r="N72" s="15">
        <v>10570.0</v>
      </c>
      <c r="O72" s="15" t="s">
        <v>683</v>
      </c>
      <c r="P72" s="15">
        <v>645.0</v>
      </c>
      <c r="Q72" s="15">
        <v>24083.0</v>
      </c>
      <c r="R72" s="15">
        <v>9516.0</v>
      </c>
      <c r="S72" s="15" t="s">
        <v>683</v>
      </c>
      <c r="T72" s="15" t="s">
        <v>683</v>
      </c>
      <c r="U72" s="15" t="s">
        <v>683</v>
      </c>
      <c r="V72" s="15" t="s">
        <v>683</v>
      </c>
      <c r="W72" s="15">
        <v>12065.0</v>
      </c>
      <c r="X72" s="146" t="s">
        <v>683</v>
      </c>
      <c r="Y72" s="146" t="s">
        <v>683</v>
      </c>
      <c r="Z72" s="146" t="s">
        <v>683</v>
      </c>
      <c r="AA72" s="146"/>
      <c r="AB72" s="146"/>
      <c r="AC72" s="15"/>
      <c r="AD72" s="127"/>
      <c r="AE72" s="13">
        <v>76667.0</v>
      </c>
      <c r="AF72" s="128">
        <v>1.0</v>
      </c>
      <c r="AG72" s="128">
        <v>1.0</v>
      </c>
      <c r="AH72" s="128">
        <v>1.0</v>
      </c>
      <c r="AI72" s="128">
        <v>1.0</v>
      </c>
      <c r="AJ72" s="24"/>
      <c r="AK72" s="24"/>
      <c r="AR72" s="1" t="str">
        <f t="shared" si="7"/>
        <v>id18year2019</v>
      </c>
    </row>
    <row r="73">
      <c r="A73" s="13">
        <f t="shared" si="3"/>
        <v>71</v>
      </c>
      <c r="B73" s="13">
        <v>18.0</v>
      </c>
      <c r="C73" s="14" t="str">
        <f>VLOOKUP(B73,companies!$A:$B,2,FALSE)</f>
        <v>Biogen Inc.</v>
      </c>
      <c r="D73" s="16">
        <v>44235.0</v>
      </c>
      <c r="E73" s="15">
        <v>2018.0</v>
      </c>
      <c r="F73" s="15">
        <v>68448.0</v>
      </c>
      <c r="G73" s="15">
        <v>37347.0</v>
      </c>
      <c r="H73" s="15">
        <v>61.0</v>
      </c>
      <c r="I73" s="15" t="s">
        <v>578</v>
      </c>
      <c r="J73" s="15">
        <v>436353.0</v>
      </c>
      <c r="K73" s="15">
        <v>325928.0</v>
      </c>
      <c r="L73" s="15">
        <v>51635.0</v>
      </c>
      <c r="M73" s="15" t="s">
        <v>683</v>
      </c>
      <c r="N73" s="15">
        <v>11048.0</v>
      </c>
      <c r="O73" s="15" t="s">
        <v>683</v>
      </c>
      <c r="P73" s="15">
        <v>758.0</v>
      </c>
      <c r="Q73" s="15">
        <v>27277.0</v>
      </c>
      <c r="R73" s="15">
        <v>8133.0</v>
      </c>
      <c r="S73" s="15" t="s">
        <v>683</v>
      </c>
      <c r="T73" s="15" t="s">
        <v>683</v>
      </c>
      <c r="U73" s="15" t="s">
        <v>683</v>
      </c>
      <c r="V73" s="15" t="s">
        <v>683</v>
      </c>
      <c r="W73" s="15">
        <v>11574.0</v>
      </c>
      <c r="X73" s="146" t="s">
        <v>683</v>
      </c>
      <c r="Y73" s="146" t="s">
        <v>683</v>
      </c>
      <c r="Z73" s="146" t="s">
        <v>683</v>
      </c>
      <c r="AA73" s="146"/>
      <c r="AB73" s="146"/>
      <c r="AC73" s="15"/>
      <c r="AD73" s="127"/>
      <c r="AE73" s="13">
        <v>76642.0</v>
      </c>
      <c r="AF73" s="128">
        <v>1.0</v>
      </c>
      <c r="AG73" s="128">
        <v>1.0</v>
      </c>
      <c r="AH73" s="128">
        <v>1.0</v>
      </c>
      <c r="AI73" s="128">
        <v>1.0</v>
      </c>
      <c r="AJ73" s="24"/>
      <c r="AK73" s="24"/>
      <c r="AR73" s="1" t="str">
        <f t="shared" si="7"/>
        <v>id18year2018</v>
      </c>
    </row>
    <row r="74">
      <c r="A74" s="13">
        <f t="shared" si="3"/>
        <v>72</v>
      </c>
      <c r="B74" s="13">
        <v>18.0</v>
      </c>
      <c r="C74" s="14" t="str">
        <f>VLOOKUP(B74,companies!$A:$B,2,FALSE)</f>
        <v>Biogen Inc.</v>
      </c>
      <c r="D74" s="16">
        <v>44235.0</v>
      </c>
      <c r="E74" s="15">
        <v>2017.0</v>
      </c>
      <c r="F74" s="15">
        <v>61577.0</v>
      </c>
      <c r="G74" s="15">
        <v>41134.0</v>
      </c>
      <c r="H74" s="15">
        <v>59.0</v>
      </c>
      <c r="I74" s="15" t="s">
        <v>578</v>
      </c>
      <c r="J74" s="15">
        <v>482465.0</v>
      </c>
      <c r="K74" s="15">
        <v>396280.0</v>
      </c>
      <c r="L74" s="15">
        <v>35424.0</v>
      </c>
      <c r="M74" s="15" t="s">
        <v>683</v>
      </c>
      <c r="N74" s="15">
        <v>10533.0</v>
      </c>
      <c r="O74" s="15" t="s">
        <v>683</v>
      </c>
      <c r="P74" s="15">
        <v>673.0</v>
      </c>
      <c r="Q74" s="15">
        <v>21111.0</v>
      </c>
      <c r="R74" s="15">
        <v>8106.0</v>
      </c>
      <c r="S74" s="15" t="s">
        <v>683</v>
      </c>
      <c r="T74" s="15" t="s">
        <v>683</v>
      </c>
      <c r="U74" s="15" t="s">
        <v>683</v>
      </c>
      <c r="V74" s="15" t="s">
        <v>683</v>
      </c>
      <c r="W74" s="15">
        <v>10438.0</v>
      </c>
      <c r="X74" s="146" t="s">
        <v>683</v>
      </c>
      <c r="Y74" s="146" t="s">
        <v>683</v>
      </c>
      <c r="Z74" s="146" t="s">
        <v>683</v>
      </c>
      <c r="AA74" s="146"/>
      <c r="AB74" s="146"/>
      <c r="AC74" s="15"/>
      <c r="AD74" s="127"/>
      <c r="AE74" s="13">
        <v>69783.0</v>
      </c>
      <c r="AF74" s="128">
        <v>1.0</v>
      </c>
      <c r="AG74" s="128">
        <v>1.0</v>
      </c>
      <c r="AH74" s="128">
        <v>1.0</v>
      </c>
      <c r="AI74" s="128">
        <v>1.0</v>
      </c>
      <c r="AJ74" s="24"/>
      <c r="AK74" s="24"/>
      <c r="AR74" s="1" t="str">
        <f t="shared" si="7"/>
        <v>id18year2017</v>
      </c>
    </row>
    <row r="75">
      <c r="A75" s="13">
        <f t="shared" si="3"/>
        <v>73</v>
      </c>
      <c r="B75" s="13">
        <v>19.0</v>
      </c>
      <c r="C75" s="14" t="str">
        <f>VLOOKUP(B75,companies!$A:$B,2,FALSE)</f>
        <v>BlackRock Inc.</v>
      </c>
      <c r="D75" s="16">
        <v>44235.0</v>
      </c>
      <c r="E75" s="15">
        <v>2020.0</v>
      </c>
      <c r="F75" s="15">
        <v>3278.0</v>
      </c>
      <c r="G75" s="15">
        <v>18352.0</v>
      </c>
      <c r="H75" s="15">
        <v>0.0</v>
      </c>
      <c r="I75" s="15" t="s">
        <v>581</v>
      </c>
      <c r="J75" s="15"/>
      <c r="K75" s="15">
        <v>214957.0</v>
      </c>
      <c r="L75" s="15">
        <v>2337.0</v>
      </c>
      <c r="M75" s="15">
        <v>6825.0</v>
      </c>
      <c r="N75" s="15">
        <v>2465.0</v>
      </c>
      <c r="O75" s="15">
        <v>973.0</v>
      </c>
      <c r="P75" s="15">
        <v>379.0</v>
      </c>
      <c r="Q75" s="15">
        <v>6606.0</v>
      </c>
      <c r="R75" s="15">
        <v>26.0</v>
      </c>
      <c r="S75" s="15">
        <v>928.0</v>
      </c>
      <c r="T75" s="130" t="s">
        <v>683</v>
      </c>
      <c r="U75" s="130" t="s">
        <v>683</v>
      </c>
      <c r="V75" s="130" t="s">
        <v>683</v>
      </c>
      <c r="W75" s="130" t="s">
        <v>683</v>
      </c>
      <c r="X75" s="130" t="s">
        <v>683</v>
      </c>
      <c r="Y75" s="130" t="s">
        <v>683</v>
      </c>
      <c r="Z75" s="130" t="s">
        <v>683</v>
      </c>
      <c r="AA75" s="130" t="s">
        <v>683</v>
      </c>
      <c r="AB75" s="130" t="s">
        <v>683</v>
      </c>
      <c r="AC75" s="24"/>
      <c r="AD75" s="24"/>
      <c r="AE75" s="24"/>
      <c r="AF75" s="128">
        <v>1.0</v>
      </c>
      <c r="AG75" s="128">
        <v>1.0</v>
      </c>
      <c r="AH75" s="128">
        <v>1.0</v>
      </c>
      <c r="AI75" s="147">
        <f>(7865+1162+39116+1161+777)/SUM(K75:AC75)</f>
        <v>0.2126617862</v>
      </c>
      <c r="AJ75" s="24"/>
      <c r="AK75" s="24" t="s">
        <v>762</v>
      </c>
      <c r="AR75" s="1" t="str">
        <f t="shared" si="7"/>
        <v>id19year2020</v>
      </c>
    </row>
    <row r="76">
      <c r="A76" s="13">
        <f t="shared" si="3"/>
        <v>74</v>
      </c>
      <c r="B76" s="13">
        <v>19.0</v>
      </c>
      <c r="C76" s="14" t="str">
        <f>VLOOKUP(B76,companies!$A:$B,2,FALSE)</f>
        <v>BlackRock Inc.</v>
      </c>
      <c r="D76" s="16">
        <v>44235.0</v>
      </c>
      <c r="E76" s="15">
        <v>2019.0</v>
      </c>
      <c r="F76" s="15">
        <v>5589.0</v>
      </c>
      <c r="G76" s="15">
        <v>20369.0</v>
      </c>
      <c r="H76" s="15">
        <v>0.0</v>
      </c>
      <c r="I76" s="15" t="s">
        <v>581</v>
      </c>
      <c r="J76" s="15"/>
      <c r="K76" s="15">
        <v>373032.0</v>
      </c>
      <c r="L76" s="15">
        <v>15521.0</v>
      </c>
      <c r="M76" s="130">
        <v>7865.0</v>
      </c>
      <c r="N76" s="130">
        <v>7865.0</v>
      </c>
      <c r="O76" s="130"/>
      <c r="P76" s="130">
        <v>1162.0</v>
      </c>
      <c r="Q76" s="130">
        <v>39116.0</v>
      </c>
      <c r="R76" s="130">
        <v>1161.0</v>
      </c>
      <c r="S76" s="130">
        <v>777.0</v>
      </c>
      <c r="T76" s="130" t="s">
        <v>683</v>
      </c>
      <c r="U76" s="130" t="s">
        <v>683</v>
      </c>
      <c r="V76" s="130" t="s">
        <v>683</v>
      </c>
      <c r="W76" s="130" t="s">
        <v>683</v>
      </c>
      <c r="X76" s="130" t="s">
        <v>683</v>
      </c>
      <c r="Y76" s="130" t="s">
        <v>683</v>
      </c>
      <c r="Z76" s="130" t="s">
        <v>683</v>
      </c>
      <c r="AA76" s="130" t="s">
        <v>683</v>
      </c>
      <c r="AB76" s="130" t="s">
        <v>683</v>
      </c>
      <c r="AC76" s="24"/>
      <c r="AD76" s="24"/>
      <c r="AE76" s="24"/>
      <c r="AF76" s="128">
        <v>1.0</v>
      </c>
      <c r="AG76" s="128">
        <v>1.0</v>
      </c>
      <c r="AH76" s="128">
        <v>1.0</v>
      </c>
      <c r="AI76" s="128">
        <f>(674+805+45384+837+8100+637)/SUM(K76:AC76)</f>
        <v>0.1263989393</v>
      </c>
      <c r="AJ76" s="24"/>
      <c r="AK76" s="24" t="s">
        <v>763</v>
      </c>
      <c r="AR76" s="1" t="str">
        <f t="shared" si="7"/>
        <v>id19year2019</v>
      </c>
    </row>
    <row r="77">
      <c r="A77" s="13">
        <f t="shared" si="3"/>
        <v>75</v>
      </c>
      <c r="B77" s="13">
        <v>19.0</v>
      </c>
      <c r="C77" s="14" t="str">
        <f>VLOOKUP(B77,companies!$A:$B,2,FALSE)</f>
        <v>BlackRock Inc.</v>
      </c>
      <c r="D77" s="16">
        <v>44235.0</v>
      </c>
      <c r="E77" s="15">
        <v>2018.0</v>
      </c>
      <c r="F77" s="15">
        <v>4805.0</v>
      </c>
      <c r="G77" s="15">
        <v>21392.0</v>
      </c>
      <c r="H77" s="15">
        <v>4750.0</v>
      </c>
      <c r="I77" s="15" t="s">
        <v>581</v>
      </c>
      <c r="J77" s="15"/>
      <c r="K77" s="15"/>
      <c r="L77" s="15"/>
      <c r="M77" s="130">
        <v>8100.0</v>
      </c>
      <c r="N77" s="130">
        <v>8100.0</v>
      </c>
      <c r="O77" s="130"/>
      <c r="P77" s="130">
        <v>637.0</v>
      </c>
      <c r="Q77" s="130">
        <v>45384.0</v>
      </c>
      <c r="R77" s="130">
        <v>837.0</v>
      </c>
      <c r="S77" s="130">
        <v>674.0</v>
      </c>
      <c r="T77" s="130" t="s">
        <v>683</v>
      </c>
      <c r="U77" s="130" t="s">
        <v>683</v>
      </c>
      <c r="V77" s="130" t="s">
        <v>683</v>
      </c>
      <c r="W77" s="130" t="s">
        <v>683</v>
      </c>
      <c r="X77" s="130" t="s">
        <v>683</v>
      </c>
      <c r="Y77" s="130" t="s">
        <v>683</v>
      </c>
      <c r="Z77" s="130" t="s">
        <v>683</v>
      </c>
      <c r="AA77" s="130" t="s">
        <v>683</v>
      </c>
      <c r="AB77" s="130" t="s">
        <v>683</v>
      </c>
      <c r="AC77" s="24"/>
      <c r="AD77" s="24"/>
      <c r="AE77" s="24"/>
      <c r="AF77" s="128">
        <v>1.0</v>
      </c>
      <c r="AG77" s="128">
        <v>1.0</v>
      </c>
      <c r="AH77" s="128">
        <v>1.0</v>
      </c>
      <c r="AI77" s="128">
        <f t="shared" ref="AI77:AI78" si="10">AI76</f>
        <v>0.1263989393</v>
      </c>
      <c r="AJ77" s="24"/>
      <c r="AK77" s="24"/>
      <c r="AR77" s="1" t="str">
        <f t="shared" si="7"/>
        <v>id19year2018</v>
      </c>
    </row>
    <row r="78">
      <c r="A78" s="13">
        <f t="shared" si="3"/>
        <v>76</v>
      </c>
      <c r="B78" s="13">
        <v>19.0</v>
      </c>
      <c r="C78" s="14" t="str">
        <f>VLOOKUP(B78,companies!$A:$B,2,FALSE)</f>
        <v>BlackRock Inc.</v>
      </c>
      <c r="D78" s="16">
        <v>44235.0</v>
      </c>
      <c r="E78" s="15">
        <v>2017.0</v>
      </c>
      <c r="F78" s="15">
        <v>5050.0</v>
      </c>
      <c r="G78" s="15">
        <v>21539.0</v>
      </c>
      <c r="H78" s="15">
        <v>5404.0</v>
      </c>
      <c r="I78" s="15" t="s">
        <v>581</v>
      </c>
      <c r="J78" s="15"/>
      <c r="K78" s="15"/>
      <c r="L78" s="15"/>
      <c r="M78" s="130">
        <v>5809.0</v>
      </c>
      <c r="N78" s="130">
        <v>5809.0</v>
      </c>
      <c r="O78" s="130"/>
      <c r="P78" s="130">
        <v>818.0</v>
      </c>
      <c r="Q78" s="130">
        <v>39238.0</v>
      </c>
      <c r="R78" s="130">
        <v>611.0</v>
      </c>
      <c r="S78" s="130">
        <v>596.0</v>
      </c>
      <c r="T78" s="130" t="s">
        <v>683</v>
      </c>
      <c r="U78" s="130" t="s">
        <v>683</v>
      </c>
      <c r="V78" s="130" t="s">
        <v>683</v>
      </c>
      <c r="W78" s="130" t="s">
        <v>683</v>
      </c>
      <c r="X78" s="130" t="s">
        <v>683</v>
      </c>
      <c r="Y78" s="130" t="s">
        <v>683</v>
      </c>
      <c r="Z78" s="130" t="s">
        <v>683</v>
      </c>
      <c r="AA78" s="130" t="s">
        <v>683</v>
      </c>
      <c r="AB78" s="130" t="s">
        <v>683</v>
      </c>
      <c r="AC78" s="24"/>
      <c r="AD78" s="24"/>
      <c r="AE78" s="24"/>
      <c r="AF78" s="128">
        <v>1.0</v>
      </c>
      <c r="AG78" s="128">
        <v>1.0</v>
      </c>
      <c r="AH78" s="128">
        <v>1.0</v>
      </c>
      <c r="AI78" s="128">
        <f t="shared" si="10"/>
        <v>0.1263989393</v>
      </c>
      <c r="AJ78" s="24"/>
      <c r="AK78" s="24"/>
      <c r="AR78" s="1" t="str">
        <f t="shared" si="7"/>
        <v>id19year2017</v>
      </c>
    </row>
    <row r="79">
      <c r="A79" s="148"/>
      <c r="B79" s="148"/>
      <c r="C79" s="148"/>
      <c r="D79" s="148"/>
      <c r="E79" s="148"/>
      <c r="F79" s="148"/>
      <c r="G79" s="148"/>
      <c r="H79" s="148"/>
      <c r="I79" s="149"/>
      <c r="J79" s="149"/>
      <c r="K79" s="148"/>
      <c r="L79" s="148"/>
      <c r="M79" s="149"/>
      <c r="N79" s="148"/>
      <c r="O79" s="148"/>
      <c r="P79" s="148"/>
      <c r="Q79" s="148"/>
      <c r="R79" s="148"/>
      <c r="S79" s="148"/>
      <c r="T79" s="148"/>
      <c r="U79" s="148"/>
      <c r="V79" s="148"/>
      <c r="W79" s="148"/>
      <c r="X79" s="148"/>
      <c r="Y79" s="148"/>
      <c r="Z79" s="150"/>
      <c r="AA79" s="150"/>
      <c r="AB79" s="150"/>
      <c r="AR79" s="1" t="str">
        <f t="shared" si="7"/>
        <v>idyear</v>
      </c>
    </row>
    <row r="80">
      <c r="A80" s="149"/>
      <c r="B80" s="149"/>
      <c r="C80" s="149"/>
      <c r="D80" s="149"/>
      <c r="E80" s="149"/>
      <c r="F80" s="149"/>
      <c r="G80" s="149"/>
      <c r="H80" s="149"/>
      <c r="I80" s="149"/>
      <c r="J80" s="149"/>
      <c r="K80" s="149"/>
      <c r="L80" s="149"/>
      <c r="M80" s="149"/>
      <c r="N80" s="149"/>
      <c r="O80" s="149"/>
      <c r="P80" s="149"/>
      <c r="Q80" s="149"/>
      <c r="R80" s="149"/>
      <c r="S80" s="149"/>
      <c r="T80" s="149"/>
      <c r="U80" s="149"/>
      <c r="V80" s="149"/>
      <c r="W80" s="149"/>
      <c r="X80" s="149"/>
      <c r="Y80" s="149"/>
      <c r="AC80" s="151"/>
      <c r="AR80" s="1" t="str">
        <f t="shared" si="7"/>
        <v>idyear</v>
      </c>
    </row>
    <row r="81">
      <c r="A81" s="152" t="s">
        <v>764</v>
      </c>
      <c r="B81" s="153"/>
      <c r="C81" s="154"/>
      <c r="D81" s="15"/>
      <c r="E81" s="15">
        <v>2019.0</v>
      </c>
      <c r="F81" s="15" t="str">
        <f>VLOOKUP($B81,'GHG19'!$A:$Y,COLUMN('GHG19'!C$1),FALSE)</f>
        <v>#N/A</v>
      </c>
      <c r="G81" s="15" t="str">
        <f>VLOOKUP($B81,'GHG19'!$A:$Y,COLUMN('GHG19'!D$1),FALSE)</f>
        <v>#N/A</v>
      </c>
      <c r="H81" s="15" t="str">
        <f>VLOOKUP($B81,'GHG19'!$A:$Y,COLUMN('GHG19'!E$1),FALSE)</f>
        <v>#N/A</v>
      </c>
      <c r="I81" s="143"/>
      <c r="J81" s="143"/>
      <c r="K81" s="142" t="str">
        <f>VLOOKUP($B81,'GHG19'!$A:$Y,COLUMN('GHG19'!F$1),FALSE)</f>
        <v>#N/A</v>
      </c>
      <c r="L81" s="15" t="str">
        <f>VLOOKUP($B81,'GHG19'!$A:$Y,COLUMN('GHG19'!G$1),FALSE)</f>
        <v>#N/A</v>
      </c>
      <c r="M81" s="143"/>
      <c r="N81" s="15" t="str">
        <f>VLOOKUP($B81,'GHG19'!$A:$Y,COLUMN('GHG19'!H$1),FALSE)</f>
        <v>#N/A</v>
      </c>
      <c r="O81" s="15" t="str">
        <f>VLOOKUP($B81,'GHG19'!$A:$Y,COLUMN('GHG19'!I$1),FALSE)</f>
        <v>#N/A</v>
      </c>
      <c r="P81" s="15" t="str">
        <f>VLOOKUP($B81,'GHG19'!$A:$Y,COLUMN('GHG19'!J$1),FALSE)</f>
        <v>#N/A</v>
      </c>
      <c r="Q81" s="15" t="str">
        <f>VLOOKUP($B81,'GHG19'!$A:$Y,COLUMN('GHG19'!K$1),FALSE)</f>
        <v>#N/A</v>
      </c>
      <c r="R81" s="15" t="str">
        <f>VLOOKUP($B81,'GHG19'!$A:$Y,COLUMN('GHG19'!L$1),FALSE)</f>
        <v>#N/A</v>
      </c>
      <c r="S81" s="144" t="str">
        <f>VLOOKUP($B81,'GHG19'!$A:$Y,COLUMN('GHG19'!M$1),FALSE)</f>
        <v>#N/A</v>
      </c>
      <c r="T81" s="144" t="str">
        <f>VLOOKUP($B81,'GHG19'!$A:$Y,COLUMN('GHG19'!N$1),FALSE)</f>
        <v>#N/A</v>
      </c>
      <c r="U81" s="144" t="str">
        <f>VLOOKUP($B81,'GHG19'!$A:$Y,COLUMN('GHG19'!O$1),FALSE)</f>
        <v>#N/A</v>
      </c>
      <c r="V81" s="144" t="str">
        <f>VLOOKUP($B81,'GHG19'!$A:$Y,COLUMN('GHG19'!P$1),FALSE)</f>
        <v>#N/A</v>
      </c>
      <c r="W81" s="144" t="str">
        <f>VLOOKUP($B81,'GHG19'!$A:$Y,COLUMN('GHG19'!Q$1),FALSE)</f>
        <v>#N/A</v>
      </c>
      <c r="X81" s="15" t="str">
        <f>VLOOKUP($B81,'GHG19'!$A:$Y,COLUMN('GHG19'!R$1),FALSE)</f>
        <v>#N/A</v>
      </c>
      <c r="Y81" s="144" t="str">
        <f>VLOOKUP($B81,'GHG19'!$A:$Y,COLUMN('GHG19'!S$1),FALSE)</f>
        <v>#N/A</v>
      </c>
      <c r="Z81" s="144" t="str">
        <f>VLOOKUP($B81,'GHG19'!$A:$Y,COLUMN('GHG19'!T$1),FALSE)</f>
        <v>#N/A</v>
      </c>
      <c r="AA81" s="144" t="str">
        <f>VLOOKUP($B81,'GHG19'!$A:$Y,COLUMN('GHG19'!U$1),FALSE)</f>
        <v>#N/A</v>
      </c>
      <c r="AB81" s="144" t="str">
        <f>VLOOKUP($B81,'GHG19'!$A:$Y,COLUMN('GHG19'!V$1),FALSE)</f>
        <v>#N/A</v>
      </c>
      <c r="AC81" s="15" t="str">
        <f>VLOOKUP($B81,'GHG19'!$A:$Y,COLUMN('GHG19'!W$1),FALSE)</f>
        <v>#N/A</v>
      </c>
      <c r="AD81" s="127" t="str">
        <f>SUM(K81:AB81,H81,F81)</f>
        <v>#N/A</v>
      </c>
      <c r="AR81" s="1" t="str">
        <f t="shared" si="7"/>
        <v>idyear2019</v>
      </c>
    </row>
    <row r="82">
      <c r="A82" s="149"/>
      <c r="B82" s="13"/>
      <c r="C82" s="154"/>
      <c r="D82" s="15"/>
      <c r="E82" s="15">
        <v>2018.0</v>
      </c>
      <c r="F82" s="15" t="str">
        <f>VLOOKUP($B82,'GHG18'!$A:$Y,COLUMN('GHG18'!C$1),FALSE)</f>
        <v>#N/A</v>
      </c>
      <c r="G82" s="15" t="str">
        <f>VLOOKUP($B82,'GHG18'!$A:$Y,COLUMN('GHG18'!D$1),FALSE)</f>
        <v>#N/A</v>
      </c>
      <c r="H82" s="15" t="str">
        <f>VLOOKUP($B82,'GHG18'!$A:$Y,COLUMN('GHG18'!E$1),FALSE)</f>
        <v>#N/A</v>
      </c>
      <c r="I82" s="143"/>
      <c r="J82" s="143"/>
      <c r="K82" s="142" t="str">
        <f>VLOOKUP($B82,'GHG18'!$A:$Y,COLUMN('GHG18'!F$1),FALSE)</f>
        <v>#N/A</v>
      </c>
      <c r="L82" s="15" t="str">
        <f>VLOOKUP($B82,'GHG18'!$A:$Y,COLUMN('GHG18'!G$1),FALSE)</f>
        <v>#N/A</v>
      </c>
      <c r="M82" s="143"/>
      <c r="N82" s="15" t="str">
        <f>VLOOKUP($B82,'GHG18'!$A:$Y,COLUMN('GHG18'!H$1),FALSE)</f>
        <v>#N/A</v>
      </c>
      <c r="O82" s="15" t="str">
        <f>VLOOKUP($B82,'GHG18'!$A:$Y,COLUMN('GHG18'!I$1),FALSE)</f>
        <v>#N/A</v>
      </c>
      <c r="P82" s="15" t="str">
        <f>VLOOKUP($B82,'GHG18'!$A:$Y,COLUMN('GHG18'!J$1),FALSE)</f>
        <v>#N/A</v>
      </c>
      <c r="Q82" s="15" t="str">
        <f>VLOOKUP($B82,'GHG18'!$A:$Y,COLUMN('GHG18'!K$1),FALSE)</f>
        <v>#N/A</v>
      </c>
      <c r="R82" s="15" t="str">
        <f>VLOOKUP($B82,'GHG18'!$A:$Y,COLUMN('GHG18'!L$1),FALSE)</f>
        <v>#N/A</v>
      </c>
      <c r="S82" s="144" t="str">
        <f>VLOOKUP($B82,'GHG18'!$A:$Y,COLUMN('GHG18'!M$1),FALSE)</f>
        <v>#N/A</v>
      </c>
      <c r="T82" s="144" t="str">
        <f>VLOOKUP($B82,'GHG18'!$A:$Y,COLUMN('GHG18'!N$1),FALSE)</f>
        <v>#N/A</v>
      </c>
      <c r="U82" s="144" t="str">
        <f>VLOOKUP($B82,'GHG18'!$A:$Y,COLUMN('GHG18'!O$1),FALSE)</f>
        <v>#N/A</v>
      </c>
      <c r="V82" s="144" t="str">
        <f>VLOOKUP($B82,'GHG18'!$A:$Y,COLUMN('GHG18'!P$1),FALSE)</f>
        <v>#N/A</v>
      </c>
      <c r="W82" s="144" t="str">
        <f>VLOOKUP($B82,'GHG18'!$A:$Y,COLUMN('GHG18'!Q$1),FALSE)</f>
        <v>#N/A</v>
      </c>
      <c r="X82" s="15" t="str">
        <f>VLOOKUP($B82,'GHG18'!$A:$Y,COLUMN('GHG18'!R$1),FALSE)</f>
        <v>#N/A</v>
      </c>
      <c r="Y82" s="144" t="str">
        <f>VLOOKUP($B82,'GHG18'!$A:$Y,COLUMN('GHG18'!S$1),FALSE)</f>
        <v>#N/A</v>
      </c>
      <c r="Z82" s="144" t="str">
        <f>VLOOKUP($B82,'GHG18'!$A:$Y,COLUMN('GHG18'!T$1),FALSE)</f>
        <v>#N/A</v>
      </c>
      <c r="AA82" s="144" t="str">
        <f>VLOOKUP($B82,'GHG18'!$A:$Y,COLUMN('GHG18'!U$1),FALSE)</f>
        <v>#N/A</v>
      </c>
      <c r="AB82" s="144" t="str">
        <f>VLOOKUP($B82,'GHG18'!$A:$Y,COLUMN('GHG18'!V$1),FALSE)</f>
        <v>#N/A</v>
      </c>
      <c r="AC82" s="15" t="str">
        <f>VLOOKUP($B82,'GHG18'!$A:$Y,COLUMN('GHG18'!W$1),FALSE)</f>
        <v>#N/A</v>
      </c>
      <c r="AD82" s="127"/>
      <c r="AR82" s="1" t="str">
        <f t="shared" si="7"/>
        <v>idyear2018</v>
      </c>
    </row>
    <row r="83">
      <c r="A83" s="149"/>
      <c r="B83" s="13"/>
      <c r="C83" s="154"/>
      <c r="D83" s="15"/>
      <c r="E83" s="15">
        <v>2017.0</v>
      </c>
      <c r="F83" s="15" t="str">
        <f>VLOOKUP($B83,'GHG17'!$A:$Y,COLUMN('GHG17'!C$1),FALSE)</f>
        <v>#N/A</v>
      </c>
      <c r="G83" s="15" t="str">
        <f>VLOOKUP($B83,'GHG17'!$A:$Y,COLUMN('GHG17'!D$1),FALSE)</f>
        <v>#N/A</v>
      </c>
      <c r="H83" s="15" t="str">
        <f>VLOOKUP($B83,'GHG17'!$A:$Y,COLUMN('GHG17'!E$1),FALSE)</f>
        <v>#N/A</v>
      </c>
      <c r="I83" s="143"/>
      <c r="J83" s="143"/>
      <c r="K83" s="142" t="str">
        <f>VLOOKUP($B83,'GHG17'!$A:$Y,COLUMN('GHG17'!F$1),FALSE)</f>
        <v>#N/A</v>
      </c>
      <c r="L83" s="15" t="str">
        <f>VLOOKUP($B83,'GHG17'!$A:$Y,COLUMN('GHG17'!G$1),FALSE)</f>
        <v>#N/A</v>
      </c>
      <c r="M83" s="143"/>
      <c r="N83" s="15" t="str">
        <f>VLOOKUP($B83,'GHG17'!$A:$Y,COLUMN('GHG17'!H$1),FALSE)</f>
        <v>#N/A</v>
      </c>
      <c r="O83" s="15" t="str">
        <f>VLOOKUP($B83,'GHG17'!$A:$Y,COLUMN('GHG17'!I$1),FALSE)</f>
        <v>#N/A</v>
      </c>
      <c r="P83" s="15" t="str">
        <f>VLOOKUP($B83,'GHG17'!$A:$Y,COLUMN('GHG17'!J$1),FALSE)</f>
        <v>#N/A</v>
      </c>
      <c r="Q83" s="15" t="str">
        <f>VLOOKUP($B83,'GHG17'!$A:$Y,COLUMN('GHG17'!K$1),FALSE)</f>
        <v>#N/A</v>
      </c>
      <c r="R83" s="15" t="str">
        <f>VLOOKUP($B83,'GHG17'!$A:$Y,COLUMN('GHG17'!L$1),FALSE)</f>
        <v>#N/A</v>
      </c>
      <c r="S83" s="144" t="str">
        <f>VLOOKUP($B83,'GHG17'!$A:$Y,COLUMN('GHG17'!M$1),FALSE)</f>
        <v>#N/A</v>
      </c>
      <c r="T83" s="144" t="str">
        <f>VLOOKUP($B83,'GHG17'!$A:$Y,COLUMN('GHG17'!N$1),FALSE)</f>
        <v>#N/A</v>
      </c>
      <c r="U83" s="144" t="str">
        <f>VLOOKUP($B83,'GHG17'!$A:$Y,COLUMN('GHG17'!O$1),FALSE)</f>
        <v>#N/A</v>
      </c>
      <c r="V83" s="144" t="str">
        <f>VLOOKUP($B83,'GHG17'!$A:$Y,COLUMN('GHG17'!P$1),FALSE)</f>
        <v>#N/A</v>
      </c>
      <c r="W83" s="144" t="str">
        <f>VLOOKUP($B83,'GHG17'!$A:$Y,COLUMN('GHG17'!Q$1),FALSE)</f>
        <v>#N/A</v>
      </c>
      <c r="X83" s="15" t="str">
        <f>VLOOKUP($B83,'GHG17'!$A:$Y,COLUMN('GHG17'!R$1),FALSE)</f>
        <v>#N/A</v>
      </c>
      <c r="Y83" s="144" t="str">
        <f>VLOOKUP($B83,'GHG17'!$A:$Y,COLUMN('GHG17'!S$1),FALSE)</f>
        <v>#N/A</v>
      </c>
      <c r="Z83" s="144" t="str">
        <f>VLOOKUP($B83,'GHG17'!$A:$Y,COLUMN('GHG17'!T$1),FALSE)</f>
        <v>#N/A</v>
      </c>
      <c r="AA83" s="144" t="str">
        <f>VLOOKUP($B83,'GHG17'!$A:$Y,COLUMN('GHG17'!U$1),FALSE)</f>
        <v>#N/A</v>
      </c>
      <c r="AB83" s="144" t="str">
        <f>VLOOKUP($B83,'GHG17'!$A:$Y,COLUMN('GHG17'!V$1),FALSE)</f>
        <v>#N/A</v>
      </c>
      <c r="AC83" s="15" t="str">
        <f>VLOOKUP($B83,'GHG17'!$A:$Y,COLUMN('GHG17'!W$1),FALSE)</f>
        <v>#N/A</v>
      </c>
      <c r="AR83" s="1" t="str">
        <f t="shared" si="7"/>
        <v>idyear2017</v>
      </c>
    </row>
    <row r="84">
      <c r="A84" s="149"/>
      <c r="H84" s="1">
        <f t="shared" ref="H84:H89" si="11">H5+F5</f>
        <v>4850000</v>
      </c>
      <c r="AC84" s="127"/>
      <c r="AD84" s="127"/>
      <c r="AE84" s="128"/>
      <c r="AF84" s="128"/>
      <c r="AG84" s="128"/>
      <c r="AH84" s="128"/>
      <c r="AI84" s="128"/>
      <c r="AJ84" s="128"/>
      <c r="AR84" s="1" t="str">
        <f t="shared" si="7"/>
        <v>idyear</v>
      </c>
    </row>
    <row r="85">
      <c r="A85" s="149"/>
      <c r="H85" s="1">
        <f t="shared" si="11"/>
        <v>5370000</v>
      </c>
      <c r="J85" s="1">
        <f>H84/H85-1</f>
        <v>-0.09683426443</v>
      </c>
      <c r="AC85" s="127"/>
      <c r="AD85" s="127"/>
      <c r="AE85" s="128"/>
      <c r="AF85" s="128"/>
      <c r="AG85" s="128"/>
      <c r="AH85" s="128"/>
      <c r="AI85" s="128"/>
      <c r="AJ85" s="128"/>
      <c r="AR85" s="1" t="str">
        <f t="shared" si="7"/>
        <v>idyear</v>
      </c>
    </row>
    <row r="86">
      <c r="A86" s="155">
        <v>2.0</v>
      </c>
      <c r="B86" s="156"/>
      <c r="C86" s="156" t="s">
        <v>15</v>
      </c>
      <c r="D86" s="149"/>
      <c r="E86" s="149"/>
      <c r="F86" s="149"/>
      <c r="G86" s="149"/>
      <c r="H86" s="1">
        <f t="shared" si="11"/>
        <v>6270000</v>
      </c>
      <c r="I86" s="149"/>
      <c r="J86" s="149">
        <f>H84/H86-1</f>
        <v>-0.2264752791</v>
      </c>
      <c r="K86" s="149"/>
      <c r="L86" s="149"/>
      <c r="M86" s="149"/>
      <c r="N86" s="149"/>
      <c r="O86" s="149"/>
      <c r="P86" s="149"/>
      <c r="Q86" s="149"/>
      <c r="R86" s="149"/>
      <c r="S86" s="149"/>
      <c r="T86" s="149"/>
      <c r="U86" s="149"/>
      <c r="V86" s="149"/>
      <c r="W86" s="149"/>
      <c r="X86" s="149"/>
      <c r="Y86" s="149"/>
    </row>
    <row r="87">
      <c r="A87" s="157">
        <f t="shared" ref="A87:A184" si="12">A86+1</f>
        <v>3</v>
      </c>
      <c r="B87" s="156"/>
      <c r="C87" s="156" t="s">
        <v>20</v>
      </c>
      <c r="D87" s="149"/>
      <c r="E87" s="149"/>
      <c r="F87" s="149"/>
      <c r="G87" s="149"/>
      <c r="H87" s="1">
        <f t="shared" si="11"/>
        <v>906000</v>
      </c>
      <c r="K87" s="149"/>
      <c r="L87" s="149"/>
      <c r="M87" s="149"/>
      <c r="N87" s="149"/>
      <c r="O87" s="149"/>
      <c r="P87" s="149"/>
      <c r="Q87" s="149"/>
      <c r="R87" s="149"/>
      <c r="S87" s="149"/>
      <c r="T87" s="149"/>
      <c r="U87" s="149"/>
      <c r="V87" s="149"/>
      <c r="W87" s="149"/>
      <c r="X87" s="149"/>
      <c r="Y87" s="149"/>
      <c r="AJ87" s="158" t="s">
        <v>765</v>
      </c>
    </row>
    <row r="88">
      <c r="A88" s="157">
        <f t="shared" si="12"/>
        <v>4</v>
      </c>
      <c r="B88" s="156"/>
      <c r="C88" s="156" t="s">
        <v>26</v>
      </c>
      <c r="D88" s="149"/>
      <c r="E88" s="149"/>
      <c r="F88" s="149"/>
      <c r="G88" s="149"/>
      <c r="H88" s="1">
        <f t="shared" si="11"/>
        <v>962000</v>
      </c>
      <c r="J88" s="1">
        <f>H87/H88-1</f>
        <v>-0.05821205821</v>
      </c>
      <c r="K88" s="149"/>
      <c r="L88" s="149"/>
      <c r="M88" s="149"/>
      <c r="N88" s="149"/>
      <c r="O88" s="149"/>
      <c r="P88" s="149"/>
      <c r="Q88" s="149"/>
      <c r="R88" s="149"/>
      <c r="S88" s="149"/>
      <c r="T88" s="149"/>
      <c r="U88" s="149"/>
      <c r="V88" s="149"/>
      <c r="W88" s="149"/>
      <c r="X88" s="149"/>
      <c r="Y88" s="149"/>
    </row>
    <row r="89">
      <c r="A89" s="157">
        <f t="shared" si="12"/>
        <v>5</v>
      </c>
      <c r="B89" s="156"/>
      <c r="C89" s="156" t="s">
        <v>31</v>
      </c>
      <c r="D89" s="149"/>
      <c r="E89" s="149"/>
      <c r="F89" s="149"/>
      <c r="G89" s="149"/>
      <c r="H89" s="1">
        <f t="shared" si="11"/>
        <v>980000</v>
      </c>
      <c r="I89" s="149"/>
      <c r="J89" s="149">
        <f>H87/H89-1</f>
        <v>-0.07551020408</v>
      </c>
      <c r="K89" s="149"/>
      <c r="L89" s="149"/>
      <c r="M89" s="149"/>
      <c r="N89" s="149"/>
      <c r="O89" s="149"/>
      <c r="P89" s="149"/>
      <c r="Q89" s="149"/>
      <c r="R89" s="149"/>
      <c r="S89" s="149"/>
      <c r="T89" s="149"/>
      <c r="U89" s="149"/>
      <c r="V89" s="149"/>
      <c r="W89" s="149"/>
      <c r="X89" s="149"/>
      <c r="Y89" s="149"/>
    </row>
    <row r="90">
      <c r="A90" s="157">
        <f t="shared" si="12"/>
        <v>6</v>
      </c>
      <c r="B90" s="156"/>
      <c r="C90" s="156" t="s">
        <v>38</v>
      </c>
      <c r="D90" s="149"/>
      <c r="E90" s="149"/>
      <c r="F90" s="149"/>
      <c r="G90" s="149"/>
      <c r="H90" s="149"/>
      <c r="I90" s="149"/>
      <c r="J90" s="149">
        <f>J89/2</f>
        <v>-0.03775510204</v>
      </c>
      <c r="K90" s="149"/>
      <c r="L90" s="149"/>
      <c r="M90" s="149"/>
      <c r="N90" s="149"/>
      <c r="O90" s="149"/>
      <c r="P90" s="149"/>
      <c r="Q90" s="149"/>
      <c r="R90" s="149"/>
      <c r="S90" s="149"/>
      <c r="T90" s="149"/>
      <c r="U90" s="149"/>
      <c r="V90" s="149"/>
      <c r="W90" s="149"/>
      <c r="X90" s="149"/>
      <c r="Y90" s="149"/>
    </row>
    <row r="91">
      <c r="A91" s="157">
        <f t="shared" si="12"/>
        <v>7</v>
      </c>
      <c r="B91" s="156"/>
      <c r="C91" s="156" t="s">
        <v>44</v>
      </c>
      <c r="D91" s="149"/>
      <c r="E91" s="149"/>
      <c r="F91" s="149"/>
      <c r="G91" s="149"/>
      <c r="H91" s="149"/>
      <c r="I91" s="149"/>
      <c r="J91" s="149">
        <f>30%/12</f>
        <v>0.025</v>
      </c>
      <c r="K91" s="149"/>
      <c r="L91" s="149"/>
      <c r="M91" s="149"/>
      <c r="N91" s="149"/>
      <c r="O91" s="149"/>
      <c r="P91" s="149"/>
      <c r="Q91" s="149"/>
      <c r="R91" s="149"/>
      <c r="S91" s="149"/>
      <c r="T91" s="149"/>
      <c r="U91" s="149"/>
      <c r="V91" s="149"/>
      <c r="W91" s="149"/>
      <c r="X91" s="149"/>
      <c r="Y91" s="149"/>
    </row>
    <row r="92">
      <c r="A92" s="157">
        <f t="shared" si="12"/>
        <v>8</v>
      </c>
      <c r="B92" s="156"/>
      <c r="C92" s="156" t="s">
        <v>51</v>
      </c>
      <c r="D92" s="149"/>
      <c r="E92" s="149"/>
      <c r="F92" s="149"/>
      <c r="G92" s="149"/>
      <c r="H92" s="149"/>
      <c r="I92" s="149"/>
      <c r="J92" s="149"/>
      <c r="K92" s="149"/>
      <c r="L92" s="149"/>
      <c r="M92" s="149"/>
      <c r="N92" s="149"/>
      <c r="O92" s="149"/>
      <c r="P92" s="149"/>
      <c r="Q92" s="149"/>
      <c r="R92" s="149"/>
      <c r="S92" s="149"/>
      <c r="T92" s="149"/>
      <c r="U92" s="149"/>
      <c r="V92" s="149"/>
      <c r="W92" s="149"/>
      <c r="X92" s="149"/>
      <c r="Y92" s="149"/>
    </row>
    <row r="93">
      <c r="A93" s="157">
        <f t="shared" si="12"/>
        <v>9</v>
      </c>
      <c r="B93" s="156"/>
      <c r="C93" s="156" t="s">
        <v>58</v>
      </c>
      <c r="D93" s="149"/>
      <c r="E93" s="149"/>
      <c r="F93" s="149"/>
      <c r="G93" s="149"/>
      <c r="H93" s="149"/>
      <c r="I93" s="149"/>
      <c r="J93" s="149"/>
      <c r="K93" s="149"/>
      <c r="L93" s="149"/>
      <c r="M93" s="149"/>
      <c r="N93" s="149"/>
      <c r="O93" s="149"/>
      <c r="P93" s="149"/>
      <c r="Q93" s="149"/>
      <c r="R93" s="149"/>
      <c r="S93" s="149"/>
      <c r="T93" s="149"/>
      <c r="U93" s="149"/>
      <c r="V93" s="149"/>
      <c r="W93" s="149"/>
      <c r="X93" s="149"/>
      <c r="Y93" s="149"/>
    </row>
    <row r="94">
      <c r="A94" s="157">
        <f t="shared" si="12"/>
        <v>10</v>
      </c>
      <c r="B94" s="156"/>
      <c r="C94" s="156" t="s">
        <v>62</v>
      </c>
      <c r="D94" s="149"/>
      <c r="E94" s="149"/>
      <c r="F94" s="149"/>
      <c r="G94" s="149"/>
      <c r="H94" s="159">
        <v>20.849</v>
      </c>
      <c r="I94" s="159"/>
      <c r="J94" s="159">
        <v>39.2</v>
      </c>
      <c r="K94" s="159">
        <v>45.966</v>
      </c>
      <c r="L94" s="160">
        <v>53.818</v>
      </c>
      <c r="M94" s="149"/>
      <c r="N94" s="149"/>
      <c r="O94" s="149"/>
      <c r="P94" s="149"/>
      <c r="Q94" s="149"/>
      <c r="R94" s="149"/>
      <c r="S94" s="149"/>
      <c r="T94" s="149"/>
      <c r="U94" s="149"/>
      <c r="V94" s="149"/>
      <c r="W94" s="149"/>
      <c r="X94" s="149"/>
      <c r="Y94" s="149"/>
    </row>
    <row r="95">
      <c r="A95" s="157">
        <f t="shared" si="12"/>
        <v>11</v>
      </c>
      <c r="B95" s="156"/>
      <c r="C95" s="156" t="s">
        <v>67</v>
      </c>
      <c r="D95" s="149"/>
      <c r="E95" s="149"/>
      <c r="F95" s="149"/>
      <c r="G95" s="149"/>
      <c r="H95" s="159">
        <v>75.63</v>
      </c>
      <c r="I95" s="159"/>
      <c r="J95" s="159">
        <v>86.9</v>
      </c>
      <c r="K95" s="159">
        <v>82.887</v>
      </c>
      <c r="L95" s="159">
        <v>91.209</v>
      </c>
      <c r="M95" s="149"/>
      <c r="N95" s="149"/>
      <c r="O95" s="149"/>
      <c r="P95" s="149"/>
      <c r="Q95" s="149"/>
      <c r="R95" s="149"/>
      <c r="S95" s="149"/>
      <c r="T95" s="149"/>
      <c r="U95" s="149"/>
      <c r="V95" s="149"/>
      <c r="W95" s="149"/>
      <c r="X95" s="149"/>
      <c r="Y95" s="149"/>
    </row>
    <row r="96">
      <c r="A96" s="157">
        <f t="shared" si="12"/>
        <v>12</v>
      </c>
      <c r="B96" s="156"/>
      <c r="C96" s="156" t="s">
        <v>73</v>
      </c>
      <c r="D96" s="149"/>
      <c r="E96" s="149"/>
      <c r="F96" s="149"/>
      <c r="G96" s="149"/>
      <c r="H96" s="159">
        <v>58.97</v>
      </c>
      <c r="I96" s="159"/>
      <c r="J96" s="159">
        <v>74.2</v>
      </c>
      <c r="K96" s="159" t="s">
        <v>766</v>
      </c>
      <c r="L96" s="159" t="s">
        <v>766</v>
      </c>
      <c r="M96" s="149"/>
      <c r="N96" s="149"/>
      <c r="O96" s="149"/>
      <c r="P96" s="149"/>
      <c r="Q96" s="149"/>
      <c r="R96" s="149"/>
      <c r="S96" s="149"/>
      <c r="T96" s="149"/>
      <c r="U96" s="149"/>
      <c r="V96" s="149"/>
      <c r="W96" s="149"/>
      <c r="X96" s="149"/>
      <c r="Y96" s="149"/>
    </row>
    <row r="97">
      <c r="A97" s="157">
        <f t="shared" si="12"/>
        <v>13</v>
      </c>
      <c r="B97" s="156"/>
      <c r="C97" s="156" t="s">
        <v>78</v>
      </c>
      <c r="D97" s="149"/>
      <c r="E97" s="149"/>
      <c r="F97" s="149"/>
      <c r="G97" s="149"/>
      <c r="H97" s="159">
        <v>7.8</v>
      </c>
      <c r="I97" s="159"/>
      <c r="J97" s="159">
        <v>8.9</v>
      </c>
      <c r="K97" s="159">
        <v>13.264</v>
      </c>
      <c r="L97" s="159">
        <v>20.119</v>
      </c>
      <c r="M97" s="149"/>
      <c r="N97" s="149"/>
      <c r="O97" s="149"/>
      <c r="P97" s="149"/>
      <c r="Q97" s="149"/>
      <c r="R97" s="149"/>
      <c r="S97" s="149"/>
      <c r="T97" s="149"/>
      <c r="U97" s="149"/>
      <c r="V97" s="149"/>
      <c r="W97" s="149"/>
      <c r="X97" s="149"/>
      <c r="Y97" s="149"/>
    </row>
    <row r="98">
      <c r="A98" s="157">
        <f t="shared" si="12"/>
        <v>14</v>
      </c>
      <c r="B98" s="156"/>
      <c r="C98" s="156" t="s">
        <v>84</v>
      </c>
      <c r="D98" s="149"/>
      <c r="E98" s="149"/>
      <c r="F98" s="149"/>
      <c r="G98" s="152">
        <v>2020.0</v>
      </c>
      <c r="H98" s="159">
        <v>20.849</v>
      </c>
      <c r="I98" s="159"/>
      <c r="J98" s="159">
        <v>75.63</v>
      </c>
      <c r="K98" s="159">
        <v>58.97</v>
      </c>
      <c r="L98" s="159">
        <v>7.8</v>
      </c>
      <c r="M98" s="149"/>
      <c r="N98" s="149"/>
      <c r="O98" s="149"/>
      <c r="P98" s="149"/>
      <c r="Q98" s="149"/>
      <c r="R98" s="149"/>
      <c r="S98" s="149"/>
      <c r="T98" s="149"/>
      <c r="U98" s="149"/>
      <c r="V98" s="149"/>
      <c r="W98" s="149"/>
      <c r="X98" s="149"/>
      <c r="Y98" s="149"/>
    </row>
    <row r="99">
      <c r="A99" s="157">
        <f t="shared" si="12"/>
        <v>15</v>
      </c>
      <c r="B99" s="156"/>
      <c r="C99" s="156" t="s">
        <v>90</v>
      </c>
      <c r="D99" s="149"/>
      <c r="E99" s="149"/>
      <c r="F99" s="149"/>
      <c r="G99" s="152">
        <v>2019.0</v>
      </c>
      <c r="H99" s="159">
        <v>39.2</v>
      </c>
      <c r="I99" s="159"/>
      <c r="J99" s="159">
        <v>86.9</v>
      </c>
      <c r="K99" s="159">
        <v>74.2</v>
      </c>
      <c r="L99" s="159">
        <v>8.9</v>
      </c>
      <c r="M99" s="149"/>
      <c r="N99" s="149"/>
      <c r="O99" s="149"/>
      <c r="P99" s="149"/>
      <c r="Q99" s="149"/>
      <c r="R99" s="149"/>
      <c r="S99" s="149"/>
      <c r="T99" s="149"/>
      <c r="U99" s="149"/>
      <c r="V99" s="149"/>
      <c r="W99" s="149"/>
      <c r="X99" s="149"/>
      <c r="Y99" s="149"/>
    </row>
    <row r="100">
      <c r="A100" s="157">
        <f t="shared" si="12"/>
        <v>16</v>
      </c>
      <c r="B100" s="156"/>
      <c r="C100" s="156" t="s">
        <v>96</v>
      </c>
      <c r="D100" s="149"/>
      <c r="E100" s="149"/>
      <c r="F100" s="149"/>
      <c r="G100" s="152">
        <v>2018.0</v>
      </c>
      <c r="H100" s="159">
        <v>45.966</v>
      </c>
      <c r="I100" s="159"/>
      <c r="J100" s="159">
        <v>82.887</v>
      </c>
      <c r="K100" s="159" t="s">
        <v>766</v>
      </c>
      <c r="L100" s="159">
        <v>13.264</v>
      </c>
      <c r="M100" s="149"/>
      <c r="N100" s="149"/>
      <c r="O100" s="149"/>
      <c r="P100" s="149"/>
      <c r="Q100" s="149"/>
      <c r="R100" s="149"/>
      <c r="S100" s="149"/>
      <c r="T100" s="149"/>
      <c r="U100" s="149"/>
      <c r="V100" s="149"/>
      <c r="W100" s="149"/>
      <c r="X100" s="149"/>
      <c r="Y100" s="149"/>
    </row>
    <row r="101">
      <c r="A101" s="157">
        <f t="shared" si="12"/>
        <v>17</v>
      </c>
      <c r="B101" s="156"/>
      <c r="C101" s="156" t="s">
        <v>101</v>
      </c>
      <c r="D101" s="149"/>
      <c r="E101" s="149"/>
      <c r="F101" s="149"/>
      <c r="G101" s="152">
        <v>2017.0</v>
      </c>
      <c r="H101" s="160">
        <v>53.818</v>
      </c>
      <c r="I101" s="159"/>
      <c r="J101" s="159">
        <v>91.209</v>
      </c>
      <c r="K101" s="159" t="s">
        <v>766</v>
      </c>
      <c r="L101" s="159">
        <v>20.119</v>
      </c>
      <c r="M101" s="149"/>
      <c r="N101" s="149"/>
      <c r="O101" s="149"/>
      <c r="P101" s="149"/>
      <c r="Q101" s="149"/>
      <c r="R101" s="149"/>
      <c r="S101" s="149"/>
      <c r="T101" s="149"/>
      <c r="U101" s="149"/>
      <c r="V101" s="149"/>
      <c r="W101" s="149"/>
      <c r="X101" s="149"/>
      <c r="Y101" s="149"/>
    </row>
    <row r="102">
      <c r="A102" s="157">
        <f t="shared" si="12"/>
        <v>18</v>
      </c>
      <c r="B102" s="156"/>
      <c r="C102" s="156" t="s">
        <v>105</v>
      </c>
      <c r="D102" s="149"/>
      <c r="E102" s="149"/>
      <c r="F102" s="149"/>
      <c r="G102" s="149"/>
      <c r="H102" s="149"/>
      <c r="I102" s="149"/>
      <c r="J102" s="149"/>
      <c r="K102" s="149"/>
      <c r="L102" s="149"/>
      <c r="M102" s="149"/>
      <c r="N102" s="149"/>
      <c r="O102" s="149"/>
      <c r="P102" s="149"/>
      <c r="Q102" s="149"/>
      <c r="R102" s="149"/>
      <c r="S102" s="149"/>
      <c r="T102" s="149"/>
      <c r="U102" s="149"/>
      <c r="V102" s="149"/>
      <c r="W102" s="149"/>
      <c r="X102" s="149"/>
      <c r="Y102" s="149"/>
    </row>
    <row r="103">
      <c r="A103" s="157">
        <f t="shared" si="12"/>
        <v>19</v>
      </c>
      <c r="B103" s="156"/>
      <c r="C103" s="156" t="s">
        <v>111</v>
      </c>
      <c r="D103" s="149"/>
      <c r="E103" s="149"/>
      <c r="F103" s="149"/>
      <c r="G103" s="149"/>
      <c r="H103" s="149"/>
      <c r="I103" s="149"/>
      <c r="J103" s="149"/>
      <c r="K103" s="149"/>
      <c r="L103" s="149"/>
      <c r="M103" s="149"/>
      <c r="N103" s="149"/>
      <c r="O103" s="149"/>
      <c r="P103" s="149"/>
      <c r="Q103" s="149"/>
      <c r="R103" s="149"/>
      <c r="S103" s="149"/>
      <c r="T103" s="149"/>
      <c r="U103" s="149"/>
      <c r="V103" s="149"/>
      <c r="W103" s="149"/>
      <c r="X103" s="149"/>
      <c r="Y103" s="149"/>
    </row>
    <row r="104">
      <c r="A104" s="157">
        <f t="shared" si="12"/>
        <v>20</v>
      </c>
      <c r="B104" s="156"/>
      <c r="C104" s="156" t="s">
        <v>117</v>
      </c>
      <c r="D104" s="149"/>
      <c r="E104" s="149"/>
      <c r="F104" s="149"/>
      <c r="G104" s="149"/>
      <c r="H104" s="149"/>
      <c r="I104" s="149"/>
      <c r="J104" s="149"/>
      <c r="K104" s="149"/>
      <c r="L104" s="149"/>
      <c r="M104" s="149"/>
      <c r="N104" s="149"/>
      <c r="O104" s="149"/>
      <c r="P104" s="149"/>
      <c r="Q104" s="149"/>
      <c r="R104" s="149"/>
      <c r="S104" s="149"/>
      <c r="T104" s="149"/>
      <c r="U104" s="149"/>
      <c r="V104" s="149"/>
      <c r="W104" s="149"/>
      <c r="X104" s="149"/>
      <c r="Y104" s="149"/>
    </row>
    <row r="105">
      <c r="A105" s="157">
        <f t="shared" si="12"/>
        <v>21</v>
      </c>
      <c r="B105" s="156"/>
      <c r="C105" s="156" t="s">
        <v>122</v>
      </c>
      <c r="D105" s="149"/>
      <c r="E105" s="149"/>
      <c r="F105" s="149"/>
      <c r="G105" s="149"/>
      <c r="H105" s="149"/>
      <c r="I105" s="149"/>
      <c r="J105" s="149"/>
      <c r="K105" s="149"/>
      <c r="L105" s="149"/>
      <c r="M105" s="149"/>
      <c r="N105" s="149"/>
      <c r="O105" s="149"/>
      <c r="P105" s="149"/>
      <c r="Q105" s="149"/>
      <c r="R105" s="149"/>
      <c r="S105" s="149"/>
      <c r="T105" s="149"/>
      <c r="U105" s="149"/>
      <c r="V105" s="149"/>
      <c r="W105" s="149"/>
      <c r="X105" s="149"/>
      <c r="Y105" s="149"/>
    </row>
    <row r="106">
      <c r="A106" s="157">
        <f t="shared" si="12"/>
        <v>22</v>
      </c>
      <c r="B106" s="156"/>
      <c r="C106" s="156" t="s">
        <v>125</v>
      </c>
      <c r="D106" s="149"/>
      <c r="E106" s="149"/>
      <c r="F106" s="149"/>
      <c r="G106" s="149"/>
      <c r="H106" s="149"/>
      <c r="I106" s="149"/>
      <c r="J106" s="149"/>
      <c r="K106" s="149"/>
      <c r="L106" s="149"/>
      <c r="M106" s="149"/>
      <c r="N106" s="149"/>
      <c r="O106" s="149"/>
      <c r="P106" s="149"/>
      <c r="Q106" s="149"/>
      <c r="R106" s="149"/>
      <c r="S106" s="149"/>
      <c r="T106" s="149"/>
      <c r="U106" s="149"/>
      <c r="V106" s="149"/>
      <c r="W106" s="149"/>
      <c r="X106" s="149"/>
      <c r="Y106" s="149"/>
    </row>
    <row r="107">
      <c r="A107" s="157">
        <f t="shared" si="12"/>
        <v>23</v>
      </c>
      <c r="B107" s="156"/>
      <c r="C107" s="156" t="s">
        <v>130</v>
      </c>
      <c r="D107" s="149"/>
      <c r="E107" s="149"/>
      <c r="F107" s="149"/>
      <c r="G107" s="149"/>
      <c r="H107" s="149"/>
      <c r="I107" s="149"/>
      <c r="J107" s="149"/>
      <c r="K107" s="149"/>
      <c r="L107" s="149"/>
      <c r="M107" s="149"/>
      <c r="N107" s="149"/>
      <c r="O107" s="149"/>
      <c r="P107" s="149"/>
      <c r="Q107" s="149"/>
      <c r="R107" s="149"/>
      <c r="S107" s="149"/>
      <c r="T107" s="149"/>
      <c r="U107" s="149"/>
      <c r="V107" s="149"/>
      <c r="W107" s="149"/>
      <c r="X107" s="149"/>
      <c r="Y107" s="149"/>
    </row>
    <row r="108">
      <c r="A108" s="157">
        <f t="shared" si="12"/>
        <v>24</v>
      </c>
      <c r="B108" s="156"/>
      <c r="C108" s="156" t="s">
        <v>136</v>
      </c>
      <c r="D108" s="149"/>
      <c r="E108" s="149"/>
      <c r="F108" s="149"/>
      <c r="G108" s="149"/>
      <c r="H108" s="149"/>
      <c r="I108" s="149"/>
      <c r="J108" s="149"/>
      <c r="K108" s="149"/>
      <c r="L108" s="149"/>
      <c r="M108" s="149"/>
      <c r="N108" s="149"/>
      <c r="O108" s="149"/>
      <c r="P108" s="149"/>
      <c r="Q108" s="149"/>
      <c r="R108" s="149"/>
      <c r="S108" s="149"/>
      <c r="T108" s="149"/>
      <c r="U108" s="149"/>
      <c r="V108" s="149"/>
      <c r="W108" s="149"/>
      <c r="X108" s="149"/>
      <c r="Y108" s="149"/>
    </row>
    <row r="109">
      <c r="A109" s="157">
        <f t="shared" si="12"/>
        <v>25</v>
      </c>
      <c r="B109" s="156"/>
      <c r="C109" s="156" t="s">
        <v>139</v>
      </c>
      <c r="D109" s="149"/>
      <c r="E109" s="149"/>
      <c r="F109" s="149"/>
      <c r="G109" s="149"/>
      <c r="H109" s="149"/>
      <c r="I109" s="149"/>
      <c r="J109" s="149"/>
      <c r="K109" s="149"/>
      <c r="L109" s="149"/>
      <c r="M109" s="149"/>
      <c r="N109" s="149"/>
      <c r="O109" s="149"/>
      <c r="P109" s="149"/>
      <c r="Q109" s="149"/>
      <c r="R109" s="149"/>
      <c r="S109" s="149"/>
      <c r="T109" s="149"/>
      <c r="U109" s="149"/>
      <c r="V109" s="149"/>
      <c r="W109" s="149"/>
      <c r="X109" s="149"/>
      <c r="Y109" s="149"/>
    </row>
    <row r="110">
      <c r="A110" s="157">
        <f t="shared" si="12"/>
        <v>26</v>
      </c>
      <c r="B110" s="156"/>
      <c r="C110" s="156" t="s">
        <v>142</v>
      </c>
      <c r="D110" s="149"/>
      <c r="E110" s="149"/>
      <c r="F110" s="149"/>
      <c r="G110" s="149"/>
      <c r="H110" s="149"/>
      <c r="I110" s="149"/>
      <c r="J110" s="149"/>
      <c r="K110" s="149"/>
      <c r="L110" s="149"/>
      <c r="M110" s="149"/>
      <c r="N110" s="149"/>
      <c r="O110" s="149"/>
      <c r="P110" s="149"/>
      <c r="Q110" s="149"/>
      <c r="R110" s="149"/>
      <c r="S110" s="149"/>
      <c r="T110" s="149"/>
      <c r="U110" s="149"/>
      <c r="V110" s="149"/>
      <c r="W110" s="149"/>
      <c r="X110" s="149"/>
      <c r="Y110" s="149"/>
    </row>
    <row r="111">
      <c r="A111" s="157">
        <f t="shared" si="12"/>
        <v>27</v>
      </c>
      <c r="B111" s="156"/>
      <c r="C111" s="156" t="s">
        <v>144</v>
      </c>
      <c r="D111" s="149"/>
      <c r="E111" s="149"/>
      <c r="F111" s="149"/>
      <c r="G111" s="149"/>
      <c r="H111" s="149"/>
      <c r="I111" s="149"/>
      <c r="J111" s="149"/>
      <c r="K111" s="149"/>
      <c r="L111" s="149"/>
      <c r="M111" s="149"/>
      <c r="N111" s="149"/>
      <c r="O111" s="149"/>
      <c r="P111" s="149"/>
      <c r="Q111" s="149"/>
      <c r="R111" s="149"/>
      <c r="S111" s="149"/>
      <c r="T111" s="149"/>
      <c r="U111" s="149"/>
      <c r="V111" s="149"/>
      <c r="W111" s="149"/>
      <c r="X111" s="149"/>
      <c r="Y111" s="149"/>
    </row>
    <row r="112">
      <c r="A112" s="157">
        <f t="shared" si="12"/>
        <v>28</v>
      </c>
      <c r="B112" s="156"/>
      <c r="C112" s="156" t="s">
        <v>150</v>
      </c>
      <c r="D112" s="149"/>
      <c r="E112" s="149"/>
      <c r="F112" s="149"/>
      <c r="G112" s="149"/>
      <c r="H112" s="149"/>
      <c r="I112" s="149"/>
      <c r="J112" s="149"/>
      <c r="K112" s="149"/>
      <c r="L112" s="149"/>
      <c r="M112" s="149"/>
      <c r="N112" s="149"/>
      <c r="O112" s="149"/>
      <c r="P112" s="149"/>
      <c r="Q112" s="149"/>
      <c r="R112" s="149"/>
      <c r="S112" s="149"/>
      <c r="T112" s="149"/>
      <c r="U112" s="149"/>
      <c r="V112" s="149"/>
      <c r="W112" s="149"/>
      <c r="X112" s="149"/>
      <c r="Y112" s="149"/>
    </row>
    <row r="113">
      <c r="A113" s="157">
        <f t="shared" si="12"/>
        <v>29</v>
      </c>
      <c r="B113" s="156"/>
      <c r="C113" s="156" t="s">
        <v>156</v>
      </c>
      <c r="D113" s="149"/>
      <c r="E113" s="149"/>
      <c r="F113" s="149"/>
      <c r="G113" s="149"/>
      <c r="H113" s="149"/>
      <c r="I113" s="149"/>
      <c r="J113" s="149"/>
      <c r="K113" s="149"/>
      <c r="L113" s="149"/>
      <c r="M113" s="149"/>
      <c r="N113" s="149"/>
      <c r="O113" s="149"/>
      <c r="P113" s="149"/>
      <c r="Q113" s="149"/>
      <c r="R113" s="149"/>
      <c r="S113" s="149"/>
      <c r="T113" s="149"/>
      <c r="U113" s="149"/>
      <c r="V113" s="149"/>
      <c r="W113" s="149"/>
      <c r="X113" s="149"/>
      <c r="Y113" s="149"/>
    </row>
    <row r="114">
      <c r="A114" s="157">
        <f t="shared" si="12"/>
        <v>30</v>
      </c>
      <c r="B114" s="156"/>
      <c r="C114" s="156" t="s">
        <v>162</v>
      </c>
      <c r="D114" s="149"/>
      <c r="E114" s="149"/>
      <c r="F114" s="149"/>
      <c r="G114" s="149"/>
      <c r="H114" s="149"/>
      <c r="I114" s="149"/>
      <c r="J114" s="149"/>
      <c r="K114" s="149"/>
      <c r="L114" s="149"/>
      <c r="M114" s="149"/>
      <c r="N114" s="149"/>
      <c r="O114" s="149"/>
      <c r="P114" s="149"/>
      <c r="Q114" s="149"/>
      <c r="R114" s="149"/>
      <c r="S114" s="149"/>
      <c r="T114" s="149"/>
      <c r="U114" s="149"/>
      <c r="V114" s="149"/>
      <c r="W114" s="149"/>
      <c r="X114" s="149"/>
      <c r="Y114" s="149"/>
    </row>
    <row r="115">
      <c r="A115" s="157">
        <f t="shared" si="12"/>
        <v>31</v>
      </c>
      <c r="B115" s="156"/>
      <c r="C115" s="156" t="s">
        <v>167</v>
      </c>
      <c r="D115" s="149"/>
      <c r="E115" s="149"/>
      <c r="F115" s="149"/>
      <c r="G115" s="149"/>
      <c r="H115" s="149"/>
      <c r="I115" s="149"/>
      <c r="J115" s="149"/>
      <c r="K115" s="149"/>
      <c r="L115" s="149"/>
      <c r="M115" s="149"/>
      <c r="N115" s="149"/>
      <c r="O115" s="149"/>
      <c r="P115" s="149"/>
      <c r="Q115" s="149"/>
      <c r="R115" s="149"/>
      <c r="S115" s="149"/>
      <c r="T115" s="149"/>
      <c r="U115" s="149"/>
      <c r="V115" s="149"/>
      <c r="W115" s="149"/>
      <c r="X115" s="149"/>
      <c r="Y115" s="149"/>
    </row>
    <row r="116">
      <c r="A116" s="157">
        <f t="shared" si="12"/>
        <v>32</v>
      </c>
      <c r="B116" s="156"/>
      <c r="C116" s="156" t="s">
        <v>172</v>
      </c>
      <c r="D116" s="149"/>
      <c r="E116" s="149"/>
      <c r="F116" s="149"/>
      <c r="G116" s="149"/>
      <c r="H116" s="149"/>
      <c r="I116" s="149"/>
      <c r="J116" s="149"/>
      <c r="K116" s="149"/>
      <c r="L116" s="149"/>
      <c r="M116" s="149"/>
      <c r="N116" s="149"/>
      <c r="O116" s="149"/>
      <c r="P116" s="149"/>
      <c r="Q116" s="149"/>
      <c r="R116" s="149"/>
      <c r="S116" s="149"/>
      <c r="T116" s="149"/>
      <c r="U116" s="149"/>
      <c r="V116" s="149"/>
      <c r="W116" s="149"/>
      <c r="X116" s="149"/>
      <c r="Y116" s="149"/>
    </row>
    <row r="117">
      <c r="A117" s="157">
        <f t="shared" si="12"/>
        <v>33</v>
      </c>
      <c r="B117" s="156"/>
      <c r="C117" s="156" t="s">
        <v>177</v>
      </c>
      <c r="D117" s="149"/>
      <c r="E117" s="149"/>
      <c r="F117" s="149"/>
      <c r="G117" s="149"/>
      <c r="H117" s="149"/>
      <c r="I117" s="149"/>
      <c r="J117" s="149"/>
      <c r="K117" s="149"/>
      <c r="L117" s="149"/>
      <c r="M117" s="149"/>
      <c r="N117" s="149"/>
      <c r="O117" s="149"/>
      <c r="P117" s="149"/>
      <c r="Q117" s="149"/>
      <c r="R117" s="149"/>
      <c r="S117" s="149"/>
      <c r="T117" s="149"/>
      <c r="U117" s="149"/>
      <c r="V117" s="149"/>
      <c r="W117" s="149"/>
      <c r="X117" s="149"/>
      <c r="Y117" s="149"/>
    </row>
    <row r="118">
      <c r="A118" s="157">
        <f t="shared" si="12"/>
        <v>34</v>
      </c>
      <c r="B118" s="156"/>
      <c r="C118" s="156" t="s">
        <v>182</v>
      </c>
      <c r="D118" s="149"/>
      <c r="E118" s="149"/>
      <c r="F118" s="149"/>
      <c r="G118" s="149"/>
      <c r="H118" s="149"/>
      <c r="I118" s="149"/>
      <c r="J118" s="149"/>
      <c r="K118" s="149"/>
      <c r="L118" s="149"/>
      <c r="M118" s="149"/>
      <c r="N118" s="149"/>
      <c r="O118" s="149"/>
      <c r="P118" s="149"/>
      <c r="Q118" s="149"/>
      <c r="R118" s="149"/>
      <c r="S118" s="149"/>
      <c r="T118" s="149"/>
      <c r="U118" s="149"/>
      <c r="V118" s="149"/>
      <c r="W118" s="149"/>
      <c r="X118" s="149"/>
      <c r="Y118" s="149"/>
    </row>
    <row r="119">
      <c r="A119" s="157">
        <f t="shared" si="12"/>
        <v>35</v>
      </c>
      <c r="B119" s="156"/>
      <c r="C119" s="156" t="s">
        <v>188</v>
      </c>
      <c r="D119" s="149"/>
      <c r="E119" s="149"/>
      <c r="F119" s="149"/>
      <c r="G119" s="149"/>
      <c r="H119" s="149"/>
      <c r="I119" s="149"/>
      <c r="J119" s="149"/>
      <c r="K119" s="149"/>
      <c r="L119" s="149"/>
      <c r="M119" s="149"/>
      <c r="N119" s="149"/>
      <c r="O119" s="149"/>
      <c r="P119" s="149"/>
      <c r="Q119" s="149"/>
      <c r="R119" s="149"/>
      <c r="S119" s="149"/>
      <c r="T119" s="149"/>
      <c r="U119" s="149"/>
      <c r="V119" s="149"/>
      <c r="W119" s="149"/>
      <c r="X119" s="149"/>
      <c r="Y119" s="149"/>
    </row>
    <row r="120">
      <c r="A120" s="157">
        <f t="shared" si="12"/>
        <v>36</v>
      </c>
      <c r="B120" s="156"/>
      <c r="C120" s="156" t="s">
        <v>190</v>
      </c>
      <c r="D120" s="149"/>
      <c r="E120" s="149"/>
      <c r="F120" s="149"/>
      <c r="G120" s="149"/>
      <c r="H120" s="149"/>
      <c r="I120" s="149"/>
      <c r="J120" s="149"/>
      <c r="K120" s="149"/>
      <c r="L120" s="149"/>
      <c r="M120" s="149"/>
      <c r="N120" s="149"/>
      <c r="O120" s="149"/>
      <c r="P120" s="149"/>
      <c r="Q120" s="149"/>
      <c r="R120" s="149"/>
      <c r="S120" s="149"/>
      <c r="T120" s="149"/>
      <c r="U120" s="149"/>
      <c r="V120" s="149"/>
      <c r="W120" s="149"/>
      <c r="X120" s="149"/>
      <c r="Y120" s="149"/>
    </row>
    <row r="121">
      <c r="A121" s="157">
        <f t="shared" si="12"/>
        <v>37</v>
      </c>
      <c r="B121" s="156"/>
      <c r="C121" s="156" t="s">
        <v>193</v>
      </c>
      <c r="D121" s="149"/>
      <c r="E121" s="149"/>
      <c r="F121" s="149"/>
      <c r="G121" s="149"/>
      <c r="H121" s="149"/>
      <c r="I121" s="149"/>
      <c r="J121" s="149"/>
      <c r="K121" s="149"/>
      <c r="L121" s="149"/>
      <c r="M121" s="149"/>
      <c r="N121" s="149"/>
      <c r="O121" s="149"/>
      <c r="P121" s="149"/>
      <c r="Q121" s="149"/>
      <c r="R121" s="149"/>
      <c r="S121" s="149"/>
      <c r="T121" s="149"/>
      <c r="U121" s="149"/>
      <c r="V121" s="149"/>
      <c r="W121" s="149"/>
      <c r="X121" s="149"/>
      <c r="Y121" s="149"/>
    </row>
    <row r="122">
      <c r="A122" s="157">
        <f t="shared" si="12"/>
        <v>38</v>
      </c>
      <c r="B122" s="156"/>
      <c r="C122" s="156" t="s">
        <v>198</v>
      </c>
      <c r="D122" s="149"/>
      <c r="E122" s="149"/>
      <c r="F122" s="149"/>
      <c r="G122" s="149"/>
      <c r="H122" s="149"/>
      <c r="I122" s="149"/>
      <c r="J122" s="149"/>
      <c r="K122" s="149"/>
      <c r="L122" s="149"/>
      <c r="M122" s="149"/>
      <c r="N122" s="149"/>
      <c r="O122" s="149"/>
      <c r="P122" s="149"/>
      <c r="Q122" s="149"/>
      <c r="R122" s="149"/>
      <c r="S122" s="149"/>
      <c r="T122" s="149"/>
      <c r="U122" s="149"/>
      <c r="V122" s="149"/>
      <c r="W122" s="149"/>
      <c r="X122" s="149"/>
      <c r="Y122" s="149"/>
    </row>
    <row r="123">
      <c r="A123" s="157">
        <f t="shared" si="12"/>
        <v>39</v>
      </c>
      <c r="B123" s="156"/>
      <c r="C123" s="156" t="s">
        <v>203</v>
      </c>
      <c r="D123" s="149"/>
      <c r="E123" s="149"/>
      <c r="F123" s="149"/>
      <c r="G123" s="149"/>
      <c r="H123" s="149"/>
      <c r="I123" s="149"/>
      <c r="J123" s="149"/>
      <c r="K123" s="149"/>
      <c r="L123" s="149"/>
      <c r="M123" s="149"/>
      <c r="N123" s="149"/>
      <c r="O123" s="149"/>
      <c r="P123" s="149"/>
      <c r="Q123" s="149"/>
      <c r="R123" s="149"/>
      <c r="S123" s="149"/>
      <c r="T123" s="149"/>
      <c r="U123" s="149"/>
      <c r="V123" s="149"/>
      <c r="W123" s="149"/>
      <c r="X123" s="149"/>
      <c r="Y123" s="149"/>
    </row>
    <row r="124">
      <c r="A124" s="157">
        <f t="shared" si="12"/>
        <v>40</v>
      </c>
      <c r="B124" s="156"/>
      <c r="C124" s="156" t="s">
        <v>208</v>
      </c>
      <c r="D124" s="149"/>
      <c r="E124" s="149"/>
      <c r="F124" s="149"/>
      <c r="G124" s="149"/>
      <c r="H124" s="149"/>
      <c r="I124" s="149"/>
      <c r="J124" s="149"/>
      <c r="K124" s="149"/>
      <c r="L124" s="149"/>
      <c r="M124" s="149"/>
      <c r="N124" s="149"/>
      <c r="O124" s="149"/>
      <c r="P124" s="149"/>
      <c r="Q124" s="149"/>
      <c r="R124" s="149"/>
      <c r="S124" s="149"/>
      <c r="T124" s="149"/>
      <c r="U124" s="149"/>
      <c r="V124" s="149"/>
      <c r="W124" s="149"/>
      <c r="X124" s="149"/>
      <c r="Y124" s="149"/>
    </row>
    <row r="125">
      <c r="A125" s="157">
        <f t="shared" si="12"/>
        <v>41</v>
      </c>
      <c r="B125" s="156"/>
      <c r="C125" s="156" t="s">
        <v>210</v>
      </c>
      <c r="D125" s="149"/>
      <c r="E125" s="149"/>
      <c r="F125" s="149"/>
      <c r="G125" s="149"/>
      <c r="H125" s="149"/>
      <c r="I125" s="149"/>
      <c r="J125" s="149"/>
      <c r="K125" s="149"/>
      <c r="L125" s="149"/>
      <c r="M125" s="149"/>
      <c r="N125" s="149"/>
      <c r="O125" s="149"/>
      <c r="P125" s="149"/>
      <c r="Q125" s="149"/>
      <c r="R125" s="149"/>
      <c r="S125" s="149"/>
      <c r="T125" s="149"/>
      <c r="U125" s="149"/>
      <c r="V125" s="149"/>
      <c r="W125" s="149"/>
      <c r="X125" s="149"/>
      <c r="Y125" s="149"/>
    </row>
    <row r="126">
      <c r="A126" s="157">
        <f t="shared" si="12"/>
        <v>42</v>
      </c>
      <c r="B126" s="156"/>
      <c r="C126" s="156" t="s">
        <v>215</v>
      </c>
      <c r="D126" s="149"/>
      <c r="E126" s="149"/>
      <c r="F126" s="149"/>
      <c r="G126" s="149"/>
      <c r="H126" s="149"/>
      <c r="I126" s="149"/>
      <c r="J126" s="149"/>
      <c r="K126" s="149"/>
      <c r="L126" s="149"/>
      <c r="M126" s="149"/>
      <c r="N126" s="149"/>
      <c r="O126" s="149"/>
      <c r="P126" s="149"/>
      <c r="Q126" s="149"/>
      <c r="R126" s="149"/>
      <c r="S126" s="149"/>
      <c r="T126" s="149"/>
      <c r="U126" s="149"/>
      <c r="V126" s="149"/>
      <c r="W126" s="149"/>
      <c r="X126" s="149"/>
      <c r="Y126" s="149"/>
    </row>
    <row r="127">
      <c r="A127" s="157">
        <f t="shared" si="12"/>
        <v>43</v>
      </c>
      <c r="B127" s="156"/>
      <c r="C127" s="156" t="s">
        <v>217</v>
      </c>
      <c r="D127" s="149"/>
      <c r="E127" s="149"/>
      <c r="F127" s="149"/>
      <c r="G127" s="149"/>
      <c r="H127" s="149"/>
      <c r="I127" s="149"/>
      <c r="J127" s="149"/>
      <c r="K127" s="149"/>
      <c r="L127" s="149"/>
      <c r="M127" s="149"/>
      <c r="N127" s="149"/>
      <c r="O127" s="149"/>
      <c r="P127" s="149"/>
      <c r="Q127" s="149"/>
      <c r="R127" s="149"/>
      <c r="S127" s="149"/>
      <c r="T127" s="149"/>
      <c r="U127" s="149"/>
      <c r="V127" s="149"/>
      <c r="W127" s="149"/>
      <c r="X127" s="149"/>
      <c r="Y127" s="149"/>
    </row>
    <row r="128">
      <c r="A128" s="157">
        <f t="shared" si="12"/>
        <v>44</v>
      </c>
      <c r="B128" s="156"/>
      <c r="C128" s="156" t="s">
        <v>220</v>
      </c>
      <c r="D128" s="149"/>
      <c r="E128" s="149"/>
      <c r="F128" s="149"/>
      <c r="G128" s="149"/>
      <c r="H128" s="149"/>
      <c r="I128" s="149"/>
      <c r="J128" s="149"/>
      <c r="K128" s="149"/>
      <c r="L128" s="149"/>
      <c r="M128" s="149"/>
      <c r="N128" s="149"/>
      <c r="O128" s="149"/>
      <c r="P128" s="149"/>
      <c r="Q128" s="149"/>
      <c r="R128" s="149"/>
      <c r="S128" s="149"/>
      <c r="T128" s="149"/>
      <c r="U128" s="149"/>
      <c r="V128" s="149"/>
      <c r="W128" s="149"/>
      <c r="X128" s="149"/>
      <c r="Y128" s="149"/>
    </row>
    <row r="129">
      <c r="A129" s="157">
        <f t="shared" si="12"/>
        <v>45</v>
      </c>
      <c r="B129" s="156"/>
      <c r="C129" s="156" t="s">
        <v>225</v>
      </c>
      <c r="D129" s="149"/>
      <c r="E129" s="149"/>
      <c r="F129" s="149"/>
      <c r="G129" s="149"/>
      <c r="H129" s="149"/>
      <c r="I129" s="149"/>
      <c r="J129" s="149"/>
      <c r="K129" s="149"/>
      <c r="L129" s="149"/>
      <c r="M129" s="149"/>
      <c r="N129" s="149"/>
      <c r="O129" s="149"/>
      <c r="P129" s="149"/>
      <c r="Q129" s="149"/>
      <c r="R129" s="149"/>
      <c r="S129" s="149"/>
      <c r="T129" s="149"/>
      <c r="U129" s="149"/>
      <c r="V129" s="149"/>
      <c r="W129" s="149"/>
      <c r="X129" s="149"/>
      <c r="Y129" s="149"/>
    </row>
    <row r="130">
      <c r="A130" s="157">
        <f t="shared" si="12"/>
        <v>46</v>
      </c>
      <c r="B130" s="156"/>
      <c r="C130" s="156" t="s">
        <v>231</v>
      </c>
      <c r="D130" s="149"/>
      <c r="E130" s="149"/>
      <c r="F130" s="149"/>
      <c r="G130" s="149"/>
      <c r="H130" s="149"/>
      <c r="I130" s="149"/>
      <c r="J130" s="149"/>
      <c r="K130" s="149"/>
      <c r="L130" s="149"/>
      <c r="M130" s="149"/>
      <c r="N130" s="149"/>
      <c r="O130" s="149"/>
      <c r="P130" s="149"/>
      <c r="Q130" s="149"/>
      <c r="R130" s="149"/>
      <c r="S130" s="149"/>
      <c r="T130" s="149"/>
      <c r="U130" s="149"/>
      <c r="V130" s="149"/>
      <c r="W130" s="149"/>
      <c r="X130" s="149"/>
      <c r="Y130" s="149"/>
    </row>
    <row r="131">
      <c r="A131" s="157">
        <f t="shared" si="12"/>
        <v>47</v>
      </c>
      <c r="B131" s="156"/>
      <c r="C131" s="156" t="s">
        <v>236</v>
      </c>
      <c r="D131" s="149"/>
      <c r="E131" s="149"/>
      <c r="F131" s="149"/>
      <c r="G131" s="149"/>
      <c r="H131" s="149"/>
      <c r="I131" s="149"/>
      <c r="J131" s="149"/>
      <c r="K131" s="149"/>
      <c r="L131" s="149"/>
      <c r="M131" s="149"/>
      <c r="N131" s="149"/>
      <c r="O131" s="149"/>
      <c r="P131" s="149"/>
      <c r="Q131" s="149"/>
      <c r="R131" s="149"/>
      <c r="S131" s="149"/>
      <c r="T131" s="149"/>
      <c r="U131" s="149"/>
      <c r="V131" s="149"/>
      <c r="W131" s="149"/>
      <c r="X131" s="149"/>
      <c r="Y131" s="149"/>
    </row>
    <row r="132">
      <c r="A132" s="157">
        <f t="shared" si="12"/>
        <v>48</v>
      </c>
      <c r="B132" s="156"/>
      <c r="C132" s="156" t="s">
        <v>242</v>
      </c>
      <c r="D132" s="149"/>
      <c r="E132" s="149"/>
      <c r="F132" s="149"/>
      <c r="G132" s="149"/>
      <c r="H132" s="149"/>
      <c r="I132" s="149"/>
      <c r="J132" s="149"/>
      <c r="K132" s="149"/>
      <c r="L132" s="149"/>
      <c r="M132" s="149"/>
      <c r="N132" s="149"/>
      <c r="O132" s="149"/>
      <c r="P132" s="149"/>
      <c r="Q132" s="149"/>
      <c r="R132" s="149"/>
      <c r="S132" s="149"/>
      <c r="T132" s="149"/>
      <c r="U132" s="149"/>
      <c r="V132" s="149"/>
      <c r="W132" s="149"/>
      <c r="X132" s="149"/>
      <c r="Y132" s="149"/>
    </row>
    <row r="133">
      <c r="A133" s="157">
        <f t="shared" si="12"/>
        <v>49</v>
      </c>
      <c r="B133" s="156"/>
      <c r="C133" s="156" t="s">
        <v>248</v>
      </c>
      <c r="D133" s="149"/>
      <c r="E133" s="149"/>
      <c r="F133" s="149"/>
      <c r="G133" s="149"/>
      <c r="H133" s="149"/>
      <c r="I133" s="149"/>
      <c r="J133" s="149"/>
      <c r="K133" s="149"/>
      <c r="L133" s="149"/>
      <c r="M133" s="149"/>
      <c r="N133" s="149"/>
      <c r="O133" s="149"/>
      <c r="P133" s="149"/>
      <c r="Q133" s="149"/>
      <c r="R133" s="149"/>
      <c r="S133" s="149"/>
      <c r="T133" s="149"/>
      <c r="U133" s="149"/>
      <c r="V133" s="149"/>
      <c r="W133" s="149"/>
      <c r="X133" s="149"/>
      <c r="Y133" s="149"/>
    </row>
    <row r="134">
      <c r="A134" s="157">
        <f t="shared" si="12"/>
        <v>50</v>
      </c>
      <c r="B134" s="156"/>
      <c r="C134" s="156" t="s">
        <v>254</v>
      </c>
      <c r="D134" s="149"/>
      <c r="E134" s="149"/>
      <c r="F134" s="149"/>
      <c r="G134" s="149"/>
      <c r="H134" s="149"/>
      <c r="I134" s="149"/>
      <c r="J134" s="149"/>
      <c r="K134" s="149"/>
      <c r="L134" s="149"/>
      <c r="M134" s="149"/>
      <c r="N134" s="149"/>
      <c r="O134" s="149"/>
      <c r="P134" s="149"/>
      <c r="Q134" s="149"/>
      <c r="R134" s="149"/>
      <c r="S134" s="149"/>
      <c r="T134" s="149"/>
      <c r="U134" s="149"/>
      <c r="V134" s="149"/>
      <c r="W134" s="149"/>
      <c r="X134" s="149"/>
      <c r="Y134" s="149"/>
    </row>
    <row r="135">
      <c r="A135" s="157">
        <f t="shared" si="12"/>
        <v>51</v>
      </c>
      <c r="B135" s="156"/>
      <c r="C135" s="156" t="s">
        <v>260</v>
      </c>
      <c r="D135" s="149"/>
      <c r="E135" s="149"/>
      <c r="F135" s="149"/>
      <c r="G135" s="149"/>
      <c r="H135" s="149"/>
      <c r="I135" s="149"/>
      <c r="J135" s="149"/>
      <c r="K135" s="149"/>
      <c r="L135" s="149"/>
      <c r="M135" s="149"/>
      <c r="N135" s="149"/>
      <c r="O135" s="149"/>
      <c r="P135" s="149"/>
      <c r="Q135" s="149"/>
      <c r="R135" s="149"/>
      <c r="S135" s="149"/>
      <c r="T135" s="149"/>
      <c r="U135" s="149"/>
      <c r="V135" s="149"/>
      <c r="W135" s="149"/>
      <c r="X135" s="149"/>
      <c r="Y135" s="149"/>
    </row>
    <row r="136">
      <c r="A136" s="157">
        <f t="shared" si="12"/>
        <v>52</v>
      </c>
      <c r="B136" s="156"/>
      <c r="C136" s="156" t="s">
        <v>265</v>
      </c>
      <c r="D136" s="149"/>
      <c r="E136" s="149"/>
      <c r="F136" s="149"/>
      <c r="G136" s="149"/>
      <c r="H136" s="149"/>
      <c r="I136" s="149"/>
      <c r="J136" s="149"/>
      <c r="K136" s="149"/>
      <c r="L136" s="149"/>
      <c r="M136" s="149"/>
      <c r="N136" s="149"/>
      <c r="O136" s="149"/>
      <c r="P136" s="149"/>
      <c r="Q136" s="149"/>
      <c r="R136" s="149"/>
      <c r="S136" s="149"/>
      <c r="T136" s="149"/>
      <c r="U136" s="149"/>
      <c r="V136" s="149"/>
      <c r="W136" s="149"/>
      <c r="X136" s="149"/>
      <c r="Y136" s="149"/>
    </row>
    <row r="137">
      <c r="A137" s="157">
        <f t="shared" si="12"/>
        <v>53</v>
      </c>
      <c r="B137" s="156"/>
      <c r="C137" s="156" t="s">
        <v>271</v>
      </c>
      <c r="D137" s="149"/>
      <c r="E137" s="149"/>
      <c r="F137" s="149"/>
      <c r="G137" s="149"/>
      <c r="H137" s="149"/>
      <c r="I137" s="149"/>
      <c r="J137" s="149"/>
      <c r="K137" s="149"/>
      <c r="L137" s="149"/>
      <c r="M137" s="149"/>
      <c r="N137" s="149"/>
      <c r="O137" s="149"/>
      <c r="P137" s="149"/>
      <c r="Q137" s="149"/>
      <c r="R137" s="149"/>
      <c r="S137" s="149"/>
      <c r="T137" s="149"/>
      <c r="U137" s="149"/>
      <c r="V137" s="149"/>
      <c r="W137" s="149"/>
      <c r="X137" s="149"/>
      <c r="Y137" s="149"/>
    </row>
    <row r="138">
      <c r="A138" s="157">
        <f t="shared" si="12"/>
        <v>54</v>
      </c>
      <c r="B138" s="156"/>
      <c r="C138" s="156" t="s">
        <v>277</v>
      </c>
      <c r="D138" s="149"/>
      <c r="E138" s="149"/>
      <c r="F138" s="149"/>
      <c r="G138" s="149"/>
      <c r="H138" s="149"/>
      <c r="I138" s="149"/>
      <c r="J138" s="149"/>
      <c r="K138" s="149"/>
      <c r="L138" s="149"/>
      <c r="M138" s="149"/>
      <c r="N138" s="149"/>
      <c r="O138" s="149"/>
      <c r="P138" s="149"/>
      <c r="Q138" s="149"/>
      <c r="R138" s="149"/>
      <c r="S138" s="149"/>
      <c r="T138" s="149"/>
      <c r="U138" s="149"/>
      <c r="V138" s="149"/>
      <c r="W138" s="149"/>
      <c r="X138" s="149"/>
      <c r="Y138" s="149"/>
    </row>
    <row r="139">
      <c r="A139" s="157">
        <f t="shared" si="12"/>
        <v>55</v>
      </c>
      <c r="B139" s="156"/>
      <c r="C139" s="156" t="s">
        <v>283</v>
      </c>
      <c r="D139" s="149"/>
      <c r="E139" s="149"/>
      <c r="F139" s="149"/>
      <c r="G139" s="149"/>
      <c r="H139" s="149"/>
      <c r="I139" s="149"/>
      <c r="J139" s="149"/>
      <c r="K139" s="149"/>
      <c r="L139" s="149"/>
      <c r="M139" s="149"/>
      <c r="N139" s="149"/>
      <c r="O139" s="149"/>
      <c r="P139" s="149"/>
      <c r="Q139" s="149"/>
      <c r="R139" s="149"/>
      <c r="S139" s="149"/>
      <c r="T139" s="149"/>
      <c r="U139" s="149"/>
      <c r="V139" s="149"/>
      <c r="W139" s="149"/>
      <c r="X139" s="149"/>
      <c r="Y139" s="149"/>
    </row>
    <row r="140">
      <c r="A140" s="157">
        <f t="shared" si="12"/>
        <v>56</v>
      </c>
      <c r="B140" s="156"/>
      <c r="C140" s="156" t="s">
        <v>289</v>
      </c>
      <c r="D140" s="149"/>
      <c r="E140" s="149"/>
      <c r="F140" s="149"/>
      <c r="G140" s="149"/>
      <c r="H140" s="149"/>
      <c r="I140" s="149"/>
      <c r="J140" s="149"/>
      <c r="K140" s="149"/>
      <c r="L140" s="149"/>
      <c r="M140" s="149"/>
      <c r="N140" s="149"/>
      <c r="O140" s="149"/>
      <c r="P140" s="149"/>
      <c r="Q140" s="149"/>
      <c r="R140" s="149"/>
      <c r="S140" s="149"/>
      <c r="T140" s="149"/>
      <c r="U140" s="149"/>
      <c r="V140" s="149"/>
      <c r="W140" s="149"/>
      <c r="X140" s="149"/>
      <c r="Y140" s="149"/>
    </row>
    <row r="141">
      <c r="A141" s="157">
        <f t="shared" si="12"/>
        <v>57</v>
      </c>
      <c r="B141" s="156"/>
      <c r="C141" s="156" t="s">
        <v>295</v>
      </c>
      <c r="D141" s="149"/>
      <c r="E141" s="149"/>
      <c r="F141" s="149"/>
      <c r="G141" s="149"/>
      <c r="H141" s="149"/>
      <c r="I141" s="149"/>
      <c r="J141" s="149"/>
      <c r="K141" s="149"/>
      <c r="L141" s="149"/>
      <c r="M141" s="149"/>
      <c r="N141" s="149"/>
      <c r="O141" s="149"/>
      <c r="P141" s="149"/>
      <c r="Q141" s="149"/>
      <c r="R141" s="149"/>
      <c r="S141" s="149"/>
      <c r="T141" s="149"/>
      <c r="U141" s="149"/>
      <c r="V141" s="149"/>
      <c r="W141" s="149"/>
      <c r="X141" s="149"/>
      <c r="Y141" s="149"/>
    </row>
    <row r="142">
      <c r="A142" s="157">
        <f t="shared" si="12"/>
        <v>58</v>
      </c>
      <c r="B142" s="156"/>
      <c r="C142" s="156" t="s">
        <v>298</v>
      </c>
      <c r="D142" s="149"/>
      <c r="E142" s="149"/>
      <c r="F142" s="149"/>
      <c r="G142" s="149"/>
      <c r="H142" s="149"/>
      <c r="I142" s="149"/>
      <c r="J142" s="149"/>
      <c r="K142" s="149"/>
      <c r="L142" s="149"/>
      <c r="M142" s="149"/>
      <c r="N142" s="149"/>
      <c r="O142" s="149"/>
      <c r="P142" s="149"/>
      <c r="Q142" s="149"/>
      <c r="R142" s="149"/>
      <c r="S142" s="149"/>
      <c r="T142" s="149"/>
      <c r="U142" s="149"/>
      <c r="V142" s="149"/>
      <c r="W142" s="149"/>
      <c r="X142" s="149"/>
      <c r="Y142" s="149"/>
    </row>
    <row r="143">
      <c r="A143" s="157">
        <f t="shared" si="12"/>
        <v>59</v>
      </c>
      <c r="B143" s="156"/>
      <c r="C143" s="156" t="s">
        <v>304</v>
      </c>
      <c r="D143" s="149"/>
      <c r="E143" s="149"/>
      <c r="F143" s="149"/>
      <c r="G143" s="149"/>
      <c r="H143" s="149"/>
      <c r="I143" s="149"/>
      <c r="J143" s="149"/>
      <c r="K143" s="149"/>
      <c r="L143" s="149"/>
      <c r="M143" s="149"/>
      <c r="N143" s="149"/>
      <c r="O143" s="149"/>
      <c r="P143" s="149"/>
      <c r="Q143" s="149"/>
      <c r="R143" s="149"/>
      <c r="S143" s="149"/>
      <c r="T143" s="149"/>
      <c r="U143" s="149"/>
      <c r="V143" s="149"/>
      <c r="W143" s="149"/>
      <c r="X143" s="149"/>
      <c r="Y143" s="149"/>
    </row>
    <row r="144">
      <c r="A144" s="157">
        <f t="shared" si="12"/>
        <v>60</v>
      </c>
      <c r="B144" s="156"/>
      <c r="C144" s="156" t="s">
        <v>310</v>
      </c>
      <c r="D144" s="149"/>
      <c r="E144" s="149"/>
      <c r="F144" s="149"/>
      <c r="G144" s="149"/>
      <c r="H144" s="149"/>
      <c r="I144" s="149"/>
      <c r="J144" s="149"/>
      <c r="K144" s="149"/>
      <c r="L144" s="149"/>
      <c r="M144" s="149"/>
      <c r="N144" s="149"/>
      <c r="O144" s="149"/>
      <c r="P144" s="149"/>
      <c r="Q144" s="149"/>
      <c r="R144" s="149"/>
      <c r="S144" s="149"/>
      <c r="T144" s="149"/>
      <c r="U144" s="149"/>
      <c r="V144" s="149"/>
      <c r="W144" s="149"/>
      <c r="X144" s="149"/>
      <c r="Y144" s="149"/>
    </row>
    <row r="145">
      <c r="A145" s="157">
        <f t="shared" si="12"/>
        <v>61</v>
      </c>
      <c r="B145" s="156"/>
      <c r="C145" s="156" t="s">
        <v>316</v>
      </c>
      <c r="D145" s="149"/>
      <c r="E145" s="149"/>
      <c r="F145" s="149"/>
      <c r="G145" s="149"/>
      <c r="H145" s="149"/>
      <c r="I145" s="149"/>
      <c r="J145" s="149"/>
      <c r="K145" s="149"/>
      <c r="L145" s="149"/>
      <c r="M145" s="149"/>
      <c r="N145" s="149"/>
      <c r="O145" s="149"/>
      <c r="P145" s="149"/>
      <c r="Q145" s="149"/>
      <c r="R145" s="149"/>
      <c r="S145" s="149"/>
      <c r="T145" s="149"/>
      <c r="U145" s="149"/>
      <c r="V145" s="149"/>
      <c r="W145" s="149"/>
      <c r="X145" s="149"/>
      <c r="Y145" s="149"/>
    </row>
    <row r="146">
      <c r="A146" s="157">
        <f t="shared" si="12"/>
        <v>62</v>
      </c>
      <c r="B146" s="156"/>
      <c r="C146" s="156" t="s">
        <v>322</v>
      </c>
      <c r="D146" s="149"/>
      <c r="E146" s="149"/>
      <c r="F146" s="149"/>
      <c r="G146" s="149"/>
      <c r="H146" s="149"/>
      <c r="I146" s="149"/>
      <c r="J146" s="149"/>
      <c r="K146" s="149"/>
      <c r="L146" s="149"/>
      <c r="M146" s="149"/>
      <c r="N146" s="149"/>
      <c r="O146" s="149"/>
      <c r="P146" s="149"/>
      <c r="Q146" s="149"/>
      <c r="R146" s="149"/>
      <c r="S146" s="149"/>
      <c r="T146" s="149"/>
      <c r="U146" s="149"/>
      <c r="V146" s="149"/>
      <c r="W146" s="149"/>
      <c r="X146" s="149"/>
      <c r="Y146" s="149"/>
    </row>
    <row r="147">
      <c r="A147" s="157">
        <f t="shared" si="12"/>
        <v>63</v>
      </c>
      <c r="B147" s="156"/>
      <c r="C147" s="156" t="s">
        <v>328</v>
      </c>
      <c r="D147" s="149"/>
      <c r="E147" s="149"/>
      <c r="F147" s="149"/>
      <c r="G147" s="149"/>
      <c r="H147" s="149"/>
      <c r="I147" s="149"/>
      <c r="J147" s="149"/>
      <c r="K147" s="149"/>
      <c r="L147" s="149"/>
      <c r="M147" s="149"/>
      <c r="N147" s="149"/>
      <c r="O147" s="149"/>
      <c r="P147" s="149"/>
      <c r="Q147" s="149"/>
      <c r="R147" s="149"/>
      <c r="S147" s="149"/>
      <c r="T147" s="149"/>
      <c r="U147" s="149"/>
      <c r="V147" s="149"/>
      <c r="W147" s="149"/>
      <c r="X147" s="149"/>
      <c r="Y147" s="149"/>
    </row>
    <row r="148">
      <c r="A148" s="157">
        <f t="shared" si="12"/>
        <v>64</v>
      </c>
      <c r="B148" s="156"/>
      <c r="C148" s="156" t="s">
        <v>333</v>
      </c>
      <c r="D148" s="149"/>
      <c r="E148" s="149"/>
      <c r="F148" s="149"/>
      <c r="G148" s="149"/>
      <c r="H148" s="149"/>
      <c r="I148" s="149"/>
      <c r="J148" s="149"/>
      <c r="K148" s="149"/>
      <c r="L148" s="149"/>
      <c r="M148" s="149"/>
      <c r="N148" s="149"/>
      <c r="O148" s="149"/>
      <c r="P148" s="149"/>
      <c r="Q148" s="149"/>
      <c r="R148" s="149"/>
      <c r="S148" s="149"/>
      <c r="T148" s="149"/>
      <c r="U148" s="149"/>
      <c r="V148" s="149"/>
      <c r="W148" s="149"/>
      <c r="X148" s="149"/>
      <c r="Y148" s="149"/>
    </row>
    <row r="149">
      <c r="A149" s="157">
        <f t="shared" si="12"/>
        <v>65</v>
      </c>
      <c r="B149" s="156"/>
      <c r="C149" s="156" t="s">
        <v>339</v>
      </c>
      <c r="D149" s="149"/>
      <c r="E149" s="149"/>
      <c r="F149" s="149"/>
      <c r="G149" s="149"/>
      <c r="H149" s="149"/>
      <c r="I149" s="149"/>
      <c r="J149" s="149"/>
      <c r="K149" s="149"/>
      <c r="L149" s="149"/>
      <c r="M149" s="149"/>
      <c r="N149" s="149"/>
      <c r="O149" s="149"/>
      <c r="P149" s="149"/>
      <c r="Q149" s="149"/>
      <c r="R149" s="149"/>
      <c r="S149" s="149"/>
      <c r="T149" s="149"/>
      <c r="U149" s="149"/>
      <c r="V149" s="149"/>
      <c r="W149" s="149"/>
      <c r="X149" s="149"/>
      <c r="Y149" s="149"/>
    </row>
    <row r="150">
      <c r="A150" s="157">
        <f t="shared" si="12"/>
        <v>66</v>
      </c>
      <c r="B150" s="156"/>
      <c r="C150" s="156" t="s">
        <v>345</v>
      </c>
      <c r="D150" s="149"/>
      <c r="E150" s="149"/>
      <c r="F150" s="149"/>
      <c r="G150" s="149"/>
      <c r="H150" s="149"/>
      <c r="I150" s="149"/>
      <c r="J150" s="149"/>
      <c r="K150" s="149"/>
      <c r="L150" s="149"/>
      <c r="M150" s="149"/>
      <c r="N150" s="149"/>
      <c r="O150" s="149"/>
      <c r="P150" s="149"/>
      <c r="Q150" s="149"/>
      <c r="R150" s="149"/>
      <c r="S150" s="149"/>
      <c r="T150" s="149"/>
      <c r="U150" s="149"/>
      <c r="V150" s="149"/>
      <c r="W150" s="149"/>
      <c r="X150" s="149"/>
      <c r="Y150" s="149"/>
    </row>
    <row r="151">
      <c r="A151" s="157">
        <f t="shared" si="12"/>
        <v>67</v>
      </c>
      <c r="B151" s="156"/>
      <c r="C151" s="156" t="s">
        <v>351</v>
      </c>
      <c r="D151" s="149"/>
      <c r="E151" s="149"/>
      <c r="F151" s="149"/>
      <c r="G151" s="149"/>
      <c r="H151" s="149"/>
      <c r="I151" s="149"/>
      <c r="J151" s="149"/>
      <c r="K151" s="149"/>
      <c r="L151" s="149"/>
      <c r="M151" s="149"/>
      <c r="N151" s="149"/>
      <c r="O151" s="149"/>
      <c r="P151" s="149"/>
      <c r="Q151" s="149"/>
      <c r="R151" s="149"/>
      <c r="S151" s="149"/>
      <c r="T151" s="149"/>
      <c r="U151" s="149"/>
      <c r="V151" s="149"/>
      <c r="W151" s="149"/>
      <c r="X151" s="149"/>
      <c r="Y151" s="149"/>
    </row>
    <row r="152">
      <c r="A152" s="157">
        <f t="shared" si="12"/>
        <v>68</v>
      </c>
      <c r="B152" s="156"/>
      <c r="C152" s="156" t="s">
        <v>357</v>
      </c>
      <c r="D152" s="149"/>
      <c r="E152" s="149"/>
      <c r="F152" s="149"/>
      <c r="G152" s="149"/>
      <c r="H152" s="149"/>
      <c r="I152" s="149"/>
      <c r="J152" s="149"/>
      <c r="K152" s="149"/>
      <c r="L152" s="149"/>
      <c r="M152" s="149"/>
      <c r="N152" s="149"/>
      <c r="O152" s="149"/>
      <c r="P152" s="149"/>
      <c r="Q152" s="149"/>
      <c r="R152" s="149"/>
      <c r="S152" s="149"/>
      <c r="T152" s="149"/>
      <c r="U152" s="149"/>
      <c r="V152" s="149"/>
      <c r="W152" s="149"/>
      <c r="X152" s="149"/>
      <c r="Y152" s="149"/>
    </row>
    <row r="153">
      <c r="A153" s="157">
        <f t="shared" si="12"/>
        <v>69</v>
      </c>
      <c r="B153" s="156"/>
      <c r="C153" s="156" t="s">
        <v>362</v>
      </c>
      <c r="D153" s="149"/>
      <c r="E153" s="149"/>
      <c r="F153" s="149"/>
      <c r="G153" s="149"/>
      <c r="H153" s="149"/>
      <c r="I153" s="149"/>
      <c r="J153" s="149"/>
      <c r="K153" s="149"/>
      <c r="L153" s="149"/>
      <c r="M153" s="149"/>
      <c r="N153" s="149"/>
      <c r="O153" s="149"/>
      <c r="P153" s="149"/>
      <c r="Q153" s="149"/>
      <c r="R153" s="149"/>
      <c r="S153" s="149"/>
      <c r="T153" s="149"/>
      <c r="U153" s="149"/>
      <c r="V153" s="149"/>
      <c r="W153" s="149"/>
      <c r="X153" s="149"/>
      <c r="Y153" s="149"/>
    </row>
    <row r="154">
      <c r="A154" s="157">
        <f t="shared" si="12"/>
        <v>70</v>
      </c>
      <c r="B154" s="156"/>
      <c r="C154" s="156" t="s">
        <v>365</v>
      </c>
      <c r="D154" s="149"/>
      <c r="E154" s="149"/>
      <c r="F154" s="149"/>
      <c r="G154" s="149"/>
      <c r="H154" s="149"/>
      <c r="I154" s="149"/>
      <c r="J154" s="149"/>
      <c r="K154" s="149"/>
      <c r="L154" s="149"/>
      <c r="M154" s="149"/>
      <c r="N154" s="149"/>
      <c r="O154" s="149"/>
      <c r="P154" s="149"/>
      <c r="Q154" s="149"/>
      <c r="R154" s="149"/>
      <c r="S154" s="149"/>
      <c r="T154" s="149"/>
      <c r="U154" s="149"/>
      <c r="V154" s="149"/>
      <c r="W154" s="149"/>
      <c r="X154" s="149"/>
      <c r="Y154" s="149"/>
    </row>
    <row r="155">
      <c r="A155" s="157">
        <f t="shared" si="12"/>
        <v>71</v>
      </c>
      <c r="B155" s="156"/>
      <c r="C155" s="156" t="s">
        <v>368</v>
      </c>
      <c r="D155" s="149"/>
      <c r="E155" s="149"/>
      <c r="F155" s="149"/>
      <c r="G155" s="149"/>
      <c r="H155" s="149"/>
      <c r="I155" s="149"/>
      <c r="J155" s="149"/>
      <c r="K155" s="149"/>
      <c r="L155" s="149"/>
      <c r="M155" s="149"/>
      <c r="N155" s="149"/>
      <c r="O155" s="149"/>
      <c r="P155" s="149"/>
      <c r="Q155" s="149"/>
      <c r="R155" s="149"/>
      <c r="S155" s="149"/>
      <c r="T155" s="149"/>
      <c r="U155" s="149"/>
      <c r="V155" s="149"/>
      <c r="W155" s="149"/>
      <c r="X155" s="149"/>
      <c r="Y155" s="149"/>
    </row>
    <row r="156">
      <c r="A156" s="157">
        <f t="shared" si="12"/>
        <v>72</v>
      </c>
      <c r="B156" s="156"/>
      <c r="C156" s="156" t="s">
        <v>374</v>
      </c>
      <c r="D156" s="149"/>
      <c r="E156" s="149"/>
      <c r="F156" s="149"/>
      <c r="G156" s="149"/>
      <c r="H156" s="149"/>
      <c r="I156" s="149"/>
      <c r="J156" s="149"/>
      <c r="K156" s="149"/>
      <c r="L156" s="149"/>
      <c r="M156" s="149"/>
      <c r="N156" s="149"/>
      <c r="O156" s="149"/>
      <c r="P156" s="149"/>
      <c r="Q156" s="149"/>
      <c r="R156" s="149"/>
      <c r="S156" s="149"/>
      <c r="T156" s="149"/>
      <c r="U156" s="149"/>
      <c r="V156" s="149"/>
      <c r="W156" s="149"/>
      <c r="X156" s="149"/>
      <c r="Y156" s="149"/>
    </row>
    <row r="157">
      <c r="A157" s="157">
        <f t="shared" si="12"/>
        <v>73</v>
      </c>
      <c r="B157" s="156"/>
      <c r="C157" s="156" t="s">
        <v>379</v>
      </c>
      <c r="D157" s="149"/>
      <c r="E157" s="149"/>
      <c r="F157" s="149"/>
      <c r="G157" s="149"/>
      <c r="H157" s="149"/>
      <c r="I157" s="149"/>
      <c r="J157" s="149"/>
      <c r="K157" s="149"/>
      <c r="L157" s="149"/>
      <c r="M157" s="149"/>
      <c r="N157" s="149"/>
      <c r="O157" s="149"/>
      <c r="P157" s="149"/>
      <c r="Q157" s="149"/>
      <c r="R157" s="149"/>
      <c r="S157" s="149"/>
      <c r="T157" s="149"/>
      <c r="U157" s="149"/>
      <c r="V157" s="149"/>
      <c r="W157" s="149"/>
      <c r="X157" s="149"/>
      <c r="Y157" s="149"/>
    </row>
    <row r="158">
      <c r="A158" s="157">
        <f t="shared" si="12"/>
        <v>74</v>
      </c>
      <c r="B158" s="156"/>
      <c r="C158" s="156" t="s">
        <v>384</v>
      </c>
      <c r="D158" s="149"/>
      <c r="E158" s="149"/>
      <c r="F158" s="149"/>
      <c r="G158" s="149"/>
      <c r="H158" s="149"/>
      <c r="I158" s="149"/>
      <c r="J158" s="149"/>
      <c r="K158" s="149"/>
      <c r="L158" s="149"/>
      <c r="M158" s="149"/>
      <c r="N158" s="149"/>
      <c r="O158" s="149"/>
      <c r="P158" s="149"/>
      <c r="Q158" s="149"/>
      <c r="R158" s="149"/>
      <c r="S158" s="149"/>
      <c r="T158" s="149"/>
      <c r="U158" s="149"/>
      <c r="V158" s="149"/>
      <c r="W158" s="149"/>
      <c r="X158" s="149"/>
      <c r="Y158" s="149"/>
    </row>
    <row r="159">
      <c r="A159" s="157">
        <f t="shared" si="12"/>
        <v>75</v>
      </c>
      <c r="B159" s="156"/>
      <c r="C159" s="156" t="s">
        <v>389</v>
      </c>
      <c r="D159" s="149"/>
      <c r="E159" s="149"/>
      <c r="F159" s="149"/>
      <c r="G159" s="149"/>
      <c r="H159" s="149"/>
      <c r="I159" s="149"/>
      <c r="J159" s="149"/>
      <c r="K159" s="149"/>
      <c r="L159" s="149"/>
      <c r="M159" s="149"/>
      <c r="N159" s="149"/>
      <c r="O159" s="149"/>
      <c r="P159" s="149"/>
      <c r="Q159" s="149"/>
      <c r="R159" s="149"/>
      <c r="S159" s="149"/>
      <c r="T159" s="149"/>
      <c r="U159" s="149"/>
      <c r="V159" s="149"/>
      <c r="W159" s="149"/>
      <c r="X159" s="149"/>
      <c r="Y159" s="149"/>
    </row>
    <row r="160">
      <c r="A160" s="157">
        <f t="shared" si="12"/>
        <v>76</v>
      </c>
      <c r="B160" s="156"/>
      <c r="C160" s="156" t="s">
        <v>394</v>
      </c>
      <c r="D160" s="149"/>
      <c r="E160" s="149"/>
      <c r="F160" s="149"/>
      <c r="G160" s="149"/>
      <c r="H160" s="149"/>
      <c r="I160" s="149"/>
      <c r="J160" s="149"/>
      <c r="K160" s="149"/>
      <c r="L160" s="149"/>
      <c r="M160" s="149"/>
      <c r="N160" s="149"/>
      <c r="O160" s="149"/>
      <c r="P160" s="149"/>
      <c r="Q160" s="149"/>
      <c r="R160" s="149"/>
      <c r="S160" s="149"/>
      <c r="T160" s="149"/>
      <c r="U160" s="149"/>
      <c r="V160" s="149"/>
      <c r="W160" s="149"/>
      <c r="X160" s="149"/>
      <c r="Y160" s="149"/>
    </row>
    <row r="161">
      <c r="A161" s="157">
        <f t="shared" si="12"/>
        <v>77</v>
      </c>
      <c r="B161" s="156"/>
      <c r="C161" s="156" t="s">
        <v>400</v>
      </c>
      <c r="D161" s="149"/>
      <c r="E161" s="149"/>
      <c r="F161" s="149"/>
      <c r="G161" s="149"/>
      <c r="H161" s="149"/>
      <c r="I161" s="149"/>
      <c r="J161" s="149"/>
      <c r="K161" s="149"/>
      <c r="L161" s="149"/>
      <c r="M161" s="149"/>
      <c r="N161" s="149"/>
      <c r="O161" s="149"/>
      <c r="P161" s="149"/>
      <c r="Q161" s="149"/>
      <c r="R161" s="149"/>
      <c r="S161" s="149"/>
      <c r="T161" s="149"/>
      <c r="U161" s="149"/>
      <c r="V161" s="149"/>
      <c r="W161" s="149"/>
      <c r="X161" s="149"/>
      <c r="Y161" s="149"/>
    </row>
    <row r="162">
      <c r="A162" s="157">
        <f t="shared" si="12"/>
        <v>78</v>
      </c>
      <c r="B162" s="156"/>
      <c r="C162" s="156" t="s">
        <v>406</v>
      </c>
      <c r="D162" s="149"/>
      <c r="E162" s="149"/>
      <c r="F162" s="149"/>
      <c r="G162" s="149"/>
      <c r="H162" s="149"/>
      <c r="I162" s="149"/>
      <c r="J162" s="149"/>
      <c r="K162" s="149"/>
      <c r="L162" s="149"/>
      <c r="M162" s="149"/>
      <c r="N162" s="149"/>
      <c r="O162" s="149"/>
      <c r="P162" s="149"/>
      <c r="Q162" s="149"/>
      <c r="R162" s="149"/>
      <c r="S162" s="149"/>
      <c r="T162" s="149"/>
      <c r="U162" s="149"/>
      <c r="V162" s="149"/>
      <c r="W162" s="149"/>
      <c r="X162" s="149"/>
      <c r="Y162" s="149"/>
    </row>
    <row r="163">
      <c r="A163" s="157">
        <f t="shared" si="12"/>
        <v>79</v>
      </c>
      <c r="B163" s="156"/>
      <c r="C163" s="156" t="s">
        <v>412</v>
      </c>
      <c r="D163" s="149"/>
      <c r="E163" s="149"/>
      <c r="F163" s="149"/>
      <c r="G163" s="149"/>
      <c r="H163" s="149"/>
      <c r="I163" s="149"/>
      <c r="J163" s="149"/>
      <c r="K163" s="149"/>
      <c r="L163" s="149"/>
      <c r="M163" s="149"/>
      <c r="N163" s="149"/>
      <c r="O163" s="149"/>
      <c r="P163" s="149"/>
      <c r="Q163" s="149"/>
      <c r="R163" s="149"/>
      <c r="S163" s="149"/>
      <c r="T163" s="149"/>
      <c r="U163" s="149"/>
      <c r="V163" s="149"/>
      <c r="W163" s="149"/>
      <c r="X163" s="149"/>
      <c r="Y163" s="149"/>
    </row>
    <row r="164">
      <c r="A164" s="157">
        <f t="shared" si="12"/>
        <v>80</v>
      </c>
      <c r="B164" s="156"/>
      <c r="C164" s="156" t="s">
        <v>418</v>
      </c>
      <c r="D164" s="149"/>
      <c r="E164" s="149"/>
      <c r="F164" s="149"/>
      <c r="G164" s="149"/>
      <c r="H164" s="149"/>
      <c r="I164" s="149"/>
      <c r="J164" s="149"/>
      <c r="K164" s="149"/>
      <c r="L164" s="149"/>
      <c r="M164" s="149"/>
      <c r="N164" s="149"/>
      <c r="O164" s="149"/>
      <c r="P164" s="149"/>
      <c r="Q164" s="149"/>
      <c r="R164" s="149"/>
      <c r="S164" s="149"/>
      <c r="T164" s="149"/>
      <c r="U164" s="149"/>
      <c r="V164" s="149"/>
      <c r="W164" s="149"/>
      <c r="X164" s="149"/>
      <c r="Y164" s="149"/>
    </row>
    <row r="165">
      <c r="A165" s="157">
        <f t="shared" si="12"/>
        <v>81</v>
      </c>
      <c r="B165" s="156"/>
      <c r="C165" s="156" t="s">
        <v>424</v>
      </c>
      <c r="D165" s="149"/>
      <c r="E165" s="149"/>
      <c r="F165" s="149"/>
      <c r="G165" s="149"/>
      <c r="H165" s="149"/>
      <c r="I165" s="149"/>
      <c r="J165" s="149"/>
      <c r="K165" s="149"/>
      <c r="L165" s="149"/>
      <c r="M165" s="149"/>
      <c r="N165" s="149"/>
      <c r="O165" s="149"/>
      <c r="P165" s="149"/>
      <c r="Q165" s="149"/>
      <c r="R165" s="149"/>
      <c r="S165" s="149"/>
      <c r="T165" s="149"/>
      <c r="U165" s="149"/>
      <c r="V165" s="149"/>
      <c r="W165" s="149"/>
      <c r="X165" s="149"/>
      <c r="Y165" s="149"/>
    </row>
    <row r="166">
      <c r="A166" s="157">
        <f t="shared" si="12"/>
        <v>82</v>
      </c>
      <c r="B166" s="156"/>
      <c r="C166" s="156" t="s">
        <v>427</v>
      </c>
      <c r="D166" s="149"/>
      <c r="E166" s="149"/>
      <c r="F166" s="149"/>
      <c r="G166" s="149"/>
      <c r="H166" s="149"/>
      <c r="I166" s="149"/>
      <c r="J166" s="149"/>
      <c r="K166" s="149"/>
      <c r="L166" s="149"/>
      <c r="M166" s="149"/>
      <c r="N166" s="149"/>
      <c r="O166" s="149"/>
      <c r="P166" s="149"/>
      <c r="Q166" s="149"/>
      <c r="R166" s="149"/>
      <c r="S166" s="149"/>
      <c r="T166" s="149"/>
      <c r="U166" s="149"/>
      <c r="V166" s="149"/>
      <c r="W166" s="149"/>
      <c r="X166" s="149"/>
      <c r="Y166" s="149"/>
    </row>
    <row r="167">
      <c r="A167" s="157">
        <f t="shared" si="12"/>
        <v>83</v>
      </c>
      <c r="B167" s="156"/>
      <c r="C167" s="156" t="s">
        <v>432</v>
      </c>
      <c r="D167" s="149"/>
      <c r="E167" s="149"/>
      <c r="F167" s="149"/>
      <c r="G167" s="149"/>
      <c r="H167" s="149"/>
      <c r="I167" s="149"/>
      <c r="J167" s="149"/>
      <c r="K167" s="149"/>
      <c r="L167" s="149"/>
      <c r="M167" s="149"/>
      <c r="N167" s="149"/>
      <c r="O167" s="149"/>
      <c r="P167" s="149"/>
      <c r="Q167" s="149"/>
      <c r="R167" s="149"/>
      <c r="S167" s="149"/>
      <c r="T167" s="149"/>
      <c r="U167" s="149"/>
      <c r="V167" s="149"/>
      <c r="W167" s="149"/>
      <c r="X167" s="149"/>
      <c r="Y167" s="149"/>
    </row>
    <row r="168">
      <c r="A168" s="157">
        <f t="shared" si="12"/>
        <v>84</v>
      </c>
      <c r="B168" s="156"/>
      <c r="C168" s="156" t="s">
        <v>435</v>
      </c>
      <c r="D168" s="149"/>
      <c r="E168" s="149"/>
      <c r="F168" s="149"/>
      <c r="G168" s="149"/>
      <c r="H168" s="149"/>
      <c r="I168" s="149"/>
      <c r="J168" s="149"/>
      <c r="K168" s="149"/>
      <c r="L168" s="149"/>
      <c r="M168" s="149"/>
      <c r="N168" s="149"/>
      <c r="O168" s="149"/>
      <c r="P168" s="149"/>
      <c r="Q168" s="149"/>
      <c r="R168" s="149"/>
      <c r="S168" s="149"/>
      <c r="T168" s="149"/>
      <c r="U168" s="149"/>
      <c r="V168" s="149"/>
      <c r="W168" s="149"/>
      <c r="X168" s="149"/>
      <c r="Y168" s="149"/>
    </row>
    <row r="169">
      <c r="A169" s="157">
        <f t="shared" si="12"/>
        <v>85</v>
      </c>
      <c r="B169" s="156"/>
      <c r="C169" s="156" t="s">
        <v>441</v>
      </c>
      <c r="D169" s="149"/>
      <c r="E169" s="149"/>
      <c r="F169" s="149"/>
      <c r="G169" s="149"/>
      <c r="H169" s="149"/>
      <c r="I169" s="149"/>
      <c r="J169" s="149"/>
      <c r="K169" s="149"/>
      <c r="L169" s="149"/>
      <c r="M169" s="149"/>
      <c r="N169" s="149"/>
      <c r="O169" s="149"/>
      <c r="P169" s="149"/>
      <c r="Q169" s="149"/>
      <c r="R169" s="149"/>
      <c r="S169" s="149"/>
      <c r="T169" s="149"/>
      <c r="U169" s="149"/>
      <c r="V169" s="149"/>
      <c r="W169" s="149"/>
      <c r="X169" s="149"/>
      <c r="Y169" s="149"/>
    </row>
    <row r="170">
      <c r="A170" s="157">
        <f t="shared" si="12"/>
        <v>86</v>
      </c>
      <c r="B170" s="156"/>
      <c r="C170" s="156" t="s">
        <v>446</v>
      </c>
      <c r="D170" s="149"/>
      <c r="E170" s="149"/>
      <c r="F170" s="149"/>
      <c r="G170" s="149"/>
      <c r="H170" s="149"/>
      <c r="I170" s="149"/>
      <c r="J170" s="149"/>
      <c r="K170" s="149"/>
      <c r="L170" s="149"/>
      <c r="M170" s="149"/>
      <c r="N170" s="149"/>
      <c r="O170" s="149"/>
      <c r="P170" s="149"/>
      <c r="Q170" s="149"/>
      <c r="R170" s="149"/>
      <c r="S170" s="149"/>
      <c r="T170" s="149"/>
      <c r="U170" s="149"/>
      <c r="V170" s="149"/>
      <c r="W170" s="149"/>
      <c r="X170" s="149"/>
      <c r="Y170" s="149"/>
    </row>
    <row r="171">
      <c r="A171" s="157">
        <f t="shared" si="12"/>
        <v>87</v>
      </c>
      <c r="B171" s="156"/>
      <c r="C171" s="156" t="s">
        <v>452</v>
      </c>
      <c r="D171" s="149"/>
      <c r="E171" s="149"/>
      <c r="F171" s="149"/>
      <c r="G171" s="149"/>
      <c r="H171" s="149"/>
      <c r="I171" s="149"/>
      <c r="J171" s="149"/>
      <c r="K171" s="149"/>
      <c r="L171" s="149"/>
      <c r="M171" s="149"/>
      <c r="N171" s="149"/>
      <c r="O171" s="149"/>
      <c r="P171" s="149"/>
      <c r="Q171" s="149"/>
      <c r="R171" s="149"/>
      <c r="S171" s="149"/>
      <c r="T171" s="149"/>
      <c r="U171" s="149"/>
      <c r="V171" s="149"/>
      <c r="W171" s="149"/>
      <c r="X171" s="149"/>
      <c r="Y171" s="149"/>
    </row>
    <row r="172">
      <c r="A172" s="157">
        <f t="shared" si="12"/>
        <v>88</v>
      </c>
      <c r="B172" s="156"/>
      <c r="C172" s="156" t="s">
        <v>458</v>
      </c>
      <c r="D172" s="149"/>
      <c r="E172" s="149"/>
      <c r="F172" s="149"/>
      <c r="G172" s="149"/>
      <c r="H172" s="149"/>
      <c r="I172" s="149"/>
      <c r="J172" s="149"/>
      <c r="K172" s="149"/>
      <c r="L172" s="149"/>
      <c r="M172" s="149"/>
      <c r="N172" s="149"/>
      <c r="O172" s="149"/>
      <c r="P172" s="149"/>
      <c r="Q172" s="149"/>
      <c r="R172" s="149"/>
      <c r="S172" s="149"/>
      <c r="T172" s="149"/>
      <c r="U172" s="149"/>
      <c r="V172" s="149"/>
      <c r="W172" s="149"/>
      <c r="X172" s="149"/>
      <c r="Y172" s="149"/>
    </row>
    <row r="173">
      <c r="A173" s="157">
        <f t="shared" si="12"/>
        <v>89</v>
      </c>
      <c r="B173" s="156"/>
      <c r="C173" s="156" t="s">
        <v>463</v>
      </c>
      <c r="D173" s="149"/>
      <c r="E173" s="149"/>
      <c r="F173" s="149"/>
      <c r="G173" s="149"/>
      <c r="H173" s="149"/>
      <c r="I173" s="149"/>
      <c r="J173" s="149"/>
      <c r="K173" s="149"/>
      <c r="L173" s="149"/>
      <c r="M173" s="149"/>
      <c r="N173" s="149"/>
      <c r="O173" s="149"/>
      <c r="P173" s="149"/>
      <c r="Q173" s="149"/>
      <c r="R173" s="149"/>
      <c r="S173" s="149"/>
      <c r="T173" s="149"/>
      <c r="U173" s="149"/>
      <c r="V173" s="149"/>
      <c r="W173" s="149"/>
      <c r="X173" s="149"/>
      <c r="Y173" s="149"/>
    </row>
    <row r="174">
      <c r="A174" s="157">
        <f t="shared" si="12"/>
        <v>90</v>
      </c>
      <c r="B174" s="156"/>
      <c r="C174" s="156" t="s">
        <v>469</v>
      </c>
      <c r="D174" s="149"/>
      <c r="E174" s="149"/>
      <c r="F174" s="149"/>
      <c r="G174" s="149"/>
      <c r="H174" s="149"/>
      <c r="I174" s="149"/>
      <c r="J174" s="149"/>
      <c r="K174" s="149"/>
      <c r="L174" s="149"/>
      <c r="M174" s="149"/>
      <c r="N174" s="149"/>
      <c r="O174" s="149"/>
      <c r="P174" s="149"/>
      <c r="Q174" s="149"/>
      <c r="R174" s="149"/>
      <c r="S174" s="149"/>
      <c r="T174" s="149"/>
      <c r="U174" s="149"/>
      <c r="V174" s="149"/>
      <c r="W174" s="149"/>
      <c r="X174" s="149"/>
      <c r="Y174" s="149"/>
    </row>
    <row r="175">
      <c r="A175" s="157">
        <f t="shared" si="12"/>
        <v>91</v>
      </c>
      <c r="B175" s="156"/>
      <c r="C175" s="156" t="s">
        <v>475</v>
      </c>
      <c r="D175" s="149"/>
      <c r="E175" s="149"/>
      <c r="F175" s="149"/>
      <c r="G175" s="149"/>
      <c r="H175" s="149"/>
      <c r="I175" s="149"/>
      <c r="J175" s="149"/>
      <c r="K175" s="149"/>
      <c r="L175" s="149"/>
      <c r="M175" s="149"/>
      <c r="N175" s="149"/>
      <c r="O175" s="149"/>
      <c r="P175" s="149"/>
      <c r="Q175" s="149"/>
      <c r="R175" s="149"/>
      <c r="S175" s="149"/>
      <c r="T175" s="149"/>
      <c r="U175" s="149"/>
      <c r="V175" s="149"/>
      <c r="W175" s="149"/>
      <c r="X175" s="149"/>
      <c r="Y175" s="149"/>
    </row>
    <row r="176">
      <c r="A176" s="157">
        <f t="shared" si="12"/>
        <v>92</v>
      </c>
      <c r="B176" s="156"/>
      <c r="C176" s="156" t="s">
        <v>478</v>
      </c>
      <c r="D176" s="149"/>
      <c r="E176" s="149"/>
      <c r="F176" s="149"/>
      <c r="G176" s="149"/>
      <c r="H176" s="149"/>
      <c r="I176" s="149"/>
      <c r="J176" s="149"/>
      <c r="K176" s="149"/>
      <c r="L176" s="149"/>
      <c r="M176" s="149"/>
      <c r="N176" s="149"/>
      <c r="O176" s="149"/>
      <c r="P176" s="149"/>
      <c r="Q176" s="149"/>
      <c r="R176" s="149"/>
      <c r="S176" s="149"/>
      <c r="T176" s="149"/>
      <c r="U176" s="149"/>
      <c r="V176" s="149"/>
      <c r="W176" s="149"/>
      <c r="X176" s="149"/>
      <c r="Y176" s="149"/>
    </row>
    <row r="177">
      <c r="A177" s="157">
        <f t="shared" si="12"/>
        <v>93</v>
      </c>
      <c r="B177" s="156"/>
      <c r="C177" s="156" t="s">
        <v>484</v>
      </c>
      <c r="D177" s="149"/>
      <c r="E177" s="149"/>
      <c r="F177" s="149"/>
      <c r="G177" s="149"/>
      <c r="H177" s="149"/>
      <c r="I177" s="149"/>
      <c r="J177" s="149"/>
      <c r="K177" s="149"/>
      <c r="L177" s="149"/>
      <c r="M177" s="149"/>
      <c r="N177" s="149"/>
      <c r="O177" s="149"/>
      <c r="P177" s="149"/>
      <c r="Q177" s="149"/>
      <c r="R177" s="149"/>
      <c r="S177" s="149"/>
      <c r="T177" s="149"/>
      <c r="U177" s="149"/>
      <c r="V177" s="149"/>
      <c r="W177" s="149"/>
      <c r="X177" s="149"/>
      <c r="Y177" s="149"/>
    </row>
    <row r="178">
      <c r="A178" s="157">
        <f t="shared" si="12"/>
        <v>94</v>
      </c>
      <c r="B178" s="156"/>
      <c r="C178" s="156" t="s">
        <v>489</v>
      </c>
      <c r="D178" s="149"/>
      <c r="E178" s="149"/>
      <c r="F178" s="149"/>
      <c r="G178" s="149"/>
      <c r="H178" s="149"/>
      <c r="I178" s="149"/>
      <c r="J178" s="149"/>
      <c r="K178" s="149"/>
      <c r="L178" s="149"/>
      <c r="M178" s="149"/>
      <c r="N178" s="149"/>
      <c r="O178" s="149"/>
      <c r="P178" s="149"/>
      <c r="Q178" s="149"/>
      <c r="R178" s="149"/>
      <c r="S178" s="149"/>
      <c r="T178" s="149"/>
      <c r="U178" s="149"/>
      <c r="V178" s="149"/>
      <c r="W178" s="149"/>
      <c r="X178" s="149"/>
      <c r="Y178" s="149"/>
    </row>
    <row r="179">
      <c r="A179" s="157">
        <f t="shared" si="12"/>
        <v>95</v>
      </c>
      <c r="B179" s="156"/>
      <c r="C179" s="156" t="s">
        <v>495</v>
      </c>
      <c r="D179" s="149"/>
      <c r="E179" s="149"/>
      <c r="F179" s="149"/>
      <c r="G179" s="149"/>
      <c r="H179" s="149"/>
      <c r="I179" s="149"/>
      <c r="J179" s="149"/>
      <c r="K179" s="149"/>
      <c r="L179" s="149"/>
      <c r="M179" s="149"/>
      <c r="N179" s="149"/>
      <c r="O179" s="149"/>
      <c r="P179" s="149"/>
      <c r="Q179" s="149"/>
      <c r="R179" s="149"/>
      <c r="S179" s="149"/>
      <c r="T179" s="149"/>
      <c r="U179" s="149"/>
      <c r="V179" s="149"/>
      <c r="W179" s="149"/>
      <c r="X179" s="149"/>
      <c r="Y179" s="149"/>
    </row>
    <row r="180">
      <c r="A180" s="157">
        <f t="shared" si="12"/>
        <v>96</v>
      </c>
      <c r="B180" s="156"/>
      <c r="C180" s="156" t="s">
        <v>500</v>
      </c>
      <c r="D180" s="149"/>
      <c r="E180" s="149"/>
      <c r="F180" s="149"/>
      <c r="G180" s="149"/>
      <c r="H180" s="149"/>
      <c r="I180" s="149"/>
      <c r="J180" s="149"/>
      <c r="K180" s="149"/>
      <c r="L180" s="149"/>
      <c r="M180" s="149"/>
      <c r="N180" s="149"/>
      <c r="O180" s="149"/>
      <c r="P180" s="149"/>
      <c r="Q180" s="149"/>
      <c r="R180" s="149"/>
      <c r="S180" s="149"/>
      <c r="T180" s="149"/>
      <c r="U180" s="149"/>
      <c r="V180" s="149"/>
      <c r="W180" s="149"/>
      <c r="X180" s="149"/>
      <c r="Y180" s="149"/>
    </row>
    <row r="181">
      <c r="A181" s="157">
        <f t="shared" si="12"/>
        <v>97</v>
      </c>
      <c r="B181" s="156"/>
      <c r="C181" s="156" t="s">
        <v>506</v>
      </c>
      <c r="D181" s="149"/>
      <c r="E181" s="149"/>
      <c r="F181" s="149"/>
      <c r="G181" s="149"/>
      <c r="H181" s="149"/>
      <c r="I181" s="149"/>
      <c r="J181" s="149"/>
      <c r="K181" s="149"/>
      <c r="L181" s="149"/>
      <c r="M181" s="149"/>
      <c r="N181" s="149"/>
      <c r="O181" s="149"/>
      <c r="P181" s="149"/>
      <c r="Q181" s="149"/>
      <c r="R181" s="149"/>
      <c r="S181" s="149"/>
      <c r="T181" s="149"/>
      <c r="U181" s="149"/>
      <c r="V181" s="149"/>
      <c r="W181" s="149"/>
      <c r="X181" s="149"/>
      <c r="Y181" s="149"/>
    </row>
    <row r="182">
      <c r="A182" s="157">
        <f t="shared" si="12"/>
        <v>98</v>
      </c>
      <c r="B182" s="156"/>
      <c r="C182" s="156" t="s">
        <v>512</v>
      </c>
      <c r="D182" s="149"/>
      <c r="E182" s="149"/>
      <c r="F182" s="149"/>
      <c r="G182" s="149"/>
      <c r="H182" s="149"/>
      <c r="I182" s="149"/>
      <c r="J182" s="149"/>
      <c r="K182" s="149"/>
      <c r="L182" s="149"/>
      <c r="M182" s="149"/>
      <c r="N182" s="149"/>
      <c r="O182" s="149"/>
      <c r="P182" s="149"/>
      <c r="Q182" s="149"/>
      <c r="R182" s="149"/>
      <c r="S182" s="149"/>
      <c r="T182" s="149"/>
      <c r="U182" s="149"/>
      <c r="V182" s="149"/>
      <c r="W182" s="149"/>
      <c r="X182" s="149"/>
      <c r="Y182" s="149"/>
    </row>
    <row r="183">
      <c r="A183" s="157">
        <f t="shared" si="12"/>
        <v>99</v>
      </c>
      <c r="B183" s="156"/>
      <c r="C183" s="156" t="s">
        <v>518</v>
      </c>
      <c r="D183" s="149"/>
      <c r="E183" s="149"/>
      <c r="F183" s="149"/>
      <c r="G183" s="149"/>
      <c r="H183" s="149"/>
      <c r="I183" s="149"/>
      <c r="J183" s="149"/>
      <c r="K183" s="149"/>
      <c r="L183" s="149"/>
      <c r="M183" s="149"/>
      <c r="N183" s="149"/>
      <c r="O183" s="149"/>
      <c r="P183" s="149"/>
      <c r="Q183" s="149"/>
      <c r="R183" s="149"/>
      <c r="S183" s="149"/>
      <c r="T183" s="149"/>
      <c r="U183" s="149"/>
      <c r="V183" s="149"/>
      <c r="W183" s="149"/>
      <c r="X183" s="149"/>
      <c r="Y183" s="149"/>
    </row>
    <row r="184">
      <c r="A184" s="157">
        <f t="shared" si="12"/>
        <v>100</v>
      </c>
      <c r="B184" s="156"/>
      <c r="C184" s="156" t="s">
        <v>523</v>
      </c>
      <c r="D184" s="149"/>
      <c r="E184" s="149"/>
      <c r="F184" s="149"/>
      <c r="G184" s="149"/>
      <c r="H184" s="149"/>
      <c r="I184" s="149"/>
      <c r="J184" s="149"/>
      <c r="K184" s="149"/>
      <c r="L184" s="149"/>
      <c r="M184" s="149"/>
      <c r="N184" s="149"/>
      <c r="O184" s="149"/>
      <c r="P184" s="149"/>
      <c r="Q184" s="149"/>
      <c r="R184" s="149"/>
      <c r="S184" s="149"/>
      <c r="T184" s="149"/>
      <c r="U184" s="149"/>
      <c r="V184" s="149"/>
      <c r="W184" s="149"/>
      <c r="X184" s="149"/>
      <c r="Y184" s="149"/>
    </row>
    <row r="185">
      <c r="A185" s="149"/>
      <c r="B185" s="149"/>
      <c r="C185" s="149"/>
      <c r="D185" s="149"/>
      <c r="E185" s="149"/>
      <c r="F185" s="149"/>
      <c r="G185" s="149"/>
      <c r="H185" s="149"/>
      <c r="I185" s="149"/>
      <c r="J185" s="149"/>
      <c r="K185" s="149"/>
      <c r="L185" s="149"/>
      <c r="M185" s="149"/>
      <c r="N185" s="149"/>
      <c r="O185" s="149"/>
      <c r="P185" s="149"/>
      <c r="Q185" s="149"/>
      <c r="R185" s="149"/>
      <c r="S185" s="149"/>
      <c r="T185" s="149"/>
      <c r="U185" s="149"/>
      <c r="V185" s="149"/>
      <c r="W185" s="149"/>
      <c r="X185" s="149"/>
      <c r="Y185" s="149"/>
    </row>
    <row r="186">
      <c r="A186" s="149"/>
      <c r="B186" s="149"/>
      <c r="C186" s="149"/>
      <c r="D186" s="149"/>
      <c r="E186" s="149"/>
      <c r="F186" s="149"/>
      <c r="G186" s="149"/>
      <c r="H186" s="149"/>
      <c r="I186" s="149"/>
      <c r="J186" s="149"/>
      <c r="K186" s="149"/>
      <c r="L186" s="149"/>
      <c r="M186" s="149"/>
      <c r="N186" s="149"/>
      <c r="O186" s="149"/>
      <c r="P186" s="149"/>
      <c r="Q186" s="149"/>
      <c r="R186" s="149"/>
      <c r="S186" s="149"/>
      <c r="T186" s="149"/>
      <c r="U186" s="149"/>
      <c r="V186" s="149"/>
      <c r="W186" s="149"/>
      <c r="X186" s="149"/>
      <c r="Y186" s="149"/>
    </row>
    <row r="187">
      <c r="A187" s="149"/>
      <c r="B187" s="149"/>
      <c r="C187" s="149"/>
      <c r="D187" s="149"/>
      <c r="E187" s="149"/>
      <c r="F187" s="149"/>
      <c r="G187" s="149"/>
      <c r="H187" s="149"/>
      <c r="I187" s="149"/>
      <c r="J187" s="149"/>
      <c r="K187" s="149"/>
      <c r="L187" s="149"/>
      <c r="M187" s="149"/>
      <c r="N187" s="149"/>
      <c r="O187" s="149"/>
      <c r="P187" s="149"/>
      <c r="Q187" s="149"/>
      <c r="R187" s="149"/>
      <c r="S187" s="149"/>
      <c r="T187" s="149"/>
      <c r="U187" s="149"/>
      <c r="V187" s="149"/>
      <c r="W187" s="149"/>
      <c r="X187" s="149"/>
      <c r="Y187" s="149"/>
    </row>
    <row r="188">
      <c r="A188" s="149"/>
      <c r="B188" s="149"/>
      <c r="C188" s="149"/>
      <c r="D188" s="149"/>
      <c r="E188" s="149"/>
      <c r="F188" s="149"/>
      <c r="G188" s="149"/>
      <c r="H188" s="149"/>
      <c r="I188" s="149"/>
      <c r="J188" s="149"/>
      <c r="K188" s="149"/>
      <c r="L188" s="149"/>
      <c r="M188" s="149"/>
      <c r="N188" s="149"/>
      <c r="O188" s="149"/>
      <c r="P188" s="149"/>
      <c r="Q188" s="149"/>
      <c r="R188" s="149"/>
      <c r="S188" s="149"/>
      <c r="T188" s="149"/>
      <c r="U188" s="149"/>
      <c r="V188" s="149"/>
      <c r="W188" s="149"/>
      <c r="X188" s="149"/>
      <c r="Y188" s="149"/>
    </row>
    <row r="189">
      <c r="A189" s="149"/>
      <c r="B189" s="149"/>
      <c r="C189" s="149"/>
      <c r="D189" s="149"/>
      <c r="E189" s="149"/>
      <c r="F189" s="149"/>
      <c r="G189" s="149"/>
      <c r="H189" s="149"/>
      <c r="I189" s="149"/>
      <c r="J189" s="149"/>
      <c r="K189" s="149"/>
      <c r="L189" s="149"/>
      <c r="M189" s="149"/>
      <c r="N189" s="149"/>
      <c r="O189" s="149"/>
      <c r="P189" s="149"/>
      <c r="Q189" s="149"/>
      <c r="R189" s="149"/>
      <c r="S189" s="149"/>
      <c r="T189" s="149"/>
      <c r="U189" s="149"/>
      <c r="V189" s="149"/>
      <c r="W189" s="149"/>
      <c r="X189" s="149"/>
      <c r="Y189" s="149"/>
    </row>
    <row r="190">
      <c r="A190" s="149"/>
      <c r="B190" s="149"/>
      <c r="C190" s="149"/>
      <c r="D190" s="149"/>
      <c r="E190" s="149"/>
      <c r="F190" s="149"/>
      <c r="G190" s="149"/>
      <c r="H190" s="149"/>
      <c r="I190" s="149"/>
      <c r="J190" s="149"/>
      <c r="K190" s="149"/>
      <c r="L190" s="149"/>
      <c r="M190" s="149"/>
      <c r="N190" s="149"/>
      <c r="O190" s="149"/>
      <c r="P190" s="149"/>
      <c r="Q190" s="149"/>
      <c r="R190" s="149"/>
      <c r="S190" s="149"/>
      <c r="T190" s="149"/>
      <c r="U190" s="149"/>
      <c r="V190" s="149"/>
      <c r="W190" s="149"/>
      <c r="X190" s="149"/>
      <c r="Y190" s="149"/>
    </row>
    <row r="191">
      <c r="A191" s="149"/>
      <c r="B191" s="149"/>
      <c r="C191" s="149"/>
      <c r="D191" s="149"/>
      <c r="E191" s="149"/>
      <c r="F191" s="149"/>
      <c r="G191" s="149"/>
      <c r="H191" s="149"/>
      <c r="I191" s="149"/>
      <c r="J191" s="149"/>
      <c r="K191" s="149"/>
      <c r="L191" s="149"/>
      <c r="M191" s="149"/>
      <c r="N191" s="149"/>
      <c r="O191" s="149"/>
      <c r="P191" s="149"/>
      <c r="Q191" s="149"/>
      <c r="R191" s="149"/>
      <c r="S191" s="149"/>
      <c r="T191" s="149"/>
      <c r="U191" s="149"/>
      <c r="V191" s="149"/>
      <c r="W191" s="149"/>
      <c r="X191" s="149"/>
      <c r="Y191" s="149"/>
    </row>
    <row r="192">
      <c r="A192" s="149"/>
      <c r="B192" s="149"/>
      <c r="C192" s="149"/>
      <c r="D192" s="149"/>
      <c r="E192" s="149"/>
      <c r="F192" s="149"/>
      <c r="G192" s="149"/>
      <c r="H192" s="149"/>
      <c r="I192" s="149"/>
      <c r="J192" s="149"/>
      <c r="K192" s="149"/>
      <c r="L192" s="149"/>
      <c r="M192" s="149"/>
      <c r="N192" s="149"/>
      <c r="O192" s="149"/>
      <c r="P192" s="149"/>
      <c r="Q192" s="149"/>
      <c r="R192" s="149"/>
      <c r="S192" s="149"/>
      <c r="T192" s="149"/>
      <c r="U192" s="149"/>
      <c r="V192" s="149"/>
      <c r="W192" s="149"/>
      <c r="X192" s="149"/>
      <c r="Y192" s="149"/>
    </row>
    <row r="193">
      <c r="A193" s="149"/>
      <c r="B193" s="149"/>
      <c r="C193" s="149"/>
      <c r="D193" s="149"/>
      <c r="E193" s="149"/>
      <c r="F193" s="149"/>
      <c r="G193" s="149"/>
      <c r="H193" s="149"/>
      <c r="I193" s="149"/>
      <c r="J193" s="149"/>
      <c r="K193" s="149"/>
      <c r="L193" s="149"/>
      <c r="M193" s="149"/>
      <c r="N193" s="149"/>
      <c r="O193" s="149"/>
      <c r="P193" s="149"/>
      <c r="Q193" s="149"/>
      <c r="R193" s="149"/>
      <c r="S193" s="149"/>
      <c r="T193" s="149"/>
      <c r="U193" s="149"/>
      <c r="V193" s="149"/>
      <c r="W193" s="149"/>
      <c r="X193" s="149"/>
      <c r="Y193" s="149"/>
    </row>
    <row r="194">
      <c r="A194" s="149"/>
      <c r="B194" s="149"/>
      <c r="C194" s="149"/>
      <c r="D194" s="149"/>
      <c r="E194" s="149"/>
      <c r="F194" s="149"/>
      <c r="G194" s="149"/>
      <c r="H194" s="149"/>
      <c r="I194" s="149"/>
      <c r="J194" s="149"/>
      <c r="K194" s="149"/>
      <c r="L194" s="149"/>
      <c r="M194" s="149"/>
      <c r="N194" s="149"/>
      <c r="O194" s="149"/>
      <c r="P194" s="149"/>
      <c r="Q194" s="149"/>
      <c r="R194" s="149"/>
      <c r="S194" s="149"/>
      <c r="T194" s="149"/>
      <c r="U194" s="149"/>
      <c r="V194" s="149"/>
      <c r="W194" s="149"/>
      <c r="X194" s="149"/>
      <c r="Y194" s="149"/>
    </row>
    <row r="195">
      <c r="A195" s="149"/>
      <c r="B195" s="149"/>
      <c r="C195" s="149"/>
      <c r="D195" s="149"/>
      <c r="E195" s="149"/>
      <c r="F195" s="149"/>
      <c r="G195" s="149"/>
      <c r="H195" s="149"/>
      <c r="I195" s="149"/>
      <c r="J195" s="149"/>
      <c r="K195" s="149"/>
      <c r="L195" s="149"/>
      <c r="M195" s="149"/>
      <c r="N195" s="149"/>
      <c r="O195" s="149"/>
      <c r="P195" s="149"/>
      <c r="Q195" s="149"/>
      <c r="R195" s="149"/>
      <c r="S195" s="149"/>
      <c r="T195" s="149"/>
      <c r="U195" s="149"/>
      <c r="V195" s="149"/>
      <c r="W195" s="149"/>
      <c r="X195" s="149"/>
      <c r="Y195" s="149"/>
    </row>
    <row r="196">
      <c r="A196" s="149"/>
      <c r="B196" s="149"/>
      <c r="C196" s="149"/>
      <c r="D196" s="149"/>
      <c r="E196" s="149"/>
      <c r="F196" s="149"/>
      <c r="G196" s="149"/>
      <c r="H196" s="149"/>
      <c r="I196" s="149"/>
      <c r="J196" s="149"/>
      <c r="K196" s="149"/>
      <c r="L196" s="149"/>
      <c r="M196" s="149"/>
      <c r="N196" s="149"/>
      <c r="O196" s="149"/>
      <c r="P196" s="149"/>
      <c r="Q196" s="149"/>
      <c r="R196" s="149"/>
      <c r="S196" s="149"/>
      <c r="T196" s="149"/>
      <c r="U196" s="149"/>
      <c r="V196" s="149"/>
      <c r="W196" s="149"/>
      <c r="X196" s="149"/>
      <c r="Y196" s="149"/>
    </row>
    <row r="197">
      <c r="A197" s="149"/>
      <c r="B197" s="149"/>
      <c r="C197" s="149"/>
      <c r="D197" s="149"/>
      <c r="E197" s="149"/>
      <c r="F197" s="149"/>
      <c r="G197" s="149"/>
      <c r="H197" s="149"/>
      <c r="I197" s="149"/>
      <c r="J197" s="149"/>
      <c r="K197" s="149"/>
      <c r="L197" s="149"/>
      <c r="M197" s="149"/>
      <c r="N197" s="149"/>
      <c r="O197" s="149"/>
      <c r="P197" s="149"/>
      <c r="Q197" s="149"/>
      <c r="R197" s="149"/>
      <c r="S197" s="149"/>
      <c r="T197" s="149"/>
      <c r="U197" s="149"/>
      <c r="V197" s="149"/>
      <c r="W197" s="149"/>
      <c r="X197" s="149"/>
      <c r="Y197" s="149"/>
    </row>
    <row r="198">
      <c r="A198" s="149"/>
      <c r="B198" s="149"/>
      <c r="C198" s="149"/>
      <c r="D198" s="149"/>
      <c r="E198" s="149"/>
      <c r="F198" s="149"/>
      <c r="G198" s="149"/>
      <c r="H198" s="149"/>
      <c r="I198" s="149"/>
      <c r="J198" s="149"/>
      <c r="K198" s="149"/>
      <c r="L198" s="149"/>
      <c r="M198" s="149"/>
      <c r="N198" s="149"/>
      <c r="O198" s="149"/>
      <c r="P198" s="149"/>
      <c r="Q198" s="149"/>
      <c r="R198" s="149"/>
      <c r="S198" s="149"/>
      <c r="T198" s="149"/>
      <c r="U198" s="149"/>
      <c r="V198" s="149"/>
      <c r="W198" s="149"/>
      <c r="X198" s="149"/>
      <c r="Y198" s="149"/>
    </row>
    <row r="199">
      <c r="A199" s="149"/>
      <c r="B199" s="149"/>
      <c r="C199" s="149"/>
      <c r="D199" s="149"/>
      <c r="E199" s="149"/>
      <c r="F199" s="149"/>
      <c r="G199" s="149"/>
      <c r="H199" s="149"/>
      <c r="I199" s="149"/>
      <c r="J199" s="149"/>
      <c r="K199" s="149"/>
      <c r="L199" s="149"/>
      <c r="M199" s="149"/>
      <c r="N199" s="149"/>
      <c r="O199" s="149"/>
      <c r="P199" s="149"/>
      <c r="Q199" s="149"/>
      <c r="R199" s="149"/>
      <c r="S199" s="149"/>
      <c r="T199" s="149"/>
      <c r="U199" s="149"/>
      <c r="V199" s="149"/>
      <c r="W199" s="149"/>
      <c r="X199" s="149"/>
      <c r="Y199" s="149"/>
    </row>
    <row r="200">
      <c r="A200" s="149"/>
      <c r="B200" s="149"/>
      <c r="C200" s="149"/>
      <c r="D200" s="149"/>
      <c r="E200" s="149"/>
      <c r="F200" s="149"/>
      <c r="G200" s="149"/>
      <c r="H200" s="149"/>
      <c r="I200" s="149"/>
      <c r="J200" s="149"/>
      <c r="K200" s="149"/>
      <c r="L200" s="149"/>
      <c r="M200" s="149"/>
      <c r="N200" s="149"/>
      <c r="O200" s="149"/>
      <c r="P200" s="149"/>
      <c r="Q200" s="149"/>
      <c r="R200" s="149"/>
      <c r="S200" s="149"/>
      <c r="T200" s="149"/>
      <c r="U200" s="149"/>
      <c r="V200" s="149"/>
      <c r="W200" s="149"/>
      <c r="X200" s="149"/>
      <c r="Y200" s="149"/>
    </row>
    <row r="201">
      <c r="A201" s="149"/>
      <c r="B201" s="149"/>
      <c r="C201" s="149"/>
      <c r="D201" s="149"/>
      <c r="E201" s="149"/>
      <c r="F201" s="149"/>
      <c r="G201" s="149"/>
      <c r="H201" s="149"/>
      <c r="I201" s="149"/>
      <c r="J201" s="149"/>
      <c r="K201" s="149"/>
      <c r="L201" s="149"/>
      <c r="M201" s="149"/>
      <c r="N201" s="149"/>
      <c r="O201" s="149"/>
      <c r="P201" s="149"/>
      <c r="Q201" s="149"/>
      <c r="R201" s="149"/>
      <c r="S201" s="149"/>
      <c r="T201" s="149"/>
      <c r="U201" s="149"/>
      <c r="V201" s="149"/>
      <c r="W201" s="149"/>
      <c r="X201" s="149"/>
      <c r="Y201" s="149"/>
    </row>
    <row r="202">
      <c r="A202" s="149"/>
      <c r="B202" s="149"/>
      <c r="C202" s="149"/>
      <c r="D202" s="149"/>
      <c r="E202" s="149"/>
      <c r="F202" s="149"/>
      <c r="G202" s="149"/>
      <c r="H202" s="149"/>
      <c r="I202" s="149"/>
      <c r="J202" s="149"/>
      <c r="K202" s="149"/>
      <c r="L202" s="149"/>
      <c r="M202" s="149"/>
      <c r="N202" s="149"/>
      <c r="O202" s="149"/>
      <c r="P202" s="149"/>
      <c r="Q202" s="149"/>
      <c r="R202" s="149"/>
      <c r="S202" s="149"/>
      <c r="T202" s="149"/>
      <c r="U202" s="149"/>
      <c r="V202" s="149"/>
      <c r="W202" s="149"/>
      <c r="X202" s="149"/>
      <c r="Y202" s="149"/>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16.86"/>
    <col customWidth="1" min="4" max="4" width="19.43"/>
    <col customWidth="1" min="5" max="5" width="16.0"/>
    <col customWidth="1" min="8" max="12" width="20.14"/>
  </cols>
  <sheetData>
    <row r="1" ht="26.25" customHeight="1">
      <c r="A1" s="86" t="s">
        <v>672</v>
      </c>
      <c r="B1" s="10" t="s">
        <v>2</v>
      </c>
      <c r="C1" s="11" t="s">
        <v>3</v>
      </c>
      <c r="D1" s="12" t="s">
        <v>533</v>
      </c>
      <c r="E1" s="12" t="s">
        <v>599</v>
      </c>
      <c r="F1" s="12" t="s">
        <v>767</v>
      </c>
      <c r="G1" s="12" t="s">
        <v>768</v>
      </c>
      <c r="H1" s="12" t="s">
        <v>769</v>
      </c>
      <c r="I1" s="12" t="s">
        <v>770</v>
      </c>
      <c r="J1" s="12" t="s">
        <v>771</v>
      </c>
      <c r="K1" s="12" t="s">
        <v>772</v>
      </c>
      <c r="L1" s="12" t="s">
        <v>773</v>
      </c>
      <c r="M1" s="161" t="s">
        <v>774</v>
      </c>
      <c r="N1" s="161" t="s">
        <v>775</v>
      </c>
      <c r="O1" s="161" t="s">
        <v>776</v>
      </c>
      <c r="P1" s="161" t="s">
        <v>777</v>
      </c>
      <c r="Q1" s="12" t="s">
        <v>680</v>
      </c>
      <c r="R1" s="12" t="s">
        <v>681</v>
      </c>
      <c r="Y1" s="12" t="s">
        <v>778</v>
      </c>
    </row>
    <row r="2" ht="36.0" customHeight="1">
      <c r="A2" s="13">
        <v>0.0</v>
      </c>
      <c r="B2" s="13">
        <v>66.0</v>
      </c>
      <c r="C2" s="14" t="str">
        <f>VLOOKUP(B2,companies!$A:$B,2,FALSE)</f>
        <v>Microsoft Corp.</v>
      </c>
      <c r="D2" s="15" t="s">
        <v>535</v>
      </c>
      <c r="E2" s="15" t="s">
        <v>581</v>
      </c>
      <c r="F2" s="24" t="s">
        <v>779</v>
      </c>
      <c r="G2" s="24" t="s">
        <v>780</v>
      </c>
      <c r="H2" s="24" t="s">
        <v>682</v>
      </c>
      <c r="I2" s="24" t="s">
        <v>781</v>
      </c>
      <c r="J2" s="24" t="s">
        <v>683</v>
      </c>
      <c r="K2" s="24" t="s">
        <v>682</v>
      </c>
      <c r="L2" s="24" t="s">
        <v>682</v>
      </c>
      <c r="M2" s="24" t="s">
        <v>682</v>
      </c>
      <c r="N2" s="24" t="s">
        <v>682</v>
      </c>
      <c r="O2" s="24" t="s">
        <v>782</v>
      </c>
      <c r="P2" s="13" t="s">
        <v>783</v>
      </c>
      <c r="Q2" s="24"/>
      <c r="R2" s="24"/>
      <c r="Y2" s="1" t="str">
        <f t="shared" ref="Y2:Y25" si="1">"id"&amp;B2&amp;"target"&amp;E2</f>
        <v>id66targetpublic</v>
      </c>
    </row>
    <row r="3">
      <c r="A3" s="13">
        <f t="shared" ref="A3:A35" si="2">A2+1</f>
        <v>1</v>
      </c>
      <c r="B3" s="13">
        <v>66.0</v>
      </c>
      <c r="C3" s="14" t="str">
        <f>VLOOKUP(B3,companies!$A:$B,2,FALSE)</f>
        <v>Microsoft Corp.</v>
      </c>
      <c r="D3" s="15" t="s">
        <v>535</v>
      </c>
      <c r="E3" s="15" t="s">
        <v>687</v>
      </c>
      <c r="F3" s="24" t="s">
        <v>784</v>
      </c>
      <c r="G3" s="162">
        <v>43474.0</v>
      </c>
      <c r="H3" s="24" t="s">
        <v>683</v>
      </c>
      <c r="I3" s="24" t="s">
        <v>785</v>
      </c>
      <c r="J3" s="24" t="s">
        <v>786</v>
      </c>
      <c r="K3" s="24" t="s">
        <v>683</v>
      </c>
      <c r="L3" s="24" t="s">
        <v>682</v>
      </c>
      <c r="M3" s="24" t="s">
        <v>683</v>
      </c>
      <c r="N3" s="24" t="s">
        <v>683</v>
      </c>
      <c r="O3" s="24" t="s">
        <v>683</v>
      </c>
      <c r="P3" s="13" t="s">
        <v>683</v>
      </c>
      <c r="Q3" s="24"/>
      <c r="R3" s="24"/>
      <c r="Y3" s="1" t="str">
        <f t="shared" si="1"/>
        <v>id66targetsbti</v>
      </c>
    </row>
    <row r="4">
      <c r="A4" s="13">
        <f t="shared" si="2"/>
        <v>2</v>
      </c>
      <c r="B4" s="13">
        <v>1.0</v>
      </c>
      <c r="C4" s="14" t="str">
        <f>VLOOKUP(B4,companies!$A:$B,2,FALSE)</f>
        <v>3M</v>
      </c>
      <c r="D4" s="15" t="s">
        <v>535</v>
      </c>
      <c r="E4" s="15" t="s">
        <v>581</v>
      </c>
      <c r="F4" s="24" t="s">
        <v>787</v>
      </c>
      <c r="G4" s="24" t="s">
        <v>788</v>
      </c>
      <c r="H4" s="24" t="s">
        <v>682</v>
      </c>
      <c r="I4" s="24" t="s">
        <v>781</v>
      </c>
      <c r="J4" s="24" t="s">
        <v>683</v>
      </c>
      <c r="K4" s="24" t="s">
        <v>683</v>
      </c>
      <c r="L4" s="24" t="s">
        <v>682</v>
      </c>
      <c r="M4" s="24" t="s">
        <v>582</v>
      </c>
      <c r="N4" s="24" t="s">
        <v>582</v>
      </c>
      <c r="O4" s="24" t="s">
        <v>582</v>
      </c>
      <c r="P4" s="13" t="s">
        <v>783</v>
      </c>
      <c r="Q4" s="24" t="s">
        <v>789</v>
      </c>
      <c r="R4" s="24" t="s">
        <v>682</v>
      </c>
      <c r="Y4" s="1" t="str">
        <f t="shared" si="1"/>
        <v>id1targetpublic</v>
      </c>
    </row>
    <row r="5">
      <c r="A5" s="13">
        <f t="shared" si="2"/>
        <v>3</v>
      </c>
      <c r="B5" s="13">
        <v>2.0</v>
      </c>
      <c r="C5" s="14" t="str">
        <f>VLOOKUP(B5,companies!$A:$B,2,FALSE)</f>
        <v>Abbott Laboratories</v>
      </c>
      <c r="D5" s="15" t="s">
        <v>535</v>
      </c>
      <c r="E5" s="15" t="s">
        <v>581</v>
      </c>
      <c r="F5" s="24" t="s">
        <v>790</v>
      </c>
      <c r="G5" s="24" t="s">
        <v>791</v>
      </c>
      <c r="H5" s="24" t="s">
        <v>582</v>
      </c>
      <c r="I5" s="24" t="s">
        <v>781</v>
      </c>
      <c r="J5" s="24" t="s">
        <v>683</v>
      </c>
      <c r="K5" s="24" t="s">
        <v>683</v>
      </c>
      <c r="L5" s="24" t="s">
        <v>682</v>
      </c>
      <c r="M5" s="24" t="s">
        <v>582</v>
      </c>
      <c r="N5" s="24" t="s">
        <v>582</v>
      </c>
      <c r="O5" s="24" t="s">
        <v>582</v>
      </c>
      <c r="P5" s="13" t="s">
        <v>783</v>
      </c>
      <c r="Q5" s="24"/>
      <c r="R5" s="24"/>
      <c r="Y5" s="1" t="str">
        <f t="shared" si="1"/>
        <v>id2targetpublic</v>
      </c>
    </row>
    <row r="6">
      <c r="A6" s="13">
        <f t="shared" si="2"/>
        <v>4</v>
      </c>
      <c r="B6" s="13">
        <v>3.0</v>
      </c>
      <c r="C6" s="14" t="str">
        <f>VLOOKUP(B6,companies!$A:$B,2,FALSE)</f>
        <v>AbbVie Inc.</v>
      </c>
      <c r="D6" s="15" t="s">
        <v>535</v>
      </c>
      <c r="E6" s="15" t="s">
        <v>581</v>
      </c>
      <c r="F6" s="24" t="s">
        <v>792</v>
      </c>
      <c r="G6" s="16">
        <v>42370.0</v>
      </c>
      <c r="H6" s="24" t="s">
        <v>582</v>
      </c>
      <c r="I6" s="24" t="s">
        <v>781</v>
      </c>
      <c r="J6" s="24" t="s">
        <v>683</v>
      </c>
      <c r="K6" s="24" t="s">
        <v>683</v>
      </c>
      <c r="L6" s="24" t="s">
        <v>682</v>
      </c>
      <c r="M6" s="24" t="s">
        <v>582</v>
      </c>
      <c r="N6" s="24" t="s">
        <v>582</v>
      </c>
      <c r="O6" s="24" t="s">
        <v>582</v>
      </c>
      <c r="P6" s="13" t="s">
        <v>783</v>
      </c>
      <c r="Q6" s="24" t="s">
        <v>793</v>
      </c>
      <c r="R6" s="24"/>
      <c r="Y6" s="1" t="str">
        <f t="shared" si="1"/>
        <v>id3targetpublic</v>
      </c>
    </row>
    <row r="7">
      <c r="A7" s="13">
        <f t="shared" si="2"/>
        <v>5</v>
      </c>
      <c r="B7" s="13">
        <v>3.0</v>
      </c>
      <c r="C7" s="14" t="str">
        <f>VLOOKUP(B7,companies!$A:$B,2,FALSE)</f>
        <v>AbbVie Inc.</v>
      </c>
      <c r="D7" s="15" t="s">
        <v>535</v>
      </c>
      <c r="E7" s="15" t="s">
        <v>687</v>
      </c>
      <c r="F7" s="24"/>
      <c r="G7" s="16">
        <v>44202.0</v>
      </c>
      <c r="H7" s="24" t="s">
        <v>683</v>
      </c>
      <c r="I7" s="24" t="s">
        <v>794</v>
      </c>
      <c r="J7" s="24" t="s">
        <v>795</v>
      </c>
      <c r="K7" s="24" t="s">
        <v>683</v>
      </c>
      <c r="L7" s="24" t="s">
        <v>682</v>
      </c>
      <c r="M7" s="24" t="s">
        <v>683</v>
      </c>
      <c r="N7" s="24" t="s">
        <v>683</v>
      </c>
      <c r="O7" s="24" t="s">
        <v>683</v>
      </c>
      <c r="P7" s="13" t="s">
        <v>683</v>
      </c>
      <c r="Q7" s="24"/>
      <c r="R7" s="24"/>
      <c r="Y7" s="1" t="str">
        <f t="shared" si="1"/>
        <v>id3targetsbti</v>
      </c>
    </row>
    <row r="8">
      <c r="A8" s="13">
        <f t="shared" si="2"/>
        <v>6</v>
      </c>
      <c r="B8" s="13">
        <v>4.0</v>
      </c>
      <c r="C8" s="14" t="str">
        <f>VLOOKUP(B8,companies!$A:$B,2,FALSE)</f>
        <v>Accenture</v>
      </c>
      <c r="D8" s="15" t="s">
        <v>535</v>
      </c>
      <c r="E8" s="15" t="s">
        <v>687</v>
      </c>
      <c r="F8" s="24" t="s">
        <v>796</v>
      </c>
      <c r="G8" s="16">
        <v>43112.0</v>
      </c>
      <c r="H8" s="24" t="s">
        <v>683</v>
      </c>
      <c r="I8" s="24" t="s">
        <v>785</v>
      </c>
      <c r="J8" s="24" t="s">
        <v>786</v>
      </c>
      <c r="K8" s="24" t="s">
        <v>683</v>
      </c>
      <c r="L8" s="24" t="s">
        <v>682</v>
      </c>
      <c r="M8" s="24" t="s">
        <v>683</v>
      </c>
      <c r="N8" s="24" t="s">
        <v>683</v>
      </c>
      <c r="O8" s="24" t="s">
        <v>683</v>
      </c>
      <c r="P8" s="24" t="s">
        <v>683</v>
      </c>
      <c r="Q8" s="24"/>
      <c r="R8" s="24"/>
      <c r="Y8" s="1" t="str">
        <f t="shared" si="1"/>
        <v>id4targetsbti</v>
      </c>
    </row>
    <row r="9">
      <c r="A9" s="13">
        <f t="shared" si="2"/>
        <v>7</v>
      </c>
      <c r="B9" s="13">
        <v>4.0</v>
      </c>
      <c r="C9" s="14" t="str">
        <f>VLOOKUP(B9,companies!$A:$B,2,FALSE)</f>
        <v>Accenture</v>
      </c>
      <c r="D9" s="15" t="s">
        <v>535</v>
      </c>
      <c r="E9" s="15" t="s">
        <v>581</v>
      </c>
      <c r="F9" s="24" t="s">
        <v>797</v>
      </c>
      <c r="G9" s="16">
        <v>44053.0</v>
      </c>
      <c r="H9" s="24" t="s">
        <v>682</v>
      </c>
      <c r="I9" s="24" t="s">
        <v>781</v>
      </c>
      <c r="J9" s="24" t="s">
        <v>683</v>
      </c>
      <c r="K9" s="24" t="s">
        <v>683</v>
      </c>
      <c r="L9" s="24" t="s">
        <v>682</v>
      </c>
      <c r="M9" s="24" t="s">
        <v>582</v>
      </c>
      <c r="N9" s="24" t="s">
        <v>582</v>
      </c>
      <c r="O9" s="24" t="s">
        <v>798</v>
      </c>
      <c r="P9" s="13" t="s">
        <v>783</v>
      </c>
      <c r="Q9" s="24" t="s">
        <v>799</v>
      </c>
      <c r="R9" s="36" t="s">
        <v>682</v>
      </c>
      <c r="Y9" s="1" t="str">
        <f t="shared" si="1"/>
        <v>id4targetpublic</v>
      </c>
    </row>
    <row r="10">
      <c r="A10" s="13">
        <f t="shared" si="2"/>
        <v>8</v>
      </c>
      <c r="B10" s="13">
        <v>5.0</v>
      </c>
      <c r="C10" s="14" t="str">
        <f>VLOOKUP(B10,companies!$A:$B,2,FALSE)</f>
        <v>Adobe Inc.</v>
      </c>
      <c r="D10" s="15" t="s">
        <v>535</v>
      </c>
      <c r="E10" s="15" t="s">
        <v>687</v>
      </c>
      <c r="F10" s="24" t="s">
        <v>800</v>
      </c>
      <c r="G10" s="16">
        <v>44288.0</v>
      </c>
      <c r="H10" s="24" t="s">
        <v>683</v>
      </c>
      <c r="I10" s="24" t="s">
        <v>785</v>
      </c>
      <c r="J10" s="24" t="s">
        <v>786</v>
      </c>
      <c r="K10" s="24" t="s">
        <v>683</v>
      </c>
      <c r="L10" s="24" t="s">
        <v>682</v>
      </c>
      <c r="M10" s="24"/>
      <c r="N10" s="24"/>
      <c r="O10" s="24" t="s">
        <v>801</v>
      </c>
      <c r="P10" s="13"/>
      <c r="Q10" s="24" t="s">
        <v>802</v>
      </c>
      <c r="R10" s="24" t="s">
        <v>682</v>
      </c>
      <c r="Y10" s="1" t="str">
        <f t="shared" si="1"/>
        <v>id5targetsbti</v>
      </c>
    </row>
    <row r="11">
      <c r="A11" s="13">
        <f t="shared" si="2"/>
        <v>9</v>
      </c>
      <c r="B11" s="13">
        <v>6.0</v>
      </c>
      <c r="C11" s="14" t="str">
        <f>VLOOKUP(B11,companies!$A:$B,2,FALSE)</f>
        <v>Allstate Corp</v>
      </c>
      <c r="D11" s="15" t="s">
        <v>535</v>
      </c>
      <c r="E11" s="15" t="s">
        <v>581</v>
      </c>
      <c r="F11" s="24" t="s">
        <v>803</v>
      </c>
      <c r="G11" s="15" t="s">
        <v>804</v>
      </c>
      <c r="H11" s="24" t="s">
        <v>582</v>
      </c>
      <c r="I11" s="24" t="s">
        <v>805</v>
      </c>
      <c r="J11" s="24" t="s">
        <v>683</v>
      </c>
      <c r="K11" s="24" t="s">
        <v>683</v>
      </c>
      <c r="L11" s="24" t="s">
        <v>682</v>
      </c>
      <c r="M11" s="24" t="s">
        <v>582</v>
      </c>
      <c r="N11" s="24" t="s">
        <v>582</v>
      </c>
      <c r="O11" s="24" t="s">
        <v>582</v>
      </c>
      <c r="P11" s="13" t="s">
        <v>582</v>
      </c>
      <c r="Q11" s="24" t="s">
        <v>806</v>
      </c>
      <c r="R11" s="24"/>
      <c r="Y11" s="1" t="str">
        <f t="shared" si="1"/>
        <v>id6targetpublic</v>
      </c>
    </row>
    <row r="12" ht="25.5" customHeight="1">
      <c r="A12" s="13">
        <f t="shared" si="2"/>
        <v>10</v>
      </c>
      <c r="B12" s="13">
        <v>7.0</v>
      </c>
      <c r="C12" s="14" t="str">
        <f>VLOOKUP(B12,companies!$A:$B,2,FALSE)</f>
        <v>Alphabet Inc. Google</v>
      </c>
      <c r="D12" s="16">
        <v>44204.0</v>
      </c>
      <c r="E12" s="15" t="s">
        <v>581</v>
      </c>
      <c r="F12" s="24" t="s">
        <v>807</v>
      </c>
      <c r="G12" s="15" t="s">
        <v>808</v>
      </c>
      <c r="H12" s="163" t="s">
        <v>682</v>
      </c>
      <c r="I12" s="24" t="s">
        <v>781</v>
      </c>
      <c r="J12" s="24" t="s">
        <v>683</v>
      </c>
      <c r="K12" s="24" t="s">
        <v>683</v>
      </c>
      <c r="L12" s="24" t="s">
        <v>682</v>
      </c>
      <c r="M12" s="24" t="s">
        <v>682</v>
      </c>
      <c r="N12" s="24" t="s">
        <v>582</v>
      </c>
      <c r="O12" s="24" t="s">
        <v>809</v>
      </c>
      <c r="P12" s="13" t="s">
        <v>783</v>
      </c>
      <c r="Q12" s="24" t="s">
        <v>810</v>
      </c>
      <c r="R12" s="24"/>
      <c r="Y12" s="1" t="str">
        <f t="shared" si="1"/>
        <v>id7targetpublic</v>
      </c>
    </row>
    <row r="13">
      <c r="A13" s="13">
        <f t="shared" si="2"/>
        <v>11</v>
      </c>
      <c r="B13" s="13">
        <v>8.0</v>
      </c>
      <c r="C13" s="14" t="str">
        <f>VLOOKUP(B13,companies!$A:$B,2,FALSE)</f>
        <v>Altria Group Inc</v>
      </c>
      <c r="D13" s="16">
        <v>44204.0</v>
      </c>
      <c r="E13" s="15" t="s">
        <v>687</v>
      </c>
      <c r="F13" s="24" t="s">
        <v>811</v>
      </c>
      <c r="G13" s="162">
        <v>44081.0</v>
      </c>
      <c r="H13" s="24" t="s">
        <v>683</v>
      </c>
      <c r="I13" s="24" t="s">
        <v>785</v>
      </c>
      <c r="J13" s="24" t="s">
        <v>786</v>
      </c>
      <c r="K13" s="24" t="s">
        <v>683</v>
      </c>
      <c r="L13" s="24" t="s">
        <v>682</v>
      </c>
      <c r="M13" s="24" t="s">
        <v>582</v>
      </c>
      <c r="N13" s="24" t="s">
        <v>582</v>
      </c>
      <c r="O13" s="24" t="s">
        <v>582</v>
      </c>
      <c r="P13" s="13" t="s">
        <v>783</v>
      </c>
      <c r="Q13" s="24"/>
      <c r="R13" s="24"/>
      <c r="Y13" s="1" t="str">
        <f t="shared" si="1"/>
        <v>id8targetsbti</v>
      </c>
    </row>
    <row r="14">
      <c r="A14" s="13">
        <f t="shared" si="2"/>
        <v>12</v>
      </c>
      <c r="B14" s="13">
        <v>10.0</v>
      </c>
      <c r="C14" s="14" t="str">
        <f>VLOOKUP(B14,companies!$A:$B,2,FALSE)</f>
        <v>American Express</v>
      </c>
      <c r="D14" s="16">
        <v>44204.0</v>
      </c>
      <c r="E14" s="15" t="s">
        <v>581</v>
      </c>
      <c r="F14" s="24" t="s">
        <v>812</v>
      </c>
      <c r="G14" s="24" t="s">
        <v>813</v>
      </c>
      <c r="H14" s="24" t="s">
        <v>582</v>
      </c>
      <c r="I14" s="24" t="s">
        <v>781</v>
      </c>
      <c r="J14" s="24" t="s">
        <v>683</v>
      </c>
      <c r="K14" s="24" t="s">
        <v>683</v>
      </c>
      <c r="L14" s="24" t="s">
        <v>682</v>
      </c>
      <c r="M14" s="24" t="s">
        <v>682</v>
      </c>
      <c r="N14" s="24" t="s">
        <v>582</v>
      </c>
      <c r="O14" s="24" t="s">
        <v>582</v>
      </c>
      <c r="P14" s="24" t="s">
        <v>582</v>
      </c>
      <c r="Q14" s="24" t="s">
        <v>814</v>
      </c>
      <c r="R14" s="24"/>
      <c r="Y14" s="1" t="str">
        <f t="shared" si="1"/>
        <v>id10targetpublic</v>
      </c>
    </row>
    <row r="15">
      <c r="A15" s="13">
        <f t="shared" si="2"/>
        <v>13</v>
      </c>
      <c r="B15" s="13">
        <v>11.0</v>
      </c>
      <c r="C15" s="14" t="str">
        <f>VLOOKUP(B15,companies!$A:$B,2,FALSE)</f>
        <v>American International Group (AIG)</v>
      </c>
      <c r="D15" s="16">
        <v>44204.0</v>
      </c>
      <c r="E15" s="15" t="s">
        <v>581</v>
      </c>
      <c r="F15" s="24" t="s">
        <v>815</v>
      </c>
      <c r="G15" s="16">
        <v>44202.0</v>
      </c>
      <c r="H15" s="24" t="s">
        <v>682</v>
      </c>
      <c r="I15" s="24" t="s">
        <v>781</v>
      </c>
      <c r="J15" s="24" t="s">
        <v>683</v>
      </c>
      <c r="K15" s="24" t="s">
        <v>683</v>
      </c>
      <c r="L15" s="24" t="s">
        <v>682</v>
      </c>
      <c r="M15" s="24" t="s">
        <v>582</v>
      </c>
      <c r="N15" s="24" t="s">
        <v>582</v>
      </c>
      <c r="O15" s="24" t="s">
        <v>582</v>
      </c>
      <c r="P15" s="24" t="s">
        <v>582</v>
      </c>
      <c r="Q15" s="24" t="s">
        <v>816</v>
      </c>
      <c r="R15" s="24"/>
      <c r="Y15" s="1" t="str">
        <f t="shared" si="1"/>
        <v>id11targetpublic</v>
      </c>
    </row>
    <row r="16">
      <c r="A16" s="13">
        <f t="shared" si="2"/>
        <v>14</v>
      </c>
      <c r="B16" s="13">
        <v>12.0</v>
      </c>
      <c r="C16" s="14" t="str">
        <f>VLOOKUP(B16,companies!$A:$B,2,FALSE)</f>
        <v>American Tower</v>
      </c>
      <c r="D16" s="16">
        <v>44204.0</v>
      </c>
      <c r="E16" s="15" t="s">
        <v>581</v>
      </c>
      <c r="F16" s="24" t="s">
        <v>683</v>
      </c>
      <c r="G16" s="24" t="s">
        <v>683</v>
      </c>
      <c r="H16" s="24" t="s">
        <v>683</v>
      </c>
      <c r="I16" s="24" t="s">
        <v>817</v>
      </c>
      <c r="J16" s="24" t="s">
        <v>683</v>
      </c>
      <c r="K16" s="24" t="s">
        <v>683</v>
      </c>
      <c r="L16" s="24" t="s">
        <v>683</v>
      </c>
      <c r="M16" s="24" t="s">
        <v>683</v>
      </c>
      <c r="N16" s="24" t="s">
        <v>683</v>
      </c>
      <c r="O16" s="24" t="s">
        <v>683</v>
      </c>
      <c r="P16" s="24" t="s">
        <v>683</v>
      </c>
      <c r="Q16" s="24" t="s">
        <v>818</v>
      </c>
      <c r="R16" s="24"/>
      <c r="Y16" s="1" t="str">
        <f t="shared" si="1"/>
        <v>id12targetpublic</v>
      </c>
    </row>
    <row r="17">
      <c r="A17" s="13">
        <f t="shared" si="2"/>
        <v>15</v>
      </c>
      <c r="B17" s="13">
        <v>13.0</v>
      </c>
      <c r="C17" s="14" t="str">
        <f>VLOOKUP(B17,companies!$A:$B,2,FALSE)</f>
        <v>Amgen Inc.</v>
      </c>
      <c r="D17" s="16">
        <v>44235.0</v>
      </c>
      <c r="E17" s="15" t="s">
        <v>581</v>
      </c>
      <c r="F17" s="24" t="s">
        <v>819</v>
      </c>
      <c r="G17" s="164">
        <v>44501.0</v>
      </c>
      <c r="H17" s="24" t="s">
        <v>682</v>
      </c>
      <c r="I17" s="24" t="s">
        <v>781</v>
      </c>
      <c r="J17" s="24" t="s">
        <v>683</v>
      </c>
      <c r="K17" s="24" t="s">
        <v>683</v>
      </c>
      <c r="L17" s="24" t="s">
        <v>682</v>
      </c>
      <c r="M17" s="24" t="s">
        <v>582</v>
      </c>
      <c r="N17" s="24" t="s">
        <v>582</v>
      </c>
      <c r="O17" s="24" t="s">
        <v>820</v>
      </c>
      <c r="P17" s="24" t="s">
        <v>783</v>
      </c>
      <c r="Q17" s="24" t="s">
        <v>821</v>
      </c>
      <c r="R17" s="24"/>
      <c r="Y17" s="1" t="str">
        <f t="shared" si="1"/>
        <v>id13targetpublic</v>
      </c>
    </row>
    <row r="18">
      <c r="A18" s="13">
        <f t="shared" si="2"/>
        <v>16</v>
      </c>
      <c r="B18" s="13">
        <v>14.0</v>
      </c>
      <c r="C18" s="14" t="str">
        <f>VLOOKUP(B18,companies!$A:$B,2,FALSE)</f>
        <v>Apple Inc.</v>
      </c>
      <c r="D18" s="16">
        <v>44235.0</v>
      </c>
      <c r="E18" s="15" t="s">
        <v>581</v>
      </c>
      <c r="F18" s="24" t="s">
        <v>822</v>
      </c>
      <c r="G18" s="24" t="s">
        <v>823</v>
      </c>
      <c r="H18" s="24" t="s">
        <v>682</v>
      </c>
      <c r="I18" s="24" t="s">
        <v>781</v>
      </c>
      <c r="J18" s="24" t="s">
        <v>683</v>
      </c>
      <c r="K18" s="24" t="s">
        <v>683</v>
      </c>
      <c r="L18" s="24" t="s">
        <v>682</v>
      </c>
      <c r="M18" s="24" t="s">
        <v>682</v>
      </c>
      <c r="N18" s="24" t="s">
        <v>682</v>
      </c>
      <c r="O18" s="24" t="s">
        <v>824</v>
      </c>
      <c r="P18" s="13" t="s">
        <v>825</v>
      </c>
      <c r="Q18" s="13"/>
      <c r="R18" s="13"/>
      <c r="Y18" s="1" t="str">
        <f t="shared" si="1"/>
        <v>id14targetpublic</v>
      </c>
    </row>
    <row r="19">
      <c r="A19" s="13">
        <f t="shared" si="2"/>
        <v>17</v>
      </c>
      <c r="B19" s="13">
        <v>14.0</v>
      </c>
      <c r="C19" s="14" t="str">
        <f>VLOOKUP(B19,companies!$A:$B,2,FALSE)</f>
        <v>Apple Inc.</v>
      </c>
      <c r="D19" s="16">
        <v>44235.0</v>
      </c>
      <c r="E19" s="15" t="s">
        <v>687</v>
      </c>
      <c r="F19" s="24" t="s">
        <v>826</v>
      </c>
      <c r="G19" s="164">
        <v>44201.0</v>
      </c>
      <c r="H19" s="24" t="s">
        <v>683</v>
      </c>
      <c r="I19" s="24" t="s">
        <v>785</v>
      </c>
      <c r="J19" s="24" t="s">
        <v>786</v>
      </c>
      <c r="K19" s="24" t="s">
        <v>683</v>
      </c>
      <c r="L19" s="24" t="s">
        <v>682</v>
      </c>
      <c r="M19" s="24" t="s">
        <v>683</v>
      </c>
      <c r="N19" s="24" t="s">
        <v>683</v>
      </c>
      <c r="O19" s="24" t="s">
        <v>683</v>
      </c>
      <c r="P19" s="24" t="s">
        <v>683</v>
      </c>
      <c r="Q19" s="24" t="s">
        <v>827</v>
      </c>
      <c r="R19" s="13"/>
      <c r="Y19" s="1" t="str">
        <f t="shared" si="1"/>
        <v>id14targetsbti</v>
      </c>
    </row>
    <row r="20">
      <c r="A20" s="13">
        <f t="shared" si="2"/>
        <v>18</v>
      </c>
      <c r="B20" s="13">
        <v>15.0</v>
      </c>
      <c r="C20" s="14" t="str">
        <f>VLOOKUP(B20,companies!$A:$B,2,FALSE)</f>
        <v>AT&amp;T Inc.</v>
      </c>
      <c r="D20" s="16">
        <v>44235.0</v>
      </c>
      <c r="E20" s="15" t="s">
        <v>687</v>
      </c>
      <c r="F20" s="24" t="s">
        <v>828</v>
      </c>
      <c r="G20" s="164">
        <v>43833.0</v>
      </c>
      <c r="H20" s="24" t="s">
        <v>683</v>
      </c>
      <c r="I20" s="24" t="s">
        <v>785</v>
      </c>
      <c r="J20" s="24" t="s">
        <v>786</v>
      </c>
      <c r="K20" s="24" t="s">
        <v>683</v>
      </c>
      <c r="L20" s="24" t="s">
        <v>682</v>
      </c>
      <c r="M20" s="24" t="s">
        <v>683</v>
      </c>
      <c r="N20" s="24" t="s">
        <v>683</v>
      </c>
      <c r="O20" s="24" t="s">
        <v>683</v>
      </c>
      <c r="P20" s="24" t="s">
        <v>683</v>
      </c>
      <c r="Q20" s="165"/>
      <c r="R20" s="13"/>
      <c r="Y20" s="1" t="str">
        <f t="shared" si="1"/>
        <v>id15targetsbti</v>
      </c>
    </row>
    <row r="21">
      <c r="A21" s="13">
        <f t="shared" si="2"/>
        <v>19</v>
      </c>
      <c r="B21" s="13">
        <v>15.0</v>
      </c>
      <c r="C21" s="14" t="str">
        <f>VLOOKUP(B21,companies!$A:$B,2,FALSE)</f>
        <v>AT&amp;T Inc.</v>
      </c>
      <c r="D21" s="16">
        <v>44235.0</v>
      </c>
      <c r="E21" s="15" t="s">
        <v>581</v>
      </c>
      <c r="F21" s="24" t="s">
        <v>829</v>
      </c>
      <c r="G21" s="24" t="s">
        <v>830</v>
      </c>
      <c r="H21" s="24" t="s">
        <v>682</v>
      </c>
      <c r="I21" s="24" t="s">
        <v>781</v>
      </c>
      <c r="J21" s="24" t="s">
        <v>683</v>
      </c>
      <c r="K21" s="24" t="s">
        <v>683</v>
      </c>
      <c r="L21" s="24" t="s">
        <v>682</v>
      </c>
      <c r="M21" s="24" t="s">
        <v>582</v>
      </c>
      <c r="N21" s="24" t="s">
        <v>582</v>
      </c>
      <c r="O21" s="24" t="s">
        <v>831</v>
      </c>
      <c r="P21" s="24" t="s">
        <v>832</v>
      </c>
      <c r="Q21" s="13"/>
      <c r="R21" s="13"/>
      <c r="Y21" s="1" t="str">
        <f t="shared" si="1"/>
        <v>id15targetpublic</v>
      </c>
    </row>
    <row r="22">
      <c r="A22" s="13">
        <f t="shared" si="2"/>
        <v>20</v>
      </c>
      <c r="B22" s="13">
        <v>16.0</v>
      </c>
      <c r="C22" s="14" t="str">
        <f>VLOOKUP(B22,companies!$A:$B,2,FALSE)</f>
        <v>Bank of America</v>
      </c>
      <c r="D22" s="16">
        <v>44235.0</v>
      </c>
      <c r="E22" s="15" t="s">
        <v>581</v>
      </c>
      <c r="F22" s="150" t="s">
        <v>833</v>
      </c>
      <c r="G22" s="164">
        <v>44502.0</v>
      </c>
      <c r="H22" s="24" t="s">
        <v>682</v>
      </c>
      <c r="I22" s="24" t="s">
        <v>781</v>
      </c>
      <c r="J22" s="24" t="s">
        <v>683</v>
      </c>
      <c r="K22" s="24" t="s">
        <v>683</v>
      </c>
      <c r="L22" s="24" t="s">
        <v>682</v>
      </c>
      <c r="M22" s="24" t="s">
        <v>582</v>
      </c>
      <c r="N22" s="24" t="s">
        <v>582</v>
      </c>
      <c r="O22" s="24"/>
      <c r="P22" s="13"/>
      <c r="Q22" s="13"/>
      <c r="R22" s="13"/>
      <c r="Y22" s="1" t="str">
        <f t="shared" si="1"/>
        <v>id16targetpublic</v>
      </c>
    </row>
    <row r="23">
      <c r="A23" s="13">
        <f t="shared" si="2"/>
        <v>21</v>
      </c>
      <c r="B23" s="13">
        <v>9.0</v>
      </c>
      <c r="C23" s="14" t="str">
        <f>VLOOKUP(B23,companies!$A:$B,2,FALSE)</f>
        <v>Amazon.com Inc.</v>
      </c>
      <c r="D23" s="16">
        <v>44235.0</v>
      </c>
      <c r="E23" s="15" t="s">
        <v>581</v>
      </c>
      <c r="F23" s="150" t="s">
        <v>834</v>
      </c>
      <c r="G23" s="24" t="s">
        <v>835</v>
      </c>
      <c r="H23" s="24" t="s">
        <v>682</v>
      </c>
      <c r="I23" s="24" t="s">
        <v>781</v>
      </c>
      <c r="J23" s="24" t="s">
        <v>683</v>
      </c>
      <c r="K23" s="24" t="s">
        <v>683</v>
      </c>
      <c r="L23" s="24" t="s">
        <v>682</v>
      </c>
      <c r="M23" s="24" t="s">
        <v>582</v>
      </c>
      <c r="N23" s="24" t="s">
        <v>582</v>
      </c>
      <c r="O23" s="24"/>
      <c r="P23" s="24" t="s">
        <v>836</v>
      </c>
      <c r="Q23" s="24" t="s">
        <v>837</v>
      </c>
      <c r="R23" s="13"/>
      <c r="Y23" s="1" t="str">
        <f t="shared" si="1"/>
        <v>id9targetpublic</v>
      </c>
    </row>
    <row r="24">
      <c r="A24" s="13">
        <f t="shared" si="2"/>
        <v>22</v>
      </c>
      <c r="B24" s="13">
        <v>18.0</v>
      </c>
      <c r="C24" s="14" t="str">
        <f>VLOOKUP(B24,companies!$A:$B,2,FALSE)</f>
        <v>Biogen Inc.</v>
      </c>
      <c r="D24" s="16">
        <v>44235.0</v>
      </c>
      <c r="E24" s="15" t="s">
        <v>687</v>
      </c>
      <c r="F24" s="24" t="s">
        <v>838</v>
      </c>
      <c r="G24" s="164">
        <v>43839.0</v>
      </c>
      <c r="H24" s="24" t="s">
        <v>682</v>
      </c>
      <c r="I24" s="24" t="s">
        <v>781</v>
      </c>
      <c r="J24" s="24" t="s">
        <v>786</v>
      </c>
      <c r="K24" s="24" t="s">
        <v>683</v>
      </c>
      <c r="L24" s="24" t="s">
        <v>682</v>
      </c>
      <c r="M24" s="24" t="s">
        <v>582</v>
      </c>
      <c r="N24" s="24" t="s">
        <v>582</v>
      </c>
      <c r="O24" s="24" t="s">
        <v>582</v>
      </c>
      <c r="P24" s="24" t="s">
        <v>582</v>
      </c>
      <c r="Q24" s="24"/>
      <c r="R24" s="24"/>
      <c r="Y24" s="1" t="str">
        <f t="shared" si="1"/>
        <v>id18targetsbti</v>
      </c>
    </row>
    <row r="25">
      <c r="A25" s="13">
        <f t="shared" si="2"/>
        <v>23</v>
      </c>
      <c r="B25" s="13">
        <v>19.0</v>
      </c>
      <c r="C25" s="14" t="str">
        <f>VLOOKUP(B25,companies!$A:$B,2,FALSE)</f>
        <v>BlackRock Inc.</v>
      </c>
      <c r="D25" s="16">
        <v>44235.0</v>
      </c>
      <c r="E25" s="15" t="s">
        <v>581</v>
      </c>
      <c r="F25" s="24" t="s">
        <v>839</v>
      </c>
      <c r="G25" s="24" t="s">
        <v>840</v>
      </c>
      <c r="H25" s="24" t="s">
        <v>682</v>
      </c>
      <c r="I25" s="24" t="s">
        <v>781</v>
      </c>
      <c r="J25" s="24" t="s">
        <v>683</v>
      </c>
      <c r="K25" s="24" t="s">
        <v>683</v>
      </c>
      <c r="L25" s="24" t="s">
        <v>682</v>
      </c>
      <c r="M25" s="24" t="s">
        <v>582</v>
      </c>
      <c r="N25" s="24" t="s">
        <v>582</v>
      </c>
      <c r="O25" s="24" t="s">
        <v>841</v>
      </c>
      <c r="P25" s="24" t="s">
        <v>783</v>
      </c>
      <c r="Q25" s="24"/>
      <c r="R25" s="24"/>
      <c r="Y25" s="1" t="str">
        <f t="shared" si="1"/>
        <v>id19targetpublic</v>
      </c>
    </row>
    <row r="26">
      <c r="A26" s="13">
        <f t="shared" si="2"/>
        <v>24</v>
      </c>
      <c r="B26" s="13"/>
      <c r="C26" s="14"/>
      <c r="D26" s="16"/>
      <c r="E26" s="15"/>
      <c r="F26" s="24"/>
      <c r="G26" s="24"/>
      <c r="H26" s="24"/>
      <c r="I26" s="24"/>
      <c r="J26" s="24"/>
      <c r="K26" s="24"/>
      <c r="L26" s="24"/>
      <c r="M26" s="24"/>
      <c r="N26" s="24"/>
      <c r="O26" s="24"/>
      <c r="P26" s="24"/>
      <c r="Q26" s="24"/>
      <c r="R26" s="24"/>
    </row>
    <row r="27">
      <c r="A27" s="13">
        <f t="shared" si="2"/>
        <v>25</v>
      </c>
      <c r="B27" s="13"/>
      <c r="C27" s="14"/>
      <c r="D27" s="16"/>
      <c r="E27" s="15"/>
      <c r="F27" s="24"/>
      <c r="G27" s="24"/>
      <c r="H27" s="24"/>
      <c r="I27" s="24"/>
      <c r="J27" s="24"/>
      <c r="K27" s="24"/>
      <c r="L27" s="24"/>
      <c r="M27" s="24"/>
      <c r="N27" s="24"/>
      <c r="O27" s="24"/>
      <c r="P27" s="24"/>
      <c r="Q27" s="24"/>
      <c r="R27" s="24"/>
    </row>
    <row r="28">
      <c r="A28" s="13">
        <f t="shared" si="2"/>
        <v>26</v>
      </c>
      <c r="B28" s="13"/>
      <c r="C28" s="14"/>
      <c r="D28" s="16"/>
      <c r="E28" s="15"/>
      <c r="F28" s="24"/>
      <c r="G28" s="24"/>
      <c r="H28" s="24"/>
      <c r="I28" s="24"/>
      <c r="J28" s="24"/>
      <c r="K28" s="24"/>
      <c r="L28" s="24"/>
      <c r="M28" s="24"/>
      <c r="N28" s="24"/>
      <c r="O28" s="24"/>
      <c r="P28" s="24"/>
      <c r="Q28" s="24"/>
      <c r="R28" s="24"/>
    </row>
    <row r="29">
      <c r="A29" s="13">
        <f t="shared" si="2"/>
        <v>27</v>
      </c>
      <c r="B29" s="13"/>
      <c r="C29" s="14"/>
      <c r="D29" s="16"/>
      <c r="E29" s="15"/>
      <c r="F29" s="24"/>
      <c r="G29" s="24"/>
      <c r="H29" s="24"/>
      <c r="I29" s="24"/>
      <c r="J29" s="24"/>
      <c r="K29" s="24"/>
      <c r="L29" s="24"/>
      <c r="M29" s="24"/>
      <c r="N29" s="24"/>
      <c r="O29" s="24"/>
      <c r="P29" s="24"/>
      <c r="Q29" s="24"/>
      <c r="R29" s="24"/>
    </row>
    <row r="30">
      <c r="A30" s="13">
        <f t="shared" si="2"/>
        <v>28</v>
      </c>
      <c r="B30" s="13"/>
      <c r="C30" s="14"/>
      <c r="D30" s="16"/>
      <c r="E30" s="15"/>
      <c r="F30" s="24"/>
      <c r="G30" s="24"/>
      <c r="H30" s="24"/>
      <c r="I30" s="24"/>
      <c r="J30" s="24"/>
      <c r="K30" s="24"/>
      <c r="L30" s="24"/>
      <c r="M30" s="24"/>
      <c r="N30" s="24"/>
      <c r="O30" s="24"/>
      <c r="P30" s="13"/>
      <c r="Q30" s="24"/>
      <c r="R30" s="24"/>
    </row>
    <row r="31">
      <c r="A31" s="13">
        <f t="shared" si="2"/>
        <v>29</v>
      </c>
      <c r="B31" s="13"/>
      <c r="C31" s="14"/>
      <c r="D31" s="16"/>
      <c r="E31" s="15"/>
      <c r="F31" s="24"/>
      <c r="G31" s="24"/>
      <c r="H31" s="24"/>
      <c r="I31" s="24"/>
      <c r="J31" s="24"/>
      <c r="K31" s="24"/>
      <c r="L31" s="24"/>
      <c r="M31" s="24"/>
      <c r="N31" s="24"/>
      <c r="O31" s="24"/>
      <c r="P31" s="13"/>
      <c r="Q31" s="24"/>
      <c r="R31" s="24"/>
    </row>
    <row r="32">
      <c r="A32" s="13">
        <f t="shared" si="2"/>
        <v>30</v>
      </c>
      <c r="B32" s="13"/>
      <c r="C32" s="14"/>
      <c r="D32" s="16"/>
      <c r="E32" s="15"/>
      <c r="F32" s="24"/>
      <c r="G32" s="24"/>
      <c r="H32" s="24"/>
      <c r="I32" s="24"/>
      <c r="J32" s="24"/>
      <c r="K32" s="24"/>
      <c r="L32" s="24"/>
      <c r="M32" s="24"/>
      <c r="N32" s="24"/>
      <c r="O32" s="24"/>
      <c r="P32" s="13"/>
      <c r="Q32" s="24"/>
      <c r="R32" s="24"/>
    </row>
    <row r="33">
      <c r="A33" s="13">
        <f t="shared" si="2"/>
        <v>31</v>
      </c>
      <c r="B33" s="13"/>
      <c r="C33" s="14"/>
      <c r="D33" s="16"/>
      <c r="E33" s="15"/>
      <c r="F33" s="24"/>
      <c r="G33" s="24"/>
      <c r="H33" s="24"/>
      <c r="I33" s="24"/>
      <c r="J33" s="24"/>
      <c r="K33" s="24"/>
      <c r="L33" s="24"/>
      <c r="M33" s="24"/>
      <c r="N33" s="24"/>
      <c r="O33" s="24"/>
      <c r="P33" s="13"/>
      <c r="Q33" s="24"/>
      <c r="R33" s="24"/>
    </row>
    <row r="34">
      <c r="A34" s="13">
        <f t="shared" si="2"/>
        <v>32</v>
      </c>
      <c r="B34" s="13"/>
      <c r="C34" s="14"/>
      <c r="D34" s="16"/>
      <c r="E34" s="15"/>
      <c r="F34" s="24"/>
      <c r="G34" s="24"/>
      <c r="H34" s="24"/>
      <c r="I34" s="24"/>
      <c r="J34" s="24"/>
      <c r="K34" s="24"/>
      <c r="L34" s="24"/>
      <c r="M34" s="24"/>
      <c r="N34" s="24"/>
      <c r="O34" s="24"/>
      <c r="P34" s="13"/>
      <c r="Q34" s="24"/>
      <c r="R34" s="24"/>
    </row>
    <row r="35">
      <c r="A35" s="13">
        <f t="shared" si="2"/>
        <v>33</v>
      </c>
      <c r="B35" s="13"/>
      <c r="C35" s="14"/>
      <c r="D35" s="16"/>
      <c r="E35" s="15"/>
      <c r="F35" s="24"/>
      <c r="G35" s="24"/>
      <c r="H35" s="24"/>
      <c r="I35" s="24"/>
      <c r="J35" s="24"/>
      <c r="K35" s="24"/>
      <c r="L35" s="24"/>
      <c r="M35" s="24"/>
      <c r="N35" s="24"/>
      <c r="O35" s="24"/>
      <c r="P35" s="13"/>
      <c r="Q35" s="24"/>
      <c r="R35" s="24"/>
    </row>
    <row r="36">
      <c r="A36" s="13"/>
      <c r="B36" s="13"/>
      <c r="C36" s="14"/>
      <c r="D36" s="16"/>
      <c r="E36" s="15"/>
      <c r="F36" s="24"/>
      <c r="G36" s="24"/>
      <c r="H36" s="24"/>
      <c r="I36" s="24"/>
      <c r="J36" s="24"/>
      <c r="K36" s="24"/>
      <c r="L36" s="24"/>
      <c r="M36" s="24"/>
      <c r="N36" s="24"/>
      <c r="O36" s="24"/>
      <c r="P36" s="13"/>
      <c r="Q36" s="24"/>
      <c r="R36" s="24"/>
    </row>
    <row r="37">
      <c r="A37" s="13"/>
      <c r="B37" s="13"/>
      <c r="C37" s="14"/>
      <c r="D37" s="16"/>
      <c r="E37" s="15"/>
      <c r="F37" s="24"/>
      <c r="G37" s="24"/>
      <c r="H37" s="24"/>
      <c r="I37" s="24"/>
      <c r="J37" s="24"/>
      <c r="K37" s="24"/>
      <c r="L37" s="24"/>
      <c r="M37" s="24"/>
      <c r="N37" s="24"/>
      <c r="O37" s="24"/>
      <c r="P37" s="13"/>
      <c r="Q37" s="24"/>
      <c r="R37" s="24"/>
    </row>
    <row r="38">
      <c r="A38" s="13"/>
      <c r="B38" s="13"/>
      <c r="C38" s="14"/>
      <c r="D38" s="16"/>
      <c r="E38" s="15"/>
      <c r="F38" s="24"/>
      <c r="G38" s="24"/>
      <c r="H38" s="24"/>
      <c r="I38" s="24"/>
      <c r="J38" s="24"/>
      <c r="K38" s="24"/>
      <c r="L38" s="24"/>
      <c r="M38" s="24"/>
      <c r="N38" s="24"/>
      <c r="O38" s="24"/>
      <c r="P38" s="13"/>
      <c r="Q38" s="24"/>
      <c r="R38" s="24"/>
    </row>
    <row r="39">
      <c r="A39" s="13"/>
      <c r="B39" s="13"/>
      <c r="C39" s="14"/>
      <c r="D39" s="16"/>
      <c r="E39" s="15"/>
      <c r="F39" s="24"/>
      <c r="G39" s="24"/>
      <c r="H39" s="24"/>
      <c r="I39" s="24"/>
      <c r="J39" s="24"/>
      <c r="K39" s="24"/>
      <c r="L39" s="24"/>
      <c r="M39" s="24"/>
      <c r="N39" s="24"/>
      <c r="O39" s="24"/>
      <c r="P39" s="13"/>
      <c r="Q39" s="24"/>
      <c r="R39" s="24"/>
    </row>
  </sheetData>
  <drawing r:id="rId1"/>
  <tableParts count="1">
    <tablePart r:id="rId3"/>
  </tableParts>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sheetData>
    <row r="1" ht="26.25" customHeight="1">
      <c r="A1" s="86" t="s">
        <v>671</v>
      </c>
      <c r="B1" s="10" t="s">
        <v>2</v>
      </c>
      <c r="C1" s="11" t="s">
        <v>3</v>
      </c>
      <c r="D1" s="12" t="s">
        <v>533</v>
      </c>
      <c r="E1" s="12" t="s">
        <v>672</v>
      </c>
      <c r="F1" s="12" t="s">
        <v>599</v>
      </c>
      <c r="G1" s="12" t="s">
        <v>674</v>
      </c>
      <c r="H1" s="12" t="s">
        <v>675</v>
      </c>
      <c r="I1" s="12" t="s">
        <v>594</v>
      </c>
      <c r="J1" s="12" t="s">
        <v>676</v>
      </c>
      <c r="K1" s="12" t="s">
        <v>677</v>
      </c>
      <c r="L1" s="12" t="s">
        <v>678</v>
      </c>
      <c r="M1" s="12" t="s">
        <v>611</v>
      </c>
      <c r="N1" s="12" t="s">
        <v>606</v>
      </c>
      <c r="O1" s="12" t="s">
        <v>601</v>
      </c>
      <c r="P1" s="12" t="s">
        <v>679</v>
      </c>
      <c r="Q1" s="166"/>
      <c r="R1" s="166"/>
      <c r="S1" s="166"/>
      <c r="T1" s="166"/>
      <c r="U1" s="166"/>
      <c r="V1" s="166"/>
      <c r="W1" s="166"/>
      <c r="X1" s="166">
        <v>10.0</v>
      </c>
      <c r="Y1" s="166">
        <f t="shared" ref="Y1:AG1" si="1">X1-1</f>
        <v>9</v>
      </c>
      <c r="Z1" s="166">
        <f t="shared" si="1"/>
        <v>8</v>
      </c>
      <c r="AA1" s="166">
        <f t="shared" si="1"/>
        <v>7</v>
      </c>
      <c r="AB1" s="166">
        <f t="shared" si="1"/>
        <v>6</v>
      </c>
      <c r="AC1" s="166">
        <f t="shared" si="1"/>
        <v>5</v>
      </c>
      <c r="AD1" s="166">
        <f t="shared" si="1"/>
        <v>4</v>
      </c>
      <c r="AE1" s="166">
        <f t="shared" si="1"/>
        <v>3</v>
      </c>
      <c r="AF1" s="166">
        <f t="shared" si="1"/>
        <v>2</v>
      </c>
      <c r="AG1" s="166">
        <f t="shared" si="1"/>
        <v>1</v>
      </c>
      <c r="AH1" s="166"/>
      <c r="AI1" s="166">
        <v>10.0</v>
      </c>
      <c r="AJ1" s="166">
        <f t="shared" ref="AJ1:AR1" si="2">AI1-1</f>
        <v>9</v>
      </c>
      <c r="AK1" s="166">
        <f t="shared" si="2"/>
        <v>8</v>
      </c>
      <c r="AL1" s="166">
        <f t="shared" si="2"/>
        <v>7</v>
      </c>
      <c r="AM1" s="166">
        <f t="shared" si="2"/>
        <v>6</v>
      </c>
      <c r="AN1" s="166">
        <f t="shared" si="2"/>
        <v>5</v>
      </c>
      <c r="AO1" s="166">
        <f t="shared" si="2"/>
        <v>4</v>
      </c>
      <c r="AP1" s="166">
        <f t="shared" si="2"/>
        <v>3</v>
      </c>
      <c r="AQ1" s="166">
        <f t="shared" si="2"/>
        <v>2</v>
      </c>
      <c r="AR1" s="166">
        <f t="shared" si="2"/>
        <v>1</v>
      </c>
      <c r="AS1" s="166"/>
      <c r="AT1" s="166"/>
      <c r="AU1" s="166"/>
      <c r="AV1" s="166"/>
      <c r="AW1" s="166"/>
      <c r="AX1" s="166"/>
      <c r="AY1" s="166"/>
      <c r="AZ1" s="166"/>
      <c r="BA1" s="166"/>
      <c r="BB1" s="166"/>
    </row>
    <row r="2">
      <c r="A2" s="13">
        <v>0.0</v>
      </c>
      <c r="B2" s="13">
        <v>66.0</v>
      </c>
      <c r="C2" s="14" t="str">
        <f>VLOOKUP(B2,companies!$A:$B,2,FALSE)</f>
        <v>Microsoft Corp.</v>
      </c>
      <c r="D2" s="15" t="s">
        <v>535</v>
      </c>
      <c r="E2" s="15">
        <v>0.0</v>
      </c>
      <c r="F2" s="15" t="s">
        <v>603</v>
      </c>
      <c r="G2" s="88" t="s">
        <v>683</v>
      </c>
      <c r="H2" s="88" t="s">
        <v>683</v>
      </c>
      <c r="I2" s="88" t="s">
        <v>593</v>
      </c>
      <c r="J2" s="89">
        <v>1.0</v>
      </c>
      <c r="K2" s="89">
        <v>1.0</v>
      </c>
      <c r="L2" s="89">
        <v>1.0</v>
      </c>
      <c r="M2" s="89">
        <v>1.0</v>
      </c>
      <c r="N2" s="88">
        <v>2019.0</v>
      </c>
      <c r="O2" s="88">
        <v>2030.0</v>
      </c>
      <c r="P2" s="88">
        <v>2020.0</v>
      </c>
      <c r="Q2" s="167"/>
      <c r="R2" s="167">
        <v>2015.0</v>
      </c>
      <c r="S2" s="167">
        <f t="shared" ref="S2:BB2" si="3">R2+1</f>
        <v>2016</v>
      </c>
      <c r="T2" s="167">
        <f t="shared" si="3"/>
        <v>2017</v>
      </c>
      <c r="U2" s="167">
        <f t="shared" si="3"/>
        <v>2018</v>
      </c>
      <c r="V2" s="167">
        <f t="shared" si="3"/>
        <v>2019</v>
      </c>
      <c r="W2" s="167">
        <f t="shared" si="3"/>
        <v>2020</v>
      </c>
      <c r="X2" s="167">
        <f t="shared" si="3"/>
        <v>2021</v>
      </c>
      <c r="Y2" s="167">
        <f t="shared" si="3"/>
        <v>2022</v>
      </c>
      <c r="Z2" s="167">
        <f t="shared" si="3"/>
        <v>2023</v>
      </c>
      <c r="AA2" s="167">
        <f t="shared" si="3"/>
        <v>2024</v>
      </c>
      <c r="AB2" s="167">
        <f t="shared" si="3"/>
        <v>2025</v>
      </c>
      <c r="AC2" s="167">
        <f t="shared" si="3"/>
        <v>2026</v>
      </c>
      <c r="AD2" s="167">
        <f t="shared" si="3"/>
        <v>2027</v>
      </c>
      <c r="AE2" s="167">
        <f t="shared" si="3"/>
        <v>2028</v>
      </c>
      <c r="AF2" s="167">
        <f t="shared" si="3"/>
        <v>2029</v>
      </c>
      <c r="AG2" s="167">
        <f t="shared" si="3"/>
        <v>2030</v>
      </c>
      <c r="AH2" s="167">
        <f t="shared" si="3"/>
        <v>2031</v>
      </c>
      <c r="AI2" s="167">
        <f t="shared" si="3"/>
        <v>2032</v>
      </c>
      <c r="AJ2" s="167">
        <f t="shared" si="3"/>
        <v>2033</v>
      </c>
      <c r="AK2" s="167">
        <f t="shared" si="3"/>
        <v>2034</v>
      </c>
      <c r="AL2" s="167">
        <f t="shared" si="3"/>
        <v>2035</v>
      </c>
      <c r="AM2" s="167">
        <f t="shared" si="3"/>
        <v>2036</v>
      </c>
      <c r="AN2" s="167">
        <f t="shared" si="3"/>
        <v>2037</v>
      </c>
      <c r="AO2" s="167">
        <f t="shared" si="3"/>
        <v>2038</v>
      </c>
      <c r="AP2" s="167">
        <f t="shared" si="3"/>
        <v>2039</v>
      </c>
      <c r="AQ2" s="167">
        <f t="shared" si="3"/>
        <v>2040</v>
      </c>
      <c r="AR2" s="167">
        <f t="shared" si="3"/>
        <v>2041</v>
      </c>
      <c r="AS2" s="167">
        <f t="shared" si="3"/>
        <v>2042</v>
      </c>
      <c r="AT2" s="167">
        <f t="shared" si="3"/>
        <v>2043</v>
      </c>
      <c r="AU2" s="167">
        <f t="shared" si="3"/>
        <v>2044</v>
      </c>
      <c r="AV2" s="167">
        <f t="shared" si="3"/>
        <v>2045</v>
      </c>
      <c r="AW2" s="167">
        <f t="shared" si="3"/>
        <v>2046</v>
      </c>
      <c r="AX2" s="167">
        <f t="shared" si="3"/>
        <v>2047</v>
      </c>
      <c r="AY2" s="167">
        <f t="shared" si="3"/>
        <v>2048</v>
      </c>
      <c r="AZ2" s="167">
        <f t="shared" si="3"/>
        <v>2049</v>
      </c>
      <c r="BA2" s="167">
        <f t="shared" si="3"/>
        <v>2050</v>
      </c>
      <c r="BB2" s="167">
        <f t="shared" si="3"/>
        <v>2051</v>
      </c>
    </row>
    <row r="3">
      <c r="A3" s="91"/>
      <c r="B3" s="91"/>
      <c r="C3" s="168"/>
      <c r="D3" s="93"/>
      <c r="E3" s="93"/>
      <c r="F3" s="93"/>
      <c r="G3" s="94"/>
      <c r="H3" s="94"/>
      <c r="I3" s="94"/>
      <c r="J3" s="95"/>
      <c r="K3" s="95"/>
      <c r="L3" s="94"/>
      <c r="M3" s="95"/>
      <c r="N3" s="94"/>
      <c r="O3" s="94"/>
      <c r="P3" s="94"/>
      <c r="Q3" s="169"/>
      <c r="R3" s="169"/>
      <c r="S3" s="169"/>
      <c r="T3" s="169"/>
      <c r="U3" s="169"/>
      <c r="V3" s="169"/>
      <c r="W3" s="169"/>
      <c r="X3" s="169"/>
      <c r="Y3" s="169"/>
      <c r="Z3" s="169"/>
      <c r="AA3" s="169"/>
      <c r="AB3" s="169"/>
      <c r="AC3" s="169"/>
      <c r="AD3" s="169"/>
      <c r="AE3" s="169"/>
      <c r="AF3" s="169"/>
      <c r="AG3" s="169"/>
      <c r="AH3" s="169"/>
      <c r="AI3" s="169"/>
      <c r="AJ3" s="169"/>
      <c r="AK3" s="169"/>
      <c r="AL3" s="169"/>
      <c r="AM3" s="169"/>
      <c r="AN3" s="169"/>
      <c r="AO3" s="169"/>
      <c r="AP3" s="169"/>
      <c r="AQ3" s="169"/>
      <c r="AR3" s="169"/>
      <c r="AS3" s="169"/>
      <c r="AT3" s="169"/>
      <c r="AU3" s="169"/>
      <c r="AV3" s="169"/>
      <c r="AW3" s="169"/>
      <c r="AX3" s="169"/>
      <c r="AY3" s="169"/>
      <c r="AZ3" s="169"/>
      <c r="BA3" s="169"/>
      <c r="BB3" s="169"/>
    </row>
    <row r="4">
      <c r="A4" s="13">
        <f t="shared" ref="A4:A36" si="5">A3+1</f>
        <v>1</v>
      </c>
      <c r="B4" s="13">
        <v>66.0</v>
      </c>
      <c r="C4" s="14" t="str">
        <f>VLOOKUP(B4,companies!$A:$B,2,FALSE)</f>
        <v>Microsoft Corp.</v>
      </c>
      <c r="D4" s="15" t="s">
        <v>535</v>
      </c>
      <c r="E4" s="15">
        <v>1.0</v>
      </c>
      <c r="F4" s="15" t="s">
        <v>686</v>
      </c>
      <c r="G4" s="88" t="s">
        <v>687</v>
      </c>
      <c r="H4" s="88" t="s">
        <v>688</v>
      </c>
      <c r="I4" s="88" t="s">
        <v>689</v>
      </c>
      <c r="J4" s="88" t="s">
        <v>683</v>
      </c>
      <c r="K4" s="88" t="s">
        <v>683</v>
      </c>
      <c r="L4" s="89">
        <v>1.0</v>
      </c>
      <c r="M4" s="89">
        <v>0.3</v>
      </c>
      <c r="N4" s="88">
        <v>2017.0</v>
      </c>
      <c r="O4" s="88">
        <v>2030.0</v>
      </c>
      <c r="P4" s="88">
        <v>2020.0</v>
      </c>
      <c r="Q4" s="167"/>
      <c r="R4" s="167"/>
      <c r="S4" s="167"/>
      <c r="T4" s="167"/>
      <c r="U4" s="167"/>
      <c r="V4" s="167"/>
      <c r="W4" s="167">
        <f t="shared" ref="W4:BA4" si="4">W5/V6</f>
        <v>-0.09683426443</v>
      </c>
      <c r="X4" s="167">
        <f t="shared" si="4"/>
        <v>-0.04463917526</v>
      </c>
      <c r="Y4" s="167">
        <f t="shared" si="4"/>
        <v>-0.04672493795</v>
      </c>
      <c r="Z4" s="167">
        <f t="shared" si="4"/>
        <v>-0.04901516867</v>
      </c>
      <c r="AA4" s="167">
        <f t="shared" si="4"/>
        <v>-0.05154148316</v>
      </c>
      <c r="AB4" s="167">
        <f t="shared" si="4"/>
        <v>-0.05434236948</v>
      </c>
      <c r="AC4" s="167">
        <f t="shared" si="4"/>
        <v>-0.05746516257</v>
      </c>
      <c r="AD4" s="167">
        <f t="shared" si="4"/>
        <v>-0.0609687412</v>
      </c>
      <c r="AE4" s="167">
        <f t="shared" si="4"/>
        <v>-0.06492727545</v>
      </c>
      <c r="AF4" s="167">
        <f t="shared" si="4"/>
        <v>-0.0694355356</v>
      </c>
      <c r="AG4" s="167">
        <f t="shared" si="4"/>
        <v>-0.07461657763</v>
      </c>
      <c r="AH4" s="167">
        <f t="shared" si="4"/>
        <v>-0.06</v>
      </c>
      <c r="AI4" s="167">
        <f t="shared" si="4"/>
        <v>-0.06382978723</v>
      </c>
      <c r="AJ4" s="167">
        <f t="shared" si="4"/>
        <v>-0.06818181818</v>
      </c>
      <c r="AK4" s="167">
        <f t="shared" si="4"/>
        <v>-0.07317073171</v>
      </c>
      <c r="AL4" s="167">
        <f t="shared" si="4"/>
        <v>-0.07894736842</v>
      </c>
      <c r="AM4" s="167">
        <f t="shared" si="4"/>
        <v>-0.08571428571</v>
      </c>
      <c r="AN4" s="167">
        <f t="shared" si="4"/>
        <v>-0.09375</v>
      </c>
      <c r="AO4" s="167">
        <f t="shared" si="4"/>
        <v>-0.1034482759</v>
      </c>
      <c r="AP4" s="167">
        <f t="shared" si="4"/>
        <v>-0.1153846154</v>
      </c>
      <c r="AQ4" s="167">
        <f t="shared" si="4"/>
        <v>-0.1304347826</v>
      </c>
      <c r="AR4" s="167">
        <f t="shared" si="4"/>
        <v>-0.1</v>
      </c>
      <c r="AS4" s="167">
        <f t="shared" si="4"/>
        <v>-0.1111111111</v>
      </c>
      <c r="AT4" s="167">
        <f t="shared" si="4"/>
        <v>-0.125</v>
      </c>
      <c r="AU4" s="167">
        <f t="shared" si="4"/>
        <v>-0.1428571429</v>
      </c>
      <c r="AV4" s="167">
        <f t="shared" si="4"/>
        <v>-0.1666666667</v>
      </c>
      <c r="AW4" s="167">
        <f t="shared" si="4"/>
        <v>-0.2</v>
      </c>
      <c r="AX4" s="167">
        <f t="shared" si="4"/>
        <v>-0.25</v>
      </c>
      <c r="AY4" s="167">
        <f t="shared" si="4"/>
        <v>-0.3333333333</v>
      </c>
      <c r="AZ4" s="167">
        <f t="shared" si="4"/>
        <v>-0.5</v>
      </c>
      <c r="BA4" s="167">
        <f t="shared" si="4"/>
        <v>-1</v>
      </c>
      <c r="BB4" s="167"/>
    </row>
    <row r="5">
      <c r="A5" s="13">
        <f t="shared" si="5"/>
        <v>2</v>
      </c>
      <c r="B5" s="13">
        <v>66.0</v>
      </c>
      <c r="C5" s="14" t="str">
        <f>VLOOKUP(B5,companies!$A:$B,2,FALSE)</f>
        <v>Microsoft Corp.</v>
      </c>
      <c r="D5" s="15" t="s">
        <v>535</v>
      </c>
      <c r="E5" s="15">
        <v>1.0</v>
      </c>
      <c r="F5" s="15" t="s">
        <v>603</v>
      </c>
      <c r="G5" s="88" t="s">
        <v>687</v>
      </c>
      <c r="H5" s="88" t="s">
        <v>683</v>
      </c>
      <c r="I5" s="88" t="s">
        <v>689</v>
      </c>
      <c r="J5" s="88" t="s">
        <v>683</v>
      </c>
      <c r="K5" s="88" t="s">
        <v>683</v>
      </c>
      <c r="L5" s="89">
        <v>1.0</v>
      </c>
      <c r="M5" s="89">
        <v>0.0</v>
      </c>
      <c r="N5" s="88">
        <v>2017.0</v>
      </c>
      <c r="O5" s="88">
        <v>2030.0</v>
      </c>
      <c r="P5" s="88">
        <v>2020.0</v>
      </c>
      <c r="Q5" s="167"/>
      <c r="R5" s="167"/>
      <c r="S5" s="167"/>
      <c r="T5" s="167"/>
      <c r="U5" s="167"/>
      <c r="V5" s="167">
        <f t="shared" ref="V5:BA5" si="6">V6-U6</f>
        <v>-1130000</v>
      </c>
      <c r="W5" s="167">
        <f t="shared" si="6"/>
        <v>-520000</v>
      </c>
      <c r="X5" s="167">
        <f t="shared" si="6"/>
        <v>-216500</v>
      </c>
      <c r="Y5" s="167">
        <f t="shared" si="6"/>
        <v>-216500</v>
      </c>
      <c r="Z5" s="167">
        <f t="shared" si="6"/>
        <v>-216500</v>
      </c>
      <c r="AA5" s="167">
        <f t="shared" si="6"/>
        <v>-216500</v>
      </c>
      <c r="AB5" s="167">
        <f t="shared" si="6"/>
        <v>-216500</v>
      </c>
      <c r="AC5" s="167">
        <f t="shared" si="6"/>
        <v>-216500</v>
      </c>
      <c r="AD5" s="167">
        <f t="shared" si="6"/>
        <v>-216500</v>
      </c>
      <c r="AE5" s="167">
        <f t="shared" si="6"/>
        <v>-216500</v>
      </c>
      <c r="AF5" s="167">
        <f t="shared" si="6"/>
        <v>-216500</v>
      </c>
      <c r="AG5" s="167">
        <f t="shared" si="6"/>
        <v>-216500</v>
      </c>
      <c r="AH5" s="167">
        <f t="shared" si="6"/>
        <v>-161100</v>
      </c>
      <c r="AI5" s="167">
        <f t="shared" si="6"/>
        <v>-161100</v>
      </c>
      <c r="AJ5" s="167">
        <f t="shared" si="6"/>
        <v>-161100</v>
      </c>
      <c r="AK5" s="167">
        <f t="shared" si="6"/>
        <v>-161100</v>
      </c>
      <c r="AL5" s="167">
        <f t="shared" si="6"/>
        <v>-161100</v>
      </c>
      <c r="AM5" s="167">
        <f t="shared" si="6"/>
        <v>-161100</v>
      </c>
      <c r="AN5" s="167">
        <f t="shared" si="6"/>
        <v>-161100</v>
      </c>
      <c r="AO5" s="167">
        <f t="shared" si="6"/>
        <v>-161100</v>
      </c>
      <c r="AP5" s="167">
        <f t="shared" si="6"/>
        <v>-161100</v>
      </c>
      <c r="AQ5" s="167">
        <f t="shared" si="6"/>
        <v>-161100</v>
      </c>
      <c r="AR5" s="167">
        <f t="shared" si="6"/>
        <v>-107400</v>
      </c>
      <c r="AS5" s="167">
        <f t="shared" si="6"/>
        <v>-107400</v>
      </c>
      <c r="AT5" s="167">
        <f t="shared" si="6"/>
        <v>-107400</v>
      </c>
      <c r="AU5" s="167">
        <f t="shared" si="6"/>
        <v>-107400</v>
      </c>
      <c r="AV5" s="167">
        <f t="shared" si="6"/>
        <v>-107400</v>
      </c>
      <c r="AW5" s="167">
        <f t="shared" si="6"/>
        <v>-107400</v>
      </c>
      <c r="AX5" s="167">
        <f t="shared" si="6"/>
        <v>-107400</v>
      </c>
      <c r="AY5" s="167">
        <f t="shared" si="6"/>
        <v>-107400</v>
      </c>
      <c r="AZ5" s="167">
        <f t="shared" si="6"/>
        <v>-107400</v>
      </c>
      <c r="BA5" s="167">
        <f t="shared" si="6"/>
        <v>-107400</v>
      </c>
      <c r="BB5" s="167"/>
    </row>
    <row r="6">
      <c r="A6" s="13">
        <f t="shared" si="5"/>
        <v>3</v>
      </c>
      <c r="B6" s="13">
        <v>1.0</v>
      </c>
      <c r="C6" s="14" t="str">
        <f>VLOOKUP(B6,companies!$A:$B,2,FALSE)</f>
        <v>3M</v>
      </c>
      <c r="D6" s="15" t="s">
        <v>535</v>
      </c>
      <c r="E6" s="15">
        <v>2.0</v>
      </c>
      <c r="F6" s="15" t="s">
        <v>603</v>
      </c>
      <c r="G6" s="88" t="s">
        <v>683</v>
      </c>
      <c r="H6" s="88" t="s">
        <v>683</v>
      </c>
      <c r="I6" s="88" t="s">
        <v>598</v>
      </c>
      <c r="J6" s="89">
        <v>1.0</v>
      </c>
      <c r="K6" s="89">
        <v>1.0</v>
      </c>
      <c r="L6" s="89">
        <v>0.0</v>
      </c>
      <c r="M6" s="89">
        <v>0.5</v>
      </c>
      <c r="N6" s="88">
        <v>2019.0</v>
      </c>
      <c r="O6" s="88">
        <v>2030.0</v>
      </c>
      <c r="P6" s="88">
        <v>2021.0</v>
      </c>
      <c r="Q6" s="167" t="s">
        <v>598</v>
      </c>
      <c r="R6" s="167"/>
      <c r="S6" s="167"/>
      <c r="T6" s="167">
        <v>7000000.0</v>
      </c>
      <c r="U6" s="167">
        <v>6500000.0</v>
      </c>
      <c r="V6" s="167">
        <f>ghg!F6+ghg!H6</f>
        <v>5370000</v>
      </c>
      <c r="W6" s="167">
        <f>ghg!F5+ghg!H5</f>
        <v>4850000</v>
      </c>
      <c r="X6" s="167">
        <f>W6+($AG6-$W6)/10</f>
        <v>4633500</v>
      </c>
      <c r="Y6" s="167">
        <f t="shared" ref="Y6:AF6" si="7">X6+($AG6-X6)/Y1</f>
        <v>4417000</v>
      </c>
      <c r="Z6" s="167">
        <f t="shared" si="7"/>
        <v>4200500</v>
      </c>
      <c r="AA6" s="167">
        <f t="shared" si="7"/>
        <v>3984000</v>
      </c>
      <c r="AB6" s="167">
        <f t="shared" si="7"/>
        <v>3767500</v>
      </c>
      <c r="AC6" s="167">
        <f t="shared" si="7"/>
        <v>3551000</v>
      </c>
      <c r="AD6" s="167">
        <f t="shared" si="7"/>
        <v>3334500</v>
      </c>
      <c r="AE6" s="167">
        <f t="shared" si="7"/>
        <v>3118000</v>
      </c>
      <c r="AF6" s="167">
        <f t="shared" si="7"/>
        <v>2901500</v>
      </c>
      <c r="AG6" s="167">
        <f>(+1-50%)*V6</f>
        <v>2685000</v>
      </c>
      <c r="AH6" s="167">
        <f t="shared" ref="AH6:AP6" si="8">AG6+($AQ6-$AG6)/10</f>
        <v>2523900</v>
      </c>
      <c r="AI6" s="167">
        <f t="shared" si="8"/>
        <v>2362800</v>
      </c>
      <c r="AJ6" s="167">
        <f t="shared" si="8"/>
        <v>2201700</v>
      </c>
      <c r="AK6" s="167">
        <f t="shared" si="8"/>
        <v>2040600</v>
      </c>
      <c r="AL6" s="167">
        <f t="shared" si="8"/>
        <v>1879500</v>
      </c>
      <c r="AM6" s="167">
        <f t="shared" si="8"/>
        <v>1718400</v>
      </c>
      <c r="AN6" s="167">
        <f t="shared" si="8"/>
        <v>1557300</v>
      </c>
      <c r="AO6" s="167">
        <f t="shared" si="8"/>
        <v>1396200</v>
      </c>
      <c r="AP6" s="167">
        <f t="shared" si="8"/>
        <v>1235100</v>
      </c>
      <c r="AQ6" s="167">
        <f>(1-80%)*V6</f>
        <v>1074000</v>
      </c>
      <c r="AR6" s="167">
        <f t="shared" ref="AR6:AZ6" si="9">AQ6+($BA6 - $AQ6)/10</f>
        <v>966600</v>
      </c>
      <c r="AS6" s="167">
        <f t="shared" si="9"/>
        <v>859200</v>
      </c>
      <c r="AT6" s="167">
        <f t="shared" si="9"/>
        <v>751800</v>
      </c>
      <c r="AU6" s="167">
        <f t="shared" si="9"/>
        <v>644400</v>
      </c>
      <c r="AV6" s="167">
        <f t="shared" si="9"/>
        <v>537000</v>
      </c>
      <c r="AW6" s="167">
        <f t="shared" si="9"/>
        <v>429600</v>
      </c>
      <c r="AX6" s="167">
        <f t="shared" si="9"/>
        <v>322200</v>
      </c>
      <c r="AY6" s="167">
        <f t="shared" si="9"/>
        <v>214800</v>
      </c>
      <c r="AZ6" s="167">
        <f t="shared" si="9"/>
        <v>107400</v>
      </c>
      <c r="BA6" s="167">
        <v>0.0</v>
      </c>
      <c r="BB6" s="167"/>
    </row>
    <row r="7">
      <c r="A7" s="13">
        <f t="shared" si="5"/>
        <v>4</v>
      </c>
      <c r="B7" s="13">
        <v>1.0</v>
      </c>
      <c r="C7" s="14" t="str">
        <f>VLOOKUP(B7,companies!$A:$B,2,FALSE)</f>
        <v>3M</v>
      </c>
      <c r="D7" s="15" t="s">
        <v>535</v>
      </c>
      <c r="E7" s="15">
        <v>2.0</v>
      </c>
      <c r="F7" s="15" t="s">
        <v>603</v>
      </c>
      <c r="G7" s="88" t="s">
        <v>683</v>
      </c>
      <c r="H7" s="88" t="s">
        <v>683</v>
      </c>
      <c r="I7" s="88" t="s">
        <v>598</v>
      </c>
      <c r="J7" s="89">
        <v>1.0</v>
      </c>
      <c r="K7" s="89">
        <v>1.0</v>
      </c>
      <c r="L7" s="89">
        <v>0.0</v>
      </c>
      <c r="M7" s="89">
        <v>0.8</v>
      </c>
      <c r="N7" s="88">
        <v>2019.0</v>
      </c>
      <c r="O7" s="88">
        <v>2040.0</v>
      </c>
      <c r="P7" s="88">
        <v>2021.0</v>
      </c>
      <c r="Q7" s="167" t="s">
        <v>689</v>
      </c>
      <c r="R7" s="167"/>
      <c r="S7" s="167"/>
      <c r="T7" s="167"/>
      <c r="U7" s="167"/>
      <c r="V7" s="167"/>
      <c r="W7" s="167">
        <v>1.5E7</v>
      </c>
      <c r="X7" s="167">
        <v>1.5E7</v>
      </c>
      <c r="Y7" s="167">
        <v>1.5E7</v>
      </c>
      <c r="Z7" s="167">
        <v>1.5E7</v>
      </c>
      <c r="AA7" s="167">
        <v>1.5E7</v>
      </c>
      <c r="AB7" s="167">
        <v>1.5E7</v>
      </c>
      <c r="AC7" s="167">
        <v>1.5E7</v>
      </c>
      <c r="AD7" s="167">
        <v>1.5E7</v>
      </c>
      <c r="AE7" s="167">
        <v>1.5E7</v>
      </c>
      <c r="AF7" s="167">
        <v>1.5E7</v>
      </c>
      <c r="AG7" s="167">
        <v>1.5E7</v>
      </c>
      <c r="AH7" s="167">
        <v>1.5E7</v>
      </c>
      <c r="AI7" s="167">
        <v>1.5E7</v>
      </c>
      <c r="AJ7" s="167">
        <v>1.5E7</v>
      </c>
      <c r="AK7" s="167">
        <v>1.5E7</v>
      </c>
      <c r="AL7" s="167">
        <v>1.5E7</v>
      </c>
      <c r="AM7" s="167">
        <v>1.5E7</v>
      </c>
      <c r="AN7" s="167">
        <v>1.5E7</v>
      </c>
      <c r="AO7" s="167">
        <v>1.5E7</v>
      </c>
      <c r="AP7" s="167">
        <v>1.5E7</v>
      </c>
      <c r="AQ7" s="167">
        <v>1.5E7</v>
      </c>
      <c r="AR7" s="167">
        <v>1.5E7</v>
      </c>
      <c r="AS7" s="167">
        <v>1.5E7</v>
      </c>
      <c r="AT7" s="167">
        <v>1.5E7</v>
      </c>
      <c r="AU7" s="167">
        <v>1.5E7</v>
      </c>
      <c r="AV7" s="167">
        <v>1.5E7</v>
      </c>
      <c r="AW7" s="167">
        <v>1.5E7</v>
      </c>
      <c r="AX7" s="167">
        <v>1.5E7</v>
      </c>
      <c r="AY7" s="167">
        <v>1.5E7</v>
      </c>
      <c r="AZ7" s="167">
        <v>1.5E7</v>
      </c>
      <c r="BA7" s="167">
        <v>1.5E7</v>
      </c>
      <c r="BB7" s="167"/>
    </row>
    <row r="8">
      <c r="A8" s="13">
        <f t="shared" si="5"/>
        <v>5</v>
      </c>
      <c r="B8" s="100">
        <v>1.0</v>
      </c>
      <c r="C8" s="14" t="str">
        <f>VLOOKUP(B8,companies!$A:$B,2,FALSE)</f>
        <v>3M</v>
      </c>
      <c r="D8" s="15" t="s">
        <v>535</v>
      </c>
      <c r="E8" s="101">
        <v>2.0</v>
      </c>
      <c r="F8" s="101" t="s">
        <v>603</v>
      </c>
      <c r="G8" s="102" t="s">
        <v>683</v>
      </c>
      <c r="H8" s="102" t="s">
        <v>683</v>
      </c>
      <c r="I8" s="102" t="s">
        <v>598</v>
      </c>
      <c r="J8" s="103">
        <v>1.0</v>
      </c>
      <c r="K8" s="103">
        <v>1.0</v>
      </c>
      <c r="L8" s="103">
        <v>0.0</v>
      </c>
      <c r="M8" s="89">
        <v>1.0</v>
      </c>
      <c r="N8" s="88">
        <v>2019.0</v>
      </c>
      <c r="O8" s="88">
        <v>2050.0</v>
      </c>
      <c r="P8" s="88">
        <v>2021.0</v>
      </c>
      <c r="Q8" s="167" t="s">
        <v>842</v>
      </c>
      <c r="R8" s="167"/>
      <c r="S8" s="167"/>
      <c r="T8" s="167"/>
      <c r="U8" s="167"/>
      <c r="V8" s="167"/>
      <c r="W8" s="167"/>
      <c r="X8" s="167"/>
      <c r="Y8" s="167"/>
      <c r="Z8" s="167"/>
      <c r="AA8" s="167"/>
      <c r="AB8" s="167"/>
      <c r="AC8" s="167"/>
      <c r="AD8" s="167"/>
      <c r="AE8" s="167"/>
      <c r="AF8" s="167"/>
      <c r="AG8" s="167"/>
      <c r="AH8" s="167"/>
      <c r="AI8" s="167"/>
      <c r="AJ8" s="167"/>
      <c r="AK8" s="167"/>
      <c r="AL8" s="167"/>
      <c r="AM8" s="167"/>
      <c r="AN8" s="167"/>
      <c r="AO8" s="167"/>
      <c r="AP8" s="167"/>
      <c r="AQ8" s="167"/>
      <c r="AR8" s="167"/>
      <c r="AS8" s="167"/>
      <c r="AT8" s="167"/>
      <c r="AU8" s="167"/>
      <c r="AV8" s="167"/>
      <c r="AW8" s="167"/>
      <c r="AX8" s="167"/>
      <c r="AY8" s="167"/>
      <c r="AZ8" s="167"/>
      <c r="BA8" s="167"/>
      <c r="BB8" s="167"/>
    </row>
    <row r="9">
      <c r="A9" s="13">
        <f t="shared" si="5"/>
        <v>6</v>
      </c>
      <c r="B9" s="13">
        <v>2.0</v>
      </c>
      <c r="C9" s="14" t="str">
        <f>VLOOKUP(B9,companies!$A:$B,2,FALSE)</f>
        <v>Abbott Laboratories</v>
      </c>
      <c r="D9" s="15" t="s">
        <v>535</v>
      </c>
      <c r="E9" s="15">
        <v>3.0</v>
      </c>
      <c r="F9" s="15" t="s">
        <v>603</v>
      </c>
      <c r="G9" s="104" t="s">
        <v>683</v>
      </c>
      <c r="H9" s="104" t="s">
        <v>683</v>
      </c>
      <c r="I9" s="104" t="s">
        <v>598</v>
      </c>
      <c r="J9" s="89">
        <v>1.0</v>
      </c>
      <c r="K9" s="89">
        <v>1.0</v>
      </c>
      <c r="L9" s="89">
        <v>0.0</v>
      </c>
      <c r="M9" s="89">
        <v>0.3</v>
      </c>
      <c r="N9" s="88">
        <v>2018.0</v>
      </c>
      <c r="O9" s="88">
        <v>2030.0</v>
      </c>
      <c r="P9" s="88">
        <v>2021.0</v>
      </c>
      <c r="Q9" s="167"/>
      <c r="R9" s="167"/>
      <c r="S9" s="167"/>
      <c r="T9" s="167"/>
      <c r="U9" s="167"/>
      <c r="V9" s="167"/>
      <c r="W9" s="167"/>
      <c r="X9" s="167"/>
      <c r="Y9" s="167"/>
      <c r="Z9" s="167"/>
      <c r="AA9" s="167"/>
      <c r="AB9" s="167"/>
      <c r="AC9" s="167"/>
      <c r="AD9" s="167"/>
      <c r="AE9" s="167"/>
      <c r="AF9" s="167"/>
      <c r="AG9" s="167"/>
      <c r="AH9" s="167"/>
      <c r="AI9" s="167"/>
      <c r="AJ9" s="167"/>
      <c r="AK9" s="167"/>
      <c r="AL9" s="167"/>
      <c r="AM9" s="167"/>
      <c r="AN9" s="167"/>
      <c r="AO9" s="167"/>
      <c r="AP9" s="167"/>
      <c r="AQ9" s="167"/>
      <c r="AR9" s="167"/>
      <c r="AS9" s="167"/>
      <c r="AT9" s="167"/>
      <c r="AU9" s="167"/>
      <c r="AV9" s="167"/>
      <c r="AW9" s="167"/>
      <c r="AX9" s="167"/>
      <c r="AY9" s="167"/>
      <c r="AZ9" s="167"/>
      <c r="BA9" s="167"/>
      <c r="BB9" s="167"/>
    </row>
    <row r="10">
      <c r="A10" s="13">
        <f t="shared" si="5"/>
        <v>7</v>
      </c>
      <c r="B10" s="13">
        <v>3.0</v>
      </c>
      <c r="C10" s="14" t="str">
        <f>VLOOKUP(B10,companies!$A:$B,2,FALSE)</f>
        <v>AbbVie Inc.</v>
      </c>
      <c r="D10" s="15" t="s">
        <v>535</v>
      </c>
      <c r="E10" s="15">
        <v>4.0</v>
      </c>
      <c r="F10" s="15" t="s">
        <v>603</v>
      </c>
      <c r="G10" s="104" t="s">
        <v>683</v>
      </c>
      <c r="H10" s="104" t="s">
        <v>683</v>
      </c>
      <c r="I10" s="104" t="s">
        <v>598</v>
      </c>
      <c r="J10" s="89">
        <v>1.0</v>
      </c>
      <c r="K10" s="89">
        <v>1.0</v>
      </c>
      <c r="L10" s="89">
        <v>0.0</v>
      </c>
      <c r="M10" s="89">
        <v>0.25</v>
      </c>
      <c r="N10" s="88">
        <v>2015.0</v>
      </c>
      <c r="O10" s="88">
        <v>2025.0</v>
      </c>
      <c r="P10" s="88">
        <v>2016.0</v>
      </c>
      <c r="Q10" s="167"/>
      <c r="R10" s="167"/>
      <c r="S10" s="167"/>
      <c r="T10" s="167"/>
      <c r="U10" s="167"/>
      <c r="V10" s="167"/>
      <c r="W10" s="167"/>
      <c r="X10" s="167"/>
      <c r="Y10" s="167"/>
      <c r="Z10" s="167"/>
      <c r="AA10" s="167"/>
      <c r="AB10" s="167"/>
      <c r="AC10" s="167"/>
      <c r="AD10" s="167"/>
      <c r="AE10" s="167"/>
      <c r="AF10" s="167"/>
      <c r="AG10" s="167"/>
      <c r="AH10" s="167"/>
      <c r="AI10" s="167"/>
      <c r="AJ10" s="167"/>
      <c r="AK10" s="167"/>
      <c r="AL10" s="167"/>
      <c r="AM10" s="167"/>
      <c r="AN10" s="167"/>
      <c r="AO10" s="167"/>
      <c r="AP10" s="167"/>
      <c r="AQ10" s="167"/>
      <c r="AR10" s="167"/>
      <c r="AS10" s="167"/>
      <c r="AT10" s="167"/>
      <c r="AU10" s="167"/>
      <c r="AV10" s="167"/>
      <c r="AW10" s="167"/>
      <c r="AX10" s="167"/>
      <c r="AY10" s="167"/>
      <c r="AZ10" s="167"/>
      <c r="BA10" s="167"/>
      <c r="BB10" s="167"/>
    </row>
    <row r="11">
      <c r="A11" s="13">
        <f t="shared" si="5"/>
        <v>8</v>
      </c>
      <c r="B11" s="13">
        <v>3.0</v>
      </c>
      <c r="C11" s="14" t="str">
        <f>VLOOKUP(B11,companies!$A:$B,2,FALSE)</f>
        <v>AbbVie Inc.</v>
      </c>
      <c r="D11" s="15" t="s">
        <v>535</v>
      </c>
      <c r="E11" s="15">
        <v>4.0</v>
      </c>
      <c r="F11" s="15" t="s">
        <v>603</v>
      </c>
      <c r="G11" s="104" t="s">
        <v>683</v>
      </c>
      <c r="H11" s="104" t="s">
        <v>683</v>
      </c>
      <c r="I11" s="104" t="s">
        <v>598</v>
      </c>
      <c r="J11" s="89">
        <v>1.0</v>
      </c>
      <c r="K11" s="89">
        <v>1.0</v>
      </c>
      <c r="L11" s="89">
        <v>0.0</v>
      </c>
      <c r="M11" s="89">
        <v>0.5</v>
      </c>
      <c r="N11" s="88">
        <v>2015.0</v>
      </c>
      <c r="O11" s="88">
        <v>2035.0</v>
      </c>
      <c r="P11" s="88">
        <v>2016.0</v>
      </c>
      <c r="Q11" s="167"/>
      <c r="R11" s="167"/>
      <c r="S11" s="167"/>
      <c r="T11" s="167"/>
      <c r="U11" s="167"/>
      <c r="V11" s="167"/>
      <c r="W11" s="167"/>
      <c r="X11" s="167"/>
      <c r="Y11" s="167"/>
      <c r="Z11" s="167"/>
      <c r="AA11" s="167"/>
      <c r="AB11" s="167"/>
      <c r="AC11" s="167"/>
      <c r="AD11" s="167"/>
      <c r="AE11" s="167"/>
      <c r="AF11" s="167"/>
      <c r="AG11" s="167"/>
      <c r="AH11" s="167"/>
      <c r="AI11" s="167"/>
      <c r="AJ11" s="167"/>
      <c r="AK11" s="167"/>
      <c r="AL11" s="167"/>
      <c r="AM11" s="167"/>
      <c r="AN11" s="167"/>
      <c r="AO11" s="167"/>
      <c r="AP11" s="167"/>
      <c r="AQ11" s="167"/>
      <c r="AR11" s="167"/>
      <c r="AS11" s="167"/>
      <c r="AT11" s="167"/>
      <c r="AU11" s="167"/>
      <c r="AV11" s="167"/>
      <c r="AW11" s="167"/>
      <c r="AX11" s="167"/>
      <c r="AY11" s="167"/>
      <c r="AZ11" s="167"/>
      <c r="BA11" s="167"/>
      <c r="BB11" s="167"/>
    </row>
    <row r="12">
      <c r="A12" s="13">
        <f t="shared" si="5"/>
        <v>9</v>
      </c>
      <c r="B12" s="13">
        <v>4.0</v>
      </c>
      <c r="C12" s="14" t="str">
        <f>VLOOKUP(B12,companies!$A:$B,2,FALSE)</f>
        <v>Accenture</v>
      </c>
      <c r="D12" s="15" t="s">
        <v>535</v>
      </c>
      <c r="E12" s="15">
        <v>6.0</v>
      </c>
      <c r="F12" s="15" t="s">
        <v>603</v>
      </c>
      <c r="G12" s="88" t="s">
        <v>687</v>
      </c>
      <c r="H12" s="88" t="s">
        <v>683</v>
      </c>
      <c r="I12" s="88" t="s">
        <v>593</v>
      </c>
      <c r="J12" s="89">
        <v>1.0</v>
      </c>
      <c r="K12" s="89">
        <v>1.0</v>
      </c>
      <c r="L12" s="89">
        <v>1.0</v>
      </c>
      <c r="M12" s="89">
        <v>0.11</v>
      </c>
      <c r="N12" s="88">
        <v>2016.0</v>
      </c>
      <c r="O12" s="88">
        <v>2025.0</v>
      </c>
      <c r="P12" s="88">
        <v>2018.0</v>
      </c>
      <c r="Q12" s="167"/>
      <c r="R12" s="167"/>
      <c r="S12" s="167"/>
      <c r="T12" s="167"/>
      <c r="U12" s="167"/>
      <c r="V12" s="167"/>
      <c r="W12" s="167"/>
      <c r="X12" s="167"/>
      <c r="Y12" s="167"/>
      <c r="Z12" s="167"/>
      <c r="AA12" s="167"/>
      <c r="AB12" s="167"/>
      <c r="AC12" s="167"/>
      <c r="AD12" s="167"/>
      <c r="AE12" s="167"/>
      <c r="AF12" s="167"/>
      <c r="AG12" s="167"/>
      <c r="AH12" s="167"/>
      <c r="AI12" s="167"/>
      <c r="AJ12" s="167"/>
      <c r="AK12" s="167"/>
      <c r="AL12" s="167"/>
      <c r="AM12" s="167"/>
      <c r="AN12" s="167"/>
      <c r="AO12" s="167"/>
      <c r="AP12" s="167"/>
      <c r="AQ12" s="167"/>
      <c r="AR12" s="167"/>
      <c r="AS12" s="167"/>
      <c r="AT12" s="167"/>
      <c r="AU12" s="167"/>
      <c r="AV12" s="167"/>
      <c r="AW12" s="167"/>
      <c r="AX12" s="167"/>
      <c r="AY12" s="167"/>
      <c r="AZ12" s="167"/>
      <c r="BA12" s="167"/>
      <c r="BB12" s="167"/>
    </row>
    <row r="13">
      <c r="A13" s="13">
        <f t="shared" si="5"/>
        <v>10</v>
      </c>
      <c r="B13" s="13">
        <v>4.0</v>
      </c>
      <c r="C13" s="14" t="str">
        <f>VLOOKUP(B13,companies!$A:$B,2,FALSE)</f>
        <v>Accenture</v>
      </c>
      <c r="D13" s="15" t="s">
        <v>535</v>
      </c>
      <c r="E13" s="15">
        <v>6.0</v>
      </c>
      <c r="F13" s="15" t="s">
        <v>603</v>
      </c>
      <c r="G13" s="88" t="s">
        <v>687</v>
      </c>
      <c r="H13" s="88" t="s">
        <v>683</v>
      </c>
      <c r="I13" s="88" t="s">
        <v>598</v>
      </c>
      <c r="J13" s="89">
        <v>1.0</v>
      </c>
      <c r="K13" s="89">
        <v>1.0</v>
      </c>
      <c r="L13" s="89">
        <v>0.0</v>
      </c>
      <c r="M13" s="89">
        <v>0.65</v>
      </c>
      <c r="N13" s="88">
        <v>2016.0</v>
      </c>
      <c r="O13" s="88">
        <v>2025.0</v>
      </c>
      <c r="P13" s="88">
        <v>2018.0</v>
      </c>
      <c r="Q13" s="167"/>
      <c r="R13" s="167"/>
      <c r="S13" s="167"/>
      <c r="T13" s="167"/>
      <c r="U13" s="167"/>
      <c r="V13" s="167"/>
      <c r="W13" s="167"/>
      <c r="X13" s="167"/>
      <c r="Y13" s="167"/>
      <c r="Z13" s="167"/>
      <c r="AA13" s="167"/>
      <c r="AB13" s="167"/>
      <c r="AC13" s="167"/>
      <c r="AD13" s="167"/>
      <c r="AE13" s="167"/>
      <c r="AF13" s="167"/>
      <c r="AG13" s="167"/>
      <c r="AH13" s="167"/>
      <c r="AI13" s="167"/>
      <c r="AJ13" s="167"/>
      <c r="AK13" s="167"/>
      <c r="AL13" s="167"/>
      <c r="AM13" s="167"/>
      <c r="AN13" s="167"/>
      <c r="AO13" s="167"/>
      <c r="AP13" s="167"/>
      <c r="AQ13" s="167"/>
      <c r="AR13" s="167"/>
      <c r="AS13" s="167"/>
      <c r="AT13" s="167"/>
      <c r="AU13" s="167"/>
      <c r="AV13" s="167"/>
      <c r="AW13" s="167"/>
      <c r="AX13" s="167"/>
      <c r="AY13" s="167"/>
      <c r="AZ13" s="167"/>
      <c r="BA13" s="167"/>
      <c r="BB13" s="167"/>
    </row>
    <row r="14">
      <c r="A14" s="13">
        <f t="shared" si="5"/>
        <v>11</v>
      </c>
      <c r="B14" s="13">
        <v>4.0</v>
      </c>
      <c r="C14" s="14" t="str">
        <f>VLOOKUP(B14,companies!$A:$B,2,FALSE)</f>
        <v>Accenture</v>
      </c>
      <c r="D14" s="15" t="s">
        <v>535</v>
      </c>
      <c r="E14" s="15">
        <v>6.0</v>
      </c>
      <c r="F14" s="15" t="s">
        <v>686</v>
      </c>
      <c r="G14" s="88" t="s">
        <v>687</v>
      </c>
      <c r="H14" s="88" t="s">
        <v>688</v>
      </c>
      <c r="I14" s="88" t="s">
        <v>593</v>
      </c>
      <c r="J14" s="89">
        <v>1.0</v>
      </c>
      <c r="K14" s="89">
        <v>1.0</v>
      </c>
      <c r="L14" s="89">
        <v>1.0</v>
      </c>
      <c r="M14" s="89">
        <v>0.4</v>
      </c>
      <c r="N14" s="88">
        <v>2016.0</v>
      </c>
      <c r="O14" s="88">
        <v>2025.0</v>
      </c>
      <c r="P14" s="88">
        <v>2018.0</v>
      </c>
      <c r="Q14" s="167"/>
      <c r="R14" s="167"/>
      <c r="S14" s="167"/>
      <c r="T14" s="167"/>
      <c r="U14" s="167"/>
      <c r="V14" s="167"/>
      <c r="W14" s="167"/>
      <c r="X14" s="167"/>
      <c r="Y14" s="167"/>
      <c r="Z14" s="167"/>
      <c r="AA14" s="167"/>
      <c r="AB14" s="167"/>
      <c r="AC14" s="167"/>
      <c r="AD14" s="167"/>
      <c r="AE14" s="167"/>
      <c r="AF14" s="167"/>
      <c r="AG14" s="167"/>
      <c r="AH14" s="167"/>
      <c r="AI14" s="167"/>
      <c r="AJ14" s="167"/>
      <c r="AK14" s="167"/>
      <c r="AL14" s="167"/>
      <c r="AM14" s="167"/>
      <c r="AN14" s="167"/>
      <c r="AO14" s="167"/>
      <c r="AP14" s="167"/>
      <c r="AQ14" s="167"/>
      <c r="AR14" s="167"/>
      <c r="AS14" s="167"/>
      <c r="AT14" s="167"/>
      <c r="AU14" s="167"/>
      <c r="AV14" s="167"/>
      <c r="AW14" s="167"/>
      <c r="AX14" s="167"/>
      <c r="AY14" s="167"/>
      <c r="AZ14" s="167"/>
      <c r="BA14" s="167"/>
      <c r="BB14" s="167"/>
    </row>
    <row r="15">
      <c r="A15" s="13">
        <f t="shared" si="5"/>
        <v>12</v>
      </c>
      <c r="B15" s="13">
        <v>4.0</v>
      </c>
      <c r="C15" s="14" t="str">
        <f>VLOOKUP(B15,companies!$A:$B,2,FALSE)</f>
        <v>Accenture</v>
      </c>
      <c r="D15" s="15" t="s">
        <v>535</v>
      </c>
      <c r="E15" s="15">
        <v>7.0</v>
      </c>
      <c r="F15" s="24" t="s">
        <v>603</v>
      </c>
      <c r="G15" s="88" t="s">
        <v>683</v>
      </c>
      <c r="H15" s="88" t="s">
        <v>683</v>
      </c>
      <c r="I15" s="88" t="s">
        <v>598</v>
      </c>
      <c r="J15" s="89">
        <v>1.0</v>
      </c>
      <c r="K15" s="89">
        <v>1.0</v>
      </c>
      <c r="L15" s="89">
        <v>0.0</v>
      </c>
      <c r="M15" s="89">
        <v>1.0</v>
      </c>
      <c r="N15" s="88">
        <v>2019.0</v>
      </c>
      <c r="O15" s="88">
        <v>2025.0</v>
      </c>
      <c r="P15" s="88">
        <v>2020.0</v>
      </c>
      <c r="Q15" s="167"/>
      <c r="R15" s="167"/>
      <c r="S15" s="167"/>
      <c r="T15" s="167"/>
      <c r="U15" s="167"/>
      <c r="V15" s="167"/>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row>
    <row r="16">
      <c r="A16" s="13">
        <f t="shared" si="5"/>
        <v>13</v>
      </c>
      <c r="B16" s="13">
        <v>5.0</v>
      </c>
      <c r="C16" s="14" t="str">
        <f>VLOOKUP(B16,companies!$A:$B,2,FALSE)</f>
        <v>Adobe Inc.</v>
      </c>
      <c r="D16" s="15" t="s">
        <v>535</v>
      </c>
      <c r="E16" s="15">
        <v>8.0</v>
      </c>
      <c r="F16" s="15" t="s">
        <v>603</v>
      </c>
      <c r="G16" s="88" t="s">
        <v>687</v>
      </c>
      <c r="H16" s="88" t="s">
        <v>683</v>
      </c>
      <c r="I16" s="88" t="s">
        <v>598</v>
      </c>
      <c r="J16" s="89">
        <v>1.0</v>
      </c>
      <c r="K16" s="89">
        <v>1.0</v>
      </c>
      <c r="L16" s="89">
        <v>0.0</v>
      </c>
      <c r="M16" s="89">
        <v>0.35</v>
      </c>
      <c r="N16" s="88">
        <v>2018.0</v>
      </c>
      <c r="O16" s="88">
        <v>2025.0</v>
      </c>
      <c r="P16" s="88">
        <v>2019.0</v>
      </c>
      <c r="Q16" s="167"/>
      <c r="R16" s="167"/>
      <c r="S16" s="167"/>
      <c r="T16" s="167"/>
      <c r="U16" s="167"/>
      <c r="V16" s="167"/>
      <c r="W16" s="167"/>
      <c r="X16" s="167"/>
      <c r="Y16" s="167"/>
      <c r="Z16" s="167"/>
      <c r="AA16" s="167"/>
      <c r="AB16" s="167"/>
      <c r="AC16" s="167"/>
      <c r="AD16" s="167"/>
      <c r="AE16" s="167"/>
      <c r="AF16" s="167"/>
      <c r="AG16" s="167"/>
      <c r="AH16" s="167"/>
      <c r="AI16" s="167"/>
      <c r="AJ16" s="167"/>
      <c r="AK16" s="167"/>
      <c r="AL16" s="167"/>
      <c r="AM16" s="167"/>
      <c r="AN16" s="167"/>
      <c r="AO16" s="167"/>
      <c r="AP16" s="167"/>
      <c r="AQ16" s="167"/>
      <c r="AR16" s="167"/>
      <c r="AS16" s="167"/>
      <c r="AT16" s="167"/>
      <c r="AU16" s="167"/>
      <c r="AV16" s="167"/>
      <c r="AW16" s="167"/>
      <c r="AX16" s="167"/>
      <c r="AY16" s="167"/>
      <c r="AZ16" s="167"/>
      <c r="BA16" s="167"/>
      <c r="BB16" s="167"/>
    </row>
    <row r="17">
      <c r="A17" s="13">
        <f t="shared" si="5"/>
        <v>14</v>
      </c>
      <c r="B17" s="13">
        <v>5.0</v>
      </c>
      <c r="C17" s="14" t="str">
        <f>VLOOKUP(B17,companies!$A:$B,2,FALSE)</f>
        <v>Adobe Inc.</v>
      </c>
      <c r="D17" s="15" t="s">
        <v>535</v>
      </c>
      <c r="E17" s="15">
        <v>8.0</v>
      </c>
      <c r="F17" s="15" t="s">
        <v>603</v>
      </c>
      <c r="G17" s="88" t="s">
        <v>687</v>
      </c>
      <c r="H17" s="88" t="s">
        <v>683</v>
      </c>
      <c r="I17" s="88" t="s">
        <v>689</v>
      </c>
      <c r="J17" s="89">
        <v>0.0</v>
      </c>
      <c r="K17" s="89">
        <v>0.0</v>
      </c>
      <c r="L17" s="89">
        <v>0.0</v>
      </c>
      <c r="M17" s="89">
        <v>0.3</v>
      </c>
      <c r="N17" s="88">
        <v>2018.0</v>
      </c>
      <c r="O17" s="88">
        <v>2025.0</v>
      </c>
      <c r="P17" s="88">
        <v>2019.0</v>
      </c>
      <c r="Q17" s="167"/>
      <c r="R17" s="167"/>
      <c r="S17" s="167"/>
      <c r="T17" s="167"/>
      <c r="U17" s="167"/>
      <c r="V17" s="167"/>
      <c r="W17" s="167"/>
      <c r="X17" s="167"/>
      <c r="Y17" s="167"/>
      <c r="Z17" s="167"/>
      <c r="AA17" s="167"/>
      <c r="AB17" s="167"/>
      <c r="AC17" s="167"/>
      <c r="AD17" s="167"/>
      <c r="AE17" s="167"/>
      <c r="AF17" s="167"/>
      <c r="AG17" s="167"/>
      <c r="AH17" s="167"/>
      <c r="AI17" s="167"/>
      <c r="AJ17" s="167"/>
      <c r="AK17" s="167"/>
      <c r="AL17" s="167"/>
      <c r="AM17" s="167"/>
      <c r="AN17" s="167"/>
      <c r="AO17" s="167"/>
      <c r="AP17" s="167"/>
      <c r="AQ17" s="167"/>
      <c r="AR17" s="167"/>
      <c r="AS17" s="167"/>
      <c r="AT17" s="167"/>
      <c r="AU17" s="167"/>
      <c r="AV17" s="167"/>
      <c r="AW17" s="167"/>
      <c r="AX17" s="167"/>
      <c r="AY17" s="167"/>
      <c r="AZ17" s="167"/>
      <c r="BA17" s="167"/>
      <c r="BB17" s="167"/>
    </row>
    <row r="18">
      <c r="A18" s="13">
        <f t="shared" si="5"/>
        <v>15</v>
      </c>
      <c r="B18" s="13">
        <v>5.0</v>
      </c>
      <c r="C18" s="14" t="str">
        <f>VLOOKUP(B18,companies!$A:$B,2,FALSE)</f>
        <v>Adobe Inc.</v>
      </c>
      <c r="D18" s="15" t="s">
        <v>535</v>
      </c>
      <c r="E18" s="15">
        <v>8.0</v>
      </c>
      <c r="F18" s="15" t="s">
        <v>603</v>
      </c>
      <c r="G18" s="88" t="s">
        <v>687</v>
      </c>
      <c r="H18" s="88" t="s">
        <v>683</v>
      </c>
      <c r="I18" s="88" t="s">
        <v>598</v>
      </c>
      <c r="J18" s="89">
        <v>1.0</v>
      </c>
      <c r="K18" s="89">
        <v>1.0</v>
      </c>
      <c r="L18" s="89">
        <v>0.0</v>
      </c>
      <c r="M18" s="89">
        <v>0.8</v>
      </c>
      <c r="N18" s="88">
        <v>2018.0</v>
      </c>
      <c r="O18" s="88">
        <v>2035.0</v>
      </c>
      <c r="P18" s="88">
        <v>2019.0</v>
      </c>
      <c r="Q18" s="167"/>
      <c r="R18" s="167"/>
      <c r="S18" s="167"/>
      <c r="T18" s="167"/>
      <c r="U18" s="167"/>
      <c r="V18" s="167"/>
      <c r="W18" s="167"/>
      <c r="X18" s="167"/>
      <c r="Y18" s="167"/>
      <c r="Z18" s="167"/>
      <c r="AA18" s="167"/>
      <c r="AB18" s="167"/>
      <c r="AC18" s="167"/>
      <c r="AD18" s="167"/>
      <c r="AE18" s="167"/>
      <c r="AF18" s="167"/>
      <c r="AG18" s="167"/>
      <c r="AH18" s="167"/>
      <c r="AI18" s="167"/>
      <c r="AJ18" s="167"/>
      <c r="AK18" s="167"/>
      <c r="AL18" s="167"/>
      <c r="AM18" s="167"/>
      <c r="AN18" s="167"/>
      <c r="AO18" s="167"/>
      <c r="AP18" s="167"/>
      <c r="AQ18" s="167"/>
      <c r="AR18" s="167"/>
      <c r="AS18" s="167"/>
      <c r="AT18" s="167"/>
      <c r="AU18" s="167"/>
      <c r="AV18" s="167"/>
      <c r="AW18" s="167"/>
      <c r="AX18" s="167"/>
      <c r="AY18" s="167"/>
      <c r="AZ18" s="167"/>
      <c r="BA18" s="167"/>
      <c r="BB18" s="167"/>
    </row>
    <row r="19">
      <c r="A19" s="13">
        <f t="shared" si="5"/>
        <v>16</v>
      </c>
      <c r="B19" s="13">
        <v>5.0</v>
      </c>
      <c r="C19" s="14" t="str">
        <f>VLOOKUP(B19,companies!$A:$B,2,FALSE)</f>
        <v>Adobe Inc.</v>
      </c>
      <c r="D19" s="15" t="s">
        <v>535</v>
      </c>
      <c r="E19" s="15">
        <v>8.0</v>
      </c>
      <c r="F19" s="15" t="s">
        <v>603</v>
      </c>
      <c r="G19" s="88" t="s">
        <v>687</v>
      </c>
      <c r="H19" s="88" t="s">
        <v>683</v>
      </c>
      <c r="I19" s="88" t="s">
        <v>598</v>
      </c>
      <c r="J19" s="89">
        <v>1.0</v>
      </c>
      <c r="K19" s="89">
        <v>1.0</v>
      </c>
      <c r="L19" s="89">
        <v>0.0</v>
      </c>
      <c r="M19" s="89">
        <v>1.0</v>
      </c>
      <c r="N19" s="88">
        <v>2018.0</v>
      </c>
      <c r="O19" s="88">
        <v>2050.0</v>
      </c>
      <c r="P19" s="88">
        <v>2019.0</v>
      </c>
      <c r="Q19" s="167"/>
      <c r="R19" s="167"/>
      <c r="S19" s="167"/>
      <c r="T19" s="167"/>
      <c r="U19" s="167"/>
      <c r="V19" s="167"/>
      <c r="W19" s="167"/>
      <c r="X19" s="167"/>
      <c r="Y19" s="167"/>
      <c r="Z19" s="167"/>
      <c r="AA19" s="167"/>
      <c r="AB19" s="167"/>
      <c r="AC19" s="167"/>
      <c r="AD19" s="167"/>
      <c r="AE19" s="167"/>
      <c r="AF19" s="167"/>
      <c r="AG19" s="167"/>
      <c r="AH19" s="167"/>
      <c r="AI19" s="167"/>
      <c r="AJ19" s="167"/>
      <c r="AK19" s="167"/>
      <c r="AL19" s="167"/>
      <c r="AM19" s="167"/>
      <c r="AN19" s="167"/>
      <c r="AO19" s="167"/>
      <c r="AP19" s="167"/>
      <c r="AQ19" s="167"/>
      <c r="AR19" s="167"/>
      <c r="AS19" s="167"/>
      <c r="AT19" s="167"/>
      <c r="AU19" s="167"/>
      <c r="AV19" s="167"/>
      <c r="AW19" s="167"/>
      <c r="AX19" s="167"/>
      <c r="AY19" s="167"/>
      <c r="AZ19" s="167"/>
      <c r="BA19" s="167"/>
      <c r="BB19" s="167"/>
    </row>
    <row r="20">
      <c r="A20" s="13">
        <f t="shared" si="5"/>
        <v>17</v>
      </c>
      <c r="B20" s="13">
        <v>7.0</v>
      </c>
      <c r="C20" s="14" t="str">
        <f>VLOOKUP(B20,companies!$A:$B,2,FALSE)</f>
        <v>Alphabet Inc. Google</v>
      </c>
      <c r="D20" s="16">
        <v>44204.0</v>
      </c>
      <c r="E20" s="15">
        <v>10.0</v>
      </c>
      <c r="F20" s="15" t="s">
        <v>603</v>
      </c>
      <c r="G20" s="88" t="s">
        <v>683</v>
      </c>
      <c r="H20" s="88" t="s">
        <v>683</v>
      </c>
      <c r="I20" s="88" t="s">
        <v>598</v>
      </c>
      <c r="J20" s="89">
        <v>1.0</v>
      </c>
      <c r="K20" s="89">
        <v>1.0</v>
      </c>
      <c r="L20" s="89">
        <v>0.0</v>
      </c>
      <c r="M20" s="88" t="s">
        <v>843</v>
      </c>
      <c r="N20" s="88">
        <v>2019.0</v>
      </c>
      <c r="O20" s="88">
        <v>2020.0</v>
      </c>
      <c r="P20" s="88">
        <v>2020.0</v>
      </c>
      <c r="Q20" s="167"/>
      <c r="R20" s="167"/>
      <c r="S20" s="167"/>
      <c r="T20" s="167"/>
      <c r="U20" s="167"/>
      <c r="V20" s="167"/>
      <c r="W20" s="167"/>
      <c r="X20" s="167"/>
      <c r="Y20" s="167"/>
      <c r="Z20" s="167"/>
      <c r="AA20" s="167"/>
      <c r="AB20" s="167"/>
      <c r="AC20" s="167"/>
      <c r="AD20" s="167"/>
      <c r="AE20" s="167"/>
      <c r="AF20" s="167"/>
      <c r="AG20" s="167"/>
      <c r="AH20" s="167"/>
      <c r="AI20" s="167"/>
      <c r="AJ20" s="167"/>
      <c r="AK20" s="167"/>
      <c r="AL20" s="167"/>
      <c r="AM20" s="167"/>
      <c r="AN20" s="167"/>
      <c r="AO20" s="167"/>
      <c r="AP20" s="167"/>
      <c r="AQ20" s="167"/>
      <c r="AR20" s="167"/>
      <c r="AS20" s="167"/>
      <c r="AT20" s="167"/>
      <c r="AU20" s="167"/>
      <c r="AV20" s="167"/>
      <c r="AW20" s="167"/>
      <c r="AX20" s="167"/>
      <c r="AY20" s="167"/>
      <c r="AZ20" s="167"/>
      <c r="BA20" s="167"/>
      <c r="BB20" s="167"/>
    </row>
    <row r="21">
      <c r="A21" s="13">
        <f t="shared" si="5"/>
        <v>18</v>
      </c>
      <c r="B21" s="13">
        <v>8.0</v>
      </c>
      <c r="C21" s="14" t="str">
        <f>VLOOKUP(B21,companies!$A:$B,2,FALSE)</f>
        <v>Altria Group Inc</v>
      </c>
      <c r="D21" s="16">
        <v>44204.0</v>
      </c>
      <c r="E21" s="15">
        <v>11.0</v>
      </c>
      <c r="F21" s="15" t="s">
        <v>603</v>
      </c>
      <c r="G21" s="88" t="s">
        <v>687</v>
      </c>
      <c r="H21" s="88" t="s">
        <v>683</v>
      </c>
      <c r="I21" s="88" t="s">
        <v>598</v>
      </c>
      <c r="J21" s="89">
        <v>1.0</v>
      </c>
      <c r="K21" s="89">
        <v>1.0</v>
      </c>
      <c r="L21" s="89">
        <v>0.0</v>
      </c>
      <c r="M21" s="89">
        <v>0.55</v>
      </c>
      <c r="N21" s="88">
        <v>2017.0</v>
      </c>
      <c r="O21" s="88">
        <v>2030.0</v>
      </c>
      <c r="P21" s="88">
        <v>2020.0</v>
      </c>
      <c r="Q21" s="167"/>
      <c r="R21" s="167"/>
      <c r="S21" s="167"/>
      <c r="T21" s="167"/>
      <c r="U21" s="167"/>
      <c r="V21" s="167"/>
      <c r="W21" s="167"/>
      <c r="X21" s="167"/>
      <c r="Y21" s="167"/>
      <c r="Z21" s="167"/>
      <c r="AA21" s="167"/>
      <c r="AB21" s="167"/>
      <c r="AC21" s="167"/>
      <c r="AD21" s="167"/>
      <c r="AE21" s="167"/>
      <c r="AF21" s="167"/>
      <c r="AG21" s="167"/>
      <c r="AH21" s="167"/>
      <c r="AI21" s="167"/>
      <c r="AJ21" s="167"/>
      <c r="AK21" s="167"/>
      <c r="AL21" s="167"/>
      <c r="AM21" s="167"/>
      <c r="AN21" s="167"/>
      <c r="AO21" s="167"/>
      <c r="AP21" s="167"/>
      <c r="AQ21" s="167"/>
      <c r="AR21" s="167"/>
      <c r="AS21" s="167"/>
      <c r="AT21" s="167"/>
      <c r="AU21" s="167"/>
      <c r="AV21" s="167"/>
      <c r="AW21" s="167"/>
      <c r="AX21" s="167"/>
      <c r="AY21" s="167"/>
      <c r="AZ21" s="167"/>
      <c r="BA21" s="167"/>
      <c r="BB21" s="167"/>
    </row>
    <row r="22">
      <c r="A22" s="13">
        <f t="shared" si="5"/>
        <v>19</v>
      </c>
      <c r="B22" s="13">
        <v>8.0</v>
      </c>
      <c r="C22" s="14" t="str">
        <f>VLOOKUP(B22,companies!$A:$B,2,FALSE)</f>
        <v>Altria Group Inc</v>
      </c>
      <c r="D22" s="16">
        <v>44204.0</v>
      </c>
      <c r="E22" s="15">
        <v>11.0</v>
      </c>
      <c r="F22" s="15" t="s">
        <v>603</v>
      </c>
      <c r="G22" s="88" t="s">
        <v>687</v>
      </c>
      <c r="H22" s="88" t="s">
        <v>683</v>
      </c>
      <c r="I22" s="88" t="s">
        <v>689</v>
      </c>
      <c r="J22" s="89">
        <v>0.0</v>
      </c>
      <c r="K22" s="89">
        <v>0.0</v>
      </c>
      <c r="L22" s="89">
        <v>1.0</v>
      </c>
      <c r="M22" s="89">
        <v>0.18</v>
      </c>
      <c r="N22" s="88">
        <v>2017.0</v>
      </c>
      <c r="O22" s="88">
        <v>2030.0</v>
      </c>
      <c r="P22" s="88">
        <v>2020.0</v>
      </c>
      <c r="Q22" s="167"/>
      <c r="R22" s="167"/>
      <c r="S22" s="167"/>
      <c r="T22" s="167"/>
      <c r="U22" s="167"/>
      <c r="V22" s="167"/>
      <c r="W22" s="167"/>
      <c r="X22" s="167"/>
      <c r="Y22" s="167"/>
      <c r="Z22" s="167"/>
      <c r="AA22" s="167"/>
      <c r="AB22" s="167"/>
      <c r="AC22" s="167"/>
      <c r="AD22" s="167"/>
      <c r="AE22" s="167"/>
      <c r="AF22" s="167"/>
      <c r="AG22" s="167"/>
      <c r="AH22" s="167"/>
      <c r="AI22" s="167"/>
      <c r="AJ22" s="167"/>
      <c r="AK22" s="167"/>
      <c r="AL22" s="167"/>
      <c r="AM22" s="167"/>
      <c r="AN22" s="167"/>
      <c r="AO22" s="167"/>
      <c r="AP22" s="167"/>
      <c r="AQ22" s="167"/>
      <c r="AR22" s="167"/>
      <c r="AS22" s="167"/>
      <c r="AT22" s="167"/>
      <c r="AU22" s="167"/>
      <c r="AV22" s="167"/>
      <c r="AW22" s="167"/>
      <c r="AX22" s="167"/>
      <c r="AY22" s="167"/>
      <c r="AZ22" s="167"/>
      <c r="BA22" s="167"/>
      <c r="BB22" s="167"/>
    </row>
    <row r="23">
      <c r="A23" s="13">
        <f t="shared" si="5"/>
        <v>20</v>
      </c>
      <c r="B23" s="13">
        <v>13.0</v>
      </c>
      <c r="C23" s="14" t="str">
        <f>VLOOKUP(B23,companies!$A:$B,2,FALSE)</f>
        <v>Amgen Inc.</v>
      </c>
      <c r="D23" s="16">
        <v>44235.0</v>
      </c>
      <c r="E23" s="15">
        <v>15.0</v>
      </c>
      <c r="F23" s="15" t="s">
        <v>603</v>
      </c>
      <c r="G23" s="88" t="s">
        <v>683</v>
      </c>
      <c r="H23" s="88" t="s">
        <v>683</v>
      </c>
      <c r="I23" s="88" t="s">
        <v>598</v>
      </c>
      <c r="J23" s="89">
        <v>1.0</v>
      </c>
      <c r="K23" s="89">
        <v>1.0</v>
      </c>
      <c r="L23" s="89">
        <v>0.0</v>
      </c>
      <c r="M23" s="89">
        <v>1.0</v>
      </c>
      <c r="N23" s="88">
        <v>2019.0</v>
      </c>
      <c r="O23" s="88">
        <v>2027.0</v>
      </c>
      <c r="P23" s="88">
        <v>2020.0</v>
      </c>
      <c r="Q23" s="167"/>
      <c r="R23" s="167"/>
      <c r="S23" s="167"/>
      <c r="T23" s="167"/>
      <c r="U23" s="167"/>
      <c r="V23" s="167"/>
      <c r="W23" s="167"/>
      <c r="X23" s="167"/>
      <c r="Y23" s="167"/>
      <c r="Z23" s="167"/>
      <c r="AA23" s="167"/>
      <c r="AB23" s="167"/>
      <c r="AC23" s="167"/>
      <c r="AD23" s="167"/>
      <c r="AE23" s="167"/>
      <c r="AF23" s="167"/>
      <c r="AG23" s="167"/>
      <c r="AH23" s="167"/>
      <c r="AI23" s="167"/>
      <c r="AJ23" s="167"/>
      <c r="AK23" s="167"/>
      <c r="AL23" s="167"/>
      <c r="AM23" s="167"/>
      <c r="AN23" s="167"/>
      <c r="AO23" s="167"/>
      <c r="AP23" s="167"/>
      <c r="AQ23" s="167"/>
      <c r="AR23" s="167"/>
      <c r="AS23" s="167"/>
      <c r="AT23" s="167"/>
      <c r="AU23" s="167"/>
      <c r="AV23" s="167"/>
      <c r="AW23" s="167"/>
      <c r="AX23" s="167"/>
      <c r="AY23" s="167"/>
      <c r="AZ23" s="167"/>
      <c r="BA23" s="167"/>
      <c r="BB23" s="167"/>
    </row>
    <row r="24">
      <c r="A24" s="13">
        <f t="shared" si="5"/>
        <v>21</v>
      </c>
      <c r="B24" s="13">
        <v>14.0</v>
      </c>
      <c r="C24" s="14" t="str">
        <f>VLOOKUP(B24,companies!$A:$B,2,FALSE)</f>
        <v>Apple Inc.</v>
      </c>
      <c r="D24" s="16">
        <v>44235.0</v>
      </c>
      <c r="E24" s="15">
        <v>16.0</v>
      </c>
      <c r="F24" s="15" t="s">
        <v>603</v>
      </c>
      <c r="G24" s="88" t="s">
        <v>687</v>
      </c>
      <c r="H24" s="88" t="s">
        <v>683</v>
      </c>
      <c r="I24" s="88" t="s">
        <v>593</v>
      </c>
      <c r="J24" s="89">
        <v>1.0</v>
      </c>
      <c r="K24" s="89">
        <v>1.0</v>
      </c>
      <c r="L24" s="89">
        <v>1.0</v>
      </c>
      <c r="M24" s="89">
        <v>0.62</v>
      </c>
      <c r="N24" s="88">
        <v>2019.0</v>
      </c>
      <c r="O24" s="88">
        <v>2030.0</v>
      </c>
      <c r="P24" s="88">
        <v>2020.0</v>
      </c>
      <c r="Q24" s="167"/>
      <c r="R24" s="167"/>
      <c r="S24" s="167"/>
      <c r="T24" s="167"/>
      <c r="U24" s="167"/>
      <c r="V24" s="167"/>
      <c r="W24" s="167"/>
      <c r="X24" s="167"/>
      <c r="Y24" s="167"/>
      <c r="Z24" s="167"/>
      <c r="AA24" s="167"/>
      <c r="AB24" s="167"/>
      <c r="AC24" s="167"/>
      <c r="AD24" s="167"/>
      <c r="AE24" s="167"/>
      <c r="AF24" s="167"/>
      <c r="AG24" s="167"/>
      <c r="AH24" s="167"/>
      <c r="AI24" s="167"/>
      <c r="AJ24" s="167"/>
      <c r="AK24" s="167"/>
      <c r="AL24" s="167"/>
      <c r="AM24" s="167"/>
      <c r="AN24" s="167"/>
      <c r="AO24" s="167"/>
      <c r="AP24" s="167"/>
      <c r="AQ24" s="167"/>
      <c r="AR24" s="167"/>
      <c r="AS24" s="167"/>
      <c r="AT24" s="167"/>
      <c r="AU24" s="167"/>
      <c r="AV24" s="167"/>
      <c r="AW24" s="167"/>
      <c r="AX24" s="167"/>
      <c r="AY24" s="167"/>
      <c r="AZ24" s="167"/>
      <c r="BA24" s="167"/>
      <c r="BB24" s="167"/>
    </row>
    <row r="25">
      <c r="A25" s="13">
        <f t="shared" si="5"/>
        <v>22</v>
      </c>
      <c r="B25" s="13">
        <v>15.0</v>
      </c>
      <c r="C25" s="14" t="str">
        <f>VLOOKUP(B25,companies!$A:$B,2,FALSE)</f>
        <v>AT&amp;T Inc.</v>
      </c>
      <c r="D25" s="16">
        <v>44235.0</v>
      </c>
      <c r="E25" s="15">
        <v>18.0</v>
      </c>
      <c r="F25" s="15" t="s">
        <v>603</v>
      </c>
      <c r="G25" s="88" t="s">
        <v>687</v>
      </c>
      <c r="H25" s="88" t="s">
        <v>683</v>
      </c>
      <c r="I25" s="88" t="s">
        <v>598</v>
      </c>
      <c r="J25" s="89">
        <v>1.0</v>
      </c>
      <c r="K25" s="89">
        <v>1.0</v>
      </c>
      <c r="L25" s="89">
        <v>0.0</v>
      </c>
      <c r="M25" s="89">
        <v>0.63</v>
      </c>
      <c r="N25" s="88">
        <v>2015.0</v>
      </c>
      <c r="O25" s="88">
        <v>2030.0</v>
      </c>
      <c r="P25" s="88">
        <v>2020.0</v>
      </c>
      <c r="Q25" s="167"/>
      <c r="R25" s="167"/>
      <c r="S25" s="167"/>
      <c r="T25" s="167"/>
      <c r="U25" s="167"/>
      <c r="V25" s="167"/>
      <c r="W25" s="167"/>
      <c r="X25" s="167"/>
      <c r="Y25" s="167"/>
      <c r="Z25" s="167"/>
      <c r="AA25" s="167"/>
      <c r="AB25" s="167"/>
      <c r="AC25" s="167"/>
      <c r="AD25" s="167"/>
      <c r="AE25" s="167"/>
      <c r="AF25" s="167"/>
      <c r="AG25" s="167"/>
      <c r="AH25" s="167"/>
      <c r="AI25" s="167"/>
      <c r="AJ25" s="167"/>
      <c r="AK25" s="167"/>
      <c r="AL25" s="167"/>
      <c r="AM25" s="167"/>
      <c r="AN25" s="167"/>
      <c r="AO25" s="167"/>
      <c r="AP25" s="167"/>
      <c r="AQ25" s="167"/>
      <c r="AR25" s="167"/>
      <c r="AS25" s="167"/>
      <c r="AT25" s="167"/>
      <c r="AU25" s="167"/>
      <c r="AV25" s="167"/>
      <c r="AW25" s="167"/>
      <c r="AX25" s="167"/>
      <c r="AY25" s="167"/>
      <c r="AZ25" s="167"/>
      <c r="BA25" s="167"/>
      <c r="BB25" s="167"/>
    </row>
    <row r="26">
      <c r="A26" s="13">
        <f t="shared" si="5"/>
        <v>23</v>
      </c>
      <c r="B26" s="13">
        <v>15.0</v>
      </c>
      <c r="C26" s="14" t="str">
        <f>VLOOKUP(B26,companies!$A:$B,2,FALSE)</f>
        <v>AT&amp;T Inc.</v>
      </c>
      <c r="D26" s="16">
        <v>44235.0</v>
      </c>
      <c r="E26" s="15">
        <v>18.0</v>
      </c>
      <c r="F26" s="15" t="s">
        <v>603</v>
      </c>
      <c r="G26" s="88" t="s">
        <v>683</v>
      </c>
      <c r="H26" s="88" t="s">
        <v>683</v>
      </c>
      <c r="I26" s="88" t="s">
        <v>598</v>
      </c>
      <c r="J26" s="89">
        <v>1.0</v>
      </c>
      <c r="K26" s="89">
        <v>1.0</v>
      </c>
      <c r="L26" s="89">
        <v>0.0</v>
      </c>
      <c r="M26" s="89">
        <v>1.0</v>
      </c>
      <c r="N26" s="88">
        <v>2015.0</v>
      </c>
      <c r="O26" s="88">
        <v>2035.0</v>
      </c>
      <c r="P26" s="88">
        <v>2020.0</v>
      </c>
      <c r="Q26" s="167"/>
      <c r="R26" s="167"/>
      <c r="S26" s="167"/>
      <c r="T26" s="167"/>
      <c r="U26" s="167"/>
      <c r="V26" s="167"/>
      <c r="W26" s="167"/>
      <c r="X26" s="167"/>
      <c r="Y26" s="167"/>
      <c r="Z26" s="167"/>
      <c r="AA26" s="167"/>
      <c r="AB26" s="167"/>
      <c r="AC26" s="167"/>
      <c r="AD26" s="167"/>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row>
    <row r="27">
      <c r="A27" s="13">
        <f t="shared" si="5"/>
        <v>24</v>
      </c>
      <c r="B27" s="13">
        <v>16.0</v>
      </c>
      <c r="C27" s="14" t="str">
        <f>VLOOKUP(B27,companies!$A:$B,2,FALSE)</f>
        <v>Bank of America</v>
      </c>
      <c r="D27" s="16">
        <v>44235.0</v>
      </c>
      <c r="E27" s="15">
        <v>20.0</v>
      </c>
      <c r="F27" s="15" t="s">
        <v>603</v>
      </c>
      <c r="G27" s="88" t="s">
        <v>683</v>
      </c>
      <c r="H27" s="88" t="s">
        <v>683</v>
      </c>
      <c r="I27" s="88" t="s">
        <v>593</v>
      </c>
      <c r="J27" s="89">
        <v>1.0</v>
      </c>
      <c r="K27" s="89">
        <v>1.0</v>
      </c>
      <c r="L27" s="89">
        <v>1.0</v>
      </c>
      <c r="M27" s="89">
        <v>1.0</v>
      </c>
      <c r="N27" s="88">
        <v>2020.0</v>
      </c>
      <c r="O27" s="88">
        <v>2050.0</v>
      </c>
      <c r="P27" s="88">
        <v>2020.0</v>
      </c>
      <c r="Q27" s="167"/>
      <c r="R27" s="167"/>
      <c r="S27" s="167"/>
      <c r="T27" s="167"/>
      <c r="U27" s="167"/>
      <c r="V27" s="167"/>
      <c r="W27" s="167"/>
      <c r="X27" s="167"/>
      <c r="Y27" s="167"/>
      <c r="Z27" s="167"/>
      <c r="AA27" s="167"/>
      <c r="AB27" s="167"/>
      <c r="AC27" s="167"/>
      <c r="AD27" s="167"/>
      <c r="AE27" s="167"/>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row>
    <row r="28">
      <c r="A28" s="13">
        <f t="shared" si="5"/>
        <v>25</v>
      </c>
      <c r="B28" s="13">
        <v>9.0</v>
      </c>
      <c r="C28" s="14" t="str">
        <f>VLOOKUP(B28,companies!$A:$B,2,FALSE)</f>
        <v>Amazon.com Inc.</v>
      </c>
      <c r="D28" s="16">
        <v>44235.0</v>
      </c>
      <c r="E28" s="15">
        <v>21.0</v>
      </c>
      <c r="F28" s="15" t="s">
        <v>603</v>
      </c>
      <c r="G28" s="88" t="s">
        <v>683</v>
      </c>
      <c r="H28" s="88" t="s">
        <v>683</v>
      </c>
      <c r="I28" s="88" t="s">
        <v>593</v>
      </c>
      <c r="J28" s="89">
        <v>1.0</v>
      </c>
      <c r="K28" s="89">
        <v>1.0</v>
      </c>
      <c r="L28" s="89">
        <v>1.0</v>
      </c>
      <c r="M28" s="89">
        <v>1.0</v>
      </c>
      <c r="N28" s="88">
        <v>2040.0</v>
      </c>
      <c r="O28" s="88">
        <v>2019.0</v>
      </c>
      <c r="P28" s="88">
        <v>2019.0</v>
      </c>
      <c r="Q28" s="167"/>
      <c r="R28" s="167"/>
      <c r="S28" s="167"/>
      <c r="T28" s="167"/>
      <c r="U28" s="167"/>
      <c r="V28" s="167"/>
      <c r="W28" s="167"/>
      <c r="X28" s="167"/>
      <c r="Y28" s="167"/>
      <c r="Z28" s="167"/>
      <c r="AA28" s="167"/>
      <c r="AB28" s="167"/>
      <c r="AC28" s="167"/>
      <c r="AD28" s="167"/>
      <c r="AE28" s="167"/>
      <c r="AF28" s="167"/>
      <c r="AG28" s="167"/>
      <c r="AH28" s="167"/>
      <c r="AI28" s="167"/>
      <c r="AJ28" s="167"/>
      <c r="AK28" s="167"/>
      <c r="AL28" s="167"/>
      <c r="AM28" s="167"/>
      <c r="AN28" s="167"/>
      <c r="AO28" s="167"/>
      <c r="AP28" s="167"/>
      <c r="AQ28" s="167"/>
      <c r="AR28" s="167"/>
      <c r="AS28" s="167"/>
      <c r="AT28" s="167"/>
      <c r="AU28" s="167"/>
      <c r="AV28" s="167"/>
      <c r="AW28" s="167"/>
      <c r="AX28" s="167"/>
      <c r="AY28" s="167"/>
      <c r="AZ28" s="167"/>
      <c r="BA28" s="167"/>
      <c r="BB28" s="167"/>
    </row>
    <row r="29">
      <c r="A29" s="13">
        <f t="shared" si="5"/>
        <v>26</v>
      </c>
      <c r="B29" s="13">
        <v>18.0</v>
      </c>
      <c r="C29" s="14" t="str">
        <f>VLOOKUP(B29,companies!$A:$B,2,FALSE)</f>
        <v>Biogen Inc.</v>
      </c>
      <c r="D29" s="16">
        <v>44235.0</v>
      </c>
      <c r="E29" s="15">
        <v>22.0</v>
      </c>
      <c r="F29" s="15" t="s">
        <v>603</v>
      </c>
      <c r="G29" s="88" t="s">
        <v>687</v>
      </c>
      <c r="H29" s="88" t="s">
        <v>683</v>
      </c>
      <c r="I29" s="88" t="s">
        <v>598</v>
      </c>
      <c r="J29" s="89">
        <v>1.0</v>
      </c>
      <c r="K29" s="89">
        <v>1.0</v>
      </c>
      <c r="L29" s="89">
        <v>0.0</v>
      </c>
      <c r="M29" s="89">
        <v>0.55</v>
      </c>
      <c r="N29" s="88">
        <v>2019.0</v>
      </c>
      <c r="O29" s="88">
        <v>2032.0</v>
      </c>
      <c r="P29" s="88">
        <v>2019.0</v>
      </c>
      <c r="Q29" s="167"/>
      <c r="R29" s="167"/>
      <c r="S29" s="167"/>
      <c r="T29" s="167"/>
      <c r="U29" s="167"/>
      <c r="V29" s="167"/>
      <c r="W29" s="167"/>
      <c r="X29" s="167"/>
      <c r="Y29" s="167"/>
      <c r="Z29" s="167"/>
      <c r="AA29" s="167"/>
      <c r="AB29" s="167"/>
      <c r="AC29" s="167"/>
      <c r="AD29" s="167"/>
      <c r="AE29" s="167"/>
      <c r="AF29" s="167"/>
      <c r="AG29" s="167"/>
      <c r="AH29" s="167"/>
      <c r="AI29" s="167"/>
      <c r="AJ29" s="167"/>
      <c r="AK29" s="167"/>
      <c r="AL29" s="167"/>
      <c r="AM29" s="167"/>
      <c r="AN29" s="167"/>
      <c r="AO29" s="167"/>
      <c r="AP29" s="167"/>
      <c r="AQ29" s="167"/>
      <c r="AR29" s="167"/>
      <c r="AS29" s="167"/>
      <c r="AT29" s="167"/>
      <c r="AU29" s="167"/>
      <c r="AV29" s="167"/>
      <c r="AW29" s="167"/>
      <c r="AX29" s="167"/>
      <c r="AY29" s="167"/>
      <c r="AZ29" s="167"/>
      <c r="BA29" s="167"/>
      <c r="BB29" s="167"/>
    </row>
    <row r="30">
      <c r="A30" s="13">
        <f t="shared" si="5"/>
        <v>27</v>
      </c>
      <c r="B30" s="13">
        <v>18.0</v>
      </c>
      <c r="C30" s="14" t="str">
        <f>VLOOKUP(B30,companies!$A:$B,2,FALSE)</f>
        <v>Biogen Inc.</v>
      </c>
      <c r="D30" s="16">
        <v>44235.0</v>
      </c>
      <c r="E30" s="15">
        <v>22.0</v>
      </c>
      <c r="F30" s="15" t="s">
        <v>603</v>
      </c>
      <c r="G30" s="88" t="s">
        <v>687</v>
      </c>
      <c r="H30" s="88" t="s">
        <v>683</v>
      </c>
      <c r="I30" s="88" t="s">
        <v>598</v>
      </c>
      <c r="J30" s="89">
        <v>1.0</v>
      </c>
      <c r="K30" s="89">
        <v>1.0</v>
      </c>
      <c r="L30" s="89">
        <v>0.0</v>
      </c>
      <c r="M30" s="89">
        <v>1.0</v>
      </c>
      <c r="N30" s="88">
        <v>2019.0</v>
      </c>
      <c r="O30" s="88">
        <v>2040.0</v>
      </c>
      <c r="P30" s="88">
        <v>2019.0</v>
      </c>
      <c r="Q30" s="167"/>
      <c r="R30" s="167"/>
      <c r="S30" s="167"/>
      <c r="T30" s="167"/>
      <c r="U30" s="167"/>
      <c r="V30" s="167"/>
      <c r="W30" s="167"/>
      <c r="X30" s="167"/>
      <c r="Y30" s="167"/>
      <c r="Z30" s="167"/>
      <c r="AA30" s="167"/>
      <c r="AB30" s="167"/>
      <c r="AC30" s="167"/>
      <c r="AD30" s="167"/>
      <c r="AE30" s="167"/>
      <c r="AF30" s="167"/>
      <c r="AG30" s="167"/>
      <c r="AH30" s="167"/>
      <c r="AI30" s="167"/>
      <c r="AJ30" s="167"/>
      <c r="AK30" s="167"/>
      <c r="AL30" s="167"/>
      <c r="AM30" s="167"/>
      <c r="AN30" s="167"/>
      <c r="AO30" s="167"/>
      <c r="AP30" s="167"/>
      <c r="AQ30" s="167"/>
      <c r="AR30" s="167"/>
      <c r="AS30" s="167"/>
      <c r="AT30" s="167"/>
      <c r="AU30" s="167"/>
      <c r="AV30" s="167"/>
      <c r="AW30" s="167"/>
      <c r="AX30" s="167"/>
      <c r="AY30" s="167"/>
      <c r="AZ30" s="167"/>
      <c r="BA30" s="167"/>
      <c r="BB30" s="167"/>
    </row>
    <row r="31">
      <c r="A31" s="13">
        <f t="shared" si="5"/>
        <v>28</v>
      </c>
      <c r="B31" s="13">
        <v>19.0</v>
      </c>
      <c r="C31" s="14" t="str">
        <f>VLOOKUP(B31,companies!$A:$B,2,FALSE)</f>
        <v>BlackRock Inc.</v>
      </c>
      <c r="D31" s="16">
        <v>44235.0</v>
      </c>
      <c r="E31" s="15">
        <v>23.0</v>
      </c>
      <c r="F31" s="15" t="s">
        <v>603</v>
      </c>
      <c r="G31" s="88" t="s">
        <v>683</v>
      </c>
      <c r="H31" s="88" t="s">
        <v>683</v>
      </c>
      <c r="I31" s="88" t="s">
        <v>593</v>
      </c>
      <c r="J31" s="89">
        <v>1.0</v>
      </c>
      <c r="K31" s="89">
        <v>1.0</v>
      </c>
      <c r="L31" s="89">
        <v>1.0</v>
      </c>
      <c r="M31" s="89">
        <v>1.0</v>
      </c>
      <c r="N31" s="88">
        <v>2020.0</v>
      </c>
      <c r="O31" s="88">
        <v>2050.0</v>
      </c>
      <c r="P31" s="88">
        <v>2020.0</v>
      </c>
      <c r="Q31" s="167"/>
      <c r="R31" s="167"/>
      <c r="S31" s="167"/>
      <c r="T31" s="167"/>
      <c r="U31" s="167"/>
      <c r="V31" s="167"/>
      <c r="W31" s="167"/>
      <c r="X31" s="167"/>
      <c r="Y31" s="167"/>
      <c r="Z31" s="167"/>
      <c r="AA31" s="167"/>
      <c r="AB31" s="167"/>
      <c r="AC31" s="167"/>
      <c r="AD31" s="167"/>
      <c r="AE31" s="167"/>
      <c r="AF31" s="167"/>
      <c r="AG31" s="167"/>
      <c r="AH31" s="167"/>
      <c r="AI31" s="167"/>
      <c r="AJ31" s="167"/>
      <c r="AK31" s="167"/>
      <c r="AL31" s="167"/>
      <c r="AM31" s="167"/>
      <c r="AN31" s="167"/>
      <c r="AO31" s="167"/>
      <c r="AP31" s="167"/>
      <c r="AQ31" s="167"/>
      <c r="AR31" s="167"/>
      <c r="AS31" s="167"/>
      <c r="AT31" s="167"/>
      <c r="AU31" s="167"/>
      <c r="AV31" s="167"/>
      <c r="AW31" s="167"/>
      <c r="AX31" s="167"/>
      <c r="AY31" s="167"/>
      <c r="AZ31" s="167"/>
      <c r="BA31" s="167"/>
      <c r="BB31" s="167"/>
    </row>
    <row r="32">
      <c r="A32" s="13">
        <f t="shared" si="5"/>
        <v>29</v>
      </c>
      <c r="B32" s="13"/>
      <c r="C32" s="14"/>
      <c r="D32" s="16"/>
      <c r="E32" s="15"/>
      <c r="F32" s="15"/>
      <c r="G32" s="88"/>
      <c r="H32" s="88"/>
      <c r="I32" s="88"/>
      <c r="J32" s="88"/>
      <c r="K32" s="88"/>
      <c r="L32" s="89"/>
      <c r="M32" s="89"/>
      <c r="N32" s="88"/>
      <c r="O32" s="88"/>
      <c r="P32" s="88"/>
      <c r="Q32" s="167"/>
      <c r="R32" s="16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row>
    <row r="33">
      <c r="A33" s="13">
        <f t="shared" si="5"/>
        <v>30</v>
      </c>
      <c r="B33" s="13"/>
      <c r="C33" s="14"/>
      <c r="D33" s="16"/>
      <c r="E33" s="15"/>
      <c r="F33" s="15"/>
      <c r="G33" s="88"/>
      <c r="H33" s="88"/>
      <c r="I33" s="88"/>
      <c r="J33" s="88"/>
      <c r="K33" s="88"/>
      <c r="L33" s="89"/>
      <c r="M33" s="89"/>
      <c r="N33" s="88"/>
      <c r="O33" s="88"/>
      <c r="P33" s="88"/>
      <c r="Q33" s="167"/>
      <c r="R33" s="167"/>
      <c r="S33" s="167"/>
      <c r="T33" s="167"/>
      <c r="U33" s="167"/>
      <c r="V33" s="167"/>
      <c r="W33" s="167"/>
      <c r="X33" s="167"/>
      <c r="Y33" s="167"/>
      <c r="Z33" s="167"/>
      <c r="AA33" s="167"/>
      <c r="AB33" s="167"/>
      <c r="AC33" s="167"/>
      <c r="AD33" s="167"/>
      <c r="AE33" s="167"/>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row>
    <row r="34">
      <c r="A34" s="13">
        <f t="shared" si="5"/>
        <v>31</v>
      </c>
      <c r="B34" s="13"/>
      <c r="C34" s="14"/>
      <c r="D34" s="16"/>
      <c r="E34" s="15"/>
      <c r="F34" s="15"/>
      <c r="G34" s="88"/>
      <c r="H34" s="88"/>
      <c r="I34" s="88"/>
      <c r="J34" s="88"/>
      <c r="K34" s="88"/>
      <c r="L34" s="89"/>
      <c r="M34" s="89"/>
      <c r="N34" s="88"/>
      <c r="O34" s="88"/>
      <c r="P34" s="88"/>
      <c r="Q34" s="167"/>
      <c r="R34" s="167"/>
      <c r="S34" s="167"/>
      <c r="T34" s="167"/>
      <c r="U34" s="167"/>
      <c r="V34" s="167"/>
      <c r="W34" s="167"/>
      <c r="X34" s="167"/>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row>
    <row r="35">
      <c r="A35" s="13">
        <f t="shared" si="5"/>
        <v>32</v>
      </c>
      <c r="B35" s="13"/>
      <c r="C35" s="14"/>
      <c r="D35" s="16"/>
      <c r="E35" s="15"/>
      <c r="F35" s="15"/>
      <c r="G35" s="88"/>
      <c r="H35" s="88"/>
      <c r="I35" s="88"/>
      <c r="J35" s="88"/>
      <c r="K35" s="88"/>
      <c r="L35" s="89"/>
      <c r="M35" s="89"/>
      <c r="N35" s="88"/>
      <c r="O35" s="88"/>
      <c r="P35" s="88"/>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67"/>
      <c r="AO35" s="167"/>
      <c r="AP35" s="167"/>
      <c r="AQ35" s="167"/>
      <c r="AR35" s="167"/>
      <c r="AS35" s="167"/>
      <c r="AT35" s="167"/>
      <c r="AU35" s="167"/>
      <c r="AV35" s="167"/>
      <c r="AW35" s="167"/>
      <c r="AX35" s="167"/>
      <c r="AY35" s="167"/>
      <c r="AZ35" s="167"/>
      <c r="BA35" s="167"/>
      <c r="BB35" s="167"/>
    </row>
    <row r="36">
      <c r="A36" s="13">
        <f t="shared" si="5"/>
        <v>33</v>
      </c>
      <c r="B36" s="13"/>
      <c r="C36" s="14"/>
      <c r="D36" s="16"/>
      <c r="E36" s="15"/>
      <c r="F36" s="15"/>
      <c r="G36" s="88"/>
      <c r="H36" s="88"/>
      <c r="I36" s="88"/>
      <c r="J36" s="88"/>
      <c r="K36" s="88"/>
      <c r="L36" s="89"/>
      <c r="M36" s="89"/>
      <c r="N36" s="88"/>
      <c r="O36" s="88"/>
      <c r="P36" s="88"/>
      <c r="Q36" s="167"/>
      <c r="R36" s="167"/>
      <c r="S36" s="167"/>
      <c r="T36" s="167"/>
      <c r="U36" s="167"/>
      <c r="V36" s="167"/>
      <c r="W36" s="167"/>
      <c r="X36" s="167"/>
      <c r="Y36" s="167"/>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row>
  </sheetData>
  <drawing r:id="rId1"/>
  <tableParts count="2">
    <tablePart r:id="rId4"/>
    <tablePart r:id="rId5"/>
  </tableParts>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16.86"/>
    <col customWidth="1" min="4" max="4" width="19.43"/>
    <col customWidth="1" min="5" max="5" width="27.86"/>
  </cols>
  <sheetData>
    <row r="1" ht="26.25" customHeight="1">
      <c r="A1" s="86" t="s">
        <v>844</v>
      </c>
      <c r="B1" s="10" t="s">
        <v>2</v>
      </c>
      <c r="C1" s="11" t="s">
        <v>3</v>
      </c>
      <c r="D1" s="12" t="s">
        <v>533</v>
      </c>
      <c r="E1" s="12" t="s">
        <v>845</v>
      </c>
      <c r="F1" s="12" t="s">
        <v>846</v>
      </c>
      <c r="G1" s="12" t="s">
        <v>847</v>
      </c>
      <c r="H1" s="12" t="s">
        <v>848</v>
      </c>
      <c r="I1" s="166" t="s">
        <v>849</v>
      </c>
      <c r="J1" s="166"/>
      <c r="K1" s="166"/>
    </row>
    <row r="2" ht="36.0" customHeight="1">
      <c r="A2" s="13">
        <v>0.0</v>
      </c>
      <c r="B2" s="13">
        <v>66.0</v>
      </c>
      <c r="C2" s="14" t="s">
        <v>345</v>
      </c>
      <c r="D2" s="16">
        <v>44408.0</v>
      </c>
      <c r="E2" s="24" t="s">
        <v>850</v>
      </c>
      <c r="F2" s="24" t="s">
        <v>851</v>
      </c>
      <c r="G2" s="16">
        <v>1.0E9</v>
      </c>
      <c r="H2" s="16" t="s">
        <v>852</v>
      </c>
      <c r="I2" s="16" t="s">
        <v>682</v>
      </c>
      <c r="J2" s="36"/>
      <c r="K2" s="36"/>
    </row>
    <row r="3">
      <c r="A3" s="13">
        <f t="shared" ref="A3:A6" si="1">A2+1</f>
        <v>1</v>
      </c>
      <c r="B3" s="13">
        <v>1.0</v>
      </c>
      <c r="C3" s="14" t="str">
        <f>VLOOKUP(B3,companies!$A:$B,2,FALSE)</f>
        <v>3M</v>
      </c>
      <c r="D3" s="16">
        <v>44408.0</v>
      </c>
      <c r="E3" s="24" t="s">
        <v>853</v>
      </c>
      <c r="F3" s="24" t="s">
        <v>854</v>
      </c>
      <c r="G3" s="16">
        <v>1.0E9</v>
      </c>
      <c r="H3" s="15" t="s">
        <v>852</v>
      </c>
      <c r="I3" s="15" t="s">
        <v>682</v>
      </c>
    </row>
    <row r="4">
      <c r="A4" s="13">
        <f t="shared" si="1"/>
        <v>2</v>
      </c>
      <c r="B4" s="13">
        <v>13.0</v>
      </c>
      <c r="C4" s="14" t="str">
        <f>VLOOKUP(B4,companies!$A:$B,2,FALSE)</f>
        <v>Amgen Inc.</v>
      </c>
      <c r="D4" s="16">
        <v>44235.0</v>
      </c>
      <c r="E4" s="24" t="s">
        <v>853</v>
      </c>
      <c r="F4" s="24" t="s">
        <v>855</v>
      </c>
      <c r="G4" s="15">
        <v>2.0E8</v>
      </c>
      <c r="H4" s="15" t="s">
        <v>852</v>
      </c>
      <c r="I4" s="15" t="s">
        <v>682</v>
      </c>
    </row>
    <row r="5">
      <c r="A5" s="13">
        <f t="shared" si="1"/>
        <v>3</v>
      </c>
      <c r="B5" s="13">
        <v>14.0</v>
      </c>
      <c r="C5" s="14" t="str">
        <f>VLOOKUP(B5,companies!$A:$B,2,FALSE)</f>
        <v>Apple Inc.</v>
      </c>
      <c r="D5" s="16">
        <v>44235.0</v>
      </c>
      <c r="E5" s="24" t="s">
        <v>856</v>
      </c>
      <c r="F5" s="24" t="s">
        <v>857</v>
      </c>
      <c r="G5" s="15">
        <v>2.0E8</v>
      </c>
      <c r="H5" s="15" t="s">
        <v>852</v>
      </c>
      <c r="I5" s="15" t="s">
        <v>682</v>
      </c>
    </row>
    <row r="6">
      <c r="A6" s="13">
        <f t="shared" si="1"/>
        <v>4</v>
      </c>
      <c r="B6" s="13">
        <v>9.0</v>
      </c>
      <c r="C6" s="14" t="str">
        <f>VLOOKUP(B6,companies!$A:$B,2,FALSE)</f>
        <v>Amazon.com Inc.</v>
      </c>
      <c r="D6" s="16">
        <v>44235.0</v>
      </c>
      <c r="E6" s="24" t="s">
        <v>858</v>
      </c>
      <c r="F6" s="24" t="s">
        <v>859</v>
      </c>
      <c r="G6" s="15">
        <v>2.0E9</v>
      </c>
      <c r="H6" s="15" t="s">
        <v>852</v>
      </c>
      <c r="I6" s="15" t="s">
        <v>682</v>
      </c>
    </row>
    <row r="7">
      <c r="A7" s="13">
        <v>5.0</v>
      </c>
      <c r="B7" s="13">
        <v>18.0</v>
      </c>
      <c r="C7" s="14" t="str">
        <f>VLOOKUP(B7,companies!$A:$B,2,FALSE)</f>
        <v>Biogen Inc.</v>
      </c>
      <c r="D7" s="16">
        <v>44235.0</v>
      </c>
      <c r="E7" s="170" t="s">
        <v>860</v>
      </c>
      <c r="F7" s="24" t="s">
        <v>861</v>
      </c>
      <c r="G7" s="15">
        <v>2.5E8</v>
      </c>
      <c r="H7" s="15" t="s">
        <v>852</v>
      </c>
      <c r="I7" s="15" t="s">
        <v>682</v>
      </c>
    </row>
    <row r="8">
      <c r="A8" s="13"/>
      <c r="B8" s="13"/>
      <c r="C8" s="171"/>
      <c r="D8" s="16"/>
      <c r="E8" s="24"/>
      <c r="F8" s="24"/>
      <c r="G8" s="15"/>
      <c r="H8" s="15"/>
      <c r="I8" s="15"/>
    </row>
    <row r="9">
      <c r="A9" s="13"/>
      <c r="B9" s="13"/>
      <c r="C9" s="171"/>
      <c r="D9" s="16"/>
      <c r="E9" s="24"/>
      <c r="F9" s="24"/>
      <c r="G9" s="15"/>
      <c r="H9" s="15"/>
      <c r="I9" s="15"/>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16.86"/>
    <col customWidth="1" min="4" max="4" width="19.43"/>
    <col customWidth="1" min="5" max="5" width="16.0"/>
    <col customWidth="1" min="6" max="6" width="20.14"/>
  </cols>
  <sheetData>
    <row r="1" ht="26.25" customHeight="1">
      <c r="A1" s="86" t="s">
        <v>862</v>
      </c>
      <c r="B1" s="10" t="s">
        <v>2</v>
      </c>
      <c r="C1" s="11" t="s">
        <v>3</v>
      </c>
      <c r="D1" s="12" t="s">
        <v>533</v>
      </c>
      <c r="E1" s="12" t="s">
        <v>863</v>
      </c>
      <c r="F1" s="12" t="s">
        <v>773</v>
      </c>
    </row>
    <row r="2" ht="36.0" customHeight="1">
      <c r="A2" s="13">
        <v>0.0</v>
      </c>
      <c r="B2" s="13">
        <v>66.0</v>
      </c>
      <c r="C2" s="14" t="s">
        <v>345</v>
      </c>
      <c r="D2" s="16">
        <v>44408.0</v>
      </c>
      <c r="E2" s="15" t="s">
        <v>864</v>
      </c>
      <c r="F2" s="24" t="s">
        <v>682</v>
      </c>
    </row>
    <row r="3" ht="36.0" customHeight="1">
      <c r="A3" s="13">
        <v>1.0</v>
      </c>
      <c r="B3" s="13">
        <v>66.0</v>
      </c>
      <c r="C3" s="14" t="s">
        <v>345</v>
      </c>
      <c r="D3" s="16">
        <v>44408.0</v>
      </c>
      <c r="E3" s="15" t="s">
        <v>865</v>
      </c>
      <c r="F3" s="24" t="s">
        <v>682</v>
      </c>
    </row>
    <row r="4" ht="36.0" customHeight="1">
      <c r="A4" s="13">
        <v>2.0</v>
      </c>
      <c r="B4" s="13">
        <v>66.0</v>
      </c>
      <c r="C4" s="14" t="s">
        <v>345</v>
      </c>
      <c r="D4" s="16">
        <v>44408.0</v>
      </c>
      <c r="E4" s="15" t="s">
        <v>866</v>
      </c>
      <c r="F4" s="24" t="s">
        <v>682</v>
      </c>
    </row>
    <row r="5">
      <c r="A5" s="13">
        <f t="shared" ref="A5:A33" si="1">A4+1</f>
        <v>3</v>
      </c>
      <c r="B5" s="13">
        <v>1.0</v>
      </c>
      <c r="C5" s="154" t="s">
        <v>10</v>
      </c>
      <c r="D5" s="16">
        <v>44408.0</v>
      </c>
      <c r="E5" s="15" t="s">
        <v>867</v>
      </c>
      <c r="F5" s="24" t="s">
        <v>682</v>
      </c>
    </row>
    <row r="6">
      <c r="A6" s="13">
        <f t="shared" si="1"/>
        <v>4</v>
      </c>
      <c r="B6" s="13"/>
      <c r="C6" s="14"/>
      <c r="D6" s="16"/>
      <c r="E6" s="15"/>
      <c r="F6" s="24"/>
    </row>
    <row r="7">
      <c r="A7" s="13">
        <f t="shared" si="1"/>
        <v>5</v>
      </c>
      <c r="B7" s="13"/>
      <c r="C7" s="14"/>
      <c r="D7" s="16"/>
      <c r="E7" s="15"/>
      <c r="F7" s="24"/>
    </row>
    <row r="8">
      <c r="A8" s="13">
        <f t="shared" si="1"/>
        <v>6</v>
      </c>
      <c r="B8" s="13"/>
      <c r="C8" s="14"/>
      <c r="D8" s="16"/>
      <c r="E8" s="15"/>
      <c r="F8" s="24"/>
    </row>
    <row r="9">
      <c r="A9" s="13">
        <f t="shared" si="1"/>
        <v>7</v>
      </c>
      <c r="B9" s="13"/>
      <c r="C9" s="14"/>
      <c r="D9" s="16"/>
      <c r="E9" s="15"/>
      <c r="F9" s="24"/>
    </row>
    <row r="10">
      <c r="A10" s="13">
        <f t="shared" si="1"/>
        <v>8</v>
      </c>
      <c r="B10" s="13"/>
      <c r="C10" s="14"/>
      <c r="D10" s="16"/>
      <c r="E10" s="15"/>
      <c r="F10" s="24"/>
    </row>
    <row r="11">
      <c r="A11" s="13">
        <f t="shared" si="1"/>
        <v>9</v>
      </c>
      <c r="B11" s="13"/>
      <c r="C11" s="14"/>
      <c r="D11" s="16"/>
      <c r="E11" s="15"/>
      <c r="F11" s="24"/>
    </row>
    <row r="12">
      <c r="A12" s="13">
        <f t="shared" si="1"/>
        <v>10</v>
      </c>
      <c r="B12" s="13"/>
      <c r="C12" s="14"/>
      <c r="D12" s="16"/>
      <c r="E12" s="15"/>
      <c r="F12" s="24"/>
    </row>
    <row r="13">
      <c r="A13" s="13">
        <f t="shared" si="1"/>
        <v>11</v>
      </c>
      <c r="B13" s="13"/>
      <c r="C13" s="14"/>
      <c r="D13" s="16"/>
      <c r="E13" s="15"/>
      <c r="F13" s="24"/>
    </row>
    <row r="14">
      <c r="A14" s="13">
        <f t="shared" si="1"/>
        <v>12</v>
      </c>
      <c r="B14" s="13"/>
      <c r="C14" s="14"/>
      <c r="D14" s="16"/>
      <c r="E14" s="15"/>
      <c r="F14" s="24"/>
    </row>
    <row r="15">
      <c r="A15" s="13">
        <f t="shared" si="1"/>
        <v>13</v>
      </c>
      <c r="B15" s="13"/>
      <c r="C15" s="14"/>
      <c r="D15" s="16"/>
      <c r="E15" s="15"/>
      <c r="F15" s="24"/>
    </row>
    <row r="16">
      <c r="A16" s="13">
        <f t="shared" si="1"/>
        <v>14</v>
      </c>
      <c r="B16" s="13"/>
      <c r="C16" s="14"/>
      <c r="D16" s="16"/>
      <c r="E16" s="15"/>
      <c r="F16" s="24"/>
    </row>
    <row r="17">
      <c r="A17" s="13">
        <f t="shared" si="1"/>
        <v>15</v>
      </c>
      <c r="B17" s="13"/>
      <c r="C17" s="14"/>
      <c r="D17" s="16"/>
      <c r="E17" s="15"/>
      <c r="F17" s="24"/>
    </row>
    <row r="18">
      <c r="A18" s="13">
        <f t="shared" si="1"/>
        <v>16</v>
      </c>
      <c r="B18" s="13"/>
      <c r="C18" s="14"/>
      <c r="D18" s="16"/>
      <c r="E18" s="15"/>
      <c r="F18" s="24"/>
    </row>
    <row r="19">
      <c r="A19" s="13">
        <f t="shared" si="1"/>
        <v>17</v>
      </c>
      <c r="B19" s="13"/>
      <c r="C19" s="14"/>
      <c r="D19" s="16"/>
      <c r="E19" s="15"/>
      <c r="F19" s="24"/>
    </row>
    <row r="20">
      <c r="A20" s="13">
        <f t="shared" si="1"/>
        <v>18</v>
      </c>
      <c r="B20" s="13"/>
      <c r="C20" s="14"/>
      <c r="D20" s="16"/>
      <c r="E20" s="15"/>
      <c r="F20" s="24"/>
    </row>
    <row r="21">
      <c r="A21" s="13">
        <f t="shared" si="1"/>
        <v>19</v>
      </c>
      <c r="B21" s="13"/>
      <c r="C21" s="14"/>
      <c r="D21" s="16"/>
      <c r="E21" s="15"/>
      <c r="F21" s="24"/>
    </row>
    <row r="22">
      <c r="A22" s="13">
        <f t="shared" si="1"/>
        <v>20</v>
      </c>
      <c r="B22" s="13"/>
      <c r="C22" s="14"/>
      <c r="D22" s="16"/>
      <c r="E22" s="15"/>
      <c r="F22" s="24"/>
    </row>
    <row r="23">
      <c r="A23" s="13">
        <f t="shared" si="1"/>
        <v>21</v>
      </c>
      <c r="B23" s="13"/>
      <c r="C23" s="14"/>
      <c r="D23" s="16"/>
      <c r="E23" s="15"/>
      <c r="F23" s="24"/>
    </row>
    <row r="24">
      <c r="A24" s="13">
        <f t="shared" si="1"/>
        <v>22</v>
      </c>
      <c r="B24" s="13"/>
      <c r="C24" s="14"/>
      <c r="D24" s="16"/>
      <c r="E24" s="15"/>
      <c r="F24" s="24"/>
    </row>
    <row r="25">
      <c r="A25" s="13">
        <f t="shared" si="1"/>
        <v>23</v>
      </c>
      <c r="B25" s="13"/>
      <c r="C25" s="14"/>
      <c r="D25" s="16"/>
      <c r="E25" s="15"/>
      <c r="F25" s="24"/>
    </row>
    <row r="26">
      <c r="A26" s="13">
        <f t="shared" si="1"/>
        <v>24</v>
      </c>
      <c r="B26" s="13"/>
      <c r="C26" s="14"/>
      <c r="D26" s="16"/>
      <c r="E26" s="15"/>
      <c r="F26" s="24"/>
    </row>
    <row r="27">
      <c r="A27" s="13">
        <f t="shared" si="1"/>
        <v>25</v>
      </c>
      <c r="B27" s="13"/>
      <c r="C27" s="14"/>
      <c r="D27" s="16"/>
      <c r="E27" s="15"/>
      <c r="F27" s="24"/>
    </row>
    <row r="28">
      <c r="A28" s="13">
        <f t="shared" si="1"/>
        <v>26</v>
      </c>
      <c r="B28" s="13"/>
      <c r="C28" s="14"/>
      <c r="D28" s="16"/>
      <c r="E28" s="15"/>
      <c r="F28" s="24"/>
    </row>
    <row r="29">
      <c r="A29" s="13">
        <f t="shared" si="1"/>
        <v>27</v>
      </c>
      <c r="B29" s="13"/>
      <c r="C29" s="14"/>
      <c r="D29" s="16"/>
      <c r="E29" s="15"/>
      <c r="F29" s="24"/>
    </row>
    <row r="30">
      <c r="A30" s="13">
        <f t="shared" si="1"/>
        <v>28</v>
      </c>
      <c r="B30" s="13"/>
      <c r="C30" s="14"/>
      <c r="D30" s="16"/>
      <c r="E30" s="15"/>
      <c r="F30" s="24"/>
    </row>
    <row r="31">
      <c r="A31" s="13">
        <f t="shared" si="1"/>
        <v>29</v>
      </c>
      <c r="B31" s="13"/>
      <c r="C31" s="14"/>
      <c r="D31" s="16"/>
      <c r="E31" s="15"/>
      <c r="F31" s="24"/>
    </row>
    <row r="32">
      <c r="A32" s="13">
        <f t="shared" si="1"/>
        <v>30</v>
      </c>
      <c r="B32" s="13"/>
      <c r="C32" s="14"/>
      <c r="D32" s="16"/>
      <c r="E32" s="15"/>
      <c r="F32" s="24"/>
    </row>
    <row r="33">
      <c r="A33" s="13">
        <f t="shared" si="1"/>
        <v>31</v>
      </c>
      <c r="B33" s="13"/>
      <c r="C33" s="14"/>
      <c r="D33" s="16"/>
      <c r="E33" s="15"/>
      <c r="F33" s="24"/>
    </row>
  </sheetData>
  <drawing r:id="rId1"/>
  <tableParts count="1">
    <tablePart r:id="rId3"/>
  </tableParts>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22.71"/>
    <col customWidth="1" min="2" max="2" width="12.43"/>
    <col customWidth="1" min="3" max="20" width="7.86"/>
    <col customWidth="1" min="21" max="21" width="16.57"/>
    <col customWidth="1" min="22" max="22" width="29.71"/>
    <col customWidth="1" min="23" max="30" width="16.57"/>
  </cols>
  <sheetData>
    <row r="1" ht="27.75" customHeight="1">
      <c r="A1" s="10" t="s">
        <v>2</v>
      </c>
      <c r="B1" s="10" t="s">
        <v>868</v>
      </c>
      <c r="C1" s="10" t="s">
        <v>586</v>
      </c>
      <c r="D1" s="10" t="s">
        <v>589</v>
      </c>
      <c r="E1" s="10" t="s">
        <v>591</v>
      </c>
      <c r="F1" s="10" t="s">
        <v>644</v>
      </c>
      <c r="G1" s="10" t="s">
        <v>645</v>
      </c>
      <c r="H1" s="10" t="s">
        <v>646</v>
      </c>
      <c r="I1" s="10" t="s">
        <v>647</v>
      </c>
      <c r="J1" s="10" t="s">
        <v>648</v>
      </c>
      <c r="K1" s="10" t="s">
        <v>649</v>
      </c>
      <c r="L1" s="10" t="s">
        <v>650</v>
      </c>
      <c r="M1" s="10" t="s">
        <v>869</v>
      </c>
      <c r="N1" s="10" t="s">
        <v>870</v>
      </c>
      <c r="O1" s="10" t="s">
        <v>871</v>
      </c>
      <c r="P1" s="10" t="s">
        <v>872</v>
      </c>
      <c r="Q1" s="10" t="s">
        <v>873</v>
      </c>
      <c r="R1" s="10" t="s">
        <v>874</v>
      </c>
      <c r="S1" s="10" t="s">
        <v>875</v>
      </c>
      <c r="T1" s="10" t="s">
        <v>876</v>
      </c>
      <c r="U1" s="172" t="s">
        <v>877</v>
      </c>
      <c r="W1" s="36"/>
      <c r="X1" s="36"/>
      <c r="Y1" s="36"/>
      <c r="Z1" s="36"/>
      <c r="AA1" s="36"/>
      <c r="AB1" s="36"/>
      <c r="AC1" s="36"/>
      <c r="AD1" s="36"/>
    </row>
    <row r="2">
      <c r="A2" s="173" t="s">
        <v>683</v>
      </c>
      <c r="B2" s="13" t="s">
        <v>878</v>
      </c>
      <c r="C2" s="128">
        <v>0.025</v>
      </c>
      <c r="D2" s="128">
        <v>0.025</v>
      </c>
      <c r="E2" s="128">
        <v>0.05</v>
      </c>
      <c r="F2" s="128">
        <v>0.025</v>
      </c>
      <c r="G2" s="128">
        <v>0.025</v>
      </c>
      <c r="H2" s="128">
        <v>0.05</v>
      </c>
      <c r="I2" s="128">
        <v>0.1</v>
      </c>
      <c r="J2" s="128">
        <v>0.025</v>
      </c>
      <c r="K2" s="128">
        <v>0.025</v>
      </c>
      <c r="L2" s="128">
        <v>0.05</v>
      </c>
      <c r="M2" s="128">
        <v>0.05</v>
      </c>
      <c r="N2" s="128">
        <v>0.05</v>
      </c>
      <c r="O2" s="128">
        <v>0.05</v>
      </c>
      <c r="P2" s="128">
        <v>0.05</v>
      </c>
      <c r="Q2" s="128">
        <v>0.1</v>
      </c>
      <c r="R2" s="128">
        <v>0.1</v>
      </c>
      <c r="S2" s="128">
        <v>0.1</v>
      </c>
      <c r="T2" s="128">
        <v>0.1</v>
      </c>
      <c r="U2" s="174">
        <f>SUM(C2:T2)</f>
        <v>1</v>
      </c>
    </row>
    <row r="3">
      <c r="A3" s="13">
        <v>66.0</v>
      </c>
      <c r="B3" s="128" t="s">
        <v>879</v>
      </c>
      <c r="C3" s="128">
        <v>1.0</v>
      </c>
      <c r="D3" s="128">
        <v>1.0</v>
      </c>
      <c r="E3" s="128">
        <v>1.0</v>
      </c>
      <c r="F3" s="128">
        <v>1.0</v>
      </c>
      <c r="G3" s="128">
        <v>1.0</v>
      </c>
      <c r="H3" s="128">
        <v>1.0</v>
      </c>
      <c r="I3" s="128">
        <v>0.5</v>
      </c>
      <c r="J3" s="128">
        <v>1.0</v>
      </c>
      <c r="K3" s="128">
        <v>1.0</v>
      </c>
      <c r="L3" s="128">
        <v>1.0</v>
      </c>
      <c r="M3" s="128">
        <v>1.0</v>
      </c>
      <c r="N3" s="128">
        <v>1.0</v>
      </c>
      <c r="O3" s="128">
        <v>1.0</v>
      </c>
      <c r="P3" s="128">
        <v>1.0</v>
      </c>
      <c r="Q3" s="128">
        <v>1.0</v>
      </c>
      <c r="R3" s="128">
        <v>0.0</v>
      </c>
      <c r="S3" s="128">
        <v>0.0</v>
      </c>
      <c r="T3" s="128">
        <v>1.0</v>
      </c>
    </row>
    <row r="4" ht="27.0" customHeight="1">
      <c r="A4" s="13">
        <v>66.0</v>
      </c>
      <c r="B4" s="128" t="s">
        <v>880</v>
      </c>
      <c r="C4" s="128">
        <f t="shared" ref="C4:T4" si="1">C$2*C3</f>
        <v>0.025</v>
      </c>
      <c r="D4" s="128">
        <f t="shared" si="1"/>
        <v>0.025</v>
      </c>
      <c r="E4" s="128">
        <f t="shared" si="1"/>
        <v>0.05</v>
      </c>
      <c r="F4" s="128">
        <f t="shared" si="1"/>
        <v>0.025</v>
      </c>
      <c r="G4" s="128">
        <f t="shared" si="1"/>
        <v>0.025</v>
      </c>
      <c r="H4" s="128">
        <f t="shared" si="1"/>
        <v>0.05</v>
      </c>
      <c r="I4" s="128">
        <f t="shared" si="1"/>
        <v>0.05</v>
      </c>
      <c r="J4" s="128">
        <f t="shared" si="1"/>
        <v>0.025</v>
      </c>
      <c r="K4" s="128">
        <f t="shared" si="1"/>
        <v>0.025</v>
      </c>
      <c r="L4" s="128">
        <f t="shared" si="1"/>
        <v>0.05</v>
      </c>
      <c r="M4" s="128">
        <f t="shared" si="1"/>
        <v>0.05</v>
      </c>
      <c r="N4" s="128">
        <f t="shared" si="1"/>
        <v>0.05</v>
      </c>
      <c r="O4" s="128">
        <f t="shared" si="1"/>
        <v>0.05</v>
      </c>
      <c r="P4" s="128">
        <f t="shared" si="1"/>
        <v>0.05</v>
      </c>
      <c r="Q4" s="128">
        <f t="shared" si="1"/>
        <v>0.1</v>
      </c>
      <c r="R4" s="128">
        <f t="shared" si="1"/>
        <v>0</v>
      </c>
      <c r="S4" s="128">
        <f t="shared" si="1"/>
        <v>0</v>
      </c>
      <c r="T4" s="128">
        <f t="shared" si="1"/>
        <v>0.1</v>
      </c>
      <c r="U4" s="175">
        <f>SUM(C4:T4)</f>
        <v>0.75</v>
      </c>
    </row>
    <row r="5">
      <c r="A5" s="13">
        <v>1.0</v>
      </c>
      <c r="B5" s="128" t="s">
        <v>879</v>
      </c>
      <c r="C5" s="128">
        <v>1.0</v>
      </c>
      <c r="D5" s="128">
        <v>1.0</v>
      </c>
      <c r="E5" s="128">
        <v>1.0</v>
      </c>
      <c r="F5" s="128">
        <v>1.0</v>
      </c>
      <c r="G5" s="128">
        <v>1.0</v>
      </c>
      <c r="H5" s="128">
        <v>1.0</v>
      </c>
      <c r="I5" s="128">
        <v>0.5</v>
      </c>
      <c r="J5" s="128">
        <v>1.0</v>
      </c>
      <c r="K5" s="128">
        <v>1.0</v>
      </c>
      <c r="L5" s="128">
        <v>0.0</v>
      </c>
      <c r="M5" s="128">
        <v>0.0</v>
      </c>
      <c r="N5" s="128">
        <v>0.0</v>
      </c>
      <c r="O5" s="128">
        <v>1.0</v>
      </c>
      <c r="P5" s="128">
        <v>0.0</v>
      </c>
      <c r="Q5" s="128">
        <v>0.0</v>
      </c>
      <c r="R5" s="128">
        <v>1.0</v>
      </c>
      <c r="S5" s="128">
        <v>1.0</v>
      </c>
      <c r="T5" s="128">
        <v>0.0</v>
      </c>
      <c r="U5" s="59"/>
    </row>
    <row r="6">
      <c r="A6" s="13">
        <v>1.0</v>
      </c>
      <c r="B6" s="128" t="s">
        <v>880</v>
      </c>
      <c r="C6" s="128">
        <f t="shared" ref="C6:T6" si="2">C$2*C5</f>
        <v>0.025</v>
      </c>
      <c r="D6" s="128">
        <f t="shared" si="2"/>
        <v>0.025</v>
      </c>
      <c r="E6" s="128">
        <f t="shared" si="2"/>
        <v>0.05</v>
      </c>
      <c r="F6" s="128">
        <f t="shared" si="2"/>
        <v>0.025</v>
      </c>
      <c r="G6" s="128">
        <f t="shared" si="2"/>
        <v>0.025</v>
      </c>
      <c r="H6" s="128">
        <f t="shared" si="2"/>
        <v>0.05</v>
      </c>
      <c r="I6" s="128">
        <f t="shared" si="2"/>
        <v>0.05</v>
      </c>
      <c r="J6" s="128">
        <f t="shared" si="2"/>
        <v>0.025</v>
      </c>
      <c r="K6" s="128">
        <f t="shared" si="2"/>
        <v>0.025</v>
      </c>
      <c r="L6" s="128">
        <f t="shared" si="2"/>
        <v>0</v>
      </c>
      <c r="M6" s="128">
        <f t="shared" si="2"/>
        <v>0</v>
      </c>
      <c r="N6" s="128">
        <f t="shared" si="2"/>
        <v>0</v>
      </c>
      <c r="O6" s="128">
        <f t="shared" si="2"/>
        <v>0.05</v>
      </c>
      <c r="P6" s="128">
        <f t="shared" si="2"/>
        <v>0</v>
      </c>
      <c r="Q6" s="128">
        <f t="shared" si="2"/>
        <v>0</v>
      </c>
      <c r="R6" s="128">
        <f t="shared" si="2"/>
        <v>0.1</v>
      </c>
      <c r="S6" s="128">
        <f t="shared" si="2"/>
        <v>0.1</v>
      </c>
      <c r="T6" s="128">
        <f t="shared" si="2"/>
        <v>0</v>
      </c>
      <c r="U6" s="175">
        <f>SUM(C6:T6)</f>
        <v>0.55</v>
      </c>
    </row>
    <row r="7">
      <c r="A7" s="13">
        <v>2.0</v>
      </c>
      <c r="B7" s="128" t="s">
        <v>879</v>
      </c>
      <c r="C7" s="128">
        <v>1.0</v>
      </c>
      <c r="D7" s="128">
        <v>1.0</v>
      </c>
      <c r="E7" s="128">
        <v>1.0</v>
      </c>
      <c r="F7" s="128">
        <v>0.0</v>
      </c>
      <c r="G7" s="128">
        <v>0.0</v>
      </c>
      <c r="H7" s="128">
        <v>0.0</v>
      </c>
      <c r="I7" s="128"/>
      <c r="J7" s="128">
        <v>0.0</v>
      </c>
      <c r="K7" s="128">
        <v>1.0</v>
      </c>
      <c r="L7" s="128">
        <v>0.0</v>
      </c>
      <c r="M7" s="128">
        <v>0.0</v>
      </c>
      <c r="N7" s="128">
        <v>0.0</v>
      </c>
      <c r="O7" s="128">
        <v>0.5</v>
      </c>
      <c r="P7" s="128">
        <v>0.0</v>
      </c>
      <c r="Q7" s="128">
        <v>0.0</v>
      </c>
      <c r="R7" s="128">
        <v>1.0</v>
      </c>
      <c r="S7" s="128">
        <v>1.0</v>
      </c>
      <c r="T7" s="128">
        <v>0.0</v>
      </c>
      <c r="U7" s="59"/>
    </row>
    <row r="8">
      <c r="A8" s="13">
        <v>2.0</v>
      </c>
      <c r="B8" s="128" t="s">
        <v>880</v>
      </c>
      <c r="C8" s="128">
        <f t="shared" ref="C8:T8" si="3">C$2*C7</f>
        <v>0.025</v>
      </c>
      <c r="D8" s="128">
        <f t="shared" si="3"/>
        <v>0.025</v>
      </c>
      <c r="E8" s="128">
        <f t="shared" si="3"/>
        <v>0.05</v>
      </c>
      <c r="F8" s="128">
        <f t="shared" si="3"/>
        <v>0</v>
      </c>
      <c r="G8" s="128">
        <f t="shared" si="3"/>
        <v>0</v>
      </c>
      <c r="H8" s="128">
        <f t="shared" si="3"/>
        <v>0</v>
      </c>
      <c r="I8" s="128">
        <f t="shared" si="3"/>
        <v>0</v>
      </c>
      <c r="J8" s="128">
        <f t="shared" si="3"/>
        <v>0</v>
      </c>
      <c r="K8" s="128">
        <f t="shared" si="3"/>
        <v>0.025</v>
      </c>
      <c r="L8" s="128">
        <f t="shared" si="3"/>
        <v>0</v>
      </c>
      <c r="M8" s="128">
        <f t="shared" si="3"/>
        <v>0</v>
      </c>
      <c r="N8" s="128">
        <f t="shared" si="3"/>
        <v>0</v>
      </c>
      <c r="O8" s="128">
        <f t="shared" si="3"/>
        <v>0.025</v>
      </c>
      <c r="P8" s="128">
        <f t="shared" si="3"/>
        <v>0</v>
      </c>
      <c r="Q8" s="128">
        <f t="shared" si="3"/>
        <v>0</v>
      </c>
      <c r="R8" s="128">
        <f t="shared" si="3"/>
        <v>0.1</v>
      </c>
      <c r="S8" s="128">
        <f t="shared" si="3"/>
        <v>0.1</v>
      </c>
      <c r="T8" s="128">
        <f t="shared" si="3"/>
        <v>0</v>
      </c>
      <c r="U8" s="175">
        <f>SUM(C8:T8)</f>
        <v>0.35</v>
      </c>
    </row>
    <row r="9">
      <c r="A9" s="13">
        <v>3.0</v>
      </c>
      <c r="B9" s="128" t="s">
        <v>879</v>
      </c>
      <c r="C9" s="128">
        <v>1.0</v>
      </c>
      <c r="D9" s="128">
        <v>1.0</v>
      </c>
      <c r="E9" s="128">
        <v>1.0</v>
      </c>
      <c r="F9" s="128">
        <v>0.0</v>
      </c>
      <c r="G9" s="128">
        <v>0.0</v>
      </c>
      <c r="H9" s="128">
        <v>0.0</v>
      </c>
      <c r="I9" s="128">
        <v>0.0</v>
      </c>
      <c r="J9" s="128">
        <v>0.0</v>
      </c>
      <c r="K9" s="128">
        <v>1.0</v>
      </c>
      <c r="L9" s="128">
        <v>0.0</v>
      </c>
      <c r="M9" s="128">
        <v>0.0</v>
      </c>
      <c r="N9" s="128">
        <v>0.0</v>
      </c>
      <c r="O9" s="128">
        <v>0.0</v>
      </c>
      <c r="P9" s="128">
        <v>0.0</v>
      </c>
      <c r="Q9" s="128">
        <v>0.25</v>
      </c>
      <c r="R9" s="128">
        <v>1.0</v>
      </c>
      <c r="S9" s="128">
        <v>1.0</v>
      </c>
      <c r="T9" s="128">
        <v>0.0</v>
      </c>
      <c r="U9" s="59"/>
    </row>
    <row r="10">
      <c r="A10" s="13">
        <v>3.0</v>
      </c>
      <c r="B10" s="128" t="s">
        <v>880</v>
      </c>
      <c r="C10" s="128">
        <f t="shared" ref="C10:T10" si="4">C$2*C9</f>
        <v>0.025</v>
      </c>
      <c r="D10" s="128">
        <f t="shared" si="4"/>
        <v>0.025</v>
      </c>
      <c r="E10" s="128">
        <f t="shared" si="4"/>
        <v>0.05</v>
      </c>
      <c r="F10" s="128">
        <f t="shared" si="4"/>
        <v>0</v>
      </c>
      <c r="G10" s="128">
        <f t="shared" si="4"/>
        <v>0</v>
      </c>
      <c r="H10" s="128">
        <f t="shared" si="4"/>
        <v>0</v>
      </c>
      <c r="I10" s="128">
        <f t="shared" si="4"/>
        <v>0</v>
      </c>
      <c r="J10" s="128">
        <f t="shared" si="4"/>
        <v>0</v>
      </c>
      <c r="K10" s="128">
        <f t="shared" si="4"/>
        <v>0.025</v>
      </c>
      <c r="L10" s="128">
        <f t="shared" si="4"/>
        <v>0</v>
      </c>
      <c r="M10" s="128">
        <f t="shared" si="4"/>
        <v>0</v>
      </c>
      <c r="N10" s="128">
        <f t="shared" si="4"/>
        <v>0</v>
      </c>
      <c r="O10" s="128">
        <f t="shared" si="4"/>
        <v>0</v>
      </c>
      <c r="P10" s="128">
        <f t="shared" si="4"/>
        <v>0</v>
      </c>
      <c r="Q10" s="128">
        <f t="shared" si="4"/>
        <v>0.025</v>
      </c>
      <c r="R10" s="128">
        <f t="shared" si="4"/>
        <v>0.1</v>
      </c>
      <c r="S10" s="128">
        <f t="shared" si="4"/>
        <v>0.1</v>
      </c>
      <c r="T10" s="128">
        <f t="shared" si="4"/>
        <v>0</v>
      </c>
      <c r="U10" s="175">
        <f>SUM(C10:T10)</f>
        <v>0.35</v>
      </c>
    </row>
    <row r="11">
      <c r="A11" s="13">
        <v>4.0</v>
      </c>
      <c r="B11" s="128" t="s">
        <v>879</v>
      </c>
      <c r="C11" s="128">
        <v>1.0</v>
      </c>
      <c r="D11" s="128">
        <v>1.0</v>
      </c>
      <c r="E11" s="128">
        <v>1.0</v>
      </c>
      <c r="F11" s="176">
        <v>1.0</v>
      </c>
      <c r="G11" s="128">
        <v>1.0</v>
      </c>
      <c r="H11" s="128">
        <v>0.0</v>
      </c>
      <c r="I11" s="128">
        <v>0.0</v>
      </c>
      <c r="J11" s="128">
        <v>1.0</v>
      </c>
      <c r="K11" s="128">
        <v>1.0</v>
      </c>
      <c r="L11" s="128">
        <v>0.0</v>
      </c>
      <c r="M11" s="128">
        <v>1.0</v>
      </c>
      <c r="N11" s="128">
        <v>1.0</v>
      </c>
      <c r="O11" s="128">
        <v>1.0</v>
      </c>
      <c r="P11" s="128">
        <v>0.5</v>
      </c>
      <c r="Q11" s="128">
        <v>1.0</v>
      </c>
      <c r="R11" s="128">
        <v>1.0</v>
      </c>
      <c r="S11" s="128">
        <v>1.0</v>
      </c>
      <c r="T11" s="128">
        <v>0.0</v>
      </c>
      <c r="U11" s="59"/>
    </row>
    <row r="12">
      <c r="A12" s="13">
        <v>4.0</v>
      </c>
      <c r="B12" s="128" t="s">
        <v>880</v>
      </c>
      <c r="C12" s="128">
        <f t="shared" ref="C12:T12" si="5">C$2*C11</f>
        <v>0.025</v>
      </c>
      <c r="D12" s="128">
        <f t="shared" si="5"/>
        <v>0.025</v>
      </c>
      <c r="E12" s="128">
        <f t="shared" si="5"/>
        <v>0.05</v>
      </c>
      <c r="F12" s="128">
        <f t="shared" si="5"/>
        <v>0.025</v>
      </c>
      <c r="G12" s="128">
        <f t="shared" si="5"/>
        <v>0.025</v>
      </c>
      <c r="H12" s="128">
        <f t="shared" si="5"/>
        <v>0</v>
      </c>
      <c r="I12" s="128">
        <f t="shared" si="5"/>
        <v>0</v>
      </c>
      <c r="J12" s="128">
        <f t="shared" si="5"/>
        <v>0.025</v>
      </c>
      <c r="K12" s="128">
        <f t="shared" si="5"/>
        <v>0.025</v>
      </c>
      <c r="L12" s="128">
        <f t="shared" si="5"/>
        <v>0</v>
      </c>
      <c r="M12" s="128">
        <f t="shared" si="5"/>
        <v>0.05</v>
      </c>
      <c r="N12" s="128">
        <f t="shared" si="5"/>
        <v>0.05</v>
      </c>
      <c r="O12" s="128">
        <f t="shared" si="5"/>
        <v>0.05</v>
      </c>
      <c r="P12" s="128">
        <f t="shared" si="5"/>
        <v>0.025</v>
      </c>
      <c r="Q12" s="128">
        <f t="shared" si="5"/>
        <v>0.1</v>
      </c>
      <c r="R12" s="128">
        <f t="shared" si="5"/>
        <v>0.1</v>
      </c>
      <c r="S12" s="128">
        <f t="shared" si="5"/>
        <v>0.1</v>
      </c>
      <c r="T12" s="128">
        <f t="shared" si="5"/>
        <v>0</v>
      </c>
      <c r="U12" s="175">
        <f>SUM(C12:T12)</f>
        <v>0.675</v>
      </c>
    </row>
    <row r="13">
      <c r="A13" s="13">
        <v>5.0</v>
      </c>
      <c r="B13" s="128" t="s">
        <v>879</v>
      </c>
      <c r="C13" s="128">
        <v>1.0</v>
      </c>
      <c r="D13" s="128">
        <v>1.0</v>
      </c>
      <c r="E13" s="128">
        <v>1.0</v>
      </c>
      <c r="F13" s="176">
        <v>0.5</v>
      </c>
      <c r="G13" s="128">
        <v>1.0</v>
      </c>
      <c r="H13" s="128">
        <v>1.0</v>
      </c>
      <c r="I13" s="128">
        <v>0.0</v>
      </c>
      <c r="J13" s="128">
        <v>0.0</v>
      </c>
      <c r="K13" s="128">
        <v>1.0</v>
      </c>
      <c r="L13" s="128">
        <v>0.0</v>
      </c>
      <c r="M13" s="128">
        <v>1.0</v>
      </c>
      <c r="N13" s="128">
        <v>0.0</v>
      </c>
      <c r="O13" s="177">
        <v>0.5</v>
      </c>
      <c r="P13" s="177">
        <v>0.5</v>
      </c>
      <c r="Q13" s="128">
        <v>1.0</v>
      </c>
      <c r="R13" s="128">
        <v>1.0</v>
      </c>
      <c r="S13" s="128">
        <v>1.0</v>
      </c>
      <c r="T13" s="128">
        <v>0.0</v>
      </c>
      <c r="U13" s="59"/>
    </row>
    <row r="14">
      <c r="A14" s="13">
        <v>5.0</v>
      </c>
      <c r="B14" s="128" t="s">
        <v>880</v>
      </c>
      <c r="C14" s="128">
        <f t="shared" ref="C14:T14" si="6">C$2*C13</f>
        <v>0.025</v>
      </c>
      <c r="D14" s="128">
        <f t="shared" si="6"/>
        <v>0.025</v>
      </c>
      <c r="E14" s="128">
        <f t="shared" si="6"/>
        <v>0.05</v>
      </c>
      <c r="F14" s="128">
        <f t="shared" si="6"/>
        <v>0.0125</v>
      </c>
      <c r="G14" s="128">
        <f t="shared" si="6"/>
        <v>0.025</v>
      </c>
      <c r="H14" s="128">
        <f t="shared" si="6"/>
        <v>0.05</v>
      </c>
      <c r="I14" s="128">
        <f t="shared" si="6"/>
        <v>0</v>
      </c>
      <c r="J14" s="128">
        <f t="shared" si="6"/>
        <v>0</v>
      </c>
      <c r="K14" s="128">
        <f t="shared" si="6"/>
        <v>0.025</v>
      </c>
      <c r="L14" s="128">
        <f t="shared" si="6"/>
        <v>0</v>
      </c>
      <c r="M14" s="128">
        <f t="shared" si="6"/>
        <v>0.05</v>
      </c>
      <c r="N14" s="128">
        <f t="shared" si="6"/>
        <v>0</v>
      </c>
      <c r="O14" s="128">
        <f t="shared" si="6"/>
        <v>0.025</v>
      </c>
      <c r="P14" s="128">
        <f t="shared" si="6"/>
        <v>0.025</v>
      </c>
      <c r="Q14" s="128">
        <f t="shared" si="6"/>
        <v>0.1</v>
      </c>
      <c r="R14" s="128">
        <f t="shared" si="6"/>
        <v>0.1</v>
      </c>
      <c r="S14" s="128">
        <f t="shared" si="6"/>
        <v>0.1</v>
      </c>
      <c r="T14" s="128">
        <f t="shared" si="6"/>
        <v>0</v>
      </c>
      <c r="U14" s="175">
        <f>SUM(C14:T14)</f>
        <v>0.6125</v>
      </c>
    </row>
    <row r="15">
      <c r="A15" s="13">
        <v>6.0</v>
      </c>
      <c r="B15" s="128" t="s">
        <v>879</v>
      </c>
      <c r="C15" s="128">
        <v>1.0</v>
      </c>
      <c r="D15" s="128">
        <v>1.0</v>
      </c>
      <c r="E15" s="128">
        <v>1.0</v>
      </c>
      <c r="F15" s="176">
        <v>0.24</v>
      </c>
      <c r="G15" s="128">
        <v>0.24</v>
      </c>
      <c r="H15" s="128">
        <v>0.24</v>
      </c>
      <c r="I15" s="128">
        <v>0.0</v>
      </c>
      <c r="J15" s="128">
        <v>0.0</v>
      </c>
      <c r="K15" s="128">
        <v>0.0</v>
      </c>
      <c r="L15" s="128">
        <v>0.0</v>
      </c>
      <c r="M15" s="128">
        <v>0.0</v>
      </c>
      <c r="N15" s="128">
        <v>0.0</v>
      </c>
      <c r="O15" s="128">
        <v>0.0</v>
      </c>
      <c r="P15" s="128">
        <v>0.0</v>
      </c>
      <c r="Q15" s="128">
        <v>0.0</v>
      </c>
      <c r="R15" s="128">
        <v>0.0</v>
      </c>
      <c r="S15" s="128">
        <v>0.0</v>
      </c>
      <c r="T15" s="128">
        <v>0.0</v>
      </c>
      <c r="U15" s="59"/>
    </row>
    <row r="16">
      <c r="A16" s="13">
        <v>6.0</v>
      </c>
      <c r="B16" s="128" t="s">
        <v>880</v>
      </c>
      <c r="C16" s="128">
        <f t="shared" ref="C16:T16" si="7">C$2*C15</f>
        <v>0.025</v>
      </c>
      <c r="D16" s="128">
        <f t="shared" si="7"/>
        <v>0.025</v>
      </c>
      <c r="E16" s="128">
        <f t="shared" si="7"/>
        <v>0.05</v>
      </c>
      <c r="F16" s="128">
        <f t="shared" si="7"/>
        <v>0.006</v>
      </c>
      <c r="G16" s="128">
        <f t="shared" si="7"/>
        <v>0.006</v>
      </c>
      <c r="H16" s="128">
        <f t="shared" si="7"/>
        <v>0.012</v>
      </c>
      <c r="I16" s="128">
        <f t="shared" si="7"/>
        <v>0</v>
      </c>
      <c r="J16" s="128">
        <f t="shared" si="7"/>
        <v>0</v>
      </c>
      <c r="K16" s="128">
        <f t="shared" si="7"/>
        <v>0</v>
      </c>
      <c r="L16" s="128">
        <f t="shared" si="7"/>
        <v>0</v>
      </c>
      <c r="M16" s="128">
        <f t="shared" si="7"/>
        <v>0</v>
      </c>
      <c r="N16" s="128">
        <f t="shared" si="7"/>
        <v>0</v>
      </c>
      <c r="O16" s="128">
        <f t="shared" si="7"/>
        <v>0</v>
      </c>
      <c r="P16" s="128">
        <f t="shared" si="7"/>
        <v>0</v>
      </c>
      <c r="Q16" s="128">
        <f t="shared" si="7"/>
        <v>0</v>
      </c>
      <c r="R16" s="128">
        <f t="shared" si="7"/>
        <v>0</v>
      </c>
      <c r="S16" s="128">
        <f t="shared" si="7"/>
        <v>0</v>
      </c>
      <c r="T16" s="128">
        <f t="shared" si="7"/>
        <v>0</v>
      </c>
      <c r="U16" s="175">
        <f>SUM(C16:T16)</f>
        <v>0.124</v>
      </c>
    </row>
    <row r="17">
      <c r="A17" s="13">
        <v>7.0</v>
      </c>
      <c r="B17" s="128" t="s">
        <v>879</v>
      </c>
      <c r="C17" s="128">
        <v>1.0</v>
      </c>
      <c r="D17" s="128">
        <v>1.0</v>
      </c>
      <c r="E17" s="128">
        <v>1.0</v>
      </c>
      <c r="F17" s="176">
        <v>0.04</v>
      </c>
      <c r="G17" s="128">
        <v>0.04</v>
      </c>
      <c r="H17" s="128">
        <v>0.04</v>
      </c>
      <c r="I17" s="128">
        <v>0.0</v>
      </c>
      <c r="J17" s="128">
        <v>1.0</v>
      </c>
      <c r="K17" s="128">
        <v>1.0</v>
      </c>
      <c r="L17" s="128">
        <v>0.0</v>
      </c>
      <c r="M17" s="128">
        <v>1.0</v>
      </c>
      <c r="N17" s="128">
        <v>0.0</v>
      </c>
      <c r="O17" s="128">
        <v>1.0</v>
      </c>
      <c r="P17" s="128">
        <v>0.0</v>
      </c>
      <c r="Q17" s="128">
        <v>0.0</v>
      </c>
      <c r="R17" s="128">
        <v>1.0</v>
      </c>
      <c r="S17" s="128">
        <v>1.0</v>
      </c>
      <c r="T17" s="128">
        <v>1.0</v>
      </c>
      <c r="U17" s="59"/>
    </row>
    <row r="18">
      <c r="A18" s="13">
        <v>7.0</v>
      </c>
      <c r="B18" s="128" t="s">
        <v>880</v>
      </c>
      <c r="C18" s="128">
        <f t="shared" ref="C18:T18" si="8">C$2*C17</f>
        <v>0.025</v>
      </c>
      <c r="D18" s="128">
        <f t="shared" si="8"/>
        <v>0.025</v>
      </c>
      <c r="E18" s="128">
        <f t="shared" si="8"/>
        <v>0.05</v>
      </c>
      <c r="F18" s="128">
        <f t="shared" si="8"/>
        <v>0.001</v>
      </c>
      <c r="G18" s="128">
        <f t="shared" si="8"/>
        <v>0.001</v>
      </c>
      <c r="H18" s="128">
        <f t="shared" si="8"/>
        <v>0.002</v>
      </c>
      <c r="I18" s="128">
        <f t="shared" si="8"/>
        <v>0</v>
      </c>
      <c r="J18" s="128">
        <f t="shared" si="8"/>
        <v>0.025</v>
      </c>
      <c r="K18" s="128">
        <f t="shared" si="8"/>
        <v>0.025</v>
      </c>
      <c r="L18" s="128">
        <f t="shared" si="8"/>
        <v>0</v>
      </c>
      <c r="M18" s="128">
        <f t="shared" si="8"/>
        <v>0.05</v>
      </c>
      <c r="N18" s="128">
        <f t="shared" si="8"/>
        <v>0</v>
      </c>
      <c r="O18" s="128">
        <f t="shared" si="8"/>
        <v>0.05</v>
      </c>
      <c r="P18" s="128">
        <f t="shared" si="8"/>
        <v>0</v>
      </c>
      <c r="Q18" s="128">
        <f t="shared" si="8"/>
        <v>0</v>
      </c>
      <c r="R18" s="128">
        <f t="shared" si="8"/>
        <v>0.1</v>
      </c>
      <c r="S18" s="128">
        <f t="shared" si="8"/>
        <v>0.1</v>
      </c>
      <c r="T18" s="128">
        <f t="shared" si="8"/>
        <v>0.1</v>
      </c>
      <c r="U18" s="175">
        <f>SUM(C18:T18)</f>
        <v>0.554</v>
      </c>
    </row>
    <row r="19">
      <c r="A19" s="13">
        <v>8.0</v>
      </c>
      <c r="B19" s="128" t="s">
        <v>879</v>
      </c>
      <c r="C19" s="128">
        <v>1.0</v>
      </c>
      <c r="D19" s="128">
        <v>1.0</v>
      </c>
      <c r="E19" s="128">
        <v>1.0</v>
      </c>
      <c r="F19" s="176">
        <v>1.0</v>
      </c>
      <c r="G19" s="176">
        <v>1.0</v>
      </c>
      <c r="H19" s="176">
        <v>0.0</v>
      </c>
      <c r="I19" s="128">
        <v>0.0</v>
      </c>
      <c r="J19" s="128">
        <v>0.0</v>
      </c>
      <c r="K19" s="128">
        <v>1.0</v>
      </c>
      <c r="L19" s="128">
        <v>1.0</v>
      </c>
      <c r="M19" s="128">
        <v>0.0</v>
      </c>
      <c r="N19" s="128">
        <v>0.0</v>
      </c>
      <c r="O19" s="177">
        <v>1.0</v>
      </c>
      <c r="P19" s="177">
        <v>0.5</v>
      </c>
      <c r="Q19" s="128">
        <v>1.0</v>
      </c>
      <c r="R19" s="128">
        <v>1.0</v>
      </c>
      <c r="S19" s="128">
        <v>0.0</v>
      </c>
      <c r="T19" s="128">
        <v>0.0</v>
      </c>
      <c r="U19" s="59"/>
    </row>
    <row r="20">
      <c r="A20" s="13">
        <v>8.0</v>
      </c>
      <c r="B20" s="128" t="s">
        <v>880</v>
      </c>
      <c r="C20" s="128">
        <f t="shared" ref="C20:T20" si="9">C$2*C19</f>
        <v>0.025</v>
      </c>
      <c r="D20" s="128">
        <f t="shared" si="9"/>
        <v>0.025</v>
      </c>
      <c r="E20" s="128">
        <f t="shared" si="9"/>
        <v>0.05</v>
      </c>
      <c r="F20" s="128">
        <f t="shared" si="9"/>
        <v>0.025</v>
      </c>
      <c r="G20" s="128">
        <f t="shared" si="9"/>
        <v>0.025</v>
      </c>
      <c r="H20" s="128">
        <f t="shared" si="9"/>
        <v>0</v>
      </c>
      <c r="I20" s="128">
        <f t="shared" si="9"/>
        <v>0</v>
      </c>
      <c r="J20" s="128">
        <f t="shared" si="9"/>
        <v>0</v>
      </c>
      <c r="K20" s="128">
        <f t="shared" si="9"/>
        <v>0.025</v>
      </c>
      <c r="L20" s="128">
        <f t="shared" si="9"/>
        <v>0.05</v>
      </c>
      <c r="M20" s="128">
        <f t="shared" si="9"/>
        <v>0</v>
      </c>
      <c r="N20" s="128">
        <f t="shared" si="9"/>
        <v>0</v>
      </c>
      <c r="O20" s="128">
        <f t="shared" si="9"/>
        <v>0.05</v>
      </c>
      <c r="P20" s="128">
        <f t="shared" si="9"/>
        <v>0.025</v>
      </c>
      <c r="Q20" s="128">
        <f t="shared" si="9"/>
        <v>0.1</v>
      </c>
      <c r="R20" s="128">
        <f t="shared" si="9"/>
        <v>0.1</v>
      </c>
      <c r="S20" s="128">
        <f t="shared" si="9"/>
        <v>0</v>
      </c>
      <c r="T20" s="128">
        <f t="shared" si="9"/>
        <v>0</v>
      </c>
      <c r="U20" s="175">
        <f>SUM(C20:T20)</f>
        <v>0.5</v>
      </c>
    </row>
    <row r="21">
      <c r="A21" s="13">
        <v>10.0</v>
      </c>
      <c r="B21" s="128" t="s">
        <v>879</v>
      </c>
      <c r="C21" s="128">
        <v>1.0</v>
      </c>
      <c r="D21" s="128">
        <v>1.0</v>
      </c>
      <c r="E21" s="128">
        <v>1.0</v>
      </c>
      <c r="F21" s="176">
        <v>0.0</v>
      </c>
      <c r="G21" s="176">
        <v>0.0</v>
      </c>
      <c r="H21" s="176">
        <v>0.0</v>
      </c>
      <c r="I21" s="128">
        <v>0.0</v>
      </c>
      <c r="J21" s="128">
        <v>0.0</v>
      </c>
      <c r="K21" s="128">
        <v>1.0</v>
      </c>
      <c r="L21" s="128">
        <v>0.0</v>
      </c>
      <c r="M21" s="128">
        <v>0.0</v>
      </c>
      <c r="N21" s="128">
        <v>0.0</v>
      </c>
      <c r="O21" s="177">
        <v>0.5</v>
      </c>
      <c r="P21" s="177">
        <v>0.0</v>
      </c>
      <c r="Q21" s="128">
        <v>0.0</v>
      </c>
      <c r="R21" s="128">
        <v>0.5</v>
      </c>
      <c r="S21" s="128">
        <v>0.5</v>
      </c>
      <c r="T21" s="128">
        <v>0.0</v>
      </c>
      <c r="U21" s="59"/>
    </row>
    <row r="22">
      <c r="A22" s="13">
        <v>10.0</v>
      </c>
      <c r="B22" s="128" t="s">
        <v>880</v>
      </c>
      <c r="C22" s="128">
        <f t="shared" ref="C22:T22" si="10">C$2*C21</f>
        <v>0.025</v>
      </c>
      <c r="D22" s="128">
        <f t="shared" si="10"/>
        <v>0.025</v>
      </c>
      <c r="E22" s="128">
        <f t="shared" si="10"/>
        <v>0.05</v>
      </c>
      <c r="F22" s="128">
        <f t="shared" si="10"/>
        <v>0</v>
      </c>
      <c r="G22" s="128">
        <f t="shared" si="10"/>
        <v>0</v>
      </c>
      <c r="H22" s="128">
        <f t="shared" si="10"/>
        <v>0</v>
      </c>
      <c r="I22" s="128">
        <f t="shared" si="10"/>
        <v>0</v>
      </c>
      <c r="J22" s="128">
        <f t="shared" si="10"/>
        <v>0</v>
      </c>
      <c r="K22" s="128">
        <f t="shared" si="10"/>
        <v>0.025</v>
      </c>
      <c r="L22" s="128">
        <f t="shared" si="10"/>
        <v>0</v>
      </c>
      <c r="M22" s="128">
        <f t="shared" si="10"/>
        <v>0</v>
      </c>
      <c r="N22" s="128">
        <f t="shared" si="10"/>
        <v>0</v>
      </c>
      <c r="O22" s="128">
        <f t="shared" si="10"/>
        <v>0.025</v>
      </c>
      <c r="P22" s="128">
        <f t="shared" si="10"/>
        <v>0</v>
      </c>
      <c r="Q22" s="128">
        <f t="shared" si="10"/>
        <v>0</v>
      </c>
      <c r="R22" s="128">
        <f t="shared" si="10"/>
        <v>0.05</v>
      </c>
      <c r="S22" s="128">
        <f t="shared" si="10"/>
        <v>0.05</v>
      </c>
      <c r="T22" s="128">
        <f t="shared" si="10"/>
        <v>0</v>
      </c>
      <c r="U22" s="175">
        <f>SUM(C22:T22)</f>
        <v>0.25</v>
      </c>
    </row>
    <row r="23">
      <c r="A23" s="13">
        <v>11.0</v>
      </c>
      <c r="B23" s="128" t="s">
        <v>879</v>
      </c>
      <c r="C23" s="128">
        <v>1.0</v>
      </c>
      <c r="D23" s="128">
        <v>1.0</v>
      </c>
      <c r="E23" s="128">
        <v>0.0</v>
      </c>
      <c r="F23" s="176">
        <v>0.0</v>
      </c>
      <c r="G23" s="176">
        <v>0.0</v>
      </c>
      <c r="H23" s="176">
        <v>0.0</v>
      </c>
      <c r="I23" s="128">
        <v>0.0</v>
      </c>
      <c r="J23" s="128">
        <v>0.0</v>
      </c>
      <c r="K23" s="128">
        <v>0.0</v>
      </c>
      <c r="L23" s="128">
        <v>0.0</v>
      </c>
      <c r="M23" s="128">
        <v>0.0</v>
      </c>
      <c r="N23" s="128">
        <v>0.0</v>
      </c>
      <c r="O23" s="128">
        <v>0.0</v>
      </c>
      <c r="P23" s="128">
        <v>0.0</v>
      </c>
      <c r="Q23" s="128">
        <v>0.0</v>
      </c>
      <c r="R23" s="128">
        <v>0.0</v>
      </c>
      <c r="S23" s="128">
        <v>0.0</v>
      </c>
      <c r="T23" s="128">
        <v>0.0</v>
      </c>
      <c r="U23" s="59"/>
    </row>
    <row r="24">
      <c r="A24" s="13">
        <v>11.0</v>
      </c>
      <c r="B24" s="128" t="s">
        <v>880</v>
      </c>
      <c r="C24" s="128">
        <f t="shared" ref="C24:T24" si="11">C$2*C23</f>
        <v>0.025</v>
      </c>
      <c r="D24" s="128">
        <f t="shared" si="11"/>
        <v>0.025</v>
      </c>
      <c r="E24" s="128">
        <f t="shared" si="11"/>
        <v>0</v>
      </c>
      <c r="F24" s="128">
        <f t="shared" si="11"/>
        <v>0</v>
      </c>
      <c r="G24" s="128">
        <f t="shared" si="11"/>
        <v>0</v>
      </c>
      <c r="H24" s="128">
        <f t="shared" si="11"/>
        <v>0</v>
      </c>
      <c r="I24" s="128">
        <f t="shared" si="11"/>
        <v>0</v>
      </c>
      <c r="J24" s="128">
        <f t="shared" si="11"/>
        <v>0</v>
      </c>
      <c r="K24" s="128">
        <f t="shared" si="11"/>
        <v>0</v>
      </c>
      <c r="L24" s="128">
        <f t="shared" si="11"/>
        <v>0</v>
      </c>
      <c r="M24" s="128">
        <f t="shared" si="11"/>
        <v>0</v>
      </c>
      <c r="N24" s="128">
        <f t="shared" si="11"/>
        <v>0</v>
      </c>
      <c r="O24" s="128">
        <f t="shared" si="11"/>
        <v>0</v>
      </c>
      <c r="P24" s="128">
        <f t="shared" si="11"/>
        <v>0</v>
      </c>
      <c r="Q24" s="128">
        <f t="shared" si="11"/>
        <v>0</v>
      </c>
      <c r="R24" s="128">
        <f t="shared" si="11"/>
        <v>0</v>
      </c>
      <c r="S24" s="128">
        <f t="shared" si="11"/>
        <v>0</v>
      </c>
      <c r="T24" s="128">
        <f t="shared" si="11"/>
        <v>0</v>
      </c>
      <c r="U24" s="175">
        <f>SUM(C24:T24)</f>
        <v>0.05</v>
      </c>
    </row>
    <row r="25">
      <c r="A25" s="13">
        <v>16.0</v>
      </c>
      <c r="B25" s="128" t="s">
        <v>879</v>
      </c>
      <c r="C25" s="128">
        <v>1.0</v>
      </c>
      <c r="D25" s="128">
        <v>1.0</v>
      </c>
      <c r="E25" s="128">
        <v>1.0</v>
      </c>
      <c r="F25" s="128">
        <v>1.0</v>
      </c>
      <c r="G25" s="128">
        <v>1.0</v>
      </c>
      <c r="H25" s="128">
        <v>1.0</v>
      </c>
      <c r="I25" s="128">
        <v>0.0</v>
      </c>
      <c r="J25" s="128">
        <v>1.0</v>
      </c>
      <c r="K25" s="128">
        <v>0.0</v>
      </c>
      <c r="L25" s="128">
        <v>1.0</v>
      </c>
      <c r="M25" s="128">
        <v>0.5</v>
      </c>
      <c r="N25" s="128">
        <v>0.5</v>
      </c>
      <c r="O25" s="128">
        <v>0.0</v>
      </c>
      <c r="P25" s="128">
        <v>0.0</v>
      </c>
      <c r="Q25" s="128">
        <v>0.0</v>
      </c>
      <c r="R25" s="128">
        <v>0.0</v>
      </c>
      <c r="S25" s="128">
        <v>0.0</v>
      </c>
      <c r="T25" s="128">
        <v>0.0</v>
      </c>
      <c r="U25" s="59"/>
    </row>
    <row r="26">
      <c r="A26" s="13">
        <v>16.0</v>
      </c>
      <c r="B26" s="128" t="s">
        <v>880</v>
      </c>
      <c r="C26" s="128">
        <f t="shared" ref="C26:T26" si="12">C$2*C25</f>
        <v>0.025</v>
      </c>
      <c r="D26" s="128">
        <f t="shared" si="12"/>
        <v>0.025</v>
      </c>
      <c r="E26" s="128">
        <f t="shared" si="12"/>
        <v>0.05</v>
      </c>
      <c r="F26" s="128">
        <f t="shared" si="12"/>
        <v>0.025</v>
      </c>
      <c r="G26" s="128">
        <f t="shared" si="12"/>
        <v>0.025</v>
      </c>
      <c r="H26" s="128">
        <f t="shared" si="12"/>
        <v>0.05</v>
      </c>
      <c r="I26" s="128">
        <f t="shared" si="12"/>
        <v>0</v>
      </c>
      <c r="J26" s="128">
        <f t="shared" si="12"/>
        <v>0.025</v>
      </c>
      <c r="K26" s="128">
        <f t="shared" si="12"/>
        <v>0</v>
      </c>
      <c r="L26" s="128">
        <f t="shared" si="12"/>
        <v>0.05</v>
      </c>
      <c r="M26" s="128">
        <f t="shared" si="12"/>
        <v>0.025</v>
      </c>
      <c r="N26" s="128">
        <f t="shared" si="12"/>
        <v>0.025</v>
      </c>
      <c r="O26" s="128">
        <f t="shared" si="12"/>
        <v>0</v>
      </c>
      <c r="P26" s="128">
        <f t="shared" si="12"/>
        <v>0</v>
      </c>
      <c r="Q26" s="128">
        <f t="shared" si="12"/>
        <v>0</v>
      </c>
      <c r="R26" s="128">
        <f t="shared" si="12"/>
        <v>0</v>
      </c>
      <c r="S26" s="128">
        <f t="shared" si="12"/>
        <v>0</v>
      </c>
      <c r="T26" s="128">
        <f t="shared" si="12"/>
        <v>0</v>
      </c>
      <c r="U26" s="175">
        <f>SUM(C26:T26)</f>
        <v>0.325</v>
      </c>
    </row>
    <row r="27">
      <c r="A27" s="173"/>
      <c r="B27" s="178"/>
      <c r="C27" s="178"/>
      <c r="D27" s="178"/>
      <c r="E27" s="178"/>
      <c r="F27" s="178"/>
      <c r="G27" s="178"/>
      <c r="H27" s="178"/>
      <c r="I27" s="178"/>
      <c r="J27" s="178"/>
      <c r="K27" s="178"/>
      <c r="L27" s="178"/>
      <c r="M27" s="178"/>
      <c r="N27" s="178"/>
      <c r="O27" s="178"/>
      <c r="P27" s="178"/>
      <c r="Q27" s="178"/>
      <c r="R27" s="178"/>
      <c r="S27" s="178"/>
      <c r="T27" s="178"/>
      <c r="U27" s="179"/>
    </row>
    <row r="28">
      <c r="A28" s="173"/>
      <c r="B28" s="178"/>
      <c r="C28" s="178"/>
      <c r="D28" s="178"/>
      <c r="E28" s="178"/>
      <c r="F28" s="178"/>
      <c r="G28" s="178"/>
      <c r="H28" s="178"/>
      <c r="I28" s="178"/>
      <c r="J28" s="178"/>
      <c r="K28" s="178"/>
      <c r="L28" s="178"/>
      <c r="M28" s="178"/>
      <c r="N28" s="178"/>
      <c r="O28" s="178"/>
      <c r="P28" s="178"/>
      <c r="Q28" s="178"/>
      <c r="R28" s="178"/>
      <c r="S28" s="178"/>
      <c r="T28" s="178"/>
      <c r="U28" s="179"/>
    </row>
    <row r="29">
      <c r="A29" s="173"/>
      <c r="B29" s="178"/>
      <c r="C29" s="178"/>
      <c r="D29" s="178"/>
      <c r="E29" s="178"/>
      <c r="F29" s="178"/>
      <c r="G29" s="178"/>
      <c r="H29" s="178"/>
      <c r="I29" s="178"/>
      <c r="J29" s="178"/>
      <c r="K29" s="178"/>
      <c r="L29" s="178"/>
      <c r="M29" s="178"/>
      <c r="N29" s="178"/>
      <c r="O29" s="178"/>
      <c r="P29" s="178"/>
      <c r="Q29" s="178"/>
      <c r="R29" s="178"/>
      <c r="S29" s="178"/>
      <c r="T29" s="178"/>
      <c r="U29" s="179"/>
    </row>
    <row r="30">
      <c r="A30" s="173"/>
      <c r="B30" s="178"/>
      <c r="C30" s="178"/>
      <c r="D30" s="178"/>
      <c r="E30" s="178"/>
      <c r="F30" s="178"/>
      <c r="G30" s="178"/>
      <c r="H30" s="178"/>
      <c r="I30" s="178"/>
      <c r="J30" s="178"/>
      <c r="K30" s="178"/>
      <c r="L30" s="178"/>
      <c r="M30" s="178"/>
      <c r="N30" s="178"/>
      <c r="O30" s="178"/>
      <c r="P30" s="178"/>
      <c r="Q30" s="178"/>
      <c r="R30" s="178"/>
      <c r="S30" s="178"/>
      <c r="T30" s="178"/>
      <c r="U30" s="179"/>
    </row>
    <row r="31">
      <c r="A31" s="173"/>
      <c r="B31" s="178"/>
      <c r="C31" s="178"/>
      <c r="D31" s="178"/>
      <c r="E31" s="178"/>
      <c r="F31" s="178"/>
      <c r="G31" s="178"/>
      <c r="H31" s="178"/>
      <c r="I31" s="178"/>
      <c r="J31" s="178"/>
      <c r="K31" s="178"/>
      <c r="L31" s="178"/>
      <c r="M31" s="178"/>
      <c r="N31" s="178"/>
      <c r="O31" s="178"/>
      <c r="P31" s="178"/>
      <c r="Q31" s="178"/>
      <c r="R31" s="178"/>
      <c r="S31" s="178"/>
      <c r="T31" s="178"/>
      <c r="U31" s="179"/>
    </row>
    <row r="32">
      <c r="A32" s="173"/>
      <c r="B32" s="178"/>
      <c r="C32" s="178"/>
      <c r="D32" s="178"/>
      <c r="E32" s="178"/>
      <c r="F32" s="178"/>
      <c r="G32" s="178"/>
      <c r="H32" s="178"/>
      <c r="I32" s="178"/>
      <c r="J32" s="178"/>
      <c r="K32" s="178"/>
      <c r="L32" s="178"/>
      <c r="M32" s="178"/>
      <c r="N32" s="178"/>
      <c r="O32" s="178"/>
      <c r="P32" s="178"/>
      <c r="Q32" s="178"/>
      <c r="R32" s="178"/>
      <c r="S32" s="178"/>
      <c r="T32" s="178"/>
      <c r="U32" s="179"/>
    </row>
    <row r="33">
      <c r="A33" s="173"/>
      <c r="B33" s="178"/>
      <c r="C33" s="178"/>
      <c r="D33" s="178"/>
      <c r="E33" s="178"/>
      <c r="F33" s="178"/>
      <c r="G33" s="178"/>
      <c r="H33" s="178"/>
      <c r="I33" s="178"/>
      <c r="J33" s="178"/>
      <c r="K33" s="178"/>
      <c r="L33" s="178"/>
      <c r="M33" s="178"/>
      <c r="N33" s="178"/>
      <c r="O33" s="178"/>
      <c r="P33" s="178"/>
      <c r="Q33" s="178"/>
      <c r="R33" s="178"/>
      <c r="S33" s="178"/>
      <c r="T33" s="178"/>
      <c r="U33" s="179"/>
    </row>
    <row r="34">
      <c r="A34" s="173"/>
      <c r="B34" s="178"/>
      <c r="C34" s="178"/>
      <c r="D34" s="178"/>
      <c r="E34" s="178"/>
      <c r="F34" s="178"/>
      <c r="G34" s="178"/>
      <c r="H34" s="178"/>
      <c r="I34" s="178"/>
      <c r="J34" s="178"/>
      <c r="K34" s="178"/>
      <c r="L34" s="178"/>
      <c r="M34" s="178"/>
      <c r="N34" s="178"/>
      <c r="O34" s="178"/>
      <c r="P34" s="178"/>
      <c r="Q34" s="178"/>
      <c r="R34" s="178"/>
      <c r="S34" s="178"/>
      <c r="T34" s="178"/>
      <c r="U34" s="179"/>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22.71"/>
    <col customWidth="1" min="2" max="3" width="25.14"/>
    <col customWidth="1" min="4" max="33" width="13.86"/>
    <col customWidth="1" min="34" max="35" width="16.57"/>
    <col customWidth="1" min="36" max="36" width="29.71"/>
    <col customWidth="1" min="37" max="46" width="16.57"/>
  </cols>
  <sheetData>
    <row r="1">
      <c r="A1" s="86" t="s">
        <v>881</v>
      </c>
      <c r="B1" s="10" t="s">
        <v>2</v>
      </c>
      <c r="C1" s="11" t="s">
        <v>3</v>
      </c>
      <c r="D1" s="12" t="s">
        <v>533</v>
      </c>
      <c r="E1" s="121" t="s">
        <v>537</v>
      </c>
      <c r="F1" s="121" t="s">
        <v>704</v>
      </c>
      <c r="G1" s="121" t="s">
        <v>705</v>
      </c>
      <c r="H1" s="121" t="s">
        <v>706</v>
      </c>
      <c r="I1" s="121" t="s">
        <v>708</v>
      </c>
      <c r="J1" s="122" t="s">
        <v>709</v>
      </c>
      <c r="K1" s="122" t="s">
        <v>710</v>
      </c>
      <c r="L1" s="122" t="s">
        <v>711</v>
      </c>
      <c r="M1" s="122" t="s">
        <v>712</v>
      </c>
      <c r="N1" s="122" t="s">
        <v>713</v>
      </c>
      <c r="O1" s="122" t="s">
        <v>714</v>
      </c>
      <c r="P1" s="122" t="s">
        <v>715</v>
      </c>
      <c r="Q1" s="122" t="s">
        <v>716</v>
      </c>
      <c r="R1" s="122" t="s">
        <v>717</v>
      </c>
      <c r="S1" s="122" t="s">
        <v>718</v>
      </c>
      <c r="T1" s="122" t="s">
        <v>719</v>
      </c>
      <c r="U1" s="122" t="s">
        <v>720</v>
      </c>
      <c r="V1" s="122" t="s">
        <v>721</v>
      </c>
      <c r="W1" s="122" t="s">
        <v>722</v>
      </c>
      <c r="X1" s="122" t="s">
        <v>723</v>
      </c>
      <c r="Y1" s="122" t="s">
        <v>724</v>
      </c>
      <c r="Z1" s="123" t="s">
        <v>725</v>
      </c>
      <c r="AA1" s="123" t="s">
        <v>726</v>
      </c>
      <c r="AB1" s="123" t="s">
        <v>727</v>
      </c>
      <c r="AC1" s="124" t="s">
        <v>728</v>
      </c>
      <c r="AD1" s="36"/>
      <c r="AE1" s="36"/>
      <c r="AF1" s="36"/>
      <c r="AG1" s="36"/>
      <c r="AH1" s="36"/>
      <c r="AI1" s="36"/>
      <c r="AJ1" s="36"/>
      <c r="AK1" s="36"/>
      <c r="AL1" s="36"/>
      <c r="AM1" s="36"/>
      <c r="AN1" s="36"/>
      <c r="AO1" s="36"/>
      <c r="AP1" s="36"/>
      <c r="AQ1" s="36"/>
      <c r="AR1" s="36"/>
      <c r="AS1" s="36"/>
      <c r="AT1" s="36"/>
    </row>
    <row r="2">
      <c r="A2" s="13"/>
      <c r="B2" s="13">
        <v>8.0</v>
      </c>
      <c r="C2" s="171" t="s">
        <v>51</v>
      </c>
      <c r="D2" s="16">
        <v>44204.0</v>
      </c>
      <c r="E2" s="15">
        <v>2020.0</v>
      </c>
      <c r="F2" s="15">
        <v>139868.0</v>
      </c>
      <c r="G2" s="15">
        <v>144140.0</v>
      </c>
      <c r="H2" s="15">
        <v>141100.0</v>
      </c>
      <c r="I2" s="15">
        <v>5189893.0</v>
      </c>
      <c r="J2" s="15">
        <v>1680841.0</v>
      </c>
      <c r="K2" s="15">
        <v>26999.0</v>
      </c>
      <c r="L2" s="130"/>
      <c r="M2" s="15">
        <v>96877.0</v>
      </c>
      <c r="N2" s="15">
        <v>230858.0</v>
      </c>
      <c r="O2" s="15">
        <v>21661.0</v>
      </c>
      <c r="P2" s="15">
        <v>2546.0</v>
      </c>
      <c r="Q2" s="15">
        <v>6188.0</v>
      </c>
      <c r="R2" s="130"/>
      <c r="S2" s="15">
        <v>20086.0</v>
      </c>
      <c r="T2" s="130"/>
      <c r="U2" s="130"/>
      <c r="V2" s="15">
        <v>64723.0</v>
      </c>
      <c r="W2" s="130"/>
      <c r="X2" s="130"/>
      <c r="Y2" s="15">
        <v>2858340.0</v>
      </c>
      <c r="Z2" s="13">
        <v>195327.0</v>
      </c>
      <c r="AA2" s="13">
        <v>146793.0</v>
      </c>
      <c r="AB2" s="127"/>
      <c r="AC2" s="127">
        <f t="shared" ref="AC2:AC5" si="1">SUM(N2:Z2,H2:L2,F2)</f>
        <v>10578430</v>
      </c>
      <c r="AD2" s="36"/>
      <c r="AE2" s="36"/>
      <c r="AF2" s="36"/>
      <c r="AG2" s="36"/>
      <c r="AH2" s="36"/>
      <c r="AI2" s="36"/>
      <c r="AJ2" s="36"/>
      <c r="AK2" s="36"/>
      <c r="AL2" s="36"/>
    </row>
    <row r="3">
      <c r="A3" s="13"/>
      <c r="B3" s="13"/>
      <c r="C3" s="171"/>
      <c r="D3" s="16"/>
      <c r="E3" s="15"/>
      <c r="F3" s="15"/>
      <c r="G3" s="15"/>
      <c r="H3" s="15"/>
      <c r="I3" s="15"/>
      <c r="J3" s="15"/>
      <c r="K3" s="15"/>
      <c r="L3" s="130"/>
      <c r="M3" s="15"/>
      <c r="N3" s="15"/>
      <c r="O3" s="15"/>
      <c r="P3" s="15"/>
      <c r="Q3" s="15"/>
      <c r="R3" s="130"/>
      <c r="S3" s="15"/>
      <c r="T3" s="130"/>
      <c r="U3" s="130"/>
      <c r="V3" s="15"/>
      <c r="W3" s="130"/>
      <c r="X3" s="130"/>
      <c r="Y3" s="15"/>
      <c r="Z3" s="127"/>
      <c r="AA3" s="127"/>
      <c r="AB3" s="127"/>
      <c r="AC3" s="127">
        <f t="shared" si="1"/>
        <v>0</v>
      </c>
      <c r="AD3" s="36"/>
      <c r="AE3" s="36"/>
      <c r="AF3" s="36"/>
      <c r="AG3" s="36"/>
      <c r="AH3" s="36"/>
      <c r="AI3" s="36"/>
      <c r="AJ3" s="36"/>
      <c r="AK3" s="36"/>
      <c r="AL3" s="36"/>
    </row>
    <row r="4">
      <c r="A4" s="13"/>
      <c r="B4" s="13"/>
      <c r="C4" s="171"/>
      <c r="D4" s="16"/>
      <c r="E4" s="15"/>
      <c r="F4" s="15"/>
      <c r="G4" s="15"/>
      <c r="H4" s="15"/>
      <c r="I4" s="15"/>
      <c r="J4" s="15"/>
      <c r="K4" s="15"/>
      <c r="L4" s="130"/>
      <c r="M4" s="15"/>
      <c r="N4" s="15"/>
      <c r="O4" s="15"/>
      <c r="P4" s="15"/>
      <c r="Q4" s="15"/>
      <c r="R4" s="130"/>
      <c r="S4" s="15"/>
      <c r="T4" s="130"/>
      <c r="U4" s="130"/>
      <c r="V4" s="15"/>
      <c r="W4" s="130"/>
      <c r="X4" s="130"/>
      <c r="Y4" s="15"/>
      <c r="Z4" s="127"/>
      <c r="AA4" s="127"/>
      <c r="AB4" s="127"/>
      <c r="AC4" s="127">
        <f t="shared" si="1"/>
        <v>0</v>
      </c>
      <c r="AD4" s="36"/>
      <c r="AE4" s="36"/>
      <c r="AF4" s="36"/>
      <c r="AG4" s="36"/>
      <c r="AH4" s="36"/>
      <c r="AI4" s="36"/>
      <c r="AJ4" s="36"/>
      <c r="AK4" s="36"/>
      <c r="AL4" s="36"/>
    </row>
    <row r="5">
      <c r="A5" s="13"/>
      <c r="B5" s="13"/>
      <c r="C5" s="171"/>
      <c r="D5" s="16"/>
      <c r="E5" s="15"/>
      <c r="F5" s="15"/>
      <c r="G5" s="15"/>
      <c r="H5" s="15"/>
      <c r="I5" s="15"/>
      <c r="J5" s="15"/>
      <c r="K5" s="15"/>
      <c r="L5" s="130"/>
      <c r="M5" s="15"/>
      <c r="N5" s="15"/>
      <c r="O5" s="15"/>
      <c r="P5" s="15"/>
      <c r="Q5" s="15"/>
      <c r="R5" s="130"/>
      <c r="S5" s="15"/>
      <c r="T5" s="130"/>
      <c r="U5" s="130"/>
      <c r="V5" s="15"/>
      <c r="W5" s="130"/>
      <c r="X5" s="130"/>
      <c r="Y5" s="15"/>
      <c r="Z5" s="127"/>
      <c r="AA5" s="127"/>
      <c r="AB5" s="127"/>
      <c r="AC5" s="127">
        <f t="shared" si="1"/>
        <v>0</v>
      </c>
      <c r="AD5" s="36"/>
      <c r="AE5" s="36"/>
      <c r="AF5" s="36"/>
      <c r="AG5" s="36"/>
      <c r="AH5" s="36"/>
      <c r="AI5" s="36"/>
      <c r="AJ5" s="36"/>
      <c r="AK5" s="36"/>
      <c r="AL5" s="36"/>
    </row>
    <row r="6">
      <c r="A6" s="149"/>
      <c r="B6" s="149"/>
      <c r="C6" s="149"/>
      <c r="D6" s="149"/>
      <c r="E6" s="149"/>
      <c r="F6" s="149"/>
      <c r="G6" s="149"/>
      <c r="H6" s="149"/>
      <c r="I6" s="149"/>
      <c r="J6" s="149"/>
      <c r="K6" s="149"/>
      <c r="L6" s="149"/>
      <c r="M6" s="149"/>
      <c r="N6" s="149"/>
      <c r="O6" s="149"/>
      <c r="P6" s="149"/>
      <c r="Q6" s="149"/>
      <c r="R6" s="149"/>
      <c r="S6" s="149"/>
      <c r="T6" s="149"/>
      <c r="U6" s="149"/>
      <c r="V6" s="149"/>
      <c r="W6" s="149"/>
      <c r="X6" s="149"/>
      <c r="AD6" s="36"/>
      <c r="AE6" s="36"/>
      <c r="AF6" s="36"/>
      <c r="AG6" s="36"/>
      <c r="AH6" s="36"/>
      <c r="AI6" s="36"/>
      <c r="AJ6" s="36"/>
      <c r="AK6" s="36"/>
      <c r="AL6" s="36"/>
    </row>
    <row r="7">
      <c r="A7" s="149"/>
      <c r="B7" s="149"/>
      <c r="C7" s="149"/>
      <c r="D7" s="149"/>
      <c r="E7" s="149"/>
      <c r="F7" s="149"/>
      <c r="G7" s="149"/>
      <c r="H7" s="149"/>
      <c r="I7" s="149"/>
      <c r="J7" s="149"/>
      <c r="K7" s="149"/>
      <c r="L7" s="149"/>
      <c r="M7" s="149"/>
      <c r="N7" s="149"/>
      <c r="O7" s="149"/>
      <c r="P7" s="149"/>
      <c r="Q7" s="149"/>
      <c r="R7" s="149"/>
      <c r="S7" s="149"/>
      <c r="T7" s="149"/>
      <c r="U7" s="149"/>
      <c r="V7" s="149"/>
      <c r="W7" s="149"/>
      <c r="X7" s="149"/>
    </row>
    <row r="8">
      <c r="A8" s="149"/>
      <c r="B8" s="149"/>
      <c r="C8" s="149"/>
      <c r="D8" s="149"/>
      <c r="E8" s="149"/>
      <c r="F8" s="149"/>
      <c r="G8" s="149"/>
      <c r="H8" s="149"/>
      <c r="I8" s="149"/>
      <c r="J8" s="149"/>
      <c r="K8" s="149"/>
      <c r="L8" s="149"/>
      <c r="M8" s="149"/>
      <c r="N8" s="149"/>
      <c r="O8" s="149"/>
      <c r="P8" s="149"/>
      <c r="Q8" s="149"/>
      <c r="R8" s="149"/>
      <c r="S8" s="149"/>
      <c r="T8" s="149"/>
      <c r="U8" s="149"/>
      <c r="V8" s="149"/>
      <c r="W8" s="149"/>
      <c r="X8" s="149"/>
    </row>
    <row r="9">
      <c r="A9" s="149"/>
      <c r="B9" s="149"/>
      <c r="C9" s="149"/>
      <c r="D9" s="149"/>
      <c r="E9" s="149"/>
      <c r="F9" s="149"/>
      <c r="G9" s="149"/>
      <c r="H9" s="149"/>
      <c r="I9" s="149"/>
      <c r="J9" s="149"/>
      <c r="K9" s="149"/>
      <c r="L9" s="149"/>
      <c r="M9" s="149"/>
      <c r="N9" s="149"/>
      <c r="O9" s="149"/>
      <c r="P9" s="149"/>
      <c r="Q9" s="149"/>
      <c r="R9" s="149"/>
      <c r="S9" s="149"/>
      <c r="T9" s="149"/>
      <c r="U9" s="149"/>
      <c r="V9" s="149"/>
      <c r="W9" s="149"/>
      <c r="X9" s="149"/>
    </row>
    <row r="10">
      <c r="A10" s="149"/>
      <c r="B10" s="149"/>
      <c r="C10" s="149"/>
      <c r="D10" s="149"/>
      <c r="E10" s="149"/>
      <c r="F10" s="149"/>
      <c r="G10" s="149"/>
      <c r="H10" s="149"/>
      <c r="I10" s="149"/>
      <c r="J10" s="149"/>
      <c r="K10" s="149"/>
      <c r="L10" s="149"/>
      <c r="M10" s="149"/>
      <c r="N10" s="149"/>
      <c r="O10" s="149"/>
      <c r="P10" s="149"/>
      <c r="Q10" s="149"/>
      <c r="R10" s="149"/>
      <c r="S10" s="149"/>
      <c r="T10" s="149"/>
      <c r="U10" s="149"/>
      <c r="V10" s="149"/>
      <c r="W10" s="149"/>
      <c r="X10" s="149"/>
    </row>
    <row r="11">
      <c r="A11" s="149"/>
      <c r="B11" s="149"/>
      <c r="C11" s="149"/>
      <c r="D11" s="149"/>
      <c r="E11" s="149"/>
      <c r="F11" s="149"/>
      <c r="G11" s="149"/>
      <c r="H11" s="149"/>
      <c r="I11" s="149"/>
      <c r="J11" s="149"/>
      <c r="K11" s="149"/>
      <c r="L11" s="149"/>
      <c r="M11" s="149"/>
      <c r="N11" s="149"/>
      <c r="O11" s="149"/>
      <c r="P11" s="149"/>
      <c r="Q11" s="149"/>
      <c r="R11" s="149"/>
      <c r="S11" s="149"/>
      <c r="T11" s="149"/>
      <c r="U11" s="149"/>
      <c r="V11" s="149"/>
      <c r="W11" s="149"/>
      <c r="X11" s="149"/>
    </row>
    <row r="12">
      <c r="A12" s="149"/>
      <c r="B12" s="149"/>
      <c r="C12" s="149"/>
      <c r="D12" s="149"/>
      <c r="E12" s="149"/>
      <c r="F12" s="149"/>
      <c r="G12" s="149"/>
      <c r="H12" s="149"/>
      <c r="I12" s="149"/>
      <c r="J12" s="149"/>
      <c r="K12" s="149"/>
      <c r="L12" s="149"/>
      <c r="M12" s="149"/>
      <c r="N12" s="149"/>
      <c r="O12" s="149"/>
      <c r="P12" s="149"/>
      <c r="Q12" s="149"/>
      <c r="R12" s="149"/>
      <c r="S12" s="149"/>
      <c r="T12" s="149"/>
      <c r="U12" s="149"/>
      <c r="V12" s="149"/>
      <c r="W12" s="149"/>
      <c r="X12" s="149"/>
    </row>
    <row r="13">
      <c r="A13" s="149"/>
      <c r="B13" s="149"/>
      <c r="C13" s="149"/>
      <c r="D13" s="149"/>
      <c r="E13" s="149"/>
      <c r="F13" s="149"/>
      <c r="G13" s="149"/>
      <c r="H13" s="149"/>
      <c r="I13" s="149"/>
      <c r="J13" s="149"/>
      <c r="K13" s="149"/>
      <c r="L13" s="149"/>
      <c r="M13" s="149"/>
      <c r="N13" s="149"/>
      <c r="O13" s="149"/>
      <c r="P13" s="149"/>
      <c r="Q13" s="149"/>
      <c r="R13" s="149"/>
      <c r="S13" s="149"/>
      <c r="T13" s="149"/>
      <c r="U13" s="149"/>
      <c r="V13" s="149"/>
      <c r="W13" s="149"/>
      <c r="X13" s="149"/>
    </row>
    <row r="14">
      <c r="A14" s="149"/>
      <c r="B14" s="149"/>
      <c r="C14" s="149"/>
      <c r="D14" s="149"/>
      <c r="E14" s="149"/>
      <c r="F14" s="149"/>
      <c r="G14" s="149"/>
      <c r="H14" s="149"/>
      <c r="I14" s="149"/>
      <c r="J14" s="149"/>
      <c r="K14" s="149"/>
      <c r="L14" s="149"/>
      <c r="M14" s="149"/>
      <c r="N14" s="149"/>
      <c r="O14" s="149"/>
      <c r="P14" s="149"/>
      <c r="Q14" s="149"/>
      <c r="R14" s="149"/>
      <c r="S14" s="149"/>
      <c r="T14" s="149"/>
      <c r="U14" s="149"/>
      <c r="V14" s="149"/>
      <c r="W14" s="149"/>
      <c r="X14" s="149"/>
    </row>
    <row r="15">
      <c r="A15" s="149"/>
      <c r="B15" s="149"/>
      <c r="C15" s="149"/>
      <c r="D15" s="149"/>
      <c r="E15" s="149"/>
      <c r="F15" s="149"/>
      <c r="G15" s="149"/>
      <c r="H15" s="149"/>
      <c r="I15" s="149"/>
      <c r="J15" s="149"/>
      <c r="K15" s="149"/>
      <c r="L15" s="149"/>
      <c r="M15" s="149"/>
      <c r="N15" s="149"/>
      <c r="O15" s="149"/>
      <c r="P15" s="149"/>
      <c r="Q15" s="149"/>
      <c r="R15" s="149"/>
      <c r="S15" s="149"/>
      <c r="T15" s="149"/>
      <c r="U15" s="149"/>
      <c r="V15" s="149"/>
      <c r="W15" s="149"/>
      <c r="X15" s="149"/>
    </row>
    <row r="16">
      <c r="A16" s="149"/>
      <c r="B16" s="149"/>
      <c r="C16" s="149"/>
      <c r="D16" s="149"/>
      <c r="E16" s="149"/>
      <c r="F16" s="149"/>
      <c r="G16" s="149"/>
      <c r="H16" s="149"/>
      <c r="I16" s="149"/>
      <c r="J16" s="149"/>
      <c r="K16" s="149"/>
      <c r="L16" s="149"/>
      <c r="M16" s="149"/>
      <c r="N16" s="149"/>
      <c r="O16" s="149"/>
      <c r="P16" s="149"/>
      <c r="Q16" s="149"/>
      <c r="R16" s="149"/>
      <c r="S16" s="149"/>
      <c r="T16" s="149"/>
      <c r="U16" s="149"/>
      <c r="V16" s="149"/>
      <c r="W16" s="149"/>
      <c r="X16" s="149"/>
    </row>
    <row r="17">
      <c r="A17" s="149"/>
      <c r="B17" s="149"/>
      <c r="C17" s="149"/>
      <c r="D17" s="149"/>
      <c r="E17" s="149"/>
      <c r="F17" s="149"/>
      <c r="G17" s="149"/>
      <c r="H17" s="149"/>
      <c r="I17" s="149"/>
      <c r="J17" s="149"/>
      <c r="K17" s="149"/>
      <c r="L17" s="149"/>
      <c r="M17" s="149"/>
      <c r="N17" s="149"/>
      <c r="O17" s="149"/>
      <c r="P17" s="149"/>
      <c r="Q17" s="149"/>
      <c r="R17" s="149"/>
      <c r="S17" s="149"/>
      <c r="T17" s="149"/>
      <c r="U17" s="149"/>
      <c r="V17" s="149"/>
      <c r="W17" s="149"/>
      <c r="X17" s="149"/>
    </row>
    <row r="18">
      <c r="A18" s="149"/>
      <c r="B18" s="149"/>
      <c r="C18" s="149"/>
      <c r="D18" s="149"/>
      <c r="E18" s="149"/>
      <c r="F18" s="149"/>
      <c r="G18" s="149"/>
      <c r="H18" s="149"/>
      <c r="I18" s="149"/>
      <c r="J18" s="149"/>
      <c r="K18" s="149"/>
      <c r="L18" s="149"/>
      <c r="M18" s="149"/>
      <c r="N18" s="149"/>
      <c r="O18" s="149"/>
      <c r="P18" s="149"/>
      <c r="Q18" s="149"/>
      <c r="R18" s="149"/>
      <c r="S18" s="149"/>
      <c r="T18" s="149"/>
      <c r="U18" s="149"/>
      <c r="V18" s="149"/>
      <c r="W18" s="149"/>
      <c r="X18" s="149"/>
    </row>
    <row r="19">
      <c r="A19" s="149"/>
      <c r="B19" s="149"/>
      <c r="C19" s="149"/>
      <c r="D19" s="149"/>
      <c r="E19" s="149"/>
      <c r="F19" s="149"/>
      <c r="G19" s="149"/>
      <c r="H19" s="149"/>
      <c r="I19" s="149"/>
      <c r="J19" s="149"/>
      <c r="K19" s="149"/>
      <c r="L19" s="149"/>
      <c r="M19" s="149"/>
      <c r="N19" s="149"/>
      <c r="O19" s="149"/>
      <c r="P19" s="149"/>
      <c r="Q19" s="149"/>
      <c r="R19" s="149"/>
      <c r="S19" s="149"/>
      <c r="T19" s="149"/>
      <c r="U19" s="149"/>
      <c r="V19" s="149"/>
      <c r="W19" s="149"/>
      <c r="X19" s="149"/>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14"/>
    <col customWidth="1" min="2" max="2" width="10.71"/>
    <col customWidth="1" min="3" max="3" width="16.57"/>
    <col customWidth="1" min="4" max="13" width="10.71"/>
    <col customWidth="1" min="14" max="14" width="12.14"/>
    <col customWidth="1" min="15" max="15" width="11.43"/>
    <col customWidth="1" min="16" max="16" width="10.43"/>
    <col customWidth="1" min="17" max="20" width="21.0"/>
    <col customWidth="1" min="21" max="21" width="19.86"/>
    <col customWidth="1" min="22" max="22" width="20.43"/>
    <col customWidth="1" min="23" max="23" width="9.14"/>
    <col customWidth="1" min="24" max="26" width="8.71"/>
  </cols>
  <sheetData>
    <row r="1">
      <c r="A1" s="180" t="s">
        <v>3</v>
      </c>
      <c r="B1" s="180" t="s">
        <v>882</v>
      </c>
      <c r="C1" s="180" t="s">
        <v>2</v>
      </c>
      <c r="D1" s="180" t="s">
        <v>599</v>
      </c>
      <c r="E1" s="180" t="s">
        <v>883</v>
      </c>
      <c r="F1" s="180" t="s">
        <v>675</v>
      </c>
      <c r="G1" s="180" t="s">
        <v>594</v>
      </c>
      <c r="H1" s="180" t="s">
        <v>884</v>
      </c>
      <c r="I1" s="180" t="s">
        <v>676</v>
      </c>
      <c r="J1" s="180" t="s">
        <v>677</v>
      </c>
      <c r="K1" s="180" t="s">
        <v>678</v>
      </c>
      <c r="L1" s="180" t="s">
        <v>885</v>
      </c>
      <c r="M1" s="180" t="s">
        <v>886</v>
      </c>
      <c r="N1" s="180" t="s">
        <v>606</v>
      </c>
      <c r="O1" s="180" t="s">
        <v>887</v>
      </c>
      <c r="P1" s="180" t="s">
        <v>679</v>
      </c>
      <c r="Q1" s="180" t="s">
        <v>888</v>
      </c>
      <c r="R1" s="180" t="s">
        <v>889</v>
      </c>
      <c r="S1" s="180" t="s">
        <v>890</v>
      </c>
      <c r="T1" s="180" t="s">
        <v>891</v>
      </c>
      <c r="U1" s="180" t="s">
        <v>892</v>
      </c>
      <c r="V1" s="180" t="s">
        <v>893</v>
      </c>
      <c r="W1" s="180" t="s">
        <v>894</v>
      </c>
      <c r="X1" s="181"/>
      <c r="Y1" s="181"/>
      <c r="Z1" s="181"/>
    </row>
    <row r="2">
      <c r="A2" s="182" t="s">
        <v>10</v>
      </c>
      <c r="B2" s="182">
        <v>1.0</v>
      </c>
      <c r="C2" s="182" t="s">
        <v>13</v>
      </c>
      <c r="D2" s="182" t="s">
        <v>895</v>
      </c>
      <c r="E2" s="183" t="s">
        <v>683</v>
      </c>
      <c r="F2" s="180"/>
      <c r="G2" s="182" t="s">
        <v>896</v>
      </c>
      <c r="H2" s="182">
        <v>100.0</v>
      </c>
      <c r="I2" s="182">
        <v>1.0</v>
      </c>
      <c r="J2" s="182">
        <v>1.0</v>
      </c>
      <c r="K2" s="182">
        <v>0.0</v>
      </c>
      <c r="L2" s="182">
        <v>50.0</v>
      </c>
      <c r="M2" s="182">
        <v>0.5</v>
      </c>
      <c r="N2" s="184">
        <v>2002.0</v>
      </c>
      <c r="O2" s="182">
        <v>2025.0</v>
      </c>
      <c r="P2" s="182">
        <v>2015.0</v>
      </c>
      <c r="Q2" s="182">
        <v>1.83E7</v>
      </c>
      <c r="R2" s="182">
        <v>9150000.0</v>
      </c>
      <c r="S2" s="182">
        <v>9150000.0</v>
      </c>
      <c r="T2" s="182">
        <v>0.0</v>
      </c>
      <c r="U2" s="183">
        <v>136.28415300546447</v>
      </c>
      <c r="V2" s="183">
        <v>1.3628</v>
      </c>
      <c r="W2" s="180">
        <f t="shared" ref="W2:W68" si="1">P2-O2</f>
        <v>-10</v>
      </c>
      <c r="X2" s="181"/>
      <c r="Y2" s="181"/>
      <c r="Z2" s="181"/>
    </row>
    <row r="3">
      <c r="A3" s="182" t="s">
        <v>20</v>
      </c>
      <c r="B3" s="182">
        <v>3.0</v>
      </c>
      <c r="C3" s="182" t="s">
        <v>24</v>
      </c>
      <c r="D3" s="182" t="s">
        <v>895</v>
      </c>
      <c r="E3" s="183" t="s">
        <v>683</v>
      </c>
      <c r="F3" s="180"/>
      <c r="G3" s="182" t="s">
        <v>896</v>
      </c>
      <c r="H3" s="182">
        <v>100.0</v>
      </c>
      <c r="I3" s="182">
        <v>1.0</v>
      </c>
      <c r="J3" s="182">
        <v>1.0</v>
      </c>
      <c r="K3" s="182">
        <v>0.0</v>
      </c>
      <c r="L3" s="182">
        <v>25.0</v>
      </c>
      <c r="M3" s="182">
        <v>0.25</v>
      </c>
      <c r="N3" s="184">
        <v>2015.0</v>
      </c>
      <c r="O3" s="182">
        <v>2025.0</v>
      </c>
      <c r="P3" s="182">
        <v>2016.0</v>
      </c>
      <c r="Q3" s="182">
        <v>665467.0</v>
      </c>
      <c r="R3" s="182">
        <v>332733.5</v>
      </c>
      <c r="S3" s="182">
        <v>332733.5</v>
      </c>
      <c r="T3" s="182">
        <v>0.0</v>
      </c>
      <c r="U3" s="183">
        <v>64.53332772323796</v>
      </c>
      <c r="V3" s="183">
        <v>0.6453</v>
      </c>
      <c r="W3" s="180">
        <f t="shared" si="1"/>
        <v>-9</v>
      </c>
      <c r="X3" s="181"/>
      <c r="Y3" s="181"/>
      <c r="Z3" s="181"/>
    </row>
    <row r="4">
      <c r="A4" s="182" t="s">
        <v>20</v>
      </c>
      <c r="B4" s="182">
        <v>3.0</v>
      </c>
      <c r="C4" s="182" t="s">
        <v>24</v>
      </c>
      <c r="D4" s="182" t="s">
        <v>895</v>
      </c>
      <c r="E4" s="183" t="s">
        <v>683</v>
      </c>
      <c r="F4" s="180"/>
      <c r="G4" s="182" t="s">
        <v>896</v>
      </c>
      <c r="H4" s="182">
        <v>100.0</v>
      </c>
      <c r="I4" s="182">
        <v>1.0</v>
      </c>
      <c r="J4" s="182">
        <v>1.0</v>
      </c>
      <c r="K4" s="182">
        <v>0.0</v>
      </c>
      <c r="L4" s="182">
        <v>50.0</v>
      </c>
      <c r="M4" s="182">
        <v>0.5</v>
      </c>
      <c r="N4" s="184">
        <v>2015.0</v>
      </c>
      <c r="O4" s="182">
        <v>2035.0</v>
      </c>
      <c r="P4" s="182">
        <v>2016.0</v>
      </c>
      <c r="Q4" s="182">
        <v>665467.0</v>
      </c>
      <c r="R4" s="182">
        <v>332733.5</v>
      </c>
      <c r="S4" s="182">
        <v>332733.5</v>
      </c>
      <c r="T4" s="182">
        <v>0.0</v>
      </c>
      <c r="U4" s="183">
        <v>32.26666386161898</v>
      </c>
      <c r="V4" s="183">
        <v>0.3227</v>
      </c>
      <c r="W4" s="180">
        <f t="shared" si="1"/>
        <v>-19</v>
      </c>
      <c r="X4" s="181"/>
      <c r="Y4" s="181"/>
      <c r="Z4" s="181"/>
    </row>
    <row r="5">
      <c r="A5" s="182" t="s">
        <v>26</v>
      </c>
      <c r="B5" s="182">
        <v>4.0</v>
      </c>
      <c r="C5" s="182" t="s">
        <v>29</v>
      </c>
      <c r="D5" s="182" t="s">
        <v>895</v>
      </c>
      <c r="E5" s="183" t="s">
        <v>683</v>
      </c>
      <c r="F5" s="180"/>
      <c r="G5" s="182" t="s">
        <v>896</v>
      </c>
      <c r="H5" s="182">
        <v>100.0</v>
      </c>
      <c r="I5" s="182">
        <v>1.0</v>
      </c>
      <c r="J5" s="182">
        <v>1.0</v>
      </c>
      <c r="K5" s="182">
        <v>0.0</v>
      </c>
      <c r="L5" s="182">
        <v>11.0</v>
      </c>
      <c r="M5" s="182">
        <v>0.11</v>
      </c>
      <c r="N5" s="184">
        <v>2016.0</v>
      </c>
      <c r="O5" s="182">
        <v>2025.0</v>
      </c>
      <c r="P5" s="182">
        <v>2016.0</v>
      </c>
      <c r="Q5" s="182">
        <v>1257636.0</v>
      </c>
      <c r="R5" s="182">
        <v>628818.0</v>
      </c>
      <c r="S5" s="182">
        <v>628818.0</v>
      </c>
      <c r="T5" s="182">
        <v>0.0</v>
      </c>
      <c r="U5" s="183">
        <v>66.05466706799686</v>
      </c>
      <c r="V5" s="183">
        <v>0.6605</v>
      </c>
      <c r="W5" s="180">
        <f t="shared" si="1"/>
        <v>-9</v>
      </c>
      <c r="X5" s="181"/>
      <c r="Y5" s="181"/>
      <c r="Z5" s="181"/>
    </row>
    <row r="6">
      <c r="A6" s="182" t="s">
        <v>31</v>
      </c>
      <c r="B6" s="182">
        <v>5.0</v>
      </c>
      <c r="C6" s="182" t="s">
        <v>35</v>
      </c>
      <c r="D6" s="182" t="s">
        <v>895</v>
      </c>
      <c r="E6" s="183" t="s">
        <v>683</v>
      </c>
      <c r="F6" s="180"/>
      <c r="G6" s="182" t="s">
        <v>896</v>
      </c>
      <c r="H6" s="182">
        <v>100.0</v>
      </c>
      <c r="I6" s="182">
        <v>1.0</v>
      </c>
      <c r="J6" s="182">
        <v>1.0</v>
      </c>
      <c r="K6" s="182">
        <v>0.0</v>
      </c>
      <c r="L6" s="182">
        <v>25.0</v>
      </c>
      <c r="M6" s="182">
        <v>0.25</v>
      </c>
      <c r="N6" s="184">
        <v>2015.0</v>
      </c>
      <c r="O6" s="182">
        <v>2025.0</v>
      </c>
      <c r="P6" s="182">
        <v>2016.0</v>
      </c>
      <c r="Q6" s="182">
        <v>64736.0</v>
      </c>
      <c r="R6" s="182">
        <v>32368.0</v>
      </c>
      <c r="S6" s="182">
        <v>32368.0</v>
      </c>
      <c r="T6" s="182">
        <v>0.0</v>
      </c>
      <c r="U6" s="183">
        <v>55.77113198220465</v>
      </c>
      <c r="V6" s="183">
        <v>0.5577</v>
      </c>
      <c r="W6" s="180">
        <f t="shared" si="1"/>
        <v>-9</v>
      </c>
      <c r="X6" s="181"/>
      <c r="Y6" s="181"/>
      <c r="Z6" s="181"/>
    </row>
    <row r="7">
      <c r="A7" s="182" t="s">
        <v>31</v>
      </c>
      <c r="B7" s="182">
        <v>5.0</v>
      </c>
      <c r="C7" s="182" t="s">
        <v>35</v>
      </c>
      <c r="D7" s="182" t="s">
        <v>895</v>
      </c>
      <c r="E7" s="183" t="s">
        <v>683</v>
      </c>
      <c r="F7" s="180"/>
      <c r="G7" s="182" t="s">
        <v>896</v>
      </c>
      <c r="H7" s="182">
        <v>100.0</v>
      </c>
      <c r="I7" s="182">
        <v>1.0</v>
      </c>
      <c r="J7" s="182">
        <v>1.0</v>
      </c>
      <c r="K7" s="182">
        <v>0.0</v>
      </c>
      <c r="L7" s="182">
        <v>80.0</v>
      </c>
      <c r="M7" s="182">
        <v>0.8</v>
      </c>
      <c r="N7" s="184">
        <v>2015.0</v>
      </c>
      <c r="O7" s="182">
        <v>2035.0</v>
      </c>
      <c r="P7" s="182">
        <v>2016.0</v>
      </c>
      <c r="Q7" s="182">
        <v>64736.0</v>
      </c>
      <c r="R7" s="182">
        <v>32368.0</v>
      </c>
      <c r="S7" s="182">
        <v>32368.0</v>
      </c>
      <c r="T7" s="182">
        <v>0.0</v>
      </c>
      <c r="U7" s="183">
        <v>17.42847874443895</v>
      </c>
      <c r="V7" s="183">
        <v>0.1743</v>
      </c>
      <c r="W7" s="180">
        <f t="shared" si="1"/>
        <v>-19</v>
      </c>
      <c r="X7" s="181"/>
      <c r="Y7" s="181"/>
      <c r="Z7" s="181"/>
    </row>
    <row r="8">
      <c r="A8" s="182" t="s">
        <v>897</v>
      </c>
      <c r="B8" s="182">
        <v>7.0</v>
      </c>
      <c r="C8" s="182" t="s">
        <v>898</v>
      </c>
      <c r="D8" s="182" t="s">
        <v>895</v>
      </c>
      <c r="E8" s="183" t="s">
        <v>683</v>
      </c>
      <c r="F8" s="180"/>
      <c r="G8" s="182" t="s">
        <v>896</v>
      </c>
      <c r="H8" s="182">
        <v>100.0</v>
      </c>
      <c r="I8" s="182">
        <v>1.0</v>
      </c>
      <c r="J8" s="182">
        <v>1.0</v>
      </c>
      <c r="K8" s="182">
        <v>0.0</v>
      </c>
      <c r="L8" s="182">
        <v>100.0</v>
      </c>
      <c r="M8" s="182">
        <v>1.0</v>
      </c>
      <c r="N8" s="184">
        <v>2015.0</v>
      </c>
      <c r="O8" s="182">
        <v>2025.0</v>
      </c>
      <c r="P8" s="182">
        <v>2015.0</v>
      </c>
      <c r="Q8" s="182">
        <v>1451418.0</v>
      </c>
      <c r="R8" s="182">
        <v>725709.0</v>
      </c>
      <c r="S8" s="182">
        <v>725709.0</v>
      </c>
      <c r="T8" s="182">
        <v>0.0</v>
      </c>
      <c r="U8" s="183">
        <v>100.0</v>
      </c>
      <c r="V8" s="183">
        <v>1.0</v>
      </c>
      <c r="W8" s="180">
        <f t="shared" si="1"/>
        <v>-10</v>
      </c>
      <c r="X8" s="181"/>
      <c r="Y8" s="181"/>
      <c r="Z8" s="181"/>
    </row>
    <row r="9">
      <c r="A9" s="182" t="s">
        <v>897</v>
      </c>
      <c r="B9" s="182">
        <v>7.0</v>
      </c>
      <c r="C9" s="182" t="s">
        <v>898</v>
      </c>
      <c r="D9" s="182" t="s">
        <v>895</v>
      </c>
      <c r="E9" s="183" t="s">
        <v>683</v>
      </c>
      <c r="F9" s="180"/>
      <c r="G9" s="182" t="s">
        <v>896</v>
      </c>
      <c r="H9" s="182">
        <v>100.0</v>
      </c>
      <c r="I9" s="182">
        <v>1.0</v>
      </c>
      <c r="J9" s="182">
        <v>1.0</v>
      </c>
      <c r="K9" s="182">
        <v>0.0</v>
      </c>
      <c r="L9" s="182">
        <v>100.0</v>
      </c>
      <c r="M9" s="182">
        <v>1.0</v>
      </c>
      <c r="N9" s="184">
        <v>2015.0</v>
      </c>
      <c r="O9" s="182">
        <v>2040.0</v>
      </c>
      <c r="P9" s="182">
        <v>2015.0</v>
      </c>
      <c r="Q9" s="182">
        <v>1451418.0</v>
      </c>
      <c r="R9" s="182">
        <v>725709.0</v>
      </c>
      <c r="S9" s="182">
        <v>725709.0</v>
      </c>
      <c r="T9" s="182">
        <v>0.0</v>
      </c>
      <c r="U9" s="183">
        <v>100.0</v>
      </c>
      <c r="V9" s="183">
        <v>1.0</v>
      </c>
      <c r="W9" s="180">
        <f t="shared" si="1"/>
        <v>-25</v>
      </c>
      <c r="X9" s="181"/>
      <c r="Y9" s="181"/>
      <c r="Z9" s="181"/>
    </row>
    <row r="10">
      <c r="A10" s="182" t="s">
        <v>51</v>
      </c>
      <c r="B10" s="182">
        <v>8.0</v>
      </c>
      <c r="C10" s="182" t="s">
        <v>55</v>
      </c>
      <c r="D10" s="182" t="s">
        <v>895</v>
      </c>
      <c r="E10" s="183" t="s">
        <v>683</v>
      </c>
      <c r="F10" s="180"/>
      <c r="G10" s="182" t="s">
        <v>896</v>
      </c>
      <c r="H10" s="182">
        <v>100.0</v>
      </c>
      <c r="I10" s="182">
        <v>1.0</v>
      </c>
      <c r="J10" s="182">
        <v>1.0</v>
      </c>
      <c r="K10" s="182">
        <v>0.0</v>
      </c>
      <c r="L10" s="182">
        <v>20.0</v>
      </c>
      <c r="M10" s="182">
        <v>0.2</v>
      </c>
      <c r="N10" s="184">
        <v>2015.0</v>
      </c>
      <c r="O10" s="182">
        <v>2025.0</v>
      </c>
      <c r="P10" s="182">
        <v>2016.0</v>
      </c>
      <c r="Q10" s="182">
        <v>392172.0</v>
      </c>
      <c r="R10" s="182">
        <v>196086.0</v>
      </c>
      <c r="S10" s="182">
        <v>196086.0</v>
      </c>
      <c r="T10" s="182">
        <v>0.0</v>
      </c>
      <c r="U10" s="183">
        <v>110.16339769284902</v>
      </c>
      <c r="V10" s="183">
        <v>1.1016</v>
      </c>
      <c r="W10" s="180">
        <f t="shared" si="1"/>
        <v>-9</v>
      </c>
      <c r="X10" s="181"/>
      <c r="Y10" s="181"/>
      <c r="Z10" s="181"/>
    </row>
    <row r="11">
      <c r="A11" s="182" t="s">
        <v>51</v>
      </c>
      <c r="B11" s="182">
        <v>8.0</v>
      </c>
      <c r="C11" s="182" t="s">
        <v>55</v>
      </c>
      <c r="D11" s="182" t="s">
        <v>895</v>
      </c>
      <c r="E11" s="183" t="s">
        <v>683</v>
      </c>
      <c r="F11" s="180"/>
      <c r="G11" s="182" t="s">
        <v>689</v>
      </c>
      <c r="H11" s="182">
        <v>100.0</v>
      </c>
      <c r="I11" s="182">
        <v>0.0</v>
      </c>
      <c r="J11" s="182">
        <v>0.0</v>
      </c>
      <c r="K11" s="182">
        <v>1.0</v>
      </c>
      <c r="L11" s="182">
        <v>15.0</v>
      </c>
      <c r="M11" s="182">
        <v>0.15</v>
      </c>
      <c r="N11" s="184">
        <v>2017.0</v>
      </c>
      <c r="O11" s="182">
        <v>2030.0</v>
      </c>
      <c r="P11" s="182">
        <v>2018.0</v>
      </c>
      <c r="Q11" s="182">
        <v>5264365.0</v>
      </c>
      <c r="R11" s="182">
        <v>0.0</v>
      </c>
      <c r="S11" s="182">
        <v>0.0</v>
      </c>
      <c r="T11" s="182">
        <v>5264365.0</v>
      </c>
      <c r="U11" s="183">
        <v>4.6389893811187735</v>
      </c>
      <c r="V11" s="183">
        <v>0.0464</v>
      </c>
      <c r="W11" s="180">
        <f t="shared" si="1"/>
        <v>-12</v>
      </c>
      <c r="X11" s="181"/>
      <c r="Y11" s="181"/>
      <c r="Z11" s="181"/>
    </row>
    <row r="12">
      <c r="A12" s="182" t="s">
        <v>51</v>
      </c>
      <c r="B12" s="182">
        <v>8.0</v>
      </c>
      <c r="C12" s="182" t="s">
        <v>55</v>
      </c>
      <c r="D12" s="182" t="s">
        <v>895</v>
      </c>
      <c r="E12" s="183" t="s">
        <v>683</v>
      </c>
      <c r="F12" s="180"/>
      <c r="G12" s="182" t="s">
        <v>896</v>
      </c>
      <c r="H12" s="182">
        <v>100.0</v>
      </c>
      <c r="I12" s="182">
        <v>1.0</v>
      </c>
      <c r="J12" s="182">
        <v>1.0</v>
      </c>
      <c r="K12" s="182">
        <v>0.0</v>
      </c>
      <c r="L12" s="182">
        <v>55.0</v>
      </c>
      <c r="M12" s="182">
        <v>0.55</v>
      </c>
      <c r="N12" s="184">
        <v>2017.0</v>
      </c>
      <c r="O12" s="182">
        <v>2030.0</v>
      </c>
      <c r="P12" s="182">
        <v>2019.0</v>
      </c>
      <c r="Q12" s="182">
        <v>337007.0</v>
      </c>
      <c r="R12" s="182">
        <v>168503.5</v>
      </c>
      <c r="S12" s="182">
        <v>168503.5</v>
      </c>
      <c r="T12" s="182">
        <v>0.0</v>
      </c>
      <c r="U12" s="183">
        <v>18.662142707043852</v>
      </c>
      <c r="V12" s="183">
        <v>0.1866</v>
      </c>
      <c r="W12" s="180">
        <f t="shared" si="1"/>
        <v>-11</v>
      </c>
      <c r="X12" s="181"/>
      <c r="Y12" s="181"/>
      <c r="Z12" s="181"/>
    </row>
    <row r="13">
      <c r="A13" s="182" t="s">
        <v>51</v>
      </c>
      <c r="B13" s="182">
        <v>8.0</v>
      </c>
      <c r="C13" s="182" t="s">
        <v>55</v>
      </c>
      <c r="D13" s="182" t="s">
        <v>895</v>
      </c>
      <c r="E13" s="183" t="s">
        <v>683</v>
      </c>
      <c r="F13" s="180"/>
      <c r="G13" s="182" t="s">
        <v>689</v>
      </c>
      <c r="H13" s="182">
        <v>100.0</v>
      </c>
      <c r="I13" s="182">
        <v>0.0</v>
      </c>
      <c r="J13" s="182">
        <v>0.0</v>
      </c>
      <c r="K13" s="182">
        <v>1.0</v>
      </c>
      <c r="L13" s="182">
        <v>18.0</v>
      </c>
      <c r="M13" s="182">
        <v>0.18</v>
      </c>
      <c r="N13" s="184">
        <v>2017.0</v>
      </c>
      <c r="O13" s="182">
        <v>2030.0</v>
      </c>
      <c r="P13" s="182">
        <v>2019.0</v>
      </c>
      <c r="Q13" s="182">
        <v>5264365.0</v>
      </c>
      <c r="R13" s="182">
        <v>0.0</v>
      </c>
      <c r="S13" s="182">
        <v>0.0</v>
      </c>
      <c r="T13" s="182">
        <v>5264365.0</v>
      </c>
      <c r="U13" s="183">
        <v>3.865824484265644</v>
      </c>
      <c r="V13" s="183">
        <v>0.0387</v>
      </c>
      <c r="W13" s="180">
        <f t="shared" si="1"/>
        <v>-11</v>
      </c>
      <c r="X13" s="181"/>
      <c r="Y13" s="181"/>
      <c r="Z13" s="181"/>
    </row>
    <row r="14">
      <c r="A14" s="182" t="s">
        <v>62</v>
      </c>
      <c r="B14" s="182">
        <v>10.0</v>
      </c>
      <c r="C14" s="182" t="s">
        <v>65</v>
      </c>
      <c r="D14" s="182" t="s">
        <v>895</v>
      </c>
      <c r="E14" s="183" t="s">
        <v>683</v>
      </c>
      <c r="F14" s="180"/>
      <c r="G14" s="182" t="s">
        <v>899</v>
      </c>
      <c r="H14" s="182">
        <v>100.0</v>
      </c>
      <c r="I14" s="182">
        <v>1.0</v>
      </c>
      <c r="J14" s="182">
        <v>1.0</v>
      </c>
      <c r="K14" s="182">
        <v>1.0</v>
      </c>
      <c r="L14" s="182">
        <v>100.0</v>
      </c>
      <c r="M14" s="182">
        <v>1.0</v>
      </c>
      <c r="N14" s="184">
        <v>2011.0</v>
      </c>
      <c r="O14" s="182">
        <v>2025.0</v>
      </c>
      <c r="P14" s="182">
        <v>2018.0</v>
      </c>
      <c r="Q14" s="182">
        <v>188349.0</v>
      </c>
      <c r="R14" s="182">
        <v>62783.0</v>
      </c>
      <c r="S14" s="182">
        <v>62783.0</v>
      </c>
      <c r="T14" s="182">
        <v>62783.0</v>
      </c>
      <c r="U14" s="183">
        <v>100.0</v>
      </c>
      <c r="V14" s="183">
        <v>1.0</v>
      </c>
      <c r="W14" s="180">
        <f t="shared" si="1"/>
        <v>-7</v>
      </c>
      <c r="X14" s="181"/>
      <c r="Y14" s="181"/>
      <c r="Z14" s="181"/>
    </row>
    <row r="15">
      <c r="A15" s="182" t="s">
        <v>62</v>
      </c>
      <c r="B15" s="182">
        <v>10.0</v>
      </c>
      <c r="C15" s="182" t="s">
        <v>65</v>
      </c>
      <c r="D15" s="182" t="s">
        <v>895</v>
      </c>
      <c r="E15" s="183" t="s">
        <v>683</v>
      </c>
      <c r="F15" s="180"/>
      <c r="G15" s="182" t="s">
        <v>899</v>
      </c>
      <c r="H15" s="182">
        <v>100.0</v>
      </c>
      <c r="I15" s="182">
        <v>1.0</v>
      </c>
      <c r="J15" s="182">
        <v>1.0</v>
      </c>
      <c r="K15" s="182">
        <v>1.0</v>
      </c>
      <c r="L15" s="182">
        <v>100.0</v>
      </c>
      <c r="M15" s="182">
        <v>1.0</v>
      </c>
      <c r="N15" s="184">
        <v>2011.0</v>
      </c>
      <c r="O15" s="182">
        <v>2040.0</v>
      </c>
      <c r="P15" s="182">
        <v>2018.0</v>
      </c>
      <c r="Q15" s="182">
        <v>188349.0</v>
      </c>
      <c r="R15" s="182">
        <v>62783.0</v>
      </c>
      <c r="S15" s="182">
        <v>62783.0</v>
      </c>
      <c r="T15" s="182">
        <v>62783.0</v>
      </c>
      <c r="U15" s="183">
        <v>100.0</v>
      </c>
      <c r="V15" s="183">
        <v>1.0</v>
      </c>
      <c r="W15" s="180">
        <f t="shared" si="1"/>
        <v>-22</v>
      </c>
      <c r="X15" s="181"/>
      <c r="Y15" s="181"/>
      <c r="Z15" s="181"/>
    </row>
    <row r="16">
      <c r="A16" s="182" t="s">
        <v>73</v>
      </c>
      <c r="B16" s="182">
        <v>12.0</v>
      </c>
      <c r="C16" s="182" t="s">
        <v>76</v>
      </c>
      <c r="D16" s="182" t="s">
        <v>895</v>
      </c>
      <c r="E16" s="183" t="s">
        <v>683</v>
      </c>
      <c r="F16" s="180"/>
      <c r="G16" s="182" t="s">
        <v>900</v>
      </c>
      <c r="H16" s="182">
        <v>26.0</v>
      </c>
      <c r="I16" s="182">
        <v>0.26</v>
      </c>
      <c r="J16" s="182">
        <v>0.0</v>
      </c>
      <c r="K16" s="182">
        <v>0.0</v>
      </c>
      <c r="L16" s="182">
        <v>60.0</v>
      </c>
      <c r="M16" s="182">
        <v>0.6</v>
      </c>
      <c r="N16" s="184">
        <v>2017.0</v>
      </c>
      <c r="O16" s="182">
        <v>2027.0</v>
      </c>
      <c r="P16" s="182">
        <v>2018.0</v>
      </c>
      <c r="Q16" s="182">
        <v>651065.0</v>
      </c>
      <c r="R16" s="182">
        <v>651065.0</v>
      </c>
      <c r="S16" s="182">
        <v>0.0</v>
      </c>
      <c r="T16" s="182">
        <v>0.0</v>
      </c>
      <c r="U16" s="183">
        <v>24.26383438417567</v>
      </c>
      <c r="V16" s="183">
        <v>0.2426</v>
      </c>
      <c r="W16" s="180">
        <f t="shared" si="1"/>
        <v>-9</v>
      </c>
      <c r="X16" s="181"/>
      <c r="Y16" s="181"/>
      <c r="Z16" s="181"/>
    </row>
    <row r="17">
      <c r="A17" s="182" t="s">
        <v>84</v>
      </c>
      <c r="B17" s="182">
        <v>14.0</v>
      </c>
      <c r="C17" s="182" t="s">
        <v>88</v>
      </c>
      <c r="D17" s="182" t="s">
        <v>895</v>
      </c>
      <c r="E17" s="183" t="s">
        <v>683</v>
      </c>
      <c r="F17" s="180"/>
      <c r="G17" s="182" t="s">
        <v>896</v>
      </c>
      <c r="H17" s="182">
        <v>100.0</v>
      </c>
      <c r="I17" s="182">
        <v>1.0</v>
      </c>
      <c r="J17" s="182">
        <v>1.0</v>
      </c>
      <c r="K17" s="182">
        <v>0.0</v>
      </c>
      <c r="L17" s="182">
        <v>52.0</v>
      </c>
      <c r="M17" s="182">
        <v>0.52</v>
      </c>
      <c r="N17" s="184">
        <v>2012.0</v>
      </c>
      <c r="O17" s="182">
        <v>2036.0</v>
      </c>
      <c r="P17" s="182">
        <v>2012.0</v>
      </c>
      <c r="Q17" s="182">
        <v>160400.0</v>
      </c>
      <c r="R17" s="182">
        <v>80200.0</v>
      </c>
      <c r="S17" s="182">
        <v>80200.0</v>
      </c>
      <c r="T17" s="182">
        <v>0.0</v>
      </c>
      <c r="U17" s="183">
        <v>131.7019950124688</v>
      </c>
      <c r="V17" s="183">
        <v>1.317</v>
      </c>
      <c r="W17" s="180">
        <f t="shared" si="1"/>
        <v>-24</v>
      </c>
      <c r="X17" s="181"/>
      <c r="Y17" s="181"/>
      <c r="Z17" s="181"/>
    </row>
    <row r="18">
      <c r="A18" s="182" t="s">
        <v>84</v>
      </c>
      <c r="B18" s="182">
        <v>14.0</v>
      </c>
      <c r="C18" s="182" t="s">
        <v>88</v>
      </c>
      <c r="D18" s="182" t="s">
        <v>895</v>
      </c>
      <c r="E18" s="183" t="s">
        <v>683</v>
      </c>
      <c r="F18" s="180"/>
      <c r="G18" s="182" t="s">
        <v>896</v>
      </c>
      <c r="H18" s="182">
        <v>100.0</v>
      </c>
      <c r="I18" s="182">
        <v>1.0</v>
      </c>
      <c r="J18" s="182">
        <v>1.0</v>
      </c>
      <c r="K18" s="182">
        <v>0.0</v>
      </c>
      <c r="L18" s="182">
        <v>75.0</v>
      </c>
      <c r="M18" s="182">
        <v>0.75</v>
      </c>
      <c r="N18" s="184">
        <v>2015.0</v>
      </c>
      <c r="O18" s="182">
        <v>2030.0</v>
      </c>
      <c r="P18" s="182">
        <v>2020.0</v>
      </c>
      <c r="Q18" s="182">
        <v>3.84E7</v>
      </c>
      <c r="R18" s="182">
        <v>1.92E7</v>
      </c>
      <c r="S18" s="182">
        <v>1.92E7</v>
      </c>
      <c r="T18" s="182">
        <v>0.0</v>
      </c>
      <c r="U18" s="183">
        <v>46.18055555555556</v>
      </c>
      <c r="V18" s="183">
        <v>0.4618</v>
      </c>
      <c r="W18" s="180">
        <f t="shared" si="1"/>
        <v>-10</v>
      </c>
      <c r="X18" s="181"/>
      <c r="Y18" s="181"/>
      <c r="Z18" s="181"/>
    </row>
    <row r="19">
      <c r="A19" s="182" t="s">
        <v>90</v>
      </c>
      <c r="B19" s="182">
        <v>15.0</v>
      </c>
      <c r="C19" s="182" t="s">
        <v>94</v>
      </c>
      <c r="D19" s="182" t="s">
        <v>895</v>
      </c>
      <c r="E19" s="183" t="s">
        <v>683</v>
      </c>
      <c r="F19" s="180"/>
      <c r="G19" s="182" t="s">
        <v>896</v>
      </c>
      <c r="H19" s="182">
        <v>100.0</v>
      </c>
      <c r="I19" s="182">
        <v>1.0</v>
      </c>
      <c r="J19" s="182">
        <v>1.0</v>
      </c>
      <c r="K19" s="182">
        <v>0.0</v>
      </c>
      <c r="L19" s="182">
        <v>26.0</v>
      </c>
      <c r="M19" s="182">
        <v>0.26</v>
      </c>
      <c r="N19" s="184">
        <v>2015.0</v>
      </c>
      <c r="O19" s="182">
        <v>2030.0</v>
      </c>
      <c r="P19" s="182">
        <v>2019.0</v>
      </c>
      <c r="Q19" s="182">
        <v>8766803.0</v>
      </c>
      <c r="R19" s="182">
        <v>4383401.5</v>
      </c>
      <c r="S19" s="182">
        <v>4383401.5</v>
      </c>
      <c r="T19" s="182">
        <v>0.0</v>
      </c>
      <c r="U19" s="183">
        <v>98.35007918288674</v>
      </c>
      <c r="V19" s="183">
        <v>0.9835</v>
      </c>
      <c r="W19" s="180">
        <f t="shared" si="1"/>
        <v>-11</v>
      </c>
      <c r="X19" s="181"/>
      <c r="Y19" s="181"/>
      <c r="Z19" s="181"/>
    </row>
    <row r="20">
      <c r="A20" s="182" t="s">
        <v>96</v>
      </c>
      <c r="B20" s="182">
        <v>16.0</v>
      </c>
      <c r="C20" s="182" t="s">
        <v>99</v>
      </c>
      <c r="D20" s="182" t="s">
        <v>895</v>
      </c>
      <c r="E20" s="183" t="s">
        <v>683</v>
      </c>
      <c r="F20" s="180"/>
      <c r="G20" s="182" t="s">
        <v>896</v>
      </c>
      <c r="H20" s="182">
        <v>100.0</v>
      </c>
      <c r="I20" s="182">
        <v>1.0</v>
      </c>
      <c r="J20" s="182">
        <v>1.0</v>
      </c>
      <c r="K20" s="182">
        <v>0.0</v>
      </c>
      <c r="L20" s="182">
        <v>100.0</v>
      </c>
      <c r="M20" s="182">
        <v>1.0</v>
      </c>
      <c r="N20" s="182">
        <v>2010.0</v>
      </c>
      <c r="O20" s="182">
        <v>2040.0</v>
      </c>
      <c r="P20" s="182">
        <v>2015.0</v>
      </c>
      <c r="Q20" s="182">
        <v>1750939.0</v>
      </c>
      <c r="R20" s="182">
        <v>875469.5</v>
      </c>
      <c r="S20" s="182">
        <v>875469.5</v>
      </c>
      <c r="T20" s="182">
        <v>0.0</v>
      </c>
      <c r="U20" s="183">
        <v>100.0</v>
      </c>
      <c r="V20" s="183">
        <v>1.0</v>
      </c>
      <c r="W20" s="180">
        <f t="shared" si="1"/>
        <v>-25</v>
      </c>
      <c r="X20" s="181"/>
      <c r="Y20" s="181"/>
      <c r="Z20" s="181"/>
    </row>
    <row r="21">
      <c r="A21" s="182" t="s">
        <v>105</v>
      </c>
      <c r="B21" s="182">
        <v>18.0</v>
      </c>
      <c r="C21" s="182" t="s">
        <v>109</v>
      </c>
      <c r="D21" s="182" t="s">
        <v>895</v>
      </c>
      <c r="E21" s="183" t="s">
        <v>683</v>
      </c>
      <c r="F21" s="180"/>
      <c r="G21" s="182" t="s">
        <v>896</v>
      </c>
      <c r="H21" s="182">
        <v>100.0</v>
      </c>
      <c r="I21" s="182">
        <v>1.0</v>
      </c>
      <c r="J21" s="182">
        <v>1.0</v>
      </c>
      <c r="K21" s="182">
        <v>0.0</v>
      </c>
      <c r="L21" s="182">
        <v>35.0</v>
      </c>
      <c r="M21" s="182">
        <v>0.35</v>
      </c>
      <c r="N21" s="184">
        <v>2013.0</v>
      </c>
      <c r="O21" s="182">
        <v>2030.0</v>
      </c>
      <c r="P21" s="182">
        <v>2016.0</v>
      </c>
      <c r="Q21" s="182">
        <v>379288.0</v>
      </c>
      <c r="R21" s="182">
        <v>189644.0</v>
      </c>
      <c r="S21" s="182">
        <v>189644.0</v>
      </c>
      <c r="T21" s="182">
        <v>0.0</v>
      </c>
      <c r="U21" s="183">
        <v>-84.65937681731486</v>
      </c>
      <c r="V21" s="183">
        <v>-0.8466</v>
      </c>
      <c r="W21" s="180">
        <f t="shared" si="1"/>
        <v>-14</v>
      </c>
      <c r="X21" s="181"/>
      <c r="Y21" s="181"/>
      <c r="Z21" s="181"/>
    </row>
    <row r="22">
      <c r="A22" s="182" t="s">
        <v>463</v>
      </c>
      <c r="B22" s="182">
        <v>89.0</v>
      </c>
      <c r="C22" s="182" t="s">
        <v>467</v>
      </c>
      <c r="D22" s="182" t="s">
        <v>895</v>
      </c>
      <c r="E22" s="183" t="s">
        <v>683</v>
      </c>
      <c r="F22" s="180"/>
      <c r="G22" s="182" t="s">
        <v>896</v>
      </c>
      <c r="H22" s="182">
        <v>100.0</v>
      </c>
      <c r="I22" s="182">
        <v>1.0</v>
      </c>
      <c r="J22" s="182">
        <v>1.0</v>
      </c>
      <c r="K22" s="182">
        <v>0.0</v>
      </c>
      <c r="L22" s="182">
        <v>20.0</v>
      </c>
      <c r="M22" s="182">
        <v>0.2</v>
      </c>
      <c r="N22" s="184">
        <v>2018.0</v>
      </c>
      <c r="O22" s="182">
        <v>2025.0</v>
      </c>
      <c r="P22" s="182">
        <v>2019.0</v>
      </c>
      <c r="Q22" s="182">
        <v>150157.0</v>
      </c>
      <c r="R22" s="182">
        <v>75078.5</v>
      </c>
      <c r="S22" s="182">
        <v>75078.5</v>
      </c>
      <c r="T22" s="182">
        <v>0.0</v>
      </c>
      <c r="U22" s="183">
        <v>39.458699894110836</v>
      </c>
      <c r="V22" s="183">
        <v>0.3946</v>
      </c>
      <c r="W22" s="180">
        <f t="shared" si="1"/>
        <v>-6</v>
      </c>
      <c r="X22" s="181"/>
      <c r="Y22" s="181"/>
      <c r="Z22" s="181"/>
    </row>
    <row r="23">
      <c r="A23" s="182" t="s">
        <v>463</v>
      </c>
      <c r="B23" s="182">
        <v>89.0</v>
      </c>
      <c r="C23" s="182" t="s">
        <v>467</v>
      </c>
      <c r="D23" s="182" t="s">
        <v>895</v>
      </c>
      <c r="E23" s="183" t="s">
        <v>683</v>
      </c>
      <c r="F23" s="180"/>
      <c r="G23" s="182" t="s">
        <v>896</v>
      </c>
      <c r="H23" s="182">
        <v>100.0</v>
      </c>
      <c r="I23" s="182">
        <v>1.0</v>
      </c>
      <c r="J23" s="182">
        <v>1.0</v>
      </c>
      <c r="K23" s="182">
        <v>0.0</v>
      </c>
      <c r="L23" s="182">
        <v>92.0</v>
      </c>
      <c r="M23" s="182">
        <v>0.92</v>
      </c>
      <c r="N23" s="184">
        <v>2014.0</v>
      </c>
      <c r="O23" s="182">
        <v>2040.0</v>
      </c>
      <c r="P23" s="182">
        <v>2015.0</v>
      </c>
      <c r="Q23" s="182">
        <v>214161.0</v>
      </c>
      <c r="R23" s="182">
        <v>107080.5</v>
      </c>
      <c r="S23" s="182">
        <v>107080.5</v>
      </c>
      <c r="T23" s="182">
        <v>0.0</v>
      </c>
      <c r="U23" s="183">
        <v>108.69565217391303</v>
      </c>
      <c r="V23" s="183">
        <v>1.087</v>
      </c>
      <c r="W23" s="180">
        <f t="shared" si="1"/>
        <v>-25</v>
      </c>
      <c r="X23" s="181"/>
      <c r="Y23" s="181"/>
      <c r="Z23" s="181"/>
    </row>
    <row r="24">
      <c r="A24" s="182" t="s">
        <v>117</v>
      </c>
      <c r="B24" s="182">
        <v>20.0</v>
      </c>
      <c r="C24" s="182" t="s">
        <v>120</v>
      </c>
      <c r="D24" s="182" t="s">
        <v>895</v>
      </c>
      <c r="E24" s="183" t="s">
        <v>683</v>
      </c>
      <c r="F24" s="180"/>
      <c r="G24" s="182" t="s">
        <v>896</v>
      </c>
      <c r="H24" s="182">
        <v>70.0</v>
      </c>
      <c r="I24" s="182">
        <v>0.7</v>
      </c>
      <c r="J24" s="182">
        <v>0.7</v>
      </c>
      <c r="K24" s="182">
        <v>0.0</v>
      </c>
      <c r="L24" s="182">
        <v>25.0</v>
      </c>
      <c r="M24" s="182">
        <v>0.25</v>
      </c>
      <c r="N24" s="184">
        <v>2017.0</v>
      </c>
      <c r="O24" s="182">
        <v>2025.0</v>
      </c>
      <c r="P24" s="182">
        <v>2018.0</v>
      </c>
      <c r="Q24" s="182">
        <v>1004000.0</v>
      </c>
      <c r="R24" s="182">
        <v>502000.0</v>
      </c>
      <c r="S24" s="182">
        <v>502000.0</v>
      </c>
      <c r="T24" s="182">
        <v>0.0</v>
      </c>
      <c r="U24" s="183">
        <v>11.155378486055776</v>
      </c>
      <c r="V24" s="183">
        <v>0.1116</v>
      </c>
      <c r="W24" s="180">
        <f t="shared" si="1"/>
        <v>-7</v>
      </c>
      <c r="X24" s="181"/>
      <c r="Y24" s="181"/>
      <c r="Z24" s="181"/>
    </row>
    <row r="25">
      <c r="A25" s="182" t="s">
        <v>144</v>
      </c>
      <c r="B25" s="182">
        <v>27.0</v>
      </c>
      <c r="C25" s="182" t="s">
        <v>148</v>
      </c>
      <c r="D25" s="182" t="s">
        <v>895</v>
      </c>
      <c r="E25" s="183" t="s">
        <v>683</v>
      </c>
      <c r="F25" s="180"/>
      <c r="G25" s="182" t="s">
        <v>896</v>
      </c>
      <c r="H25" s="182">
        <v>100.0</v>
      </c>
      <c r="I25" s="182">
        <v>1.0</v>
      </c>
      <c r="J25" s="182">
        <v>1.0</v>
      </c>
      <c r="K25" s="182">
        <v>0.0</v>
      </c>
      <c r="L25" s="182">
        <v>60.0</v>
      </c>
      <c r="M25" s="182">
        <v>0.6</v>
      </c>
      <c r="N25" s="184">
        <v>2007.0</v>
      </c>
      <c r="O25" s="182">
        <v>2022.0</v>
      </c>
      <c r="P25" s="182">
        <v>2017.0</v>
      </c>
      <c r="Q25" s="182">
        <v>450733.0</v>
      </c>
      <c r="R25" s="182">
        <v>225366.5</v>
      </c>
      <c r="S25" s="182">
        <v>225366.5</v>
      </c>
      <c r="T25" s="182">
        <v>0.0</v>
      </c>
      <c r="U25" s="183">
        <v>82.13399063303552</v>
      </c>
      <c r="V25" s="183">
        <v>0.8213</v>
      </c>
      <c r="W25" s="180">
        <f t="shared" si="1"/>
        <v>-5</v>
      </c>
      <c r="X25" s="181"/>
      <c r="Y25" s="181"/>
      <c r="Z25" s="181"/>
    </row>
    <row r="26">
      <c r="A26" s="182" t="s">
        <v>144</v>
      </c>
      <c r="B26" s="182">
        <v>27.0</v>
      </c>
      <c r="C26" s="182" t="s">
        <v>148</v>
      </c>
      <c r="D26" s="182" t="s">
        <v>895</v>
      </c>
      <c r="E26" s="183" t="s">
        <v>683</v>
      </c>
      <c r="F26" s="180"/>
      <c r="G26" s="182" t="s">
        <v>689</v>
      </c>
      <c r="H26" s="182">
        <v>100.0</v>
      </c>
      <c r="I26" s="182">
        <v>0.0</v>
      </c>
      <c r="J26" s="182">
        <v>0.0</v>
      </c>
      <c r="K26" s="182">
        <v>1.0</v>
      </c>
      <c r="L26" s="182">
        <v>13.0</v>
      </c>
      <c r="M26" s="182">
        <v>0.13</v>
      </c>
      <c r="N26" s="184">
        <v>2016.0</v>
      </c>
      <c r="O26" s="182">
        <v>2022.0</v>
      </c>
      <c r="P26" s="182">
        <v>2017.0</v>
      </c>
      <c r="Q26" s="182">
        <v>2.6233018E7</v>
      </c>
      <c r="R26" s="182">
        <v>0.0</v>
      </c>
      <c r="S26" s="182">
        <v>0.0</v>
      </c>
      <c r="T26" s="182">
        <v>2.6233018E7</v>
      </c>
      <c r="U26" s="183">
        <v>38.2326167380712</v>
      </c>
      <c r="V26" s="183">
        <v>0.3823</v>
      </c>
      <c r="W26" s="180">
        <f t="shared" si="1"/>
        <v>-5</v>
      </c>
      <c r="X26" s="181"/>
      <c r="Y26" s="181"/>
      <c r="Z26" s="181"/>
    </row>
    <row r="27">
      <c r="A27" s="182" t="s">
        <v>150</v>
      </c>
      <c r="B27" s="182">
        <v>28.0</v>
      </c>
      <c r="C27" s="182" t="s">
        <v>154</v>
      </c>
      <c r="D27" s="182" t="s">
        <v>895</v>
      </c>
      <c r="E27" s="183" t="s">
        <v>683</v>
      </c>
      <c r="F27" s="180"/>
      <c r="G27" s="182" t="s">
        <v>896</v>
      </c>
      <c r="H27" s="182">
        <v>100.0</v>
      </c>
      <c r="I27" s="182">
        <v>1.0</v>
      </c>
      <c r="J27" s="182">
        <v>1.0</v>
      </c>
      <c r="K27" s="182">
        <v>0.0</v>
      </c>
      <c r="L27" s="182">
        <v>80.0</v>
      </c>
      <c r="M27" s="182">
        <v>0.8</v>
      </c>
      <c r="N27" s="184">
        <v>2005.0</v>
      </c>
      <c r="O27" s="182">
        <v>2050.0</v>
      </c>
      <c r="P27" s="182">
        <v>2006.0</v>
      </c>
      <c r="Q27" s="182">
        <v>1091759.0</v>
      </c>
      <c r="R27" s="182">
        <v>545879.5</v>
      </c>
      <c r="S27" s="182">
        <v>545879.5</v>
      </c>
      <c r="T27" s="182">
        <v>0.0</v>
      </c>
      <c r="U27" s="183">
        <v>54.36856943702777</v>
      </c>
      <c r="V27" s="183">
        <v>0.5437</v>
      </c>
      <c r="W27" s="180">
        <f t="shared" si="1"/>
        <v>-44</v>
      </c>
      <c r="X27" s="181"/>
      <c r="Y27" s="181"/>
      <c r="Z27" s="181"/>
    </row>
    <row r="28">
      <c r="A28" s="182" t="s">
        <v>162</v>
      </c>
      <c r="B28" s="182">
        <v>30.0</v>
      </c>
      <c r="C28" s="182" t="s">
        <v>165</v>
      </c>
      <c r="D28" s="182" t="s">
        <v>895</v>
      </c>
      <c r="E28" s="183" t="s">
        <v>683</v>
      </c>
      <c r="F28" s="180"/>
      <c r="G28" s="182" t="s">
        <v>896</v>
      </c>
      <c r="H28" s="182">
        <v>95.0</v>
      </c>
      <c r="I28" s="182">
        <v>0.95</v>
      </c>
      <c r="J28" s="182">
        <v>0.95</v>
      </c>
      <c r="K28" s="182">
        <v>0.0</v>
      </c>
      <c r="L28" s="182">
        <v>50.0</v>
      </c>
      <c r="M28" s="182">
        <v>0.5</v>
      </c>
      <c r="N28" s="184">
        <v>2002.0</v>
      </c>
      <c r="O28" s="182">
        <v>2050.0</v>
      </c>
      <c r="P28" s="182">
        <v>2016.0</v>
      </c>
      <c r="Q28" s="182">
        <v>699761.0</v>
      </c>
      <c r="R28" s="182">
        <v>349880.5</v>
      </c>
      <c r="S28" s="182">
        <v>349880.5</v>
      </c>
      <c r="T28" s="182">
        <v>0.0</v>
      </c>
      <c r="U28" s="183">
        <v>64.4360002915281</v>
      </c>
      <c r="V28" s="183">
        <v>0.6444</v>
      </c>
      <c r="W28" s="180">
        <f t="shared" si="1"/>
        <v>-34</v>
      </c>
      <c r="X28" s="181"/>
      <c r="Y28" s="181"/>
      <c r="Z28" s="181"/>
    </row>
    <row r="29">
      <c r="A29" s="182" t="s">
        <v>162</v>
      </c>
      <c r="B29" s="182">
        <v>30.0</v>
      </c>
      <c r="C29" s="182" t="s">
        <v>165</v>
      </c>
      <c r="D29" s="182" t="s">
        <v>895</v>
      </c>
      <c r="E29" s="183" t="s">
        <v>683</v>
      </c>
      <c r="F29" s="180"/>
      <c r="G29" s="182" t="s">
        <v>689</v>
      </c>
      <c r="H29" s="182">
        <v>90.0</v>
      </c>
      <c r="I29" s="182">
        <v>0.0</v>
      </c>
      <c r="J29" s="182">
        <v>0.0</v>
      </c>
      <c r="K29" s="182">
        <v>0.9</v>
      </c>
      <c r="L29" s="182">
        <v>5.0</v>
      </c>
      <c r="M29" s="182">
        <v>0.05</v>
      </c>
      <c r="N29" s="184">
        <v>2016.0</v>
      </c>
      <c r="O29" s="182">
        <v>2022.0</v>
      </c>
      <c r="P29" s="182">
        <v>2016.0</v>
      </c>
      <c r="Q29" s="182">
        <v>4.72E7</v>
      </c>
      <c r="R29" s="182">
        <v>0.0</v>
      </c>
      <c r="S29" s="182">
        <v>0.0</v>
      </c>
      <c r="T29" s="182">
        <v>4.72E7</v>
      </c>
      <c r="U29" s="183">
        <v>219.71495762711862</v>
      </c>
      <c r="V29" s="183">
        <v>2.1971</v>
      </c>
      <c r="W29" s="180">
        <f t="shared" si="1"/>
        <v>-6</v>
      </c>
      <c r="X29" s="181"/>
      <c r="Y29" s="181"/>
      <c r="Z29" s="181"/>
    </row>
    <row r="30">
      <c r="A30" s="182" t="s">
        <v>167</v>
      </c>
      <c r="B30" s="182">
        <v>31.0</v>
      </c>
      <c r="C30" s="182" t="s">
        <v>170</v>
      </c>
      <c r="D30" s="182" t="s">
        <v>895</v>
      </c>
      <c r="E30" s="183" t="s">
        <v>683</v>
      </c>
      <c r="F30" s="180"/>
      <c r="G30" s="182" t="s">
        <v>896</v>
      </c>
      <c r="H30" s="182">
        <v>5.0</v>
      </c>
      <c r="I30" s="182">
        <v>0.05</v>
      </c>
      <c r="J30" s="182">
        <v>0.05</v>
      </c>
      <c r="K30" s="182">
        <v>0.0</v>
      </c>
      <c r="L30" s="182">
        <v>50.0</v>
      </c>
      <c r="M30" s="182">
        <v>0.5</v>
      </c>
      <c r="N30" s="184">
        <v>2018.0</v>
      </c>
      <c r="O30" s="182">
        <v>2030.0</v>
      </c>
      <c r="P30" s="182">
        <v>2019.0</v>
      </c>
      <c r="Q30" s="182">
        <v>2001609.0</v>
      </c>
      <c r="R30" s="182">
        <v>1000804.5</v>
      </c>
      <c r="S30" s="182">
        <v>1000804.5</v>
      </c>
      <c r="T30" s="182">
        <v>0.0</v>
      </c>
      <c r="U30" s="183">
        <v>2.7146160913545057</v>
      </c>
      <c r="V30" s="183">
        <v>0.0271</v>
      </c>
      <c r="W30" s="180">
        <f t="shared" si="1"/>
        <v>-11</v>
      </c>
      <c r="X30" s="181"/>
      <c r="Y30" s="181"/>
      <c r="Z30" s="181"/>
    </row>
    <row r="31">
      <c r="A31" s="182" t="s">
        <v>182</v>
      </c>
      <c r="B31" s="182">
        <v>34.0</v>
      </c>
      <c r="C31" s="182" t="s">
        <v>186</v>
      </c>
      <c r="D31" s="182" t="s">
        <v>895</v>
      </c>
      <c r="E31" s="183" t="s">
        <v>683</v>
      </c>
      <c r="F31" s="180"/>
      <c r="G31" s="182" t="s">
        <v>896</v>
      </c>
      <c r="H31" s="182">
        <v>100.0</v>
      </c>
      <c r="I31" s="182">
        <v>1.0</v>
      </c>
      <c r="J31" s="182">
        <v>1.0</v>
      </c>
      <c r="K31" s="182">
        <v>0.0</v>
      </c>
      <c r="L31" s="182">
        <v>36.0</v>
      </c>
      <c r="M31" s="182">
        <v>0.36</v>
      </c>
      <c r="N31" s="182">
        <v>2010.0</v>
      </c>
      <c r="O31" s="182">
        <v>2030.0</v>
      </c>
      <c r="P31" s="182">
        <v>2017.0</v>
      </c>
      <c r="Q31" s="182">
        <v>1766531.0</v>
      </c>
      <c r="R31" s="182">
        <v>883265.5</v>
      </c>
      <c r="S31" s="182">
        <v>883265.5</v>
      </c>
      <c r="T31" s="182">
        <v>0.0</v>
      </c>
      <c r="U31" s="183">
        <v>101.50143290877874</v>
      </c>
      <c r="V31" s="183">
        <v>1.015</v>
      </c>
      <c r="W31" s="180">
        <f t="shared" si="1"/>
        <v>-13</v>
      </c>
      <c r="X31" s="181"/>
      <c r="Y31" s="181"/>
      <c r="Z31" s="181"/>
    </row>
    <row r="32">
      <c r="A32" s="182" t="s">
        <v>182</v>
      </c>
      <c r="B32" s="182">
        <v>34.0</v>
      </c>
      <c r="C32" s="182" t="s">
        <v>186</v>
      </c>
      <c r="D32" s="182" t="s">
        <v>895</v>
      </c>
      <c r="E32" s="183" t="s">
        <v>683</v>
      </c>
      <c r="F32" s="180"/>
      <c r="G32" s="182" t="s">
        <v>896</v>
      </c>
      <c r="H32" s="182">
        <v>100.0</v>
      </c>
      <c r="I32" s="182">
        <v>1.0</v>
      </c>
      <c r="J32" s="182">
        <v>1.0</v>
      </c>
      <c r="K32" s="182">
        <v>0.0</v>
      </c>
      <c r="L32" s="182">
        <v>56.0</v>
      </c>
      <c r="M32" s="182">
        <v>0.56</v>
      </c>
      <c r="N32" s="182">
        <v>2010.0</v>
      </c>
      <c r="O32" s="182">
        <v>2050.0</v>
      </c>
      <c r="P32" s="182">
        <v>2017.0</v>
      </c>
      <c r="Q32" s="182">
        <v>1766531.0</v>
      </c>
      <c r="R32" s="182">
        <v>883265.5</v>
      </c>
      <c r="S32" s="182">
        <v>883265.5</v>
      </c>
      <c r="T32" s="182">
        <v>0.0</v>
      </c>
      <c r="U32" s="183">
        <v>65.25092115564347</v>
      </c>
      <c r="V32" s="183">
        <v>0.6525</v>
      </c>
      <c r="W32" s="180">
        <f t="shared" si="1"/>
        <v>-33</v>
      </c>
      <c r="X32" s="181"/>
      <c r="Y32" s="181"/>
      <c r="Z32" s="181"/>
    </row>
    <row r="33">
      <c r="A33" s="182" t="s">
        <v>193</v>
      </c>
      <c r="B33" s="182">
        <v>37.0</v>
      </c>
      <c r="C33" s="182" t="s">
        <v>196</v>
      </c>
      <c r="D33" s="182" t="s">
        <v>895</v>
      </c>
      <c r="E33" s="183" t="s">
        <v>683</v>
      </c>
      <c r="F33" s="180"/>
      <c r="G33" s="182" t="s">
        <v>900</v>
      </c>
      <c r="H33" s="182">
        <v>100.0</v>
      </c>
      <c r="I33" s="182">
        <v>1.0</v>
      </c>
      <c r="J33" s="182">
        <v>0.0</v>
      </c>
      <c r="K33" s="182">
        <v>0.0</v>
      </c>
      <c r="L33" s="182">
        <v>50.0</v>
      </c>
      <c r="M33" s="182">
        <v>0.5</v>
      </c>
      <c r="N33" s="184">
        <v>2005.0</v>
      </c>
      <c r="O33" s="182">
        <v>2030.0</v>
      </c>
      <c r="P33" s="182">
        <v>2019.0</v>
      </c>
      <c r="Q33" s="182">
        <v>1.388E8</v>
      </c>
      <c r="R33" s="182">
        <v>1.388E8</v>
      </c>
      <c r="S33" s="182">
        <v>0.0</v>
      </c>
      <c r="T33" s="182">
        <v>0.0</v>
      </c>
      <c r="U33" s="183">
        <v>78.42939481268012</v>
      </c>
      <c r="V33" s="183">
        <v>0.7843</v>
      </c>
      <c r="W33" s="180">
        <f t="shared" si="1"/>
        <v>-11</v>
      </c>
      <c r="X33" s="181"/>
      <c r="Y33" s="181"/>
      <c r="Z33" s="181"/>
    </row>
    <row r="34">
      <c r="A34" s="182" t="s">
        <v>193</v>
      </c>
      <c r="B34" s="182">
        <v>37.0</v>
      </c>
      <c r="C34" s="182" t="s">
        <v>196</v>
      </c>
      <c r="D34" s="182" t="s">
        <v>895</v>
      </c>
      <c r="E34" s="183" t="s">
        <v>683</v>
      </c>
      <c r="F34" s="180"/>
      <c r="G34" s="182" t="s">
        <v>900</v>
      </c>
      <c r="H34" s="182">
        <v>100.0</v>
      </c>
      <c r="I34" s="182">
        <v>1.0</v>
      </c>
      <c r="J34" s="182">
        <v>0.0</v>
      </c>
      <c r="K34" s="182">
        <v>0.0</v>
      </c>
      <c r="L34" s="182">
        <v>100.0</v>
      </c>
      <c r="M34" s="182">
        <v>1.0</v>
      </c>
      <c r="N34" s="184">
        <v>2005.0</v>
      </c>
      <c r="O34" s="182">
        <v>2050.0</v>
      </c>
      <c r="P34" s="182">
        <v>2019.0</v>
      </c>
      <c r="Q34" s="182">
        <v>1.388E8</v>
      </c>
      <c r="R34" s="182">
        <v>1.388E8</v>
      </c>
      <c r="S34" s="182">
        <v>0.0</v>
      </c>
      <c r="T34" s="182">
        <v>0.0</v>
      </c>
      <c r="U34" s="183">
        <v>39.21469740634006</v>
      </c>
      <c r="V34" s="183">
        <v>0.3921</v>
      </c>
      <c r="W34" s="180">
        <f t="shared" si="1"/>
        <v>-31</v>
      </c>
      <c r="X34" s="181"/>
      <c r="Y34" s="181"/>
      <c r="Z34" s="181"/>
    </row>
    <row r="35">
      <c r="A35" s="182" t="s">
        <v>198</v>
      </c>
      <c r="B35" s="182">
        <v>38.0</v>
      </c>
      <c r="C35" s="182" t="s">
        <v>201</v>
      </c>
      <c r="D35" s="182" t="s">
        <v>895</v>
      </c>
      <c r="E35" s="183" t="s">
        <v>683</v>
      </c>
      <c r="F35" s="180"/>
      <c r="G35" s="182" t="s">
        <v>896</v>
      </c>
      <c r="H35" s="182">
        <v>100.0</v>
      </c>
      <c r="I35" s="182">
        <v>1.0</v>
      </c>
      <c r="J35" s="182">
        <v>1.0</v>
      </c>
      <c r="K35" s="182">
        <v>0.0</v>
      </c>
      <c r="L35" s="182">
        <v>30.0</v>
      </c>
      <c r="M35" s="182">
        <v>0.3</v>
      </c>
      <c r="N35" s="184">
        <v>2019.0</v>
      </c>
      <c r="O35" s="182">
        <v>2030.0</v>
      </c>
      <c r="P35" s="182">
        <v>2019.0</v>
      </c>
      <c r="Q35" s="182">
        <v>5380359.0</v>
      </c>
      <c r="R35" s="182">
        <v>2690179.5</v>
      </c>
      <c r="S35" s="182">
        <v>2690179.5</v>
      </c>
      <c r="T35" s="182">
        <v>0.0</v>
      </c>
      <c r="U35" s="183">
        <v>0.0</v>
      </c>
      <c r="V35" s="183">
        <v>0.0</v>
      </c>
      <c r="W35" s="180">
        <f t="shared" si="1"/>
        <v>-11</v>
      </c>
      <c r="X35" s="181"/>
      <c r="Y35" s="181"/>
      <c r="Z35" s="181"/>
    </row>
    <row r="36">
      <c r="A36" s="182" t="s">
        <v>198</v>
      </c>
      <c r="B36" s="182">
        <v>38.0</v>
      </c>
      <c r="C36" s="182" t="s">
        <v>201</v>
      </c>
      <c r="D36" s="182" t="s">
        <v>895</v>
      </c>
      <c r="E36" s="183" t="s">
        <v>683</v>
      </c>
      <c r="F36" s="180"/>
      <c r="G36" s="182" t="s">
        <v>896</v>
      </c>
      <c r="H36" s="182">
        <v>100.0</v>
      </c>
      <c r="I36" s="182">
        <v>1.0</v>
      </c>
      <c r="J36" s="182">
        <v>1.0</v>
      </c>
      <c r="K36" s="182">
        <v>0.0</v>
      </c>
      <c r="L36" s="182">
        <v>100.0</v>
      </c>
      <c r="M36" s="182">
        <v>1.0</v>
      </c>
      <c r="N36" s="184">
        <v>2019.0</v>
      </c>
      <c r="O36" s="182">
        <v>2050.0</v>
      </c>
      <c r="P36" s="182">
        <v>2019.0</v>
      </c>
      <c r="Q36" s="182">
        <v>5380359.0</v>
      </c>
      <c r="R36" s="182">
        <v>2690179.5</v>
      </c>
      <c r="S36" s="182">
        <v>2690179.5</v>
      </c>
      <c r="T36" s="182">
        <v>0.0</v>
      </c>
      <c r="U36" s="183">
        <v>0.0</v>
      </c>
      <c r="V36" s="183">
        <v>0.0</v>
      </c>
      <c r="W36" s="180">
        <f t="shared" si="1"/>
        <v>-31</v>
      </c>
      <c r="X36" s="181"/>
      <c r="Y36" s="181"/>
      <c r="Z36" s="181"/>
    </row>
    <row r="37">
      <c r="A37" s="182" t="s">
        <v>210</v>
      </c>
      <c r="B37" s="182">
        <v>41.0</v>
      </c>
      <c r="C37" s="182" t="s">
        <v>213</v>
      </c>
      <c r="D37" s="182" t="s">
        <v>895</v>
      </c>
      <c r="E37" s="183" t="s">
        <v>683</v>
      </c>
      <c r="F37" s="180"/>
      <c r="G37" s="182" t="s">
        <v>896</v>
      </c>
      <c r="H37" s="182">
        <v>100.0</v>
      </c>
      <c r="I37" s="182">
        <v>1.0</v>
      </c>
      <c r="J37" s="182">
        <v>1.0</v>
      </c>
      <c r="K37" s="182">
        <v>0.0</v>
      </c>
      <c r="L37" s="182">
        <v>15.0</v>
      </c>
      <c r="M37" s="182">
        <v>0.15</v>
      </c>
      <c r="N37" s="184">
        <v>2015.0</v>
      </c>
      <c r="O37" s="182">
        <v>2022.0</v>
      </c>
      <c r="P37" s="182">
        <v>2017.0</v>
      </c>
      <c r="Q37" s="182">
        <v>1133000.0</v>
      </c>
      <c r="R37" s="182">
        <v>566500.0</v>
      </c>
      <c r="S37" s="182">
        <v>566500.0</v>
      </c>
      <c r="T37" s="182">
        <v>0.0</v>
      </c>
      <c r="U37" s="183">
        <v>81.67637540453075</v>
      </c>
      <c r="V37" s="183">
        <v>0.8168</v>
      </c>
      <c r="W37" s="180">
        <f t="shared" si="1"/>
        <v>-5</v>
      </c>
      <c r="X37" s="181"/>
      <c r="Y37" s="181"/>
      <c r="Z37" s="181"/>
    </row>
    <row r="38">
      <c r="A38" s="182" t="s">
        <v>225</v>
      </c>
      <c r="B38" s="182">
        <v>45.0</v>
      </c>
      <c r="C38" s="182" t="s">
        <v>229</v>
      </c>
      <c r="D38" s="182" t="s">
        <v>895</v>
      </c>
      <c r="E38" s="183" t="s">
        <v>683</v>
      </c>
      <c r="F38" s="180"/>
      <c r="G38" s="182" t="s">
        <v>896</v>
      </c>
      <c r="H38" s="182">
        <v>100.0</v>
      </c>
      <c r="I38" s="182">
        <v>1.0</v>
      </c>
      <c r="J38" s="182">
        <v>1.0</v>
      </c>
      <c r="K38" s="182">
        <v>0.0</v>
      </c>
      <c r="L38" s="182">
        <v>16.2</v>
      </c>
      <c r="M38" s="182">
        <v>0.162</v>
      </c>
      <c r="N38" s="184">
        <v>2017.0</v>
      </c>
      <c r="O38" s="182">
        <v>2023.0</v>
      </c>
      <c r="P38" s="182">
        <v>2018.0</v>
      </c>
      <c r="Q38" s="182">
        <v>4168442.0</v>
      </c>
      <c r="R38" s="182">
        <v>2084221.0</v>
      </c>
      <c r="S38" s="182">
        <v>2084221.0</v>
      </c>
      <c r="T38" s="182">
        <v>0.0</v>
      </c>
      <c r="U38" s="183">
        <v>78.80212769313619</v>
      </c>
      <c r="V38" s="183">
        <v>0.788</v>
      </c>
      <c r="W38" s="180">
        <f t="shared" si="1"/>
        <v>-5</v>
      </c>
      <c r="X38" s="181"/>
      <c r="Y38" s="181"/>
      <c r="Z38" s="181"/>
    </row>
    <row r="39">
      <c r="A39" s="182" t="s">
        <v>225</v>
      </c>
      <c r="B39" s="182">
        <v>45.0</v>
      </c>
      <c r="C39" s="182" t="s">
        <v>229</v>
      </c>
      <c r="D39" s="182" t="s">
        <v>895</v>
      </c>
      <c r="E39" s="183" t="s">
        <v>683</v>
      </c>
      <c r="F39" s="180"/>
      <c r="G39" s="182" t="s">
        <v>896</v>
      </c>
      <c r="H39" s="182">
        <v>100.0</v>
      </c>
      <c r="I39" s="182">
        <v>1.0</v>
      </c>
      <c r="J39" s="182">
        <v>1.0</v>
      </c>
      <c r="K39" s="182">
        <v>0.0</v>
      </c>
      <c r="L39" s="182">
        <v>75.0</v>
      </c>
      <c r="M39" s="182">
        <v>0.75</v>
      </c>
      <c r="N39" s="184">
        <v>2017.0</v>
      </c>
      <c r="O39" s="182">
        <v>2035.0</v>
      </c>
      <c r="P39" s="182">
        <v>2018.0</v>
      </c>
      <c r="Q39" s="182">
        <v>4168442.0</v>
      </c>
      <c r="R39" s="182">
        <v>2084221.0</v>
      </c>
      <c r="S39" s="182">
        <v>2084221.0</v>
      </c>
      <c r="T39" s="182">
        <v>0.0</v>
      </c>
      <c r="U39" s="183">
        <v>17.02125958171742</v>
      </c>
      <c r="V39" s="183">
        <v>0.1702</v>
      </c>
      <c r="W39" s="180">
        <f t="shared" si="1"/>
        <v>-17</v>
      </c>
      <c r="X39" s="181"/>
      <c r="Y39" s="181"/>
      <c r="Z39" s="181"/>
    </row>
    <row r="40">
      <c r="A40" s="182" t="s">
        <v>242</v>
      </c>
      <c r="B40" s="182">
        <v>48.0</v>
      </c>
      <c r="C40" s="182" t="s">
        <v>246</v>
      </c>
      <c r="D40" s="182" t="s">
        <v>895</v>
      </c>
      <c r="E40" s="183" t="s">
        <v>683</v>
      </c>
      <c r="F40" s="180"/>
      <c r="G40" s="182" t="s">
        <v>896</v>
      </c>
      <c r="H40" s="182">
        <v>100.0</v>
      </c>
      <c r="I40" s="182">
        <v>1.0</v>
      </c>
      <c r="J40" s="182">
        <v>1.0</v>
      </c>
      <c r="K40" s="182">
        <v>0.0</v>
      </c>
      <c r="L40" s="182">
        <v>31.0</v>
      </c>
      <c r="M40" s="182">
        <v>0.31</v>
      </c>
      <c r="N40" s="182">
        <v>2010.0</v>
      </c>
      <c r="O40" s="182">
        <v>2030.0</v>
      </c>
      <c r="P40" s="182">
        <v>2018.0</v>
      </c>
      <c r="Q40" s="182">
        <v>6173746.0</v>
      </c>
      <c r="R40" s="182">
        <v>3086873.0</v>
      </c>
      <c r="S40" s="182">
        <v>3086873.0</v>
      </c>
      <c r="T40" s="182">
        <v>0.0</v>
      </c>
      <c r="U40" s="183">
        <v>45.04877223963455</v>
      </c>
      <c r="V40" s="183">
        <v>0.4505</v>
      </c>
      <c r="W40" s="180">
        <f t="shared" si="1"/>
        <v>-12</v>
      </c>
      <c r="X40" s="181"/>
      <c r="Y40" s="181"/>
      <c r="Z40" s="181"/>
    </row>
    <row r="41">
      <c r="A41" s="182" t="s">
        <v>242</v>
      </c>
      <c r="B41" s="182">
        <v>48.0</v>
      </c>
      <c r="C41" s="182" t="s">
        <v>246</v>
      </c>
      <c r="D41" s="182" t="s">
        <v>895</v>
      </c>
      <c r="E41" s="183" t="s">
        <v>683</v>
      </c>
      <c r="F41" s="180"/>
      <c r="G41" s="182" t="s">
        <v>689</v>
      </c>
      <c r="H41" s="182">
        <v>100.0</v>
      </c>
      <c r="I41" s="182">
        <v>0.0</v>
      </c>
      <c r="J41" s="182">
        <v>0.0</v>
      </c>
      <c r="K41" s="182">
        <v>1.0</v>
      </c>
      <c r="L41" s="182">
        <v>4.0</v>
      </c>
      <c r="M41" s="182">
        <v>0.04</v>
      </c>
      <c r="N41" s="184">
        <v>2016.0</v>
      </c>
      <c r="O41" s="182">
        <v>2021.0</v>
      </c>
      <c r="P41" s="182">
        <v>2017.0</v>
      </c>
      <c r="Q41" s="182">
        <v>8023097.0</v>
      </c>
      <c r="R41" s="182">
        <v>0.0</v>
      </c>
      <c r="S41" s="182">
        <v>0.0</v>
      </c>
      <c r="T41" s="182">
        <v>8023097.0</v>
      </c>
      <c r="U41" s="183">
        <v>80.85811501468825</v>
      </c>
      <c r="V41" s="183">
        <v>0.8086</v>
      </c>
      <c r="W41" s="180">
        <f t="shared" si="1"/>
        <v>-4</v>
      </c>
      <c r="X41" s="181"/>
      <c r="Y41" s="181"/>
      <c r="Z41" s="181"/>
    </row>
    <row r="42">
      <c r="A42" s="182" t="s">
        <v>248</v>
      </c>
      <c r="B42" s="182">
        <v>49.0</v>
      </c>
      <c r="C42" s="182" t="s">
        <v>252</v>
      </c>
      <c r="D42" s="182" t="s">
        <v>895</v>
      </c>
      <c r="E42" s="183" t="s">
        <v>683</v>
      </c>
      <c r="F42" s="180"/>
      <c r="G42" s="182" t="s">
        <v>896</v>
      </c>
      <c r="H42" s="182">
        <v>100.0</v>
      </c>
      <c r="I42" s="182">
        <v>1.0</v>
      </c>
      <c r="J42" s="182">
        <v>1.0</v>
      </c>
      <c r="K42" s="182">
        <v>0.0</v>
      </c>
      <c r="L42" s="182">
        <v>25.0</v>
      </c>
      <c r="M42" s="182">
        <v>0.25</v>
      </c>
      <c r="N42" s="184">
        <v>2016.0</v>
      </c>
      <c r="O42" s="182">
        <v>2025.0</v>
      </c>
      <c r="P42" s="182">
        <v>2017.0</v>
      </c>
      <c r="Q42" s="182">
        <v>82840.0</v>
      </c>
      <c r="R42" s="182">
        <v>41420.0</v>
      </c>
      <c r="S42" s="182">
        <v>41420.0</v>
      </c>
      <c r="T42" s="182">
        <v>0.0</v>
      </c>
      <c r="U42" s="183">
        <v>43.964268469338485</v>
      </c>
      <c r="V42" s="183">
        <v>0.4396</v>
      </c>
      <c r="W42" s="180">
        <f t="shared" si="1"/>
        <v>-8</v>
      </c>
      <c r="X42" s="181"/>
      <c r="Y42" s="181"/>
      <c r="Z42" s="181"/>
    </row>
    <row r="43">
      <c r="A43" s="182" t="s">
        <v>254</v>
      </c>
      <c r="B43" s="182">
        <v>50.0</v>
      </c>
      <c r="C43" s="182" t="s">
        <v>258</v>
      </c>
      <c r="D43" s="182" t="s">
        <v>895</v>
      </c>
      <c r="E43" s="183" t="s">
        <v>683</v>
      </c>
      <c r="F43" s="180"/>
      <c r="G43" s="182" t="s">
        <v>896</v>
      </c>
      <c r="H43" s="182">
        <v>100.0</v>
      </c>
      <c r="I43" s="182">
        <v>1.0</v>
      </c>
      <c r="J43" s="182">
        <v>1.0</v>
      </c>
      <c r="K43" s="182">
        <v>0.0</v>
      </c>
      <c r="L43" s="182">
        <v>50.0</v>
      </c>
      <c r="M43" s="182">
        <v>0.5</v>
      </c>
      <c r="N43" s="184">
        <v>2013.0</v>
      </c>
      <c r="O43" s="182">
        <v>2036.0</v>
      </c>
      <c r="P43" s="182">
        <v>2015.0</v>
      </c>
      <c r="Q43" s="182">
        <v>251687.0</v>
      </c>
      <c r="R43" s="182">
        <v>125843.5</v>
      </c>
      <c r="S43" s="182">
        <v>125843.5</v>
      </c>
      <c r="T43" s="182">
        <v>0.0</v>
      </c>
      <c r="U43" s="183">
        <v>182.69119978385854</v>
      </c>
      <c r="V43" s="183">
        <v>1.8269</v>
      </c>
      <c r="W43" s="180">
        <f t="shared" si="1"/>
        <v>-21</v>
      </c>
      <c r="X43" s="181"/>
      <c r="Y43" s="181"/>
      <c r="Z43" s="181"/>
    </row>
    <row r="44">
      <c r="A44" s="182" t="s">
        <v>271</v>
      </c>
      <c r="B44" s="182">
        <v>53.0</v>
      </c>
      <c r="C44" s="182" t="s">
        <v>275</v>
      </c>
      <c r="D44" s="182" t="s">
        <v>895</v>
      </c>
      <c r="E44" s="183" t="s">
        <v>683</v>
      </c>
      <c r="F44" s="180"/>
      <c r="G44" s="182" t="s">
        <v>899</v>
      </c>
      <c r="H44" s="182">
        <v>100.0</v>
      </c>
      <c r="I44" s="182">
        <v>1.0</v>
      </c>
      <c r="J44" s="182">
        <v>1.0</v>
      </c>
      <c r="K44" s="182">
        <v>1.0</v>
      </c>
      <c r="L44" s="182">
        <v>40.0</v>
      </c>
      <c r="M44" s="182">
        <v>0.4</v>
      </c>
      <c r="N44" s="184">
        <v>2005.0</v>
      </c>
      <c r="O44" s="182">
        <v>2025.0</v>
      </c>
      <c r="P44" s="182">
        <v>2018.0</v>
      </c>
      <c r="Q44" s="182">
        <v>2028000.0</v>
      </c>
      <c r="R44" s="182">
        <v>676000.0</v>
      </c>
      <c r="S44" s="182">
        <v>676000.0</v>
      </c>
      <c r="T44" s="182">
        <v>676000.0</v>
      </c>
      <c r="U44" s="183">
        <v>99.28217455621302</v>
      </c>
      <c r="V44" s="183">
        <v>0.9928</v>
      </c>
      <c r="W44" s="180">
        <f t="shared" si="1"/>
        <v>-7</v>
      </c>
      <c r="X44" s="181"/>
      <c r="Y44" s="181"/>
      <c r="Z44" s="181"/>
    </row>
    <row r="45">
      <c r="A45" s="182" t="s">
        <v>283</v>
      </c>
      <c r="B45" s="182">
        <v>55.0</v>
      </c>
      <c r="C45" s="182" t="s">
        <v>287</v>
      </c>
      <c r="D45" s="182" t="s">
        <v>895</v>
      </c>
      <c r="E45" s="183" t="s">
        <v>683</v>
      </c>
      <c r="F45" s="180"/>
      <c r="G45" s="182" t="s">
        <v>896</v>
      </c>
      <c r="H45" s="182">
        <v>100.0</v>
      </c>
      <c r="I45" s="182">
        <v>1.0</v>
      </c>
      <c r="J45" s="182">
        <v>1.0</v>
      </c>
      <c r="K45" s="182">
        <v>0.0</v>
      </c>
      <c r="L45" s="182">
        <v>80.0</v>
      </c>
      <c r="M45" s="182">
        <v>0.8</v>
      </c>
      <c r="N45" s="184" t="s">
        <v>901</v>
      </c>
      <c r="O45" s="182">
        <v>2050.0</v>
      </c>
      <c r="P45" s="182">
        <v>2015.0</v>
      </c>
      <c r="Q45" s="182">
        <v>1364881.0</v>
      </c>
      <c r="R45" s="182">
        <v>682440.5</v>
      </c>
      <c r="S45" s="182">
        <v>682440.5</v>
      </c>
      <c r="T45" s="182">
        <v>0.0</v>
      </c>
      <c r="U45" s="183">
        <v>39.49474349778478</v>
      </c>
      <c r="V45" s="183">
        <v>0.3949</v>
      </c>
      <c r="W45" s="180">
        <f t="shared" si="1"/>
        <v>-35</v>
      </c>
      <c r="X45" s="181"/>
      <c r="Y45" s="181"/>
      <c r="Z45" s="181"/>
    </row>
    <row r="46">
      <c r="A46" s="182" t="s">
        <v>310</v>
      </c>
      <c r="B46" s="182">
        <v>60.0</v>
      </c>
      <c r="C46" s="182" t="s">
        <v>314</v>
      </c>
      <c r="D46" s="182" t="s">
        <v>895</v>
      </c>
      <c r="E46" s="183" t="s">
        <v>683</v>
      </c>
      <c r="F46" s="180"/>
      <c r="G46" s="182" t="s">
        <v>896</v>
      </c>
      <c r="H46" s="182">
        <v>100.0</v>
      </c>
      <c r="I46" s="182">
        <v>1.0</v>
      </c>
      <c r="J46" s="182">
        <v>1.0</v>
      </c>
      <c r="K46" s="182">
        <v>0.0</v>
      </c>
      <c r="L46" s="182">
        <v>40.0</v>
      </c>
      <c r="M46" s="182">
        <v>0.4</v>
      </c>
      <c r="N46" s="184">
        <v>2016.0</v>
      </c>
      <c r="O46" s="182">
        <v>2030.0</v>
      </c>
      <c r="P46" s="182">
        <v>2019.0</v>
      </c>
      <c r="Q46" s="182">
        <v>2710148.0</v>
      </c>
      <c r="R46" s="182">
        <v>1355074.0</v>
      </c>
      <c r="S46" s="182">
        <v>1355074.0</v>
      </c>
      <c r="T46" s="182">
        <v>0.0</v>
      </c>
      <c r="U46" s="183">
        <v>55.499090824560135</v>
      </c>
      <c r="V46" s="183">
        <v>0.555</v>
      </c>
      <c r="W46" s="180">
        <f t="shared" si="1"/>
        <v>-11</v>
      </c>
      <c r="X46" s="181"/>
      <c r="Y46" s="181"/>
      <c r="Z46" s="181"/>
    </row>
    <row r="47">
      <c r="A47" s="182" t="s">
        <v>316</v>
      </c>
      <c r="B47" s="182">
        <v>61.0</v>
      </c>
      <c r="C47" s="182" t="s">
        <v>320</v>
      </c>
      <c r="D47" s="182" t="s">
        <v>895</v>
      </c>
      <c r="E47" s="183" t="s">
        <v>683</v>
      </c>
      <c r="F47" s="180"/>
      <c r="G47" s="182" t="s">
        <v>896</v>
      </c>
      <c r="H47" s="182">
        <v>100.0</v>
      </c>
      <c r="I47" s="182">
        <v>1.0</v>
      </c>
      <c r="J47" s="182">
        <v>1.0</v>
      </c>
      <c r="K47" s="182">
        <v>0.0</v>
      </c>
      <c r="L47" s="182">
        <v>38.0</v>
      </c>
      <c r="M47" s="182">
        <v>0.38</v>
      </c>
      <c r="N47" s="184">
        <v>2016.0</v>
      </c>
      <c r="O47" s="182">
        <v>2025.0</v>
      </c>
      <c r="P47" s="182">
        <v>2018.0</v>
      </c>
      <c r="Q47" s="182">
        <v>99214.39</v>
      </c>
      <c r="R47" s="182">
        <v>49607.195</v>
      </c>
      <c r="S47" s="182">
        <v>49607.195</v>
      </c>
      <c r="T47" s="182">
        <v>0.0</v>
      </c>
      <c r="U47" s="183">
        <v>112.23814885808612</v>
      </c>
      <c r="V47" s="183">
        <v>1.1224</v>
      </c>
      <c r="W47" s="180">
        <f t="shared" si="1"/>
        <v>-7</v>
      </c>
      <c r="X47" s="181"/>
      <c r="Y47" s="181"/>
      <c r="Z47" s="181"/>
    </row>
    <row r="48">
      <c r="A48" s="182" t="s">
        <v>316</v>
      </c>
      <c r="B48" s="182">
        <v>61.0</v>
      </c>
      <c r="C48" s="182" t="s">
        <v>320</v>
      </c>
      <c r="D48" s="182" t="s">
        <v>895</v>
      </c>
      <c r="E48" s="183" t="s">
        <v>683</v>
      </c>
      <c r="F48" s="180"/>
      <c r="G48" s="182" t="s">
        <v>689</v>
      </c>
      <c r="H48" s="182">
        <v>100.0</v>
      </c>
      <c r="I48" s="182">
        <v>0.0</v>
      </c>
      <c r="J48" s="182">
        <v>0.0</v>
      </c>
      <c r="K48" s="182">
        <v>1.0</v>
      </c>
      <c r="L48" s="182">
        <v>20.0</v>
      </c>
      <c r="M48" s="182">
        <v>0.2</v>
      </c>
      <c r="N48" s="184">
        <v>2016.0</v>
      </c>
      <c r="O48" s="182">
        <v>2025.0</v>
      </c>
      <c r="P48" s="182">
        <v>2018.0</v>
      </c>
      <c r="Q48" s="182">
        <v>848977.95</v>
      </c>
      <c r="R48" s="182">
        <v>0.0</v>
      </c>
      <c r="S48" s="182">
        <v>0.0</v>
      </c>
      <c r="T48" s="182">
        <v>848977.95</v>
      </c>
      <c r="U48" s="183">
        <v>203.75426711612477</v>
      </c>
      <c r="V48" s="183">
        <v>2.0375</v>
      </c>
      <c r="W48" s="180">
        <f t="shared" si="1"/>
        <v>-7</v>
      </c>
      <c r="X48" s="181"/>
      <c r="Y48" s="181"/>
      <c r="Z48" s="181"/>
    </row>
    <row r="49">
      <c r="A49" s="182" t="s">
        <v>322</v>
      </c>
      <c r="B49" s="182">
        <v>62.0</v>
      </c>
      <c r="C49" s="182" t="s">
        <v>326</v>
      </c>
      <c r="D49" s="182" t="s">
        <v>895</v>
      </c>
      <c r="E49" s="183" t="s">
        <v>683</v>
      </c>
      <c r="F49" s="180"/>
      <c r="G49" s="182" t="s">
        <v>899</v>
      </c>
      <c r="H49" s="182">
        <v>100.0</v>
      </c>
      <c r="I49" s="182">
        <v>1.0</v>
      </c>
      <c r="J49" s="182">
        <v>1.0</v>
      </c>
      <c r="K49" s="182">
        <v>1.0</v>
      </c>
      <c r="L49" s="182">
        <v>36.0</v>
      </c>
      <c r="M49" s="182">
        <v>0.36</v>
      </c>
      <c r="N49" s="184">
        <v>2015.0</v>
      </c>
      <c r="O49" s="182">
        <v>2030.0</v>
      </c>
      <c r="P49" s="182">
        <v>2018.0</v>
      </c>
      <c r="Q49" s="182">
        <v>8446246.48</v>
      </c>
      <c r="R49" s="182">
        <v>2815415.4933</v>
      </c>
      <c r="S49" s="182">
        <v>2815415.4933</v>
      </c>
      <c r="T49" s="182">
        <v>2815415.4933</v>
      </c>
      <c r="U49" s="183">
        <v>10.318131016439128</v>
      </c>
      <c r="V49" s="183">
        <v>0.1032</v>
      </c>
      <c r="W49" s="180">
        <f t="shared" si="1"/>
        <v>-12</v>
      </c>
      <c r="X49" s="181"/>
      <c r="Y49" s="181"/>
      <c r="Z49" s="181"/>
    </row>
    <row r="50">
      <c r="A50" s="182" t="s">
        <v>333</v>
      </c>
      <c r="B50" s="182">
        <v>64.0</v>
      </c>
      <c r="C50" s="182" t="s">
        <v>337</v>
      </c>
      <c r="D50" s="182" t="s">
        <v>895</v>
      </c>
      <c r="E50" s="183" t="s">
        <v>683</v>
      </c>
      <c r="F50" s="180"/>
      <c r="G50" s="182" t="s">
        <v>896</v>
      </c>
      <c r="H50" s="182">
        <v>100.0</v>
      </c>
      <c r="I50" s="182">
        <v>1.0</v>
      </c>
      <c r="J50" s="182">
        <v>1.0</v>
      </c>
      <c r="K50" s="182">
        <v>0.0</v>
      </c>
      <c r="L50" s="182">
        <v>40.0</v>
      </c>
      <c r="M50" s="182">
        <v>0.4</v>
      </c>
      <c r="N50" s="184">
        <v>2015.0</v>
      </c>
      <c r="O50" s="182">
        <v>2025.0</v>
      </c>
      <c r="P50" s="182">
        <v>2016.0</v>
      </c>
      <c r="Q50" s="182">
        <v>1458970.0</v>
      </c>
      <c r="R50" s="182">
        <v>729485.0</v>
      </c>
      <c r="S50" s="182">
        <v>729485.0</v>
      </c>
      <c r="T50" s="182">
        <v>0.0</v>
      </c>
      <c r="U50" s="183">
        <v>66.31390638601205</v>
      </c>
      <c r="V50" s="183">
        <v>0.6631</v>
      </c>
      <c r="W50" s="180">
        <f t="shared" si="1"/>
        <v>-9</v>
      </c>
      <c r="X50" s="181"/>
      <c r="Y50" s="181"/>
      <c r="Z50" s="181"/>
    </row>
    <row r="51">
      <c r="A51" s="182" t="s">
        <v>345</v>
      </c>
      <c r="B51" s="182">
        <v>66.0</v>
      </c>
      <c r="C51" s="182" t="s">
        <v>349</v>
      </c>
      <c r="D51" s="182" t="s">
        <v>895</v>
      </c>
      <c r="E51" s="183" t="s">
        <v>683</v>
      </c>
      <c r="F51" s="180"/>
      <c r="G51" s="182" t="s">
        <v>896</v>
      </c>
      <c r="H51" s="182">
        <v>100.0</v>
      </c>
      <c r="I51" s="182">
        <v>1.0</v>
      </c>
      <c r="J51" s="182">
        <v>1.0</v>
      </c>
      <c r="K51" s="182">
        <v>0.0</v>
      </c>
      <c r="L51" s="182">
        <v>75.0</v>
      </c>
      <c r="M51" s="182">
        <v>0.75</v>
      </c>
      <c r="N51" s="184">
        <v>2013.0</v>
      </c>
      <c r="O51" s="182">
        <v>2030.0</v>
      </c>
      <c r="P51" s="182">
        <v>2017.0</v>
      </c>
      <c r="Q51" s="182">
        <v>920143.0</v>
      </c>
      <c r="R51" s="182">
        <v>460071.5</v>
      </c>
      <c r="S51" s="182">
        <v>460071.5</v>
      </c>
      <c r="T51" s="182">
        <v>0.0</v>
      </c>
      <c r="U51" s="183">
        <v>76.99614806249319</v>
      </c>
      <c r="V51" s="183">
        <v>0.77</v>
      </c>
      <c r="W51" s="180">
        <f t="shared" si="1"/>
        <v>-13</v>
      </c>
      <c r="X51" s="181"/>
      <c r="Y51" s="181"/>
      <c r="Z51" s="181"/>
    </row>
    <row r="52">
      <c r="A52" s="182" t="s">
        <v>345</v>
      </c>
      <c r="B52" s="182">
        <v>66.0</v>
      </c>
      <c r="C52" s="182" t="s">
        <v>349</v>
      </c>
      <c r="D52" s="182" t="s">
        <v>895</v>
      </c>
      <c r="E52" s="183" t="s">
        <v>683</v>
      </c>
      <c r="F52" s="180"/>
      <c r="G52" s="182" t="s">
        <v>896</v>
      </c>
      <c r="H52" s="182">
        <v>100.0</v>
      </c>
      <c r="I52" s="182">
        <v>1.0</v>
      </c>
      <c r="J52" s="182">
        <v>1.0</v>
      </c>
      <c r="K52" s="182">
        <v>0.0</v>
      </c>
      <c r="L52" s="182">
        <v>75.0</v>
      </c>
      <c r="M52" s="182">
        <v>0.75</v>
      </c>
      <c r="N52" s="184">
        <v>2013.0</v>
      </c>
      <c r="O52" s="182">
        <v>2045.0</v>
      </c>
      <c r="P52" s="182">
        <v>2017.0</v>
      </c>
      <c r="Q52" s="182">
        <v>920143.0</v>
      </c>
      <c r="R52" s="182">
        <v>460071.5</v>
      </c>
      <c r="S52" s="182">
        <v>460071.5</v>
      </c>
      <c r="T52" s="182">
        <v>0.0</v>
      </c>
      <c r="U52" s="183">
        <v>76.99614806249319</v>
      </c>
      <c r="V52" s="183">
        <v>0.77</v>
      </c>
      <c r="W52" s="180">
        <f t="shared" si="1"/>
        <v>-28</v>
      </c>
      <c r="X52" s="181"/>
      <c r="Y52" s="181"/>
      <c r="Z52" s="181"/>
    </row>
    <row r="53">
      <c r="A53" s="182" t="s">
        <v>351</v>
      </c>
      <c r="B53" s="182">
        <v>67.0</v>
      </c>
      <c r="C53" s="182" t="s">
        <v>355</v>
      </c>
      <c r="D53" s="182" t="s">
        <v>895</v>
      </c>
      <c r="E53" s="183" t="s">
        <v>683</v>
      </c>
      <c r="F53" s="180"/>
      <c r="G53" s="182" t="s">
        <v>899</v>
      </c>
      <c r="H53" s="182">
        <v>80.0</v>
      </c>
      <c r="I53" s="182">
        <v>0.8</v>
      </c>
      <c r="J53" s="182">
        <v>0.8</v>
      </c>
      <c r="K53" s="182">
        <v>0.8</v>
      </c>
      <c r="L53" s="182">
        <v>10.0</v>
      </c>
      <c r="M53" s="182">
        <v>0.1</v>
      </c>
      <c r="N53" s="184">
        <v>2018.0</v>
      </c>
      <c r="O53" s="182">
        <v>2025.0</v>
      </c>
      <c r="P53" s="182">
        <v>2019.0</v>
      </c>
      <c r="Q53" s="182">
        <v>1.890334E7</v>
      </c>
      <c r="R53" s="182">
        <v>6301113.3333</v>
      </c>
      <c r="S53" s="182">
        <v>6301113.3333</v>
      </c>
      <c r="T53" s="182">
        <v>6301113.3333</v>
      </c>
      <c r="U53" s="183">
        <v>1000.0</v>
      </c>
      <c r="V53" s="183">
        <v>10.0</v>
      </c>
      <c r="W53" s="180">
        <f t="shared" si="1"/>
        <v>-6</v>
      </c>
      <c r="X53" s="181"/>
      <c r="Y53" s="181"/>
      <c r="Z53" s="181"/>
    </row>
    <row r="54">
      <c r="A54" s="182" t="s">
        <v>357</v>
      </c>
      <c r="B54" s="182">
        <v>68.0</v>
      </c>
      <c r="C54" s="182" t="s">
        <v>360</v>
      </c>
      <c r="D54" s="182" t="s">
        <v>895</v>
      </c>
      <c r="E54" s="183" t="s">
        <v>683</v>
      </c>
      <c r="F54" s="180"/>
      <c r="G54" s="182" t="s">
        <v>899</v>
      </c>
      <c r="H54" s="182">
        <v>100.0</v>
      </c>
      <c r="I54" s="182">
        <v>1.0</v>
      </c>
      <c r="J54" s="182">
        <v>1.0</v>
      </c>
      <c r="K54" s="182">
        <v>1.0</v>
      </c>
      <c r="L54" s="182">
        <v>100.0</v>
      </c>
      <c r="M54" s="182">
        <v>1.0</v>
      </c>
      <c r="N54" s="184">
        <v>2012.0</v>
      </c>
      <c r="O54" s="182">
        <v>2022.0</v>
      </c>
      <c r="P54" s="182">
        <v>2017.0</v>
      </c>
      <c r="Q54" s="182">
        <v>465350.0</v>
      </c>
      <c r="R54" s="182">
        <v>155116.6667</v>
      </c>
      <c r="S54" s="182">
        <v>155116.6667</v>
      </c>
      <c r="T54" s="182">
        <v>155116.6667</v>
      </c>
      <c r="U54" s="183">
        <v>34.62984850112819</v>
      </c>
      <c r="V54" s="183">
        <v>0.3463</v>
      </c>
      <c r="W54" s="180">
        <f t="shared" si="1"/>
        <v>-5</v>
      </c>
      <c r="X54" s="181"/>
      <c r="Y54" s="181"/>
      <c r="Z54" s="181"/>
    </row>
    <row r="55">
      <c r="A55" s="182" t="s">
        <v>357</v>
      </c>
      <c r="B55" s="182">
        <v>68.0</v>
      </c>
      <c r="C55" s="182" t="s">
        <v>360</v>
      </c>
      <c r="D55" s="182" t="s">
        <v>895</v>
      </c>
      <c r="E55" s="183" t="s">
        <v>683</v>
      </c>
      <c r="F55" s="180"/>
      <c r="G55" s="182" t="s">
        <v>896</v>
      </c>
      <c r="H55" s="182">
        <v>100.0</v>
      </c>
      <c r="I55" s="182">
        <v>1.0</v>
      </c>
      <c r="J55" s="182">
        <v>1.0</v>
      </c>
      <c r="K55" s="182">
        <v>0.0</v>
      </c>
      <c r="L55" s="182">
        <v>90.0</v>
      </c>
      <c r="M55" s="182">
        <v>0.9</v>
      </c>
      <c r="N55" s="184">
        <v>2012.0</v>
      </c>
      <c r="O55" s="182">
        <v>2022.0</v>
      </c>
      <c r="P55" s="182">
        <v>2017.0</v>
      </c>
      <c r="Q55" s="182">
        <v>357990.0</v>
      </c>
      <c r="R55" s="182">
        <v>178995.0</v>
      </c>
      <c r="S55" s="182">
        <v>178995.0</v>
      </c>
      <c r="T55" s="182">
        <v>0.0</v>
      </c>
      <c r="U55" s="183">
        <v>47.639443684025935</v>
      </c>
      <c r="V55" s="183">
        <v>0.4764</v>
      </c>
      <c r="W55" s="180">
        <f t="shared" si="1"/>
        <v>-5</v>
      </c>
      <c r="X55" s="181"/>
      <c r="Y55" s="181"/>
      <c r="Z55" s="181"/>
    </row>
    <row r="56">
      <c r="A56" s="182" t="s">
        <v>357</v>
      </c>
      <c r="B56" s="182">
        <v>68.0</v>
      </c>
      <c r="C56" s="182" t="s">
        <v>360</v>
      </c>
      <c r="D56" s="182" t="s">
        <v>895</v>
      </c>
      <c r="E56" s="183" t="s">
        <v>683</v>
      </c>
      <c r="F56" s="180"/>
      <c r="G56" s="182" t="s">
        <v>896</v>
      </c>
      <c r="H56" s="182">
        <v>100.0</v>
      </c>
      <c r="I56" s="182">
        <v>1.0</v>
      </c>
      <c r="J56" s="182">
        <v>1.0</v>
      </c>
      <c r="K56" s="182">
        <v>0.0</v>
      </c>
      <c r="L56" s="182">
        <v>90.0</v>
      </c>
      <c r="M56" s="182">
        <v>0.9</v>
      </c>
      <c r="N56" s="184">
        <v>2012.0</v>
      </c>
      <c r="O56" s="182">
        <v>2033.0</v>
      </c>
      <c r="P56" s="182">
        <v>2017.0</v>
      </c>
      <c r="Q56" s="182">
        <v>357990.0</v>
      </c>
      <c r="R56" s="182">
        <v>178995.0</v>
      </c>
      <c r="S56" s="182">
        <v>178995.0</v>
      </c>
      <c r="T56" s="182">
        <v>0.0</v>
      </c>
      <c r="U56" s="183">
        <v>47.639443684025935</v>
      </c>
      <c r="V56" s="183">
        <v>0.4764</v>
      </c>
      <c r="W56" s="180">
        <f t="shared" si="1"/>
        <v>-16</v>
      </c>
      <c r="X56" s="181"/>
      <c r="Y56" s="181"/>
      <c r="Z56" s="181"/>
    </row>
    <row r="57">
      <c r="A57" s="182" t="s">
        <v>368</v>
      </c>
      <c r="B57" s="182">
        <v>71.0</v>
      </c>
      <c r="C57" s="182" t="s">
        <v>372</v>
      </c>
      <c r="D57" s="182" t="s">
        <v>895</v>
      </c>
      <c r="E57" s="183" t="s">
        <v>683</v>
      </c>
      <c r="F57" s="180"/>
      <c r="G57" s="182" t="s">
        <v>896</v>
      </c>
      <c r="H57" s="182">
        <v>100.0</v>
      </c>
      <c r="I57" s="182">
        <v>1.0</v>
      </c>
      <c r="J57" s="182">
        <v>1.0</v>
      </c>
      <c r="K57" s="182">
        <v>0.0</v>
      </c>
      <c r="L57" s="182">
        <v>65.0</v>
      </c>
      <c r="M57" s="182">
        <v>0.65</v>
      </c>
      <c r="N57" s="184">
        <v>2015.0</v>
      </c>
      <c r="O57" s="185">
        <v>2026.0</v>
      </c>
      <c r="P57" s="182">
        <v>2019.0</v>
      </c>
      <c r="Q57" s="182">
        <v>264394.0</v>
      </c>
      <c r="R57" s="182">
        <v>132197.0</v>
      </c>
      <c r="S57" s="182">
        <v>132197.0</v>
      </c>
      <c r="T57" s="182">
        <v>0.0</v>
      </c>
      <c r="U57" s="183">
        <v>5.012914874712041</v>
      </c>
      <c r="V57" s="183">
        <v>0.0501</v>
      </c>
      <c r="W57" s="180">
        <f t="shared" si="1"/>
        <v>-7</v>
      </c>
      <c r="X57" s="181"/>
      <c r="Y57" s="181"/>
      <c r="Z57" s="181"/>
    </row>
    <row r="58">
      <c r="A58" s="182" t="s">
        <v>379</v>
      </c>
      <c r="B58" s="182">
        <v>73.0</v>
      </c>
      <c r="C58" s="182" t="s">
        <v>382</v>
      </c>
      <c r="D58" s="182" t="s">
        <v>895</v>
      </c>
      <c r="E58" s="183" t="s">
        <v>683</v>
      </c>
      <c r="F58" s="180"/>
      <c r="G58" s="182" t="s">
        <v>896</v>
      </c>
      <c r="H58" s="182">
        <v>77.0</v>
      </c>
      <c r="I58" s="182">
        <v>0.77</v>
      </c>
      <c r="J58" s="182">
        <v>0.77</v>
      </c>
      <c r="K58" s="182">
        <v>0.0</v>
      </c>
      <c r="L58" s="182">
        <v>4.6</v>
      </c>
      <c r="M58" s="182">
        <v>0.046</v>
      </c>
      <c r="N58" s="184">
        <v>2013.0</v>
      </c>
      <c r="O58" s="182">
        <v>2025.0</v>
      </c>
      <c r="P58" s="182">
        <v>2020.0</v>
      </c>
      <c r="Q58" s="182">
        <v>8081870.0</v>
      </c>
      <c r="R58" s="182">
        <v>4040935.0</v>
      </c>
      <c r="S58" s="182">
        <v>4040935.0</v>
      </c>
      <c r="T58" s="182">
        <v>0.0</v>
      </c>
      <c r="U58" s="183">
        <v>2173.9130434782633</v>
      </c>
      <c r="V58" s="183">
        <v>21.7391</v>
      </c>
      <c r="W58" s="180">
        <f t="shared" si="1"/>
        <v>-5</v>
      </c>
      <c r="X58" s="181"/>
      <c r="Y58" s="181"/>
      <c r="Z58" s="181"/>
    </row>
    <row r="59">
      <c r="A59" s="182" t="s">
        <v>384</v>
      </c>
      <c r="B59" s="182">
        <v>74.0</v>
      </c>
      <c r="C59" s="182" t="s">
        <v>387</v>
      </c>
      <c r="D59" s="182" t="s">
        <v>895</v>
      </c>
      <c r="E59" s="183" t="s">
        <v>683</v>
      </c>
      <c r="F59" s="180"/>
      <c r="G59" s="182" t="s">
        <v>896</v>
      </c>
      <c r="H59" s="182">
        <v>100.0</v>
      </c>
      <c r="I59" s="182">
        <v>1.0</v>
      </c>
      <c r="J59" s="182">
        <v>1.0</v>
      </c>
      <c r="K59" s="182">
        <v>0.0</v>
      </c>
      <c r="L59" s="182">
        <v>26.0</v>
      </c>
      <c r="M59" s="182">
        <v>0.26</v>
      </c>
      <c r="N59" s="184">
        <v>2015.0</v>
      </c>
      <c r="O59" s="182">
        <v>2025.0</v>
      </c>
      <c r="P59" s="182">
        <v>2018.0</v>
      </c>
      <c r="Q59" s="182">
        <v>459516.0</v>
      </c>
      <c r="R59" s="182">
        <v>229758.0</v>
      </c>
      <c r="S59" s="182">
        <v>229758.0</v>
      </c>
      <c r="T59" s="182">
        <v>0.0</v>
      </c>
      <c r="U59" s="183">
        <v>78.65550174196665</v>
      </c>
      <c r="V59" s="183">
        <v>0.7866</v>
      </c>
      <c r="W59" s="180">
        <f t="shared" si="1"/>
        <v>-7</v>
      </c>
      <c r="X59" s="181"/>
      <c r="Y59" s="181"/>
      <c r="Z59" s="181"/>
    </row>
    <row r="60">
      <c r="A60" s="182" t="s">
        <v>384</v>
      </c>
      <c r="B60" s="182">
        <v>74.0</v>
      </c>
      <c r="C60" s="182" t="s">
        <v>387</v>
      </c>
      <c r="D60" s="182" t="s">
        <v>895</v>
      </c>
      <c r="E60" s="183" t="s">
        <v>683</v>
      </c>
      <c r="F60" s="180"/>
      <c r="G60" s="182" t="s">
        <v>896</v>
      </c>
      <c r="H60" s="182">
        <v>100.0</v>
      </c>
      <c r="I60" s="182">
        <v>1.0</v>
      </c>
      <c r="J60" s="182">
        <v>1.0</v>
      </c>
      <c r="K60" s="182">
        <v>0.0</v>
      </c>
      <c r="L60" s="182">
        <v>65.0</v>
      </c>
      <c r="M60" s="182">
        <v>0.65</v>
      </c>
      <c r="N60" s="184">
        <v>2015.0</v>
      </c>
      <c r="O60" s="182">
        <v>2050.0</v>
      </c>
      <c r="P60" s="182">
        <v>2018.0</v>
      </c>
      <c r="Q60" s="182">
        <v>459516.0</v>
      </c>
      <c r="R60" s="182">
        <v>229758.0</v>
      </c>
      <c r="S60" s="182">
        <v>229758.0</v>
      </c>
      <c r="T60" s="182">
        <v>0.0</v>
      </c>
      <c r="U60" s="183">
        <v>31.462200696786653</v>
      </c>
      <c r="V60" s="183">
        <v>0.3146</v>
      </c>
      <c r="W60" s="180">
        <f t="shared" si="1"/>
        <v>-32</v>
      </c>
      <c r="X60" s="181"/>
      <c r="Y60" s="181"/>
      <c r="Z60" s="181"/>
    </row>
    <row r="61">
      <c r="A61" s="182" t="s">
        <v>384</v>
      </c>
      <c r="B61" s="182">
        <v>74.0</v>
      </c>
      <c r="C61" s="182" t="s">
        <v>387</v>
      </c>
      <c r="D61" s="182" t="s">
        <v>895</v>
      </c>
      <c r="E61" s="183" t="s">
        <v>683</v>
      </c>
      <c r="F61" s="180"/>
      <c r="G61" s="182" t="s">
        <v>689</v>
      </c>
      <c r="H61" s="182">
        <v>100.0</v>
      </c>
      <c r="I61" s="182">
        <v>0.0</v>
      </c>
      <c r="J61" s="182">
        <v>0.0</v>
      </c>
      <c r="K61" s="182">
        <v>1.0</v>
      </c>
      <c r="L61" s="182">
        <v>25.0</v>
      </c>
      <c r="M61" s="182">
        <v>0.25</v>
      </c>
      <c r="N61" s="184">
        <v>2019.0</v>
      </c>
      <c r="O61" s="182">
        <v>2025.0</v>
      </c>
      <c r="P61" s="182">
        <v>2019.0</v>
      </c>
      <c r="Q61" s="182">
        <v>173807.0</v>
      </c>
      <c r="R61" s="182">
        <v>0.0</v>
      </c>
      <c r="S61" s="182">
        <v>0.0</v>
      </c>
      <c r="T61" s="182">
        <v>173807.0</v>
      </c>
      <c r="U61" s="183">
        <v>0.0</v>
      </c>
      <c r="V61" s="183">
        <v>0.0</v>
      </c>
      <c r="W61" s="180">
        <f t="shared" si="1"/>
        <v>-6</v>
      </c>
      <c r="X61" s="181"/>
      <c r="Y61" s="181"/>
      <c r="Z61" s="181"/>
    </row>
    <row r="62">
      <c r="A62" s="182" t="s">
        <v>394</v>
      </c>
      <c r="B62" s="182">
        <v>76.0</v>
      </c>
      <c r="C62" s="182" t="s">
        <v>398</v>
      </c>
      <c r="D62" s="182" t="s">
        <v>895</v>
      </c>
      <c r="E62" s="183" t="s">
        <v>683</v>
      </c>
      <c r="F62" s="180"/>
      <c r="G62" s="182" t="s">
        <v>899</v>
      </c>
      <c r="H62" s="182">
        <v>100.0</v>
      </c>
      <c r="I62" s="182">
        <v>1.0</v>
      </c>
      <c r="J62" s="182">
        <v>1.0</v>
      </c>
      <c r="K62" s="182">
        <v>1.0</v>
      </c>
      <c r="L62" s="182">
        <v>20.0</v>
      </c>
      <c r="M62" s="182">
        <v>0.2</v>
      </c>
      <c r="N62" s="184">
        <v>2015.0</v>
      </c>
      <c r="O62" s="182">
        <v>2030.0</v>
      </c>
      <c r="P62" s="182">
        <v>2016.0</v>
      </c>
      <c r="Q62" s="182">
        <v>5.8755109E7</v>
      </c>
      <c r="R62" s="182">
        <v>1.95850363333E7</v>
      </c>
      <c r="S62" s="182">
        <v>1.95850363333E7</v>
      </c>
      <c r="T62" s="182">
        <v>1.95850363333E7</v>
      </c>
      <c r="U62" s="183">
        <v>28.18796574779566</v>
      </c>
      <c r="V62" s="183">
        <v>0.2819</v>
      </c>
      <c r="W62" s="180">
        <f t="shared" si="1"/>
        <v>-14</v>
      </c>
      <c r="X62" s="181"/>
      <c r="Y62" s="181"/>
      <c r="Z62" s="181"/>
    </row>
    <row r="63">
      <c r="A63" s="182" t="s">
        <v>400</v>
      </c>
      <c r="B63" s="182">
        <v>77.0</v>
      </c>
      <c r="C63" s="182" t="s">
        <v>404</v>
      </c>
      <c r="D63" s="182" t="s">
        <v>895</v>
      </c>
      <c r="E63" s="183" t="s">
        <v>683</v>
      </c>
      <c r="F63" s="180"/>
      <c r="G63" s="182" t="s">
        <v>896</v>
      </c>
      <c r="H63" s="182">
        <v>100.0</v>
      </c>
      <c r="I63" s="182">
        <v>1.0</v>
      </c>
      <c r="J63" s="182">
        <v>1.0</v>
      </c>
      <c r="K63" s="182">
        <v>0.0</v>
      </c>
      <c r="L63" s="182">
        <v>60.0</v>
      </c>
      <c r="M63" s="182">
        <v>0.6</v>
      </c>
      <c r="N63" s="184">
        <v>2000.0</v>
      </c>
      <c r="O63" s="182">
        <v>2050.0</v>
      </c>
      <c r="P63" s="182">
        <v>2002.0</v>
      </c>
      <c r="Q63" s="182">
        <v>3479388.0</v>
      </c>
      <c r="R63" s="182">
        <v>1739694.0</v>
      </c>
      <c r="S63" s="182">
        <v>1739694.0</v>
      </c>
      <c r="T63" s="182">
        <v>0.0</v>
      </c>
      <c r="U63" s="183">
        <v>94.96229413525214</v>
      </c>
      <c r="V63" s="183">
        <v>0.9496</v>
      </c>
      <c r="W63" s="180">
        <f t="shared" si="1"/>
        <v>-48</v>
      </c>
      <c r="X63" s="181"/>
      <c r="Y63" s="181"/>
      <c r="Z63" s="181"/>
    </row>
    <row r="64">
      <c r="A64" s="182" t="s">
        <v>406</v>
      </c>
      <c r="B64" s="182">
        <v>78.0</v>
      </c>
      <c r="C64" s="182" t="s">
        <v>410</v>
      </c>
      <c r="D64" s="182" t="s">
        <v>895</v>
      </c>
      <c r="E64" s="183" t="s">
        <v>683</v>
      </c>
      <c r="F64" s="180"/>
      <c r="G64" s="182" t="s">
        <v>896</v>
      </c>
      <c r="H64" s="182">
        <v>100.0</v>
      </c>
      <c r="I64" s="182">
        <v>1.0</v>
      </c>
      <c r="J64" s="182">
        <v>1.0</v>
      </c>
      <c r="K64" s="182">
        <v>0.0</v>
      </c>
      <c r="L64" s="182">
        <v>40.0</v>
      </c>
      <c r="M64" s="182">
        <v>0.4</v>
      </c>
      <c r="N64" s="182">
        <v>2010.0</v>
      </c>
      <c r="O64" s="182">
        <v>2030.0</v>
      </c>
      <c r="P64" s="182">
        <v>2016.0</v>
      </c>
      <c r="Q64" s="182">
        <v>914050.0</v>
      </c>
      <c r="R64" s="182">
        <v>457025.0</v>
      </c>
      <c r="S64" s="182">
        <v>457025.0</v>
      </c>
      <c r="T64" s="182">
        <v>0.0</v>
      </c>
      <c r="U64" s="183">
        <v>97.96181828127564</v>
      </c>
      <c r="V64" s="183">
        <v>0.9796</v>
      </c>
      <c r="W64" s="180">
        <f t="shared" si="1"/>
        <v>-14</v>
      </c>
      <c r="X64" s="181"/>
      <c r="Y64" s="181"/>
      <c r="Z64" s="181"/>
    </row>
    <row r="65">
      <c r="A65" s="182" t="s">
        <v>406</v>
      </c>
      <c r="B65" s="182">
        <v>78.0</v>
      </c>
      <c r="C65" s="182" t="s">
        <v>410</v>
      </c>
      <c r="D65" s="182" t="s">
        <v>895</v>
      </c>
      <c r="E65" s="183" t="s">
        <v>683</v>
      </c>
      <c r="F65" s="180"/>
      <c r="G65" s="182" t="s">
        <v>896</v>
      </c>
      <c r="H65" s="182">
        <v>100.0</v>
      </c>
      <c r="I65" s="182">
        <v>1.0</v>
      </c>
      <c r="J65" s="182">
        <v>1.0</v>
      </c>
      <c r="K65" s="182">
        <v>0.0</v>
      </c>
      <c r="L65" s="182">
        <v>60.0</v>
      </c>
      <c r="M65" s="182">
        <v>0.6</v>
      </c>
      <c r="N65" s="182">
        <v>2010.0</v>
      </c>
      <c r="O65" s="182">
        <v>2040.0</v>
      </c>
      <c r="P65" s="182">
        <v>2016.0</v>
      </c>
      <c r="Q65" s="182">
        <v>914050.0</v>
      </c>
      <c r="R65" s="182">
        <v>457025.0</v>
      </c>
      <c r="S65" s="182">
        <v>457025.0</v>
      </c>
      <c r="T65" s="182">
        <v>0.0</v>
      </c>
      <c r="U65" s="183">
        <v>65.30787885418377</v>
      </c>
      <c r="V65" s="183">
        <v>0.6531</v>
      </c>
      <c r="W65" s="180">
        <f t="shared" si="1"/>
        <v>-24</v>
      </c>
      <c r="X65" s="181"/>
      <c r="Y65" s="181"/>
      <c r="Z65" s="181"/>
    </row>
    <row r="66">
      <c r="A66" s="182" t="s">
        <v>406</v>
      </c>
      <c r="B66" s="182">
        <v>78.0</v>
      </c>
      <c r="C66" s="182" t="s">
        <v>410</v>
      </c>
      <c r="D66" s="182" t="s">
        <v>895</v>
      </c>
      <c r="E66" s="183" t="s">
        <v>683</v>
      </c>
      <c r="F66" s="180"/>
      <c r="G66" s="182" t="s">
        <v>899</v>
      </c>
      <c r="H66" s="182">
        <v>100.0</v>
      </c>
      <c r="I66" s="182">
        <v>1.0</v>
      </c>
      <c r="J66" s="182">
        <v>1.0</v>
      </c>
      <c r="K66" s="182">
        <v>1.0</v>
      </c>
      <c r="L66" s="182">
        <v>40.0</v>
      </c>
      <c r="M66" s="182">
        <v>0.4</v>
      </c>
      <c r="N66" s="182">
        <v>2010.0</v>
      </c>
      <c r="O66" s="182">
        <v>2030.0</v>
      </c>
      <c r="P66" s="182">
        <v>2016.0</v>
      </c>
      <c r="Q66" s="182">
        <v>8062275.0</v>
      </c>
      <c r="R66" s="182">
        <v>2687425.0</v>
      </c>
      <c r="S66" s="182">
        <v>2687425.0</v>
      </c>
      <c r="T66" s="182">
        <v>2687425.0</v>
      </c>
      <c r="U66" s="183">
        <v>104.80239758628922</v>
      </c>
      <c r="V66" s="183">
        <v>1.048</v>
      </c>
      <c r="W66" s="180">
        <f t="shared" si="1"/>
        <v>-14</v>
      </c>
      <c r="X66" s="181"/>
      <c r="Y66" s="181"/>
      <c r="Z66" s="181"/>
    </row>
    <row r="67">
      <c r="A67" s="182" t="s">
        <v>412</v>
      </c>
      <c r="B67" s="182">
        <v>79.0</v>
      </c>
      <c r="C67" s="182" t="s">
        <v>416</v>
      </c>
      <c r="D67" s="182" t="s">
        <v>895</v>
      </c>
      <c r="E67" s="183" t="s">
        <v>683</v>
      </c>
      <c r="F67" s="180"/>
      <c r="G67" s="182" t="s">
        <v>896</v>
      </c>
      <c r="H67" s="182">
        <v>100.0</v>
      </c>
      <c r="I67" s="182">
        <v>1.0</v>
      </c>
      <c r="J67" s="182">
        <v>1.0</v>
      </c>
      <c r="K67" s="182">
        <v>0.0</v>
      </c>
      <c r="L67" s="182">
        <v>50.0</v>
      </c>
      <c r="M67" s="182">
        <v>0.5</v>
      </c>
      <c r="N67" s="182">
        <v>2010.0</v>
      </c>
      <c r="O67" s="182">
        <v>2030.0</v>
      </c>
      <c r="P67" s="182">
        <v>2018.0</v>
      </c>
      <c r="Q67" s="182">
        <v>5422275.0</v>
      </c>
      <c r="R67" s="182">
        <v>2711137.5</v>
      </c>
      <c r="S67" s="182">
        <v>2711137.5</v>
      </c>
      <c r="T67" s="182">
        <v>0.0</v>
      </c>
      <c r="U67" s="183">
        <v>50.61620814141665</v>
      </c>
      <c r="V67" s="183">
        <v>0.5062</v>
      </c>
      <c r="W67" s="180">
        <f t="shared" si="1"/>
        <v>-12</v>
      </c>
      <c r="X67" s="181"/>
      <c r="Y67" s="181"/>
      <c r="Z67" s="181"/>
    </row>
    <row r="68">
      <c r="A68" s="182" t="s">
        <v>418</v>
      </c>
      <c r="B68" s="182">
        <v>80.0</v>
      </c>
      <c r="C68" s="182" t="s">
        <v>422</v>
      </c>
      <c r="D68" s="182" t="s">
        <v>895</v>
      </c>
      <c r="E68" s="183" t="s">
        <v>683</v>
      </c>
      <c r="F68" s="180"/>
      <c r="G68" s="182" t="s">
        <v>896</v>
      </c>
      <c r="H68" s="182">
        <v>100.0</v>
      </c>
      <c r="I68" s="182">
        <v>1.0</v>
      </c>
      <c r="J68" s="182">
        <v>1.0</v>
      </c>
      <c r="K68" s="182">
        <v>0.0</v>
      </c>
      <c r="L68" s="182">
        <v>30.0</v>
      </c>
      <c r="M68" s="182">
        <v>0.3</v>
      </c>
      <c r="N68" s="184">
        <v>2014.0</v>
      </c>
      <c r="O68" s="182">
        <v>2025.0</v>
      </c>
      <c r="P68" s="182">
        <v>2015.0</v>
      </c>
      <c r="Q68" s="182">
        <v>230637.0</v>
      </c>
      <c r="R68" s="182">
        <v>115318.5</v>
      </c>
      <c r="S68" s="182">
        <v>115318.5</v>
      </c>
      <c r="T68" s="182">
        <v>0.0</v>
      </c>
      <c r="U68" s="183">
        <v>59.670969243154104</v>
      </c>
      <c r="V68" s="183">
        <v>0.5967</v>
      </c>
      <c r="W68" s="180">
        <f t="shared" si="1"/>
        <v>-10</v>
      </c>
      <c r="X68" s="181"/>
      <c r="Y68" s="181"/>
      <c r="Z68" s="181"/>
    </row>
    <row r="69">
      <c r="A69" s="182" t="s">
        <v>427</v>
      </c>
      <c r="B69" s="182">
        <v>82.0</v>
      </c>
      <c r="C69" s="182" t="s">
        <v>430</v>
      </c>
      <c r="D69" s="182" t="s">
        <v>895</v>
      </c>
      <c r="E69" s="183" t="s">
        <v>683</v>
      </c>
      <c r="F69" s="180"/>
      <c r="G69" s="182" t="s">
        <v>896</v>
      </c>
      <c r="H69" s="182">
        <v>100.0</v>
      </c>
      <c r="I69" s="182">
        <v>1.0</v>
      </c>
      <c r="J69" s="182">
        <v>1.0</v>
      </c>
      <c r="K69" s="182">
        <v>0.0</v>
      </c>
      <c r="L69" s="182">
        <v>100.0</v>
      </c>
      <c r="M69" s="182">
        <v>1.0</v>
      </c>
      <c r="N69" s="184">
        <v>2015.0</v>
      </c>
      <c r="O69" s="182">
        <v>2050.0</v>
      </c>
      <c r="P69" s="182">
        <v>2016.0</v>
      </c>
      <c r="Q69" s="182">
        <v>106542.0</v>
      </c>
      <c r="R69" s="182">
        <v>53271.0</v>
      </c>
      <c r="S69" s="182">
        <v>53271.0</v>
      </c>
      <c r="T69" s="182">
        <v>0.0</v>
      </c>
      <c r="U69" s="183">
        <v>-31.878508006232288</v>
      </c>
      <c r="V69" s="186">
        <v>-0.3188</v>
      </c>
      <c r="W69" s="180"/>
      <c r="X69" s="181"/>
      <c r="Y69" s="181"/>
      <c r="Z69" s="181"/>
    </row>
    <row r="70">
      <c r="A70" s="187" t="s">
        <v>427</v>
      </c>
      <c r="B70" s="182">
        <v>82.0</v>
      </c>
      <c r="C70" s="187" t="s">
        <v>430</v>
      </c>
      <c r="D70" s="187" t="s">
        <v>895</v>
      </c>
      <c r="E70" s="183" t="s">
        <v>683</v>
      </c>
      <c r="F70" s="180"/>
      <c r="G70" s="187" t="s">
        <v>896</v>
      </c>
      <c r="H70" s="187">
        <v>100.0</v>
      </c>
      <c r="I70" s="182">
        <v>1.0</v>
      </c>
      <c r="J70" s="182">
        <v>1.0</v>
      </c>
      <c r="K70" s="182">
        <v>0.0</v>
      </c>
      <c r="L70" s="187">
        <v>50.0</v>
      </c>
      <c r="M70" s="182">
        <v>0.5</v>
      </c>
      <c r="N70" s="188">
        <v>2018.0</v>
      </c>
      <c r="O70" s="187">
        <v>2030.0</v>
      </c>
      <c r="P70" s="187">
        <v>2019.0</v>
      </c>
      <c r="Q70" s="187">
        <v>162938.0</v>
      </c>
      <c r="R70" s="187">
        <v>81469.0</v>
      </c>
      <c r="S70" s="187">
        <v>81469.0</v>
      </c>
      <c r="T70" s="187">
        <v>0.0</v>
      </c>
      <c r="U70" s="189">
        <v>27.534399587573187</v>
      </c>
      <c r="V70" s="189">
        <v>0.2753</v>
      </c>
      <c r="W70" s="190"/>
      <c r="X70" s="181"/>
      <c r="Y70" s="181"/>
      <c r="Z70" s="181"/>
    </row>
    <row r="71">
      <c r="A71" s="182" t="s">
        <v>427</v>
      </c>
      <c r="B71" s="182">
        <v>82.0</v>
      </c>
      <c r="C71" s="182" t="s">
        <v>430</v>
      </c>
      <c r="D71" s="182" t="s">
        <v>895</v>
      </c>
      <c r="E71" s="183" t="s">
        <v>683</v>
      </c>
      <c r="F71" s="180"/>
      <c r="G71" s="182" t="s">
        <v>689</v>
      </c>
      <c r="H71" s="182">
        <v>100.0</v>
      </c>
      <c r="I71" s="182">
        <v>0.0</v>
      </c>
      <c r="J71" s="182">
        <v>0.0</v>
      </c>
      <c r="K71" s="182">
        <v>1.0</v>
      </c>
      <c r="L71" s="182">
        <v>50.0</v>
      </c>
      <c r="M71" s="182">
        <v>0.5</v>
      </c>
      <c r="N71" s="184">
        <v>2018.0</v>
      </c>
      <c r="O71" s="182">
        <v>2030.0</v>
      </c>
      <c r="P71" s="182">
        <v>2018.0</v>
      </c>
      <c r="Q71" s="182">
        <v>67890.0</v>
      </c>
      <c r="R71" s="182">
        <v>0.0</v>
      </c>
      <c r="S71" s="182">
        <v>0.0</v>
      </c>
      <c r="T71" s="182">
        <v>67890.0</v>
      </c>
      <c r="U71" s="183">
        <v>18.694947709530123</v>
      </c>
      <c r="V71" s="183">
        <v>0.1869</v>
      </c>
      <c r="W71" s="180"/>
      <c r="X71" s="181"/>
      <c r="Y71" s="181"/>
      <c r="Z71" s="181"/>
    </row>
    <row r="72">
      <c r="A72" s="182" t="s">
        <v>435</v>
      </c>
      <c r="B72" s="182">
        <v>84.0</v>
      </c>
      <c r="C72" s="182" t="s">
        <v>439</v>
      </c>
      <c r="D72" s="182" t="s">
        <v>895</v>
      </c>
      <c r="E72" s="183" t="s">
        <v>683</v>
      </c>
      <c r="F72" s="180"/>
      <c r="G72" s="182" t="s">
        <v>896</v>
      </c>
      <c r="H72" s="182">
        <v>100.0</v>
      </c>
      <c r="I72" s="182">
        <v>1.0</v>
      </c>
      <c r="J72" s="182">
        <v>1.0</v>
      </c>
      <c r="K72" s="182">
        <v>0.0</v>
      </c>
      <c r="L72" s="182">
        <v>68.0</v>
      </c>
      <c r="M72" s="182">
        <v>0.68</v>
      </c>
      <c r="N72" s="184">
        <v>2019.0</v>
      </c>
      <c r="O72" s="182">
        <v>2035.0</v>
      </c>
      <c r="P72" s="182">
        <v>2020.0</v>
      </c>
      <c r="Q72" s="182">
        <v>266578.01</v>
      </c>
      <c r="R72" s="182">
        <v>133289.005</v>
      </c>
      <c r="S72" s="182">
        <v>133289.005</v>
      </c>
      <c r="T72" s="182">
        <v>0.0</v>
      </c>
      <c r="U72" s="183">
        <v>0.0</v>
      </c>
      <c r="V72" s="183">
        <v>0.0</v>
      </c>
      <c r="W72" s="180">
        <f t="shared" ref="W72:W102" si="2">P72-O72</f>
        <v>-15</v>
      </c>
      <c r="X72" s="181"/>
      <c r="Y72" s="181"/>
      <c r="Z72" s="181"/>
    </row>
    <row r="73">
      <c r="A73" s="182" t="s">
        <v>452</v>
      </c>
      <c r="B73" s="182">
        <v>87.0</v>
      </c>
      <c r="C73" s="182" t="s">
        <v>456</v>
      </c>
      <c r="D73" s="182" t="s">
        <v>895</v>
      </c>
      <c r="E73" s="183" t="s">
        <v>683</v>
      </c>
      <c r="F73" s="180"/>
      <c r="G73" s="182" t="s">
        <v>896</v>
      </c>
      <c r="H73" s="182">
        <v>100.0</v>
      </c>
      <c r="I73" s="182">
        <v>1.0</v>
      </c>
      <c r="J73" s="182">
        <v>1.0</v>
      </c>
      <c r="K73" s="182">
        <v>0.0</v>
      </c>
      <c r="L73" s="182">
        <v>30.0</v>
      </c>
      <c r="M73" s="182">
        <v>0.3</v>
      </c>
      <c r="N73" s="184">
        <v>2017.0</v>
      </c>
      <c r="O73" s="182">
        <v>2030.0</v>
      </c>
      <c r="P73" s="182">
        <v>2019.0</v>
      </c>
      <c r="Q73" s="182">
        <v>2567880.0</v>
      </c>
      <c r="R73" s="182">
        <v>1283940.0</v>
      </c>
      <c r="S73" s="182">
        <v>1283940.0</v>
      </c>
      <c r="T73" s="182">
        <v>0.0</v>
      </c>
      <c r="U73" s="183">
        <v>34.97437574964562</v>
      </c>
      <c r="V73" s="183">
        <v>0.3497</v>
      </c>
      <c r="W73" s="180">
        <f t="shared" si="2"/>
        <v>-11</v>
      </c>
      <c r="X73" s="181"/>
      <c r="Y73" s="181"/>
      <c r="Z73" s="181"/>
    </row>
    <row r="74">
      <c r="A74" s="182" t="s">
        <v>452</v>
      </c>
      <c r="B74" s="182">
        <v>87.0</v>
      </c>
      <c r="C74" s="182" t="s">
        <v>456</v>
      </c>
      <c r="D74" s="182" t="s">
        <v>895</v>
      </c>
      <c r="E74" s="183" t="s">
        <v>683</v>
      </c>
      <c r="F74" s="180"/>
      <c r="G74" s="182" t="s">
        <v>689</v>
      </c>
      <c r="H74" s="182">
        <v>100.0</v>
      </c>
      <c r="I74" s="182">
        <v>0.0</v>
      </c>
      <c r="J74" s="182">
        <v>0.0</v>
      </c>
      <c r="K74" s="182">
        <v>1.0</v>
      </c>
      <c r="L74" s="182">
        <v>30.0</v>
      </c>
      <c r="M74" s="182">
        <v>0.3</v>
      </c>
      <c r="N74" s="184">
        <v>2017.0</v>
      </c>
      <c r="O74" s="182">
        <v>2030.0</v>
      </c>
      <c r="P74" s="182">
        <v>2019.0</v>
      </c>
      <c r="Q74" s="182">
        <v>2.6939E7</v>
      </c>
      <c r="R74" s="182">
        <v>0.0</v>
      </c>
      <c r="S74" s="182">
        <v>0.0</v>
      </c>
      <c r="T74" s="182">
        <v>2.6939E7</v>
      </c>
      <c r="U74" s="183">
        <v>7.127213333828279</v>
      </c>
      <c r="V74" s="183">
        <v>0.0713</v>
      </c>
      <c r="W74" s="180">
        <f t="shared" si="2"/>
        <v>-11</v>
      </c>
      <c r="X74" s="181"/>
      <c r="Y74" s="181"/>
      <c r="Z74" s="181"/>
    </row>
    <row r="75">
      <c r="A75" s="182" t="s">
        <v>156</v>
      </c>
      <c r="B75" s="182">
        <v>29.0</v>
      </c>
      <c r="C75" s="182" t="s">
        <v>160</v>
      </c>
      <c r="D75" s="182" t="s">
        <v>895</v>
      </c>
      <c r="E75" s="183" t="s">
        <v>683</v>
      </c>
      <c r="F75" s="180"/>
      <c r="G75" s="182" t="s">
        <v>899</v>
      </c>
      <c r="H75" s="182">
        <v>100.0</v>
      </c>
      <c r="I75" s="182">
        <v>1.0</v>
      </c>
      <c r="J75" s="182">
        <v>1.0</v>
      </c>
      <c r="K75" s="182">
        <v>1.0</v>
      </c>
      <c r="L75" s="182">
        <v>25.0</v>
      </c>
      <c r="M75" s="182">
        <v>0.25</v>
      </c>
      <c r="N75" s="184">
        <v>2015.0</v>
      </c>
      <c r="O75" s="182">
        <v>2030.0</v>
      </c>
      <c r="P75" s="182">
        <v>2019.0</v>
      </c>
      <c r="Q75" s="182">
        <v>7.014441E7</v>
      </c>
      <c r="R75" s="182">
        <v>2.338147E7</v>
      </c>
      <c r="S75" s="182">
        <v>2.338147E7</v>
      </c>
      <c r="T75" s="182">
        <v>2.338147E7</v>
      </c>
      <c r="U75" s="183">
        <v>100.0</v>
      </c>
      <c r="V75" s="183">
        <v>1.0</v>
      </c>
      <c r="W75" s="180">
        <f t="shared" si="2"/>
        <v>-11</v>
      </c>
      <c r="X75" s="181"/>
      <c r="Y75" s="181"/>
      <c r="Z75" s="181"/>
    </row>
    <row r="76">
      <c r="A76" s="182" t="s">
        <v>190</v>
      </c>
      <c r="B76" s="182">
        <v>36.0</v>
      </c>
      <c r="C76" s="182" t="s">
        <v>192</v>
      </c>
      <c r="D76" s="182" t="s">
        <v>895</v>
      </c>
      <c r="E76" s="183" t="s">
        <v>683</v>
      </c>
      <c r="F76" s="180"/>
      <c r="G76" s="182" t="s">
        <v>896</v>
      </c>
      <c r="H76" s="182">
        <v>100.0</v>
      </c>
      <c r="I76" s="182">
        <v>1.0</v>
      </c>
      <c r="J76" s="182">
        <v>1.0</v>
      </c>
      <c r="K76" s="182">
        <v>0.0</v>
      </c>
      <c r="L76" s="182">
        <v>0.0</v>
      </c>
      <c r="M76" s="182">
        <v>0.0</v>
      </c>
      <c r="N76" s="184">
        <v>2006.0</v>
      </c>
      <c r="O76" s="182">
        <v>2025.0</v>
      </c>
      <c r="P76" s="182">
        <v>2015.0</v>
      </c>
      <c r="Q76" s="182">
        <v>4.21E7</v>
      </c>
      <c r="R76" s="182">
        <v>2.105E7</v>
      </c>
      <c r="S76" s="182">
        <v>2.105E7</v>
      </c>
      <c r="T76" s="182">
        <v>0.0</v>
      </c>
      <c r="U76" s="183" t="s">
        <v>683</v>
      </c>
      <c r="V76" s="191">
        <v>0.0</v>
      </c>
      <c r="W76" s="180">
        <f t="shared" si="2"/>
        <v>-10</v>
      </c>
      <c r="X76" s="181"/>
      <c r="Y76" s="181"/>
      <c r="Z76" s="181"/>
    </row>
    <row r="77">
      <c r="A77" s="182" t="s">
        <v>260</v>
      </c>
      <c r="B77" s="182">
        <v>51.0</v>
      </c>
      <c r="C77" s="182" t="s">
        <v>263</v>
      </c>
      <c r="D77" s="182" t="s">
        <v>895</v>
      </c>
      <c r="E77" s="183" t="s">
        <v>683</v>
      </c>
      <c r="F77" s="180"/>
      <c r="G77" s="182" t="s">
        <v>896</v>
      </c>
      <c r="H77" s="182">
        <v>100.0</v>
      </c>
      <c r="I77" s="182">
        <v>1.0</v>
      </c>
      <c r="J77" s="182">
        <v>1.0</v>
      </c>
      <c r="K77" s="182">
        <v>0.0</v>
      </c>
      <c r="L77" s="182">
        <v>39.9</v>
      </c>
      <c r="M77" s="182">
        <v>0.39899999999999997</v>
      </c>
      <c r="N77" s="182">
        <v>2011.0</v>
      </c>
      <c r="O77" s="182">
        <v>2030.0</v>
      </c>
      <c r="P77" s="182">
        <v>2018.0</v>
      </c>
      <c r="Q77" s="182">
        <v>3020011.0</v>
      </c>
      <c r="R77" s="182">
        <v>1510005.5</v>
      </c>
      <c r="S77" s="182">
        <v>1510005.5</v>
      </c>
      <c r="T77" s="182">
        <v>0.0</v>
      </c>
      <c r="U77" s="183">
        <v>88.94538466921168</v>
      </c>
      <c r="V77" s="183">
        <v>0.8895</v>
      </c>
      <c r="W77" s="180">
        <f t="shared" si="2"/>
        <v>-12</v>
      </c>
      <c r="X77" s="181"/>
      <c r="Y77" s="181"/>
      <c r="Z77" s="181"/>
    </row>
    <row r="78">
      <c r="A78" s="182" t="s">
        <v>260</v>
      </c>
      <c r="B78" s="182">
        <v>51.0</v>
      </c>
      <c r="C78" s="182" t="s">
        <v>263</v>
      </c>
      <c r="D78" s="182" t="s">
        <v>895</v>
      </c>
      <c r="E78" s="183" t="s">
        <v>683</v>
      </c>
      <c r="F78" s="180"/>
      <c r="G78" s="182" t="s">
        <v>896</v>
      </c>
      <c r="H78" s="182">
        <v>100.0</v>
      </c>
      <c r="I78" s="182">
        <v>1.0</v>
      </c>
      <c r="J78" s="182">
        <v>1.0</v>
      </c>
      <c r="K78" s="182">
        <v>0.0</v>
      </c>
      <c r="L78" s="182">
        <v>50.4</v>
      </c>
      <c r="M78" s="182">
        <v>0.504</v>
      </c>
      <c r="N78" s="182">
        <v>2011.0</v>
      </c>
      <c r="O78" s="182">
        <v>2035.0</v>
      </c>
      <c r="P78" s="182">
        <v>2018.0</v>
      </c>
      <c r="Q78" s="182">
        <v>3020011.0</v>
      </c>
      <c r="R78" s="182">
        <v>1510005.5</v>
      </c>
      <c r="S78" s="182">
        <v>1510005.5</v>
      </c>
      <c r="T78" s="182">
        <v>0.0</v>
      </c>
      <c r="U78" s="183">
        <v>70.41509619645925</v>
      </c>
      <c r="V78" s="183">
        <v>0.7042</v>
      </c>
      <c r="W78" s="180">
        <f t="shared" si="2"/>
        <v>-17</v>
      </c>
      <c r="X78" s="181"/>
      <c r="Y78" s="181"/>
      <c r="Z78" s="181"/>
    </row>
    <row r="79">
      <c r="A79" s="182" t="s">
        <v>441</v>
      </c>
      <c r="B79" s="182">
        <v>85.0</v>
      </c>
      <c r="C79" s="182" t="s">
        <v>444</v>
      </c>
      <c r="D79" s="182" t="s">
        <v>895</v>
      </c>
      <c r="E79" s="183" t="s">
        <v>683</v>
      </c>
      <c r="F79" s="180"/>
      <c r="G79" s="182" t="s">
        <v>900</v>
      </c>
      <c r="H79" s="182">
        <v>100.0</v>
      </c>
      <c r="I79" s="182">
        <v>1.0</v>
      </c>
      <c r="J79" s="182">
        <v>0.0</v>
      </c>
      <c r="K79" s="182">
        <v>0.0</v>
      </c>
      <c r="L79" s="182">
        <v>100.0</v>
      </c>
      <c r="M79" s="182">
        <v>1.0</v>
      </c>
      <c r="N79" s="182">
        <v>2007.0</v>
      </c>
      <c r="O79" s="182">
        <v>2050.0</v>
      </c>
      <c r="P79" s="182">
        <v>2018.0</v>
      </c>
      <c r="Q79" s="182">
        <v>1.56650363E8</v>
      </c>
      <c r="R79" s="182">
        <v>1.56650363E8</v>
      </c>
      <c r="S79" s="182">
        <v>0.0</v>
      </c>
      <c r="T79" s="182">
        <v>0.0</v>
      </c>
      <c r="U79" s="183">
        <v>43.68760894604502</v>
      </c>
      <c r="V79" s="183">
        <v>0.4369</v>
      </c>
      <c r="W79" s="180">
        <f t="shared" si="2"/>
        <v>-32</v>
      </c>
      <c r="X79" s="181"/>
      <c r="Y79" s="181"/>
      <c r="Z79" s="181"/>
    </row>
    <row r="80">
      <c r="A80" s="182" t="s">
        <v>441</v>
      </c>
      <c r="B80" s="182">
        <v>85.0</v>
      </c>
      <c r="C80" s="182" t="s">
        <v>444</v>
      </c>
      <c r="D80" s="182" t="s">
        <v>895</v>
      </c>
      <c r="E80" s="183" t="s">
        <v>683</v>
      </c>
      <c r="F80" s="180"/>
      <c r="G80" s="182" t="s">
        <v>900</v>
      </c>
      <c r="H80" s="182">
        <v>100.0</v>
      </c>
      <c r="I80" s="182">
        <v>1.0</v>
      </c>
      <c r="J80" s="182">
        <v>0.0</v>
      </c>
      <c r="K80" s="182">
        <v>0.0</v>
      </c>
      <c r="L80" s="182">
        <v>50.0</v>
      </c>
      <c r="M80" s="182">
        <v>0.5</v>
      </c>
      <c r="N80" s="182">
        <v>2007.0</v>
      </c>
      <c r="O80" s="182">
        <v>2030.0</v>
      </c>
      <c r="P80" s="182">
        <v>2018.0</v>
      </c>
      <c r="Q80" s="182">
        <v>1.56650363E8</v>
      </c>
      <c r="R80" s="182">
        <v>1.56650363E8</v>
      </c>
      <c r="S80" s="182">
        <v>0.0</v>
      </c>
      <c r="T80" s="182">
        <v>0.0</v>
      </c>
      <c r="U80" s="183">
        <v>87.37521789209003</v>
      </c>
      <c r="V80" s="183">
        <v>0.8738</v>
      </c>
      <c r="W80" s="180">
        <f t="shared" si="2"/>
        <v>-12</v>
      </c>
      <c r="X80" s="181"/>
      <c r="Y80" s="181"/>
      <c r="Z80" s="181"/>
    </row>
    <row r="81">
      <c r="A81" s="182" t="s">
        <v>495</v>
      </c>
      <c r="B81" s="182">
        <v>95.0</v>
      </c>
      <c r="C81" s="182" t="s">
        <v>498</v>
      </c>
      <c r="D81" s="182" t="s">
        <v>895</v>
      </c>
      <c r="E81" s="183" t="s">
        <v>683</v>
      </c>
      <c r="F81" s="180"/>
      <c r="G81" s="182" t="s">
        <v>896</v>
      </c>
      <c r="H81" s="182">
        <v>100.0</v>
      </c>
      <c r="I81" s="182">
        <v>1.0</v>
      </c>
      <c r="J81" s="182">
        <v>1.0</v>
      </c>
      <c r="K81" s="182">
        <v>0.0</v>
      </c>
      <c r="L81" s="182">
        <v>40.0</v>
      </c>
      <c r="M81" s="182">
        <v>0.4</v>
      </c>
      <c r="N81" s="182">
        <v>2014.0</v>
      </c>
      <c r="O81" s="182">
        <v>2029.0</v>
      </c>
      <c r="P81" s="182">
        <v>2016.0</v>
      </c>
      <c r="Q81" s="182">
        <v>415211.0</v>
      </c>
      <c r="R81" s="182">
        <v>207605.5</v>
      </c>
      <c r="S81" s="182">
        <v>207605.5</v>
      </c>
      <c r="T81" s="182">
        <v>0.0</v>
      </c>
      <c r="U81" s="183">
        <v>109.75323389794586</v>
      </c>
      <c r="V81" s="183">
        <v>1.0975</v>
      </c>
      <c r="W81" s="180">
        <f t="shared" si="2"/>
        <v>-13</v>
      </c>
      <c r="X81" s="181"/>
      <c r="Y81" s="181"/>
      <c r="Z81" s="181"/>
    </row>
    <row r="82">
      <c r="A82" s="182" t="s">
        <v>495</v>
      </c>
      <c r="B82" s="182">
        <v>95.0</v>
      </c>
      <c r="C82" s="182" t="s">
        <v>498</v>
      </c>
      <c r="D82" s="182" t="s">
        <v>895</v>
      </c>
      <c r="E82" s="183" t="s">
        <v>683</v>
      </c>
      <c r="F82" s="180"/>
      <c r="G82" s="182" t="s">
        <v>896</v>
      </c>
      <c r="H82" s="182">
        <v>100.0</v>
      </c>
      <c r="I82" s="182">
        <v>1.0</v>
      </c>
      <c r="J82" s="182">
        <v>1.0</v>
      </c>
      <c r="K82" s="182">
        <v>0.0</v>
      </c>
      <c r="L82" s="182">
        <v>60.0</v>
      </c>
      <c r="M82" s="182">
        <v>0.6</v>
      </c>
      <c r="N82" s="182">
        <v>2014.0</v>
      </c>
      <c r="O82" s="182">
        <v>2044.0</v>
      </c>
      <c r="P82" s="182">
        <v>2016.0</v>
      </c>
      <c r="Q82" s="182">
        <v>415211.0</v>
      </c>
      <c r="R82" s="182">
        <v>207605.5</v>
      </c>
      <c r="S82" s="182">
        <v>207605.5</v>
      </c>
      <c r="T82" s="182">
        <v>0.0</v>
      </c>
      <c r="U82" s="183">
        <v>73.16882259863058</v>
      </c>
      <c r="V82" s="183">
        <v>0.7317</v>
      </c>
      <c r="W82" s="180">
        <f t="shared" si="2"/>
        <v>-28</v>
      </c>
      <c r="X82" s="181"/>
      <c r="Y82" s="181"/>
      <c r="Z82" s="181"/>
    </row>
    <row r="83">
      <c r="A83" s="182" t="s">
        <v>484</v>
      </c>
      <c r="B83" s="182">
        <v>93.0</v>
      </c>
      <c r="C83" s="182" t="s">
        <v>487</v>
      </c>
      <c r="D83" s="182" t="s">
        <v>895</v>
      </c>
      <c r="E83" s="183" t="s">
        <v>683</v>
      </c>
      <c r="F83" s="180"/>
      <c r="G83" s="182" t="s">
        <v>896</v>
      </c>
      <c r="H83" s="182">
        <v>55.0</v>
      </c>
      <c r="I83" s="182">
        <v>0.55</v>
      </c>
      <c r="J83" s="182">
        <v>0.55</v>
      </c>
      <c r="K83" s="182">
        <v>0.0</v>
      </c>
      <c r="L83" s="182">
        <v>3.0</v>
      </c>
      <c r="M83" s="182">
        <v>0.03</v>
      </c>
      <c r="N83" s="182">
        <v>2017.0</v>
      </c>
      <c r="O83" s="182">
        <v>2023.0</v>
      </c>
      <c r="P83" s="182">
        <v>2019.0</v>
      </c>
      <c r="Q83" s="182">
        <v>95079.0</v>
      </c>
      <c r="R83" s="182">
        <v>47539.5</v>
      </c>
      <c r="S83" s="182">
        <v>47539.5</v>
      </c>
      <c r="T83" s="182">
        <v>0.0</v>
      </c>
      <c r="U83" s="183">
        <v>431.0100022086903</v>
      </c>
      <c r="V83" s="183">
        <v>4.3101</v>
      </c>
      <c r="W83" s="180">
        <f t="shared" si="2"/>
        <v>-4</v>
      </c>
      <c r="X83" s="181"/>
      <c r="Y83" s="181"/>
      <c r="Z83" s="181"/>
    </row>
    <row r="84">
      <c r="A84" s="182" t="s">
        <v>489</v>
      </c>
      <c r="B84" s="182">
        <v>94.0</v>
      </c>
      <c r="C84" s="182" t="s">
        <v>493</v>
      </c>
      <c r="D84" s="182" t="s">
        <v>895</v>
      </c>
      <c r="E84" s="183" t="s">
        <v>683</v>
      </c>
      <c r="F84" s="180"/>
      <c r="G84" s="182" t="s">
        <v>896</v>
      </c>
      <c r="H84" s="182">
        <v>43.0</v>
      </c>
      <c r="I84" s="182">
        <v>0.43</v>
      </c>
      <c r="J84" s="182">
        <v>0.43</v>
      </c>
      <c r="K84" s="182">
        <v>0.0</v>
      </c>
      <c r="L84" s="182">
        <v>12.0</v>
      </c>
      <c r="M84" s="182">
        <v>0.12</v>
      </c>
      <c r="N84" s="182">
        <v>2015.0</v>
      </c>
      <c r="O84" s="182">
        <v>2025.0</v>
      </c>
      <c r="P84" s="182">
        <v>2016.0</v>
      </c>
      <c r="Q84" s="182">
        <v>5636000.0</v>
      </c>
      <c r="R84" s="182">
        <v>2818000.0</v>
      </c>
      <c r="S84" s="182">
        <v>2818000.0</v>
      </c>
      <c r="T84" s="182">
        <v>0.0</v>
      </c>
      <c r="U84" s="183">
        <v>-44.653418500118285</v>
      </c>
      <c r="V84" s="183">
        <v>-0.4465</v>
      </c>
      <c r="W84" s="180">
        <f t="shared" si="2"/>
        <v>-9</v>
      </c>
      <c r="X84" s="181"/>
      <c r="Y84" s="181"/>
      <c r="Z84" s="181"/>
    </row>
    <row r="85">
      <c r="A85" s="182" t="s">
        <v>500</v>
      </c>
      <c r="B85" s="182">
        <v>96.0</v>
      </c>
      <c r="C85" s="182" t="s">
        <v>504</v>
      </c>
      <c r="D85" s="182" t="s">
        <v>895</v>
      </c>
      <c r="E85" s="183" t="s">
        <v>683</v>
      </c>
      <c r="F85" s="180"/>
      <c r="G85" s="182" t="s">
        <v>896</v>
      </c>
      <c r="H85" s="182">
        <v>100.0</v>
      </c>
      <c r="I85" s="182">
        <v>1.0</v>
      </c>
      <c r="J85" s="182">
        <v>1.0</v>
      </c>
      <c r="K85" s="182">
        <v>0.0</v>
      </c>
      <c r="L85" s="182">
        <v>100.0</v>
      </c>
      <c r="M85" s="182">
        <v>1.0</v>
      </c>
      <c r="N85" s="182">
        <v>2018.0</v>
      </c>
      <c r="O85" s="182">
        <v>2035.0</v>
      </c>
      <c r="P85" s="182">
        <v>2018.0</v>
      </c>
      <c r="Q85" s="182">
        <v>4418820.0</v>
      </c>
      <c r="R85" s="182">
        <v>2209410.0</v>
      </c>
      <c r="S85" s="182">
        <v>2209410.0</v>
      </c>
      <c r="T85" s="182">
        <v>0.0</v>
      </c>
      <c r="U85" s="183">
        <v>1.2037756686174068</v>
      </c>
      <c r="V85" s="183">
        <v>0.012</v>
      </c>
      <c r="W85" s="180">
        <f t="shared" si="2"/>
        <v>-17</v>
      </c>
      <c r="X85" s="181"/>
      <c r="Y85" s="181"/>
      <c r="Z85" s="181"/>
    </row>
    <row r="86">
      <c r="A86" s="182" t="s">
        <v>500</v>
      </c>
      <c r="B86" s="182">
        <v>96.0</v>
      </c>
      <c r="C86" s="182" t="s">
        <v>504</v>
      </c>
      <c r="D86" s="182" t="s">
        <v>895</v>
      </c>
      <c r="E86" s="183" t="s">
        <v>683</v>
      </c>
      <c r="F86" s="180"/>
      <c r="G86" s="182" t="s">
        <v>902</v>
      </c>
      <c r="H86" s="182">
        <v>100.0</v>
      </c>
      <c r="I86" s="182">
        <v>0.0</v>
      </c>
      <c r="J86" s="182">
        <v>1.0</v>
      </c>
      <c r="K86" s="182">
        <v>0.0</v>
      </c>
      <c r="L86" s="182">
        <v>50.0</v>
      </c>
      <c r="M86" s="182">
        <v>0.5</v>
      </c>
      <c r="N86" s="182">
        <v>2018.0</v>
      </c>
      <c r="O86" s="182">
        <v>2025.0</v>
      </c>
      <c r="P86" s="182">
        <v>2018.0</v>
      </c>
      <c r="Q86" s="182">
        <v>4033579.0</v>
      </c>
      <c r="R86" s="182">
        <v>0.0</v>
      </c>
      <c r="S86" s="182">
        <v>4033579.0</v>
      </c>
      <c r="T86" s="182">
        <v>0.0</v>
      </c>
      <c r="U86" s="183">
        <v>1.3241109198555325</v>
      </c>
      <c r="V86" s="183">
        <v>0.0132</v>
      </c>
      <c r="W86" s="180">
        <f t="shared" si="2"/>
        <v>-7</v>
      </c>
      <c r="X86" s="181"/>
      <c r="Y86" s="181"/>
      <c r="Z86" s="181"/>
    </row>
    <row r="87">
      <c r="A87" s="182" t="s">
        <v>518</v>
      </c>
      <c r="B87" s="182">
        <v>99.0</v>
      </c>
      <c r="C87" s="182" t="s">
        <v>521</v>
      </c>
      <c r="D87" s="182" t="s">
        <v>895</v>
      </c>
      <c r="E87" s="183" t="s">
        <v>683</v>
      </c>
      <c r="F87" s="180"/>
      <c r="G87" s="182" t="s">
        <v>896</v>
      </c>
      <c r="H87" s="182">
        <v>100.0</v>
      </c>
      <c r="I87" s="182">
        <v>1.0</v>
      </c>
      <c r="J87" s="182">
        <v>1.0</v>
      </c>
      <c r="K87" s="182">
        <v>0.0</v>
      </c>
      <c r="L87" s="182">
        <v>18.0</v>
      </c>
      <c r="M87" s="182">
        <v>0.18</v>
      </c>
      <c r="N87" s="182">
        <v>2015.0</v>
      </c>
      <c r="O87" s="182">
        <v>2025.0</v>
      </c>
      <c r="P87" s="182">
        <v>2016.0</v>
      </c>
      <c r="Q87" s="182">
        <v>1.9547272E7</v>
      </c>
      <c r="R87" s="182">
        <v>9773636.0</v>
      </c>
      <c r="S87" s="182">
        <v>9773636.0</v>
      </c>
      <c r="T87" s="182">
        <v>0.0</v>
      </c>
      <c r="U87" s="183">
        <v>56.378313159105886</v>
      </c>
      <c r="V87" s="183">
        <v>0.5638</v>
      </c>
      <c r="W87" s="180">
        <f t="shared" si="2"/>
        <v>-9</v>
      </c>
      <c r="X87" s="181"/>
      <c r="Y87" s="181"/>
      <c r="Z87" s="181"/>
    </row>
    <row r="88">
      <c r="A88" s="182" t="s">
        <v>518</v>
      </c>
      <c r="B88" s="182">
        <v>99.0</v>
      </c>
      <c r="C88" s="182" t="s">
        <v>521</v>
      </c>
      <c r="D88" s="182" t="s">
        <v>895</v>
      </c>
      <c r="E88" s="183" t="s">
        <v>683</v>
      </c>
      <c r="F88" s="180"/>
      <c r="G88" s="182" t="s">
        <v>689</v>
      </c>
      <c r="H88" s="182">
        <v>100.0</v>
      </c>
      <c r="I88" s="182">
        <v>0.0</v>
      </c>
      <c r="J88" s="182">
        <v>0.0</v>
      </c>
      <c r="K88" s="182">
        <v>1.0</v>
      </c>
      <c r="L88" s="182">
        <v>100.0</v>
      </c>
      <c r="M88" s="182">
        <v>1.0</v>
      </c>
      <c r="N88" s="182">
        <v>2015.0</v>
      </c>
      <c r="O88" s="182">
        <v>2030.0</v>
      </c>
      <c r="P88" s="182">
        <v>2016.0</v>
      </c>
      <c r="Q88" s="182">
        <v>1.0E9</v>
      </c>
      <c r="R88" s="182">
        <v>0.0</v>
      </c>
      <c r="S88" s="182">
        <v>0.0</v>
      </c>
      <c r="T88" s="182">
        <v>1.0E9</v>
      </c>
      <c r="U88" s="183">
        <v>23.0</v>
      </c>
      <c r="V88" s="183">
        <v>0.23</v>
      </c>
      <c r="W88" s="180">
        <f t="shared" si="2"/>
        <v>-14</v>
      </c>
      <c r="X88" s="181"/>
      <c r="Y88" s="181"/>
      <c r="Z88" s="181"/>
    </row>
    <row r="89">
      <c r="A89" s="182" t="s">
        <v>10</v>
      </c>
      <c r="B89" s="182">
        <v>1.0</v>
      </c>
      <c r="C89" s="182" t="s">
        <v>13</v>
      </c>
      <c r="D89" s="182" t="s">
        <v>903</v>
      </c>
      <c r="E89" s="183" t="s">
        <v>904</v>
      </c>
      <c r="F89" s="183" t="s">
        <v>905</v>
      </c>
      <c r="G89" s="182" t="s">
        <v>896</v>
      </c>
      <c r="H89" s="182">
        <v>50.0</v>
      </c>
      <c r="I89" s="182">
        <v>0.5</v>
      </c>
      <c r="J89" s="182">
        <v>0.5</v>
      </c>
      <c r="K89" s="182">
        <v>0.0</v>
      </c>
      <c r="L89" s="182">
        <v>30.0</v>
      </c>
      <c r="M89" s="182">
        <v>0.3</v>
      </c>
      <c r="N89" s="182">
        <v>2015.0</v>
      </c>
      <c r="O89" s="182">
        <v>2025.0</v>
      </c>
      <c r="P89" s="182">
        <v>2015.0</v>
      </c>
      <c r="Q89" s="182">
        <v>0.0</v>
      </c>
      <c r="R89" s="182">
        <v>0.0</v>
      </c>
      <c r="S89" s="182">
        <v>0.0</v>
      </c>
      <c r="T89" s="182">
        <v>0.0</v>
      </c>
      <c r="U89" s="183">
        <v>10.672358591248665</v>
      </c>
      <c r="V89" s="183">
        <v>0.1067</v>
      </c>
      <c r="W89" s="180">
        <f t="shared" si="2"/>
        <v>-10</v>
      </c>
      <c r="X89" s="181"/>
      <c r="Y89" s="181"/>
      <c r="Z89" s="181"/>
    </row>
    <row r="90">
      <c r="A90" s="182" t="s">
        <v>31</v>
      </c>
      <c r="B90" s="182">
        <v>5.0</v>
      </c>
      <c r="C90" s="182" t="s">
        <v>35</v>
      </c>
      <c r="D90" s="182" t="s">
        <v>903</v>
      </c>
      <c r="E90" s="183" t="s">
        <v>906</v>
      </c>
      <c r="F90" s="183" t="s">
        <v>905</v>
      </c>
      <c r="G90" s="182" t="s">
        <v>689</v>
      </c>
      <c r="H90" s="182">
        <v>100.0</v>
      </c>
      <c r="I90" s="182">
        <v>0.0</v>
      </c>
      <c r="J90" s="182">
        <v>0.0</v>
      </c>
      <c r="K90" s="182">
        <v>1.0</v>
      </c>
      <c r="L90" s="182">
        <v>5.0</v>
      </c>
      <c r="M90" s="182">
        <v>0.05</v>
      </c>
      <c r="N90" s="182">
        <v>2015.0</v>
      </c>
      <c r="O90" s="182">
        <v>2025.0</v>
      </c>
      <c r="P90" s="182">
        <v>2016.0</v>
      </c>
      <c r="Q90" s="182">
        <v>0.0</v>
      </c>
      <c r="R90" s="182">
        <v>0.0</v>
      </c>
      <c r="S90" s="182">
        <v>0.0</v>
      </c>
      <c r="T90" s="182">
        <v>0.0</v>
      </c>
      <c r="U90" s="183">
        <v>50.0</v>
      </c>
      <c r="V90" s="183">
        <v>0.5</v>
      </c>
      <c r="W90" s="180">
        <f t="shared" si="2"/>
        <v>-9</v>
      </c>
      <c r="X90" s="181"/>
      <c r="Y90" s="181"/>
      <c r="Z90" s="181"/>
    </row>
    <row r="91">
      <c r="A91" s="182" t="s">
        <v>31</v>
      </c>
      <c r="B91" s="182">
        <v>5.0</v>
      </c>
      <c r="C91" s="182" t="s">
        <v>35</v>
      </c>
      <c r="D91" s="182" t="s">
        <v>903</v>
      </c>
      <c r="E91" s="183" t="s">
        <v>907</v>
      </c>
      <c r="F91" s="183" t="s">
        <v>905</v>
      </c>
      <c r="G91" s="182" t="s">
        <v>689</v>
      </c>
      <c r="H91" s="182">
        <v>100.0</v>
      </c>
      <c r="I91" s="182">
        <v>0.0</v>
      </c>
      <c r="J91" s="182">
        <v>0.0</v>
      </c>
      <c r="K91" s="182">
        <v>1.0</v>
      </c>
      <c r="L91" s="182">
        <v>15.0</v>
      </c>
      <c r="M91" s="182">
        <v>0.15</v>
      </c>
      <c r="N91" s="182">
        <v>2015.0</v>
      </c>
      <c r="O91" s="182">
        <v>2025.0</v>
      </c>
      <c r="P91" s="182">
        <v>2016.0</v>
      </c>
      <c r="Q91" s="182">
        <v>0.0</v>
      </c>
      <c r="R91" s="182">
        <v>0.0</v>
      </c>
      <c r="S91" s="182">
        <v>0.0</v>
      </c>
      <c r="T91" s="182">
        <v>0.0</v>
      </c>
      <c r="U91" s="183">
        <v>102.21973512404404</v>
      </c>
      <c r="V91" s="183">
        <v>1.0222</v>
      </c>
      <c r="W91" s="180">
        <f t="shared" si="2"/>
        <v>-9</v>
      </c>
      <c r="X91" s="181"/>
      <c r="Y91" s="181"/>
      <c r="Z91" s="181"/>
    </row>
    <row r="92">
      <c r="A92" s="182" t="s">
        <v>67</v>
      </c>
      <c r="B92" s="182">
        <v>11.0</v>
      </c>
      <c r="C92" s="182" t="s">
        <v>71</v>
      </c>
      <c r="D92" s="182" t="s">
        <v>903</v>
      </c>
      <c r="E92" s="183" t="s">
        <v>907</v>
      </c>
      <c r="F92" s="183" t="s">
        <v>905</v>
      </c>
      <c r="G92" s="182" t="s">
        <v>902</v>
      </c>
      <c r="H92" s="182">
        <v>83.0</v>
      </c>
      <c r="I92" s="182">
        <v>0.0</v>
      </c>
      <c r="J92" s="182">
        <v>0.83</v>
      </c>
      <c r="K92" s="182">
        <v>0.0</v>
      </c>
      <c r="L92" s="182">
        <v>30.0</v>
      </c>
      <c r="M92" s="182">
        <v>0.3</v>
      </c>
      <c r="N92" s="182">
        <v>2011.0</v>
      </c>
      <c r="O92" s="182">
        <v>2023.0</v>
      </c>
      <c r="P92" s="182">
        <v>2012.0</v>
      </c>
      <c r="Q92" s="182">
        <v>0.0</v>
      </c>
      <c r="R92" s="182">
        <v>0.0</v>
      </c>
      <c r="S92" s="182">
        <v>0.0</v>
      </c>
      <c r="T92" s="182">
        <v>0.0</v>
      </c>
      <c r="U92" s="183">
        <v>133.70998116760825</v>
      </c>
      <c r="V92" s="183">
        <v>1.3371</v>
      </c>
      <c r="W92" s="180">
        <f t="shared" si="2"/>
        <v>-11</v>
      </c>
      <c r="X92" s="181"/>
      <c r="Y92" s="181"/>
      <c r="Z92" s="181"/>
    </row>
    <row r="93">
      <c r="A93" s="182" t="s">
        <v>90</v>
      </c>
      <c r="B93" s="182">
        <v>15.0</v>
      </c>
      <c r="C93" s="182" t="s">
        <v>94</v>
      </c>
      <c r="D93" s="182" t="s">
        <v>903</v>
      </c>
      <c r="E93" s="183" t="s">
        <v>908</v>
      </c>
      <c r="F93" s="183" t="s">
        <v>905</v>
      </c>
      <c r="G93" s="182" t="s">
        <v>909</v>
      </c>
      <c r="H93" s="182"/>
      <c r="I93" s="182">
        <v>0.0</v>
      </c>
      <c r="J93" s="182">
        <v>0.0</v>
      </c>
      <c r="K93" s="182">
        <v>0.0</v>
      </c>
      <c r="L93" s="182"/>
      <c r="M93" s="182">
        <v>0.0</v>
      </c>
      <c r="N93" s="185">
        <v>2015.0</v>
      </c>
      <c r="O93" s="182">
        <v>2025.0</v>
      </c>
      <c r="P93" s="182">
        <v>2015.0</v>
      </c>
      <c r="Q93" s="182">
        <v>0.0</v>
      </c>
      <c r="R93" s="182">
        <v>0.0</v>
      </c>
      <c r="S93" s="182">
        <v>0.0</v>
      </c>
      <c r="T93" s="182">
        <v>0.0</v>
      </c>
      <c r="U93" s="183"/>
      <c r="V93" s="183">
        <v>0.0</v>
      </c>
      <c r="W93" s="180">
        <f t="shared" si="2"/>
        <v>-10</v>
      </c>
      <c r="X93" s="181"/>
      <c r="Y93" s="181"/>
      <c r="Z93" s="181"/>
    </row>
    <row r="94">
      <c r="A94" s="182" t="s">
        <v>111</v>
      </c>
      <c r="B94" s="182">
        <v>19.0</v>
      </c>
      <c r="C94" s="182" t="s">
        <v>115</v>
      </c>
      <c r="D94" s="182" t="s">
        <v>903</v>
      </c>
      <c r="E94" s="183" t="s">
        <v>906</v>
      </c>
      <c r="F94" s="183" t="s">
        <v>905</v>
      </c>
      <c r="G94" s="182" t="s">
        <v>902</v>
      </c>
      <c r="H94" s="182">
        <v>12.0</v>
      </c>
      <c r="I94" s="182">
        <v>0.0</v>
      </c>
      <c r="J94" s="182">
        <v>0.12</v>
      </c>
      <c r="K94" s="182">
        <v>0.0</v>
      </c>
      <c r="L94" s="182">
        <v>30.0</v>
      </c>
      <c r="M94" s="182">
        <v>0.3</v>
      </c>
      <c r="N94" s="182">
        <v>2011.0</v>
      </c>
      <c r="O94" s="182">
        <v>2023.0</v>
      </c>
      <c r="P94" s="182">
        <v>2013.0</v>
      </c>
      <c r="Q94" s="182">
        <v>0.0</v>
      </c>
      <c r="R94" s="182">
        <v>0.0</v>
      </c>
      <c r="S94" s="182">
        <v>0.0</v>
      </c>
      <c r="T94" s="182">
        <v>0.0</v>
      </c>
      <c r="U94" s="183">
        <v>242.84077892325308</v>
      </c>
      <c r="V94" s="183">
        <v>2.4284</v>
      </c>
      <c r="W94" s="180">
        <f t="shared" si="2"/>
        <v>-10</v>
      </c>
      <c r="X94" s="181"/>
      <c r="Y94" s="181"/>
      <c r="Z94" s="181"/>
    </row>
    <row r="95">
      <c r="A95" s="182" t="s">
        <v>172</v>
      </c>
      <c r="B95" s="182">
        <v>32.0</v>
      </c>
      <c r="C95" s="182" t="s">
        <v>175</v>
      </c>
      <c r="D95" s="182" t="s">
        <v>903</v>
      </c>
      <c r="E95" s="183" t="s">
        <v>910</v>
      </c>
      <c r="F95" s="183" t="s">
        <v>911</v>
      </c>
      <c r="G95" s="182" t="s">
        <v>896</v>
      </c>
      <c r="H95" s="182">
        <v>99.0</v>
      </c>
      <c r="I95" s="182">
        <v>0.99</v>
      </c>
      <c r="J95" s="182">
        <v>0.99</v>
      </c>
      <c r="K95" s="182">
        <v>0.0</v>
      </c>
      <c r="L95" s="182">
        <v>10.0</v>
      </c>
      <c r="M95" s="182">
        <v>0.1</v>
      </c>
      <c r="N95" s="182">
        <v>2017.0</v>
      </c>
      <c r="O95" s="182">
        <v>2030.0</v>
      </c>
      <c r="P95" s="182">
        <v>2017.0</v>
      </c>
      <c r="Q95" s="182">
        <v>0.0</v>
      </c>
      <c r="R95" s="182">
        <v>0.0</v>
      </c>
      <c r="S95" s="182">
        <v>0.0</v>
      </c>
      <c r="T95" s="182">
        <v>0.0</v>
      </c>
      <c r="U95" s="183">
        <v>81.84143222506408</v>
      </c>
      <c r="V95" s="183">
        <v>0.8184</v>
      </c>
      <c r="W95" s="180">
        <f t="shared" si="2"/>
        <v>-13</v>
      </c>
      <c r="X95" s="181"/>
      <c r="Y95" s="181"/>
      <c r="Z95" s="181"/>
    </row>
    <row r="96">
      <c r="A96" s="182" t="s">
        <v>265</v>
      </c>
      <c r="B96" s="182">
        <v>52.0</v>
      </c>
      <c r="C96" s="182" t="s">
        <v>269</v>
      </c>
      <c r="D96" s="182" t="s">
        <v>903</v>
      </c>
      <c r="E96" s="183" t="s">
        <v>912</v>
      </c>
      <c r="F96" s="183" t="s">
        <v>913</v>
      </c>
      <c r="G96" s="182" t="s">
        <v>896</v>
      </c>
      <c r="H96" s="182">
        <v>0.0</v>
      </c>
      <c r="I96" s="182">
        <v>0.0</v>
      </c>
      <c r="J96" s="182">
        <v>0.0</v>
      </c>
      <c r="K96" s="182">
        <v>0.0</v>
      </c>
      <c r="L96" s="182">
        <v>10.0</v>
      </c>
      <c r="M96" s="182">
        <v>0.1</v>
      </c>
      <c r="N96" s="182">
        <v>2018.0</v>
      </c>
      <c r="O96" s="182">
        <v>2023.0</v>
      </c>
      <c r="P96" s="182">
        <v>2019.0</v>
      </c>
      <c r="Q96" s="182">
        <v>0.0</v>
      </c>
      <c r="R96" s="182">
        <v>0.0</v>
      </c>
      <c r="S96" s="182">
        <v>0.0</v>
      </c>
      <c r="T96" s="182">
        <v>0.0</v>
      </c>
      <c r="U96" s="183">
        <v>79.890335574465</v>
      </c>
      <c r="V96" s="183">
        <v>0.7989</v>
      </c>
      <c r="W96" s="180">
        <f t="shared" si="2"/>
        <v>-4</v>
      </c>
      <c r="X96" s="181"/>
      <c r="Y96" s="181"/>
      <c r="Z96" s="181"/>
    </row>
    <row r="97">
      <c r="A97" s="182" t="s">
        <v>322</v>
      </c>
      <c r="B97" s="182">
        <v>62.0</v>
      </c>
      <c r="C97" s="182" t="s">
        <v>326</v>
      </c>
      <c r="D97" s="182" t="s">
        <v>903</v>
      </c>
      <c r="E97" s="183" t="s">
        <v>914</v>
      </c>
      <c r="F97" s="183" t="s">
        <v>905</v>
      </c>
      <c r="G97" s="182" t="s">
        <v>689</v>
      </c>
      <c r="H97" s="182">
        <v>80.44</v>
      </c>
      <c r="I97" s="182">
        <v>0.0</v>
      </c>
      <c r="J97" s="182">
        <v>0.0</v>
      </c>
      <c r="K97" s="182">
        <v>0.8044</v>
      </c>
      <c r="L97" s="182">
        <v>31.0</v>
      </c>
      <c r="M97" s="182">
        <v>0.31</v>
      </c>
      <c r="N97" s="182">
        <v>2015.0</v>
      </c>
      <c r="O97" s="182">
        <v>2030.0</v>
      </c>
      <c r="P97" s="182">
        <v>2018.0</v>
      </c>
      <c r="Q97" s="182">
        <v>0.0</v>
      </c>
      <c r="R97" s="182">
        <v>0.0</v>
      </c>
      <c r="S97" s="182">
        <v>0.0</v>
      </c>
      <c r="T97" s="182">
        <v>0.0</v>
      </c>
      <c r="U97" s="183">
        <v>2.774035032099559</v>
      </c>
      <c r="V97" s="183">
        <v>0.0277</v>
      </c>
      <c r="W97" s="180">
        <f t="shared" si="2"/>
        <v>-12</v>
      </c>
      <c r="X97" s="181"/>
      <c r="Y97" s="181"/>
      <c r="Z97" s="181"/>
    </row>
    <row r="98">
      <c r="A98" s="182" t="s">
        <v>379</v>
      </c>
      <c r="B98" s="182">
        <v>73.0</v>
      </c>
      <c r="C98" s="182" t="s">
        <v>382</v>
      </c>
      <c r="D98" s="182" t="s">
        <v>903</v>
      </c>
      <c r="E98" s="183" t="s">
        <v>915</v>
      </c>
      <c r="F98" s="183" t="s">
        <v>911</v>
      </c>
      <c r="G98" s="182" t="s">
        <v>900</v>
      </c>
      <c r="H98" s="182">
        <v>100.0</v>
      </c>
      <c r="I98" s="182">
        <v>1.0</v>
      </c>
      <c r="J98" s="182">
        <v>0.0</v>
      </c>
      <c r="K98" s="182">
        <v>0.0</v>
      </c>
      <c r="L98" s="182">
        <v>13.0</v>
      </c>
      <c r="M98" s="182">
        <v>0.13</v>
      </c>
      <c r="N98" s="182">
        <v>2017.0</v>
      </c>
      <c r="O98" s="182">
        <v>2025.0</v>
      </c>
      <c r="P98" s="182">
        <v>2018.0</v>
      </c>
      <c r="Q98" s="182">
        <v>0.0</v>
      </c>
      <c r="R98" s="182">
        <v>0.0</v>
      </c>
      <c r="S98" s="182">
        <v>0.0</v>
      </c>
      <c r="T98" s="182">
        <v>0.0</v>
      </c>
      <c r="U98" s="183">
        <v>769.230769230769</v>
      </c>
      <c r="V98" s="183">
        <v>7.6923</v>
      </c>
      <c r="W98" s="180">
        <f t="shared" si="2"/>
        <v>-7</v>
      </c>
      <c r="X98" s="181"/>
      <c r="Y98" s="181"/>
      <c r="Z98" s="181"/>
    </row>
    <row r="99">
      <c r="A99" s="182" t="s">
        <v>379</v>
      </c>
      <c r="B99" s="182">
        <v>73.0</v>
      </c>
      <c r="C99" s="182" t="s">
        <v>382</v>
      </c>
      <c r="D99" s="182" t="s">
        <v>903</v>
      </c>
      <c r="E99" s="183" t="s">
        <v>916</v>
      </c>
      <c r="F99" s="183" t="s">
        <v>905</v>
      </c>
      <c r="G99" s="182" t="s">
        <v>900</v>
      </c>
      <c r="H99" s="182"/>
      <c r="I99" s="182">
        <v>0.0</v>
      </c>
      <c r="J99" s="182">
        <v>0.0</v>
      </c>
      <c r="K99" s="182">
        <v>0.0</v>
      </c>
      <c r="L99" s="182">
        <v>21.0</v>
      </c>
      <c r="M99" s="182">
        <v>0.21</v>
      </c>
      <c r="N99" s="182">
        <v>2018.0</v>
      </c>
      <c r="O99" s="182">
        <v>2025.0</v>
      </c>
      <c r="P99" s="182">
        <v>2017.0</v>
      </c>
      <c r="Q99" s="182">
        <v>0.0</v>
      </c>
      <c r="R99" s="182">
        <v>0.0</v>
      </c>
      <c r="S99" s="182">
        <v>0.0</v>
      </c>
      <c r="T99" s="182">
        <v>0.0</v>
      </c>
      <c r="U99" s="183">
        <v>476.1904761904762</v>
      </c>
      <c r="V99" s="183">
        <v>4.7619</v>
      </c>
      <c r="W99" s="180">
        <f t="shared" si="2"/>
        <v>-8</v>
      </c>
      <c r="X99" s="181"/>
      <c r="Y99" s="181"/>
      <c r="Z99" s="181"/>
    </row>
    <row r="100">
      <c r="A100" s="182" t="s">
        <v>379</v>
      </c>
      <c r="B100" s="182">
        <v>73.0</v>
      </c>
      <c r="C100" s="182" t="s">
        <v>382</v>
      </c>
      <c r="D100" s="182" t="s">
        <v>903</v>
      </c>
      <c r="E100" s="183" t="s">
        <v>914</v>
      </c>
      <c r="F100" s="183" t="s">
        <v>905</v>
      </c>
      <c r="G100" s="182" t="s">
        <v>896</v>
      </c>
      <c r="H100" s="182">
        <v>77.0</v>
      </c>
      <c r="I100" s="182">
        <v>0.77</v>
      </c>
      <c r="J100" s="182">
        <v>0.77</v>
      </c>
      <c r="K100" s="182">
        <v>0.0</v>
      </c>
      <c r="L100" s="182">
        <v>4.65</v>
      </c>
      <c r="M100" s="182">
        <v>0.04650000000000001</v>
      </c>
      <c r="N100" s="182">
        <v>2013.0</v>
      </c>
      <c r="O100" s="182">
        <v>2025.0</v>
      </c>
      <c r="P100" s="182">
        <v>2020.0</v>
      </c>
      <c r="Q100" s="182">
        <v>0.0</v>
      </c>
      <c r="R100" s="182">
        <v>0.0</v>
      </c>
      <c r="S100" s="182">
        <v>0.0</v>
      </c>
      <c r="T100" s="182">
        <v>0.0</v>
      </c>
      <c r="U100" s="183">
        <v>2150.537634408605</v>
      </c>
      <c r="V100" s="183">
        <v>21.5054</v>
      </c>
      <c r="W100" s="180">
        <f t="shared" si="2"/>
        <v>-5</v>
      </c>
      <c r="X100" s="181"/>
      <c r="Y100" s="181"/>
      <c r="Z100" s="181"/>
    </row>
    <row r="101">
      <c r="A101" s="182" t="s">
        <v>384</v>
      </c>
      <c r="B101" s="182">
        <v>74.0</v>
      </c>
      <c r="C101" s="182" t="s">
        <v>387</v>
      </c>
      <c r="D101" s="182" t="s">
        <v>903</v>
      </c>
      <c r="E101" s="183" t="s">
        <v>917</v>
      </c>
      <c r="F101" s="183" t="s">
        <v>905</v>
      </c>
      <c r="G101" s="182" t="s">
        <v>896</v>
      </c>
      <c r="H101" s="182">
        <v>100.0</v>
      </c>
      <c r="I101" s="182">
        <v>1.0</v>
      </c>
      <c r="J101" s="182">
        <v>1.0</v>
      </c>
      <c r="K101" s="182">
        <v>0.0</v>
      </c>
      <c r="L101" s="182">
        <v>55.0</v>
      </c>
      <c r="M101" s="182">
        <v>0.55</v>
      </c>
      <c r="N101" s="182">
        <v>2015.0</v>
      </c>
      <c r="O101" s="182">
        <v>2025.0</v>
      </c>
      <c r="P101" s="182">
        <v>2018.0</v>
      </c>
      <c r="Q101" s="182">
        <v>0.0</v>
      </c>
      <c r="R101" s="182">
        <v>0.0</v>
      </c>
      <c r="S101" s="182">
        <v>0.0</v>
      </c>
      <c r="T101" s="182">
        <v>0.0</v>
      </c>
      <c r="U101" s="183">
        <v>76.3551993250369</v>
      </c>
      <c r="V101" s="183">
        <v>0.7636</v>
      </c>
      <c r="W101" s="180">
        <f t="shared" si="2"/>
        <v>-7</v>
      </c>
      <c r="X101" s="181"/>
      <c r="Y101" s="181"/>
      <c r="Z101" s="181"/>
    </row>
    <row r="102">
      <c r="A102" s="182" t="s">
        <v>500</v>
      </c>
      <c r="B102" s="182">
        <v>96.0</v>
      </c>
      <c r="C102" s="182" t="s">
        <v>504</v>
      </c>
      <c r="D102" s="182" t="s">
        <v>903</v>
      </c>
      <c r="E102" s="183" t="s">
        <v>918</v>
      </c>
      <c r="F102" s="183" t="s">
        <v>905</v>
      </c>
      <c r="G102" s="182" t="s">
        <v>896</v>
      </c>
      <c r="H102" s="182">
        <v>100.0</v>
      </c>
      <c r="I102" s="182">
        <v>1.0</v>
      </c>
      <c r="J102" s="182">
        <v>1.0</v>
      </c>
      <c r="K102" s="182">
        <v>0.0</v>
      </c>
      <c r="L102" s="182">
        <v>50.0</v>
      </c>
      <c r="M102" s="182">
        <v>0.5</v>
      </c>
      <c r="N102" s="182">
        <v>2016.0</v>
      </c>
      <c r="O102" s="182">
        <v>2025.0</v>
      </c>
      <c r="P102" s="182">
        <v>2016.0</v>
      </c>
      <c r="Q102" s="182">
        <v>0.0</v>
      </c>
      <c r="R102" s="182">
        <v>0.0</v>
      </c>
      <c r="S102" s="182">
        <v>0.0</v>
      </c>
      <c r="T102" s="182">
        <v>0.0</v>
      </c>
      <c r="U102" s="183">
        <v>105.35256842389104</v>
      </c>
      <c r="V102" s="183">
        <v>1.0535</v>
      </c>
      <c r="W102" s="180">
        <f t="shared" si="2"/>
        <v>-9</v>
      </c>
      <c r="X102" s="181"/>
      <c r="Y102" s="181"/>
      <c r="Z102" s="181"/>
    </row>
    <row r="103">
      <c r="A103" s="192"/>
      <c r="B103" s="182"/>
      <c r="C103" s="182"/>
      <c r="D103" s="182"/>
      <c r="E103" s="182"/>
      <c r="F103" s="180"/>
      <c r="G103" s="182"/>
      <c r="H103" s="182"/>
      <c r="I103" s="182"/>
      <c r="J103" s="182"/>
      <c r="K103" s="182"/>
      <c r="L103" s="182"/>
      <c r="M103" s="182"/>
      <c r="N103" s="182"/>
      <c r="O103" s="182"/>
      <c r="P103" s="182"/>
      <c r="Q103" s="184"/>
      <c r="R103" s="180"/>
      <c r="S103" s="180"/>
      <c r="T103" s="180"/>
      <c r="U103" s="183"/>
      <c r="V103" s="183"/>
      <c r="W103" s="180"/>
      <c r="X103" s="181"/>
      <c r="Y103" s="181"/>
      <c r="Z103" s="181"/>
    </row>
    <row r="104" ht="14.25" customHeight="1">
      <c r="A104" s="181"/>
      <c r="B104" s="181"/>
      <c r="C104" s="181"/>
      <c r="D104" s="181"/>
      <c r="E104" s="181"/>
      <c r="F104" s="181"/>
      <c r="G104" s="181"/>
      <c r="H104" s="181"/>
      <c r="I104" s="181"/>
      <c r="J104" s="181"/>
      <c r="K104" s="181"/>
      <c r="L104" s="181"/>
      <c r="M104" s="181"/>
      <c r="N104" s="181"/>
      <c r="O104" s="181"/>
      <c r="P104" s="181"/>
      <c r="Q104" s="181"/>
      <c r="R104" s="181"/>
      <c r="S104" s="181"/>
      <c r="T104" s="181"/>
      <c r="U104" s="181"/>
      <c r="V104" s="181"/>
      <c r="W104" s="181"/>
      <c r="X104" s="181"/>
      <c r="Y104" s="181"/>
      <c r="Z104" s="181"/>
    </row>
    <row r="105" ht="14.25" customHeight="1">
      <c r="A105" s="181"/>
      <c r="B105" s="181"/>
      <c r="C105" s="181"/>
      <c r="D105" s="181"/>
      <c r="E105" s="181"/>
      <c r="F105" s="181"/>
      <c r="G105" s="181"/>
      <c r="H105" s="181"/>
      <c r="I105" s="181"/>
      <c r="J105" s="181"/>
      <c r="K105" s="181"/>
      <c r="L105" s="181"/>
      <c r="M105" s="181"/>
      <c r="N105" s="181"/>
      <c r="O105" s="181"/>
      <c r="P105" s="181"/>
      <c r="Q105" s="181"/>
      <c r="R105" s="181"/>
      <c r="S105" s="181"/>
      <c r="T105" s="181"/>
      <c r="U105" s="181"/>
      <c r="V105" s="181"/>
      <c r="W105" s="181"/>
      <c r="X105" s="181"/>
      <c r="Y105" s="181"/>
      <c r="Z105" s="181"/>
    </row>
    <row r="106" ht="14.25" customHeight="1">
      <c r="A106" s="181"/>
      <c r="B106" s="181"/>
      <c r="C106" s="181"/>
      <c r="D106" s="181"/>
      <c r="E106" s="181"/>
      <c r="F106" s="181"/>
      <c r="G106" s="181"/>
      <c r="H106" s="181"/>
      <c r="I106" s="181"/>
      <c r="J106" s="181"/>
      <c r="K106" s="181"/>
      <c r="L106" s="181"/>
      <c r="M106" s="181"/>
      <c r="N106" s="181"/>
      <c r="O106" s="181"/>
      <c r="P106" s="181"/>
      <c r="Q106" s="181"/>
      <c r="R106" s="181"/>
      <c r="S106" s="181"/>
      <c r="T106" s="181"/>
      <c r="U106" s="181"/>
      <c r="V106" s="181"/>
      <c r="W106" s="181"/>
      <c r="X106" s="181"/>
      <c r="Y106" s="181"/>
      <c r="Z106" s="181"/>
    </row>
    <row r="107" ht="14.25" customHeight="1">
      <c r="A107" s="181"/>
      <c r="B107" s="181"/>
      <c r="C107" s="181"/>
      <c r="D107" s="181"/>
      <c r="E107" s="181"/>
      <c r="F107" s="181"/>
      <c r="G107" s="181"/>
      <c r="H107" s="181"/>
      <c r="I107" s="181"/>
      <c r="J107" s="181"/>
      <c r="K107" s="181"/>
      <c r="L107" s="181"/>
      <c r="M107" s="181"/>
      <c r="N107" s="181"/>
      <c r="O107" s="181"/>
      <c r="P107" s="181"/>
      <c r="Q107" s="181"/>
      <c r="R107" s="181"/>
      <c r="S107" s="181"/>
      <c r="T107" s="181"/>
      <c r="U107" s="181"/>
      <c r="V107" s="181"/>
      <c r="W107" s="181"/>
      <c r="X107" s="181"/>
      <c r="Y107" s="181"/>
      <c r="Z107" s="181"/>
    </row>
    <row r="108" ht="14.25" customHeight="1">
      <c r="A108" s="181"/>
      <c r="B108" s="181"/>
      <c r="C108" s="181"/>
      <c r="D108" s="181"/>
      <c r="E108" s="181"/>
      <c r="F108" s="181"/>
      <c r="G108" s="181"/>
      <c r="H108" s="181"/>
      <c r="I108" s="181"/>
      <c r="J108" s="181"/>
      <c r="K108" s="181"/>
      <c r="L108" s="181"/>
      <c r="M108" s="181"/>
      <c r="N108" s="181"/>
      <c r="O108" s="181"/>
      <c r="P108" s="181"/>
      <c r="Q108" s="181"/>
      <c r="R108" s="181"/>
      <c r="S108" s="181"/>
      <c r="T108" s="181"/>
      <c r="U108" s="181"/>
      <c r="V108" s="181"/>
      <c r="W108" s="181"/>
      <c r="X108" s="181"/>
      <c r="Y108" s="181"/>
      <c r="Z108" s="181"/>
    </row>
    <row r="109" ht="14.25" customHeight="1">
      <c r="A109" s="181"/>
      <c r="B109" s="181"/>
      <c r="C109" s="181"/>
      <c r="D109" s="181"/>
      <c r="E109" s="181"/>
      <c r="F109" s="181"/>
      <c r="G109" s="181"/>
      <c r="H109" s="181"/>
      <c r="I109" s="181"/>
      <c r="J109" s="181"/>
      <c r="K109" s="181"/>
      <c r="L109" s="181"/>
      <c r="M109" s="181"/>
      <c r="N109" s="181"/>
      <c r="O109" s="181"/>
      <c r="P109" s="181"/>
      <c r="Q109" s="181"/>
      <c r="R109" s="181"/>
      <c r="S109" s="181"/>
      <c r="T109" s="181"/>
      <c r="U109" s="181"/>
      <c r="V109" s="181"/>
      <c r="W109" s="181"/>
      <c r="X109" s="181"/>
      <c r="Y109" s="181"/>
      <c r="Z109" s="181"/>
    </row>
    <row r="110" ht="14.25" customHeight="1">
      <c r="A110" s="181"/>
      <c r="B110" s="181"/>
      <c r="C110" s="181"/>
      <c r="D110" s="181"/>
      <c r="E110" s="181"/>
      <c r="F110" s="181"/>
      <c r="G110" s="181"/>
      <c r="H110" s="181"/>
      <c r="I110" s="181"/>
      <c r="J110" s="181"/>
      <c r="K110" s="181"/>
      <c r="L110" s="181"/>
      <c r="M110" s="181"/>
      <c r="N110" s="181"/>
      <c r="O110" s="181"/>
      <c r="P110" s="181"/>
      <c r="Q110" s="181"/>
      <c r="R110" s="181"/>
      <c r="S110" s="181"/>
      <c r="T110" s="181"/>
      <c r="U110" s="181"/>
      <c r="V110" s="181"/>
      <c r="W110" s="181"/>
      <c r="X110" s="181"/>
      <c r="Y110" s="181"/>
      <c r="Z110" s="181"/>
    </row>
    <row r="111" ht="14.25" customHeight="1">
      <c r="A111" s="181"/>
      <c r="B111" s="181"/>
      <c r="C111" s="181"/>
      <c r="D111" s="181"/>
      <c r="E111" s="181"/>
      <c r="F111" s="181"/>
      <c r="G111" s="181"/>
      <c r="H111" s="181"/>
      <c r="I111" s="181"/>
      <c r="J111" s="181"/>
      <c r="K111" s="181"/>
      <c r="L111" s="181"/>
      <c r="M111" s="181"/>
      <c r="N111" s="181"/>
      <c r="O111" s="181"/>
      <c r="P111" s="181"/>
      <c r="Q111" s="181"/>
      <c r="R111" s="181"/>
      <c r="S111" s="181"/>
      <c r="T111" s="181"/>
      <c r="U111" s="181"/>
      <c r="V111" s="181"/>
      <c r="W111" s="181"/>
      <c r="X111" s="181"/>
      <c r="Y111" s="181"/>
      <c r="Z111" s="181"/>
    </row>
    <row r="112" ht="14.25" customHeight="1">
      <c r="A112" s="181"/>
      <c r="B112" s="181"/>
      <c r="C112" s="181"/>
      <c r="D112" s="181"/>
      <c r="E112" s="181"/>
      <c r="F112" s="181"/>
      <c r="G112" s="181"/>
      <c r="H112" s="181"/>
      <c r="I112" s="181"/>
      <c r="J112" s="181"/>
      <c r="K112" s="181"/>
      <c r="L112" s="181"/>
      <c r="M112" s="181"/>
      <c r="N112" s="181"/>
      <c r="O112" s="181"/>
      <c r="P112" s="181"/>
      <c r="Q112" s="181"/>
      <c r="R112" s="181"/>
      <c r="S112" s="181"/>
      <c r="T112" s="181"/>
      <c r="U112" s="181"/>
      <c r="V112" s="181"/>
      <c r="W112" s="181"/>
      <c r="X112" s="181"/>
      <c r="Y112" s="181"/>
      <c r="Z112" s="181"/>
    </row>
    <row r="113" ht="14.25" customHeight="1">
      <c r="A113" s="181"/>
      <c r="B113" s="181"/>
      <c r="C113" s="181"/>
      <c r="D113" s="181"/>
      <c r="E113" s="181"/>
      <c r="F113" s="181"/>
      <c r="G113" s="181"/>
      <c r="H113" s="181"/>
      <c r="I113" s="181"/>
      <c r="J113" s="181"/>
      <c r="K113" s="181"/>
      <c r="L113" s="181"/>
      <c r="M113" s="181"/>
      <c r="N113" s="181"/>
      <c r="O113" s="181"/>
      <c r="P113" s="181"/>
      <c r="Q113" s="181"/>
      <c r="R113" s="193"/>
      <c r="S113" s="181"/>
      <c r="T113" s="181"/>
      <c r="U113" s="181"/>
      <c r="V113" s="181"/>
      <c r="W113" s="181"/>
      <c r="X113" s="181"/>
      <c r="Y113" s="181"/>
      <c r="Z113" s="181"/>
    </row>
    <row r="114" ht="14.25" customHeight="1">
      <c r="A114" s="181"/>
      <c r="B114" s="181"/>
      <c r="C114" s="181"/>
      <c r="D114" s="181"/>
      <c r="E114" s="181"/>
      <c r="F114" s="181"/>
      <c r="G114" s="181"/>
      <c r="H114" s="181"/>
      <c r="I114" s="181"/>
      <c r="J114" s="181"/>
      <c r="K114" s="181"/>
      <c r="L114" s="181"/>
      <c r="M114" s="181"/>
      <c r="N114" s="181"/>
      <c r="O114" s="181"/>
      <c r="P114" s="181"/>
      <c r="Q114" s="181"/>
      <c r="R114" s="193"/>
      <c r="S114" s="181"/>
      <c r="T114" s="181"/>
      <c r="U114" s="181"/>
      <c r="V114" s="181"/>
      <c r="W114" s="181"/>
      <c r="X114" s="181"/>
      <c r="Y114" s="181"/>
      <c r="Z114" s="181"/>
    </row>
    <row r="115" ht="14.25" customHeight="1">
      <c r="A115" s="181"/>
      <c r="B115" s="181"/>
      <c r="C115" s="181"/>
      <c r="D115" s="181"/>
      <c r="E115" s="181"/>
      <c r="F115" s="181"/>
      <c r="G115" s="181"/>
      <c r="H115" s="181"/>
      <c r="I115" s="181"/>
      <c r="J115" s="181"/>
      <c r="K115" s="181"/>
      <c r="L115" s="181"/>
      <c r="M115" s="181"/>
      <c r="N115" s="181"/>
      <c r="O115" s="181"/>
      <c r="P115" s="181"/>
      <c r="Q115" s="181"/>
      <c r="R115" s="181"/>
      <c r="S115" s="181"/>
      <c r="T115" s="181"/>
      <c r="U115" s="181"/>
      <c r="V115" s="181"/>
      <c r="W115" s="181"/>
      <c r="X115" s="181"/>
      <c r="Y115" s="181"/>
      <c r="Z115" s="181"/>
    </row>
    <row r="116" ht="14.25" customHeight="1">
      <c r="A116" s="181"/>
      <c r="B116" s="181"/>
      <c r="C116" s="181"/>
      <c r="D116" s="181"/>
      <c r="E116" s="181"/>
      <c r="F116" s="181"/>
      <c r="G116" s="181"/>
      <c r="H116" s="181"/>
      <c r="I116" s="181"/>
      <c r="J116" s="181"/>
      <c r="K116" s="181"/>
      <c r="L116" s="181"/>
      <c r="M116" s="181"/>
      <c r="N116" s="181"/>
      <c r="O116" s="181"/>
      <c r="P116" s="181"/>
      <c r="Q116" s="181"/>
      <c r="R116" s="181"/>
      <c r="S116" s="181"/>
      <c r="T116" s="181"/>
      <c r="U116" s="181"/>
      <c r="V116" s="181"/>
      <c r="W116" s="181"/>
      <c r="X116" s="181"/>
      <c r="Y116" s="181"/>
      <c r="Z116" s="181"/>
    </row>
    <row r="117" ht="14.25" customHeight="1">
      <c r="A117" s="181"/>
      <c r="B117" s="181"/>
      <c r="C117" s="181"/>
      <c r="D117" s="181"/>
      <c r="E117" s="181"/>
      <c r="F117" s="181"/>
      <c r="G117" s="181"/>
      <c r="H117" s="181"/>
      <c r="I117" s="181"/>
      <c r="J117" s="181"/>
      <c r="K117" s="181"/>
      <c r="L117" s="181"/>
      <c r="M117" s="181"/>
      <c r="N117" s="181"/>
      <c r="O117" s="181"/>
      <c r="P117" s="181"/>
      <c r="Q117" s="181"/>
      <c r="R117" s="181"/>
      <c r="S117" s="181"/>
      <c r="T117" s="181"/>
      <c r="U117" s="181"/>
      <c r="V117" s="181"/>
      <c r="W117" s="181"/>
      <c r="X117" s="181"/>
      <c r="Y117" s="181"/>
      <c r="Z117" s="181"/>
    </row>
    <row r="118" ht="14.25" customHeight="1">
      <c r="A118" s="181"/>
      <c r="B118" s="181"/>
      <c r="C118" s="181"/>
      <c r="D118" s="181"/>
      <c r="E118" s="181"/>
      <c r="F118" s="181"/>
      <c r="G118" s="181"/>
      <c r="H118" s="181"/>
      <c r="I118" s="181"/>
      <c r="J118" s="181"/>
      <c r="K118" s="181"/>
      <c r="L118" s="181"/>
      <c r="M118" s="181"/>
      <c r="N118" s="181"/>
      <c r="O118" s="181"/>
      <c r="P118" s="181"/>
      <c r="Q118" s="181"/>
      <c r="R118" s="181"/>
      <c r="S118" s="181"/>
      <c r="T118" s="181"/>
      <c r="U118" s="181"/>
      <c r="V118" s="181"/>
      <c r="W118" s="181"/>
      <c r="X118" s="181"/>
      <c r="Y118" s="181"/>
      <c r="Z118" s="181"/>
    </row>
    <row r="119" ht="14.25" customHeight="1">
      <c r="A119" s="181"/>
      <c r="B119" s="181"/>
      <c r="C119" s="181"/>
      <c r="D119" s="181"/>
      <c r="E119" s="181"/>
      <c r="F119" s="181"/>
      <c r="G119" s="181"/>
      <c r="H119" s="181"/>
      <c r="I119" s="181"/>
      <c r="J119" s="181"/>
      <c r="K119" s="181"/>
      <c r="L119" s="181"/>
      <c r="M119" s="181"/>
      <c r="N119" s="181"/>
      <c r="O119" s="181"/>
      <c r="P119" s="181"/>
      <c r="Q119" s="181"/>
      <c r="R119" s="181"/>
      <c r="S119" s="181"/>
      <c r="T119" s="181"/>
      <c r="U119" s="181"/>
      <c r="V119" s="181"/>
      <c r="W119" s="181"/>
      <c r="X119" s="181"/>
      <c r="Y119" s="181"/>
      <c r="Z119" s="181"/>
    </row>
    <row r="120" ht="14.25" customHeight="1">
      <c r="A120" s="181"/>
      <c r="B120" s="181"/>
      <c r="C120" s="181"/>
      <c r="D120" s="181"/>
      <c r="E120" s="181"/>
      <c r="F120" s="181"/>
      <c r="G120" s="181"/>
      <c r="H120" s="181"/>
      <c r="I120" s="181"/>
      <c r="J120" s="181"/>
      <c r="K120" s="181"/>
      <c r="L120" s="181"/>
      <c r="M120" s="181"/>
      <c r="N120" s="181"/>
      <c r="O120" s="181"/>
      <c r="P120" s="181"/>
      <c r="Q120" s="181"/>
      <c r="R120" s="181"/>
      <c r="S120" s="181"/>
      <c r="T120" s="181"/>
      <c r="U120" s="181"/>
      <c r="V120" s="181"/>
      <c r="W120" s="181"/>
      <c r="X120" s="181"/>
      <c r="Y120" s="181"/>
      <c r="Z120" s="181"/>
    </row>
    <row r="121" ht="14.25" customHeight="1">
      <c r="A121" s="181"/>
      <c r="B121" s="181"/>
      <c r="C121" s="181"/>
      <c r="D121" s="181"/>
      <c r="E121" s="181"/>
      <c r="F121" s="181"/>
      <c r="G121" s="181"/>
      <c r="H121" s="181"/>
      <c r="I121" s="181"/>
      <c r="J121" s="181"/>
      <c r="K121" s="181"/>
      <c r="L121" s="181"/>
      <c r="M121" s="181"/>
      <c r="N121" s="181"/>
      <c r="O121" s="181"/>
      <c r="P121" s="181"/>
      <c r="Q121" s="181"/>
      <c r="R121" s="181"/>
      <c r="S121" s="181"/>
      <c r="T121" s="181"/>
      <c r="U121" s="181"/>
      <c r="V121" s="181"/>
      <c r="W121" s="181"/>
      <c r="X121" s="181"/>
      <c r="Y121" s="181"/>
      <c r="Z121" s="181"/>
    </row>
    <row r="122" ht="14.25" customHeight="1">
      <c r="A122" s="181"/>
      <c r="B122" s="181"/>
      <c r="C122" s="181"/>
      <c r="D122" s="181"/>
      <c r="E122" s="181"/>
      <c r="F122" s="181"/>
      <c r="G122" s="181"/>
      <c r="H122" s="181"/>
      <c r="I122" s="181"/>
      <c r="J122" s="181"/>
      <c r="K122" s="181"/>
      <c r="L122" s="181"/>
      <c r="M122" s="181"/>
      <c r="N122" s="181"/>
      <c r="O122" s="181"/>
      <c r="P122" s="181"/>
      <c r="Q122" s="181"/>
      <c r="R122" s="181"/>
      <c r="S122" s="181"/>
      <c r="T122" s="181"/>
      <c r="U122" s="181"/>
      <c r="V122" s="181"/>
      <c r="W122" s="181"/>
      <c r="X122" s="181"/>
      <c r="Y122" s="181"/>
      <c r="Z122" s="181"/>
    </row>
    <row r="123" ht="14.25" customHeight="1">
      <c r="A123" s="181"/>
      <c r="B123" s="181"/>
      <c r="C123" s="181"/>
      <c r="D123" s="181"/>
      <c r="E123" s="181"/>
      <c r="F123" s="181"/>
      <c r="G123" s="181"/>
      <c r="H123" s="181"/>
      <c r="I123" s="181"/>
      <c r="J123" s="181"/>
      <c r="K123" s="181"/>
      <c r="L123" s="181"/>
      <c r="M123" s="181"/>
      <c r="N123" s="181"/>
      <c r="O123" s="181"/>
      <c r="P123" s="181"/>
      <c r="Q123" s="181"/>
      <c r="R123" s="181"/>
      <c r="S123" s="181"/>
      <c r="T123" s="181"/>
      <c r="U123" s="181"/>
      <c r="V123" s="181"/>
      <c r="W123" s="181"/>
      <c r="X123" s="181"/>
      <c r="Y123" s="181"/>
      <c r="Z123" s="181"/>
    </row>
    <row r="124" ht="14.25" customHeight="1">
      <c r="A124" s="181"/>
      <c r="B124" s="181"/>
      <c r="C124" s="181"/>
      <c r="D124" s="181"/>
      <c r="E124" s="181"/>
      <c r="F124" s="181"/>
      <c r="G124" s="181"/>
      <c r="H124" s="181"/>
      <c r="I124" s="181"/>
      <c r="J124" s="181"/>
      <c r="K124" s="181"/>
      <c r="L124" s="181"/>
      <c r="M124" s="181"/>
      <c r="N124" s="181"/>
      <c r="O124" s="181"/>
      <c r="P124" s="181"/>
      <c r="Q124" s="181"/>
      <c r="R124" s="181"/>
      <c r="S124" s="181"/>
      <c r="T124" s="181"/>
      <c r="U124" s="181"/>
      <c r="V124" s="181"/>
      <c r="W124" s="181"/>
      <c r="X124" s="181"/>
      <c r="Y124" s="181"/>
      <c r="Z124" s="181"/>
    </row>
    <row r="125" ht="14.25" customHeight="1">
      <c r="A125" s="181"/>
      <c r="B125" s="181"/>
      <c r="C125" s="181"/>
      <c r="D125" s="181"/>
      <c r="E125" s="181"/>
      <c r="F125" s="181"/>
      <c r="G125" s="181"/>
      <c r="H125" s="181"/>
      <c r="I125" s="181"/>
      <c r="J125" s="181"/>
      <c r="K125" s="181"/>
      <c r="L125" s="181"/>
      <c r="M125" s="181"/>
      <c r="N125" s="181"/>
      <c r="O125" s="181"/>
      <c r="P125" s="181"/>
      <c r="Q125" s="181"/>
      <c r="R125" s="181"/>
      <c r="S125" s="181"/>
      <c r="T125" s="181"/>
      <c r="U125" s="181"/>
      <c r="V125" s="181"/>
      <c r="W125" s="181"/>
      <c r="X125" s="181"/>
      <c r="Y125" s="181"/>
      <c r="Z125" s="181"/>
    </row>
    <row r="126" ht="14.25" customHeight="1">
      <c r="A126" s="181"/>
      <c r="B126" s="181"/>
      <c r="C126" s="181"/>
      <c r="D126" s="181"/>
      <c r="E126" s="181"/>
      <c r="F126" s="181"/>
      <c r="G126" s="181"/>
      <c r="H126" s="181"/>
      <c r="I126" s="181"/>
      <c r="J126" s="181"/>
      <c r="K126" s="181"/>
      <c r="L126" s="181"/>
      <c r="M126" s="181"/>
      <c r="N126" s="181"/>
      <c r="O126" s="181"/>
      <c r="P126" s="181"/>
      <c r="Q126" s="181"/>
      <c r="R126" s="181"/>
      <c r="S126" s="181"/>
      <c r="T126" s="181"/>
      <c r="U126" s="181"/>
      <c r="V126" s="181"/>
      <c r="W126" s="181"/>
      <c r="X126" s="181"/>
      <c r="Y126" s="181"/>
      <c r="Z126" s="181"/>
    </row>
    <row r="127" ht="14.25" customHeight="1">
      <c r="A127" s="181"/>
      <c r="B127" s="181"/>
      <c r="C127" s="181"/>
      <c r="D127" s="181"/>
      <c r="E127" s="181"/>
      <c r="F127" s="181"/>
      <c r="G127" s="181"/>
      <c r="H127" s="181"/>
      <c r="I127" s="181"/>
      <c r="J127" s="181"/>
      <c r="K127" s="181"/>
      <c r="L127" s="181"/>
      <c r="M127" s="181"/>
      <c r="N127" s="181"/>
      <c r="O127" s="181"/>
      <c r="P127" s="181"/>
      <c r="Q127" s="181"/>
      <c r="R127" s="181"/>
      <c r="S127" s="181"/>
      <c r="T127" s="181"/>
      <c r="U127" s="181"/>
      <c r="V127" s="181"/>
      <c r="W127" s="181"/>
      <c r="X127" s="181"/>
      <c r="Y127" s="181"/>
      <c r="Z127" s="181"/>
    </row>
    <row r="128" ht="14.25" customHeight="1">
      <c r="A128" s="181"/>
      <c r="B128" s="181"/>
      <c r="C128" s="181"/>
      <c r="D128" s="181"/>
      <c r="E128" s="181"/>
      <c r="F128" s="181"/>
      <c r="G128" s="181"/>
      <c r="H128" s="181"/>
      <c r="I128" s="181"/>
      <c r="J128" s="181"/>
      <c r="K128" s="181"/>
      <c r="L128" s="181"/>
      <c r="M128" s="181"/>
      <c r="N128" s="181"/>
      <c r="O128" s="181"/>
      <c r="P128" s="181"/>
      <c r="Q128" s="181"/>
      <c r="R128" s="181"/>
      <c r="S128" s="181"/>
      <c r="T128" s="181"/>
      <c r="U128" s="181"/>
      <c r="V128" s="181"/>
      <c r="W128" s="181"/>
      <c r="X128" s="181"/>
      <c r="Y128" s="181"/>
      <c r="Z128" s="181"/>
    </row>
    <row r="129" ht="14.25" customHeight="1">
      <c r="A129" s="181"/>
      <c r="B129" s="181"/>
      <c r="C129" s="181"/>
      <c r="D129" s="181"/>
      <c r="E129" s="181"/>
      <c r="F129" s="181"/>
      <c r="G129" s="181"/>
      <c r="H129" s="181"/>
      <c r="I129" s="181"/>
      <c r="J129" s="181"/>
      <c r="K129" s="181"/>
      <c r="L129" s="181"/>
      <c r="M129" s="181"/>
      <c r="N129" s="181"/>
      <c r="O129" s="181"/>
      <c r="P129" s="181"/>
      <c r="Q129" s="181"/>
      <c r="R129" s="181"/>
      <c r="S129" s="181"/>
      <c r="T129" s="181"/>
      <c r="U129" s="181"/>
      <c r="V129" s="181"/>
      <c r="W129" s="181"/>
      <c r="X129" s="181"/>
      <c r="Y129" s="181"/>
      <c r="Z129" s="181"/>
    </row>
    <row r="130" ht="14.25" customHeight="1">
      <c r="A130" s="181"/>
      <c r="B130" s="181"/>
      <c r="C130" s="181"/>
      <c r="D130" s="181"/>
      <c r="E130" s="181"/>
      <c r="F130" s="181"/>
      <c r="G130" s="181"/>
      <c r="H130" s="181"/>
      <c r="I130" s="181"/>
      <c r="J130" s="181"/>
      <c r="K130" s="181"/>
      <c r="L130" s="181"/>
      <c r="M130" s="181"/>
      <c r="N130" s="181"/>
      <c r="O130" s="181"/>
      <c r="P130" s="181"/>
      <c r="Q130" s="181"/>
      <c r="R130" s="181"/>
      <c r="S130" s="181"/>
      <c r="T130" s="181"/>
      <c r="U130" s="181"/>
      <c r="V130" s="181"/>
      <c r="W130" s="181"/>
      <c r="X130" s="181"/>
      <c r="Y130" s="181"/>
      <c r="Z130" s="181"/>
    </row>
    <row r="131" ht="14.25" customHeight="1">
      <c r="A131" s="181"/>
      <c r="B131" s="181"/>
      <c r="C131" s="181"/>
      <c r="D131" s="181"/>
      <c r="E131" s="181"/>
      <c r="F131" s="181"/>
      <c r="G131" s="181"/>
      <c r="H131" s="181"/>
      <c r="I131" s="181"/>
      <c r="J131" s="181"/>
      <c r="K131" s="181"/>
      <c r="L131" s="181"/>
      <c r="M131" s="181"/>
      <c r="N131" s="181"/>
      <c r="O131" s="181"/>
      <c r="P131" s="181"/>
      <c r="Q131" s="181"/>
      <c r="R131" s="181"/>
      <c r="S131" s="181"/>
      <c r="T131" s="181"/>
      <c r="U131" s="181"/>
      <c r="V131" s="181"/>
      <c r="W131" s="181"/>
      <c r="X131" s="181"/>
      <c r="Y131" s="181"/>
      <c r="Z131" s="181"/>
    </row>
    <row r="132" ht="14.25" customHeight="1">
      <c r="A132" s="181"/>
      <c r="B132" s="181"/>
      <c r="C132" s="181"/>
      <c r="D132" s="181"/>
      <c r="E132" s="181"/>
      <c r="F132" s="181"/>
      <c r="G132" s="181"/>
      <c r="H132" s="181"/>
      <c r="I132" s="181"/>
      <c r="J132" s="181"/>
      <c r="K132" s="181"/>
      <c r="L132" s="181"/>
      <c r="M132" s="181"/>
      <c r="N132" s="181"/>
      <c r="O132" s="181"/>
      <c r="P132" s="181"/>
      <c r="Q132" s="181"/>
      <c r="R132" s="181"/>
      <c r="S132" s="181"/>
      <c r="T132" s="181"/>
      <c r="U132" s="181"/>
      <c r="V132" s="181"/>
      <c r="W132" s="181"/>
      <c r="X132" s="181"/>
      <c r="Y132" s="181"/>
      <c r="Z132" s="181"/>
    </row>
    <row r="133" ht="14.25" customHeight="1">
      <c r="A133" s="181"/>
      <c r="B133" s="181"/>
      <c r="C133" s="181"/>
      <c r="D133" s="181"/>
      <c r="E133" s="181"/>
      <c r="F133" s="181"/>
      <c r="G133" s="181"/>
      <c r="H133" s="181"/>
      <c r="I133" s="181"/>
      <c r="J133" s="181"/>
      <c r="K133" s="181"/>
      <c r="L133" s="181"/>
      <c r="M133" s="181"/>
      <c r="N133" s="181"/>
      <c r="O133" s="181"/>
      <c r="P133" s="181"/>
      <c r="Q133" s="181"/>
      <c r="R133" s="181"/>
      <c r="S133" s="181"/>
      <c r="T133" s="181"/>
      <c r="U133" s="181"/>
      <c r="V133" s="181"/>
      <c r="W133" s="181"/>
      <c r="X133" s="181"/>
      <c r="Y133" s="181"/>
      <c r="Z133" s="181"/>
    </row>
    <row r="134" ht="14.25" customHeight="1">
      <c r="A134" s="181"/>
      <c r="B134" s="181"/>
      <c r="C134" s="181"/>
      <c r="D134" s="181"/>
      <c r="E134" s="181"/>
      <c r="F134" s="181"/>
      <c r="G134" s="181"/>
      <c r="H134" s="181"/>
      <c r="I134" s="181"/>
      <c r="J134" s="181"/>
      <c r="K134" s="181"/>
      <c r="L134" s="181"/>
      <c r="M134" s="181"/>
      <c r="N134" s="181"/>
      <c r="O134" s="181"/>
      <c r="P134" s="181"/>
      <c r="Q134" s="181"/>
      <c r="R134" s="181"/>
      <c r="S134" s="181"/>
      <c r="T134" s="181"/>
      <c r="U134" s="181"/>
      <c r="V134" s="181"/>
      <c r="W134" s="181"/>
      <c r="X134" s="181"/>
      <c r="Y134" s="181"/>
      <c r="Z134" s="181"/>
    </row>
    <row r="135" ht="14.25" customHeight="1">
      <c r="A135" s="181"/>
      <c r="B135" s="181"/>
      <c r="C135" s="181"/>
      <c r="D135" s="181"/>
      <c r="E135" s="181"/>
      <c r="F135" s="181"/>
      <c r="G135" s="181"/>
      <c r="H135" s="181"/>
      <c r="I135" s="181"/>
      <c r="J135" s="181"/>
      <c r="K135" s="181"/>
      <c r="L135" s="181"/>
      <c r="M135" s="181"/>
      <c r="N135" s="181"/>
      <c r="O135" s="181"/>
      <c r="P135" s="181"/>
      <c r="Q135" s="181"/>
      <c r="R135" s="181"/>
      <c r="S135" s="181"/>
      <c r="T135" s="181"/>
      <c r="U135" s="181"/>
      <c r="V135" s="181"/>
      <c r="W135" s="181"/>
      <c r="X135" s="181"/>
      <c r="Y135" s="181"/>
      <c r="Z135" s="181"/>
    </row>
    <row r="136" ht="14.25" customHeight="1">
      <c r="A136" s="181"/>
      <c r="B136" s="181"/>
      <c r="C136" s="181"/>
      <c r="D136" s="181"/>
      <c r="E136" s="181"/>
      <c r="F136" s="181"/>
      <c r="G136" s="181"/>
      <c r="H136" s="181"/>
      <c r="I136" s="181"/>
      <c r="J136" s="181"/>
      <c r="K136" s="181"/>
      <c r="L136" s="181"/>
      <c r="M136" s="181"/>
      <c r="N136" s="181"/>
      <c r="O136" s="181"/>
      <c r="P136" s="181"/>
      <c r="Q136" s="181"/>
      <c r="R136" s="181"/>
      <c r="S136" s="181"/>
      <c r="T136" s="181"/>
      <c r="U136" s="181"/>
      <c r="V136" s="181"/>
      <c r="W136" s="181"/>
      <c r="X136" s="181"/>
      <c r="Y136" s="181"/>
      <c r="Z136" s="181"/>
    </row>
    <row r="137" ht="14.25" customHeight="1">
      <c r="A137" s="181"/>
      <c r="B137" s="181"/>
      <c r="C137" s="181"/>
      <c r="D137" s="181"/>
      <c r="E137" s="181"/>
      <c r="F137" s="181"/>
      <c r="G137" s="181"/>
      <c r="H137" s="181"/>
      <c r="I137" s="181"/>
      <c r="J137" s="181"/>
      <c r="K137" s="181"/>
      <c r="L137" s="181"/>
      <c r="M137" s="181"/>
      <c r="N137" s="181"/>
      <c r="O137" s="181"/>
      <c r="P137" s="181"/>
      <c r="Q137" s="181"/>
      <c r="R137" s="181"/>
      <c r="S137" s="181"/>
      <c r="T137" s="181"/>
      <c r="U137" s="181"/>
      <c r="V137" s="181"/>
      <c r="W137" s="181"/>
      <c r="X137" s="181"/>
      <c r="Y137" s="181"/>
      <c r="Z137" s="181"/>
    </row>
    <row r="138" ht="14.25" customHeight="1">
      <c r="A138" s="181"/>
      <c r="B138" s="181"/>
      <c r="C138" s="181"/>
      <c r="D138" s="181"/>
      <c r="E138" s="181"/>
      <c r="F138" s="181"/>
      <c r="G138" s="181"/>
      <c r="H138" s="181"/>
      <c r="I138" s="181"/>
      <c r="J138" s="181"/>
      <c r="K138" s="181"/>
      <c r="L138" s="181"/>
      <c r="M138" s="181"/>
      <c r="N138" s="181"/>
      <c r="O138" s="181"/>
      <c r="P138" s="181"/>
      <c r="Q138" s="181"/>
      <c r="R138" s="181"/>
      <c r="S138" s="181"/>
      <c r="T138" s="181"/>
      <c r="U138" s="181"/>
      <c r="V138" s="181"/>
      <c r="W138" s="181"/>
      <c r="X138" s="181"/>
      <c r="Y138" s="181"/>
      <c r="Z138" s="181"/>
    </row>
    <row r="139" ht="14.25" customHeight="1">
      <c r="A139" s="181"/>
      <c r="B139" s="181"/>
      <c r="C139" s="181"/>
      <c r="D139" s="181"/>
      <c r="E139" s="181"/>
      <c r="F139" s="181"/>
      <c r="G139" s="181"/>
      <c r="H139" s="181"/>
      <c r="I139" s="181"/>
      <c r="J139" s="181"/>
      <c r="K139" s="181"/>
      <c r="L139" s="181"/>
      <c r="M139" s="181"/>
      <c r="N139" s="181"/>
      <c r="O139" s="181"/>
      <c r="P139" s="181"/>
      <c r="Q139" s="181"/>
      <c r="R139" s="181"/>
      <c r="S139" s="181"/>
      <c r="T139" s="181"/>
      <c r="U139" s="181"/>
      <c r="V139" s="181"/>
      <c r="W139" s="181"/>
      <c r="X139" s="181"/>
      <c r="Y139" s="181"/>
      <c r="Z139" s="181"/>
    </row>
    <row r="140" ht="14.25" customHeight="1">
      <c r="A140" s="181"/>
      <c r="B140" s="181"/>
      <c r="C140" s="181"/>
      <c r="D140" s="181"/>
      <c r="E140" s="181"/>
      <c r="F140" s="181"/>
      <c r="G140" s="181"/>
      <c r="H140" s="181"/>
      <c r="I140" s="181"/>
      <c r="J140" s="181"/>
      <c r="K140" s="181"/>
      <c r="L140" s="181"/>
      <c r="M140" s="181"/>
      <c r="N140" s="181"/>
      <c r="O140" s="181"/>
      <c r="P140" s="181"/>
      <c r="Q140" s="181"/>
      <c r="R140" s="181"/>
      <c r="S140" s="181"/>
      <c r="T140" s="181"/>
      <c r="U140" s="181"/>
      <c r="V140" s="181"/>
      <c r="W140" s="181"/>
      <c r="X140" s="181"/>
      <c r="Y140" s="181"/>
      <c r="Z140" s="181"/>
    </row>
    <row r="141" ht="14.25" customHeight="1">
      <c r="A141" s="181"/>
      <c r="B141" s="181"/>
      <c r="C141" s="181"/>
      <c r="D141" s="181"/>
      <c r="E141" s="181"/>
      <c r="F141" s="181"/>
      <c r="G141" s="181"/>
      <c r="H141" s="181"/>
      <c r="I141" s="181"/>
      <c r="J141" s="181"/>
      <c r="K141" s="181"/>
      <c r="L141" s="181"/>
      <c r="M141" s="181"/>
      <c r="N141" s="181"/>
      <c r="O141" s="181"/>
      <c r="P141" s="181"/>
      <c r="Q141" s="181"/>
      <c r="R141" s="181"/>
      <c r="S141" s="181"/>
      <c r="T141" s="181"/>
      <c r="U141" s="181"/>
      <c r="V141" s="181"/>
      <c r="W141" s="181"/>
      <c r="X141" s="181"/>
      <c r="Y141" s="181"/>
      <c r="Z141" s="181"/>
    </row>
    <row r="142" ht="14.25" customHeight="1">
      <c r="A142" s="181"/>
      <c r="B142" s="181"/>
      <c r="C142" s="181"/>
      <c r="D142" s="181"/>
      <c r="E142" s="181"/>
      <c r="F142" s="181"/>
      <c r="G142" s="181"/>
      <c r="H142" s="181"/>
      <c r="I142" s="181"/>
      <c r="J142" s="181"/>
      <c r="K142" s="181"/>
      <c r="L142" s="181"/>
      <c r="M142" s="181"/>
      <c r="N142" s="181"/>
      <c r="O142" s="181"/>
      <c r="P142" s="181"/>
      <c r="Q142" s="181"/>
      <c r="R142" s="181"/>
      <c r="S142" s="181"/>
      <c r="T142" s="181"/>
      <c r="U142" s="181"/>
      <c r="V142" s="181"/>
      <c r="W142" s="181"/>
      <c r="X142" s="181"/>
      <c r="Y142" s="181"/>
      <c r="Z142" s="181"/>
    </row>
    <row r="143" ht="14.25" customHeight="1">
      <c r="A143" s="181"/>
      <c r="B143" s="181"/>
      <c r="C143" s="181"/>
      <c r="D143" s="181"/>
      <c r="E143" s="181"/>
      <c r="F143" s="181"/>
      <c r="G143" s="181"/>
      <c r="H143" s="181"/>
      <c r="I143" s="181"/>
      <c r="J143" s="181"/>
      <c r="K143" s="181"/>
      <c r="L143" s="181"/>
      <c r="M143" s="181"/>
      <c r="N143" s="181"/>
      <c r="O143" s="181"/>
      <c r="P143" s="181"/>
      <c r="Q143" s="181"/>
      <c r="R143" s="181"/>
      <c r="S143" s="181"/>
      <c r="T143" s="181"/>
      <c r="U143" s="181"/>
      <c r="V143" s="181"/>
      <c r="W143" s="181"/>
      <c r="X143" s="181"/>
      <c r="Y143" s="181"/>
      <c r="Z143" s="181"/>
    </row>
    <row r="144" ht="14.25" customHeight="1">
      <c r="A144" s="181"/>
      <c r="B144" s="181"/>
      <c r="C144" s="181"/>
      <c r="D144" s="181"/>
      <c r="E144" s="181"/>
      <c r="F144" s="181"/>
      <c r="G144" s="181"/>
      <c r="H144" s="181"/>
      <c r="I144" s="181"/>
      <c r="J144" s="181"/>
      <c r="K144" s="181"/>
      <c r="L144" s="181"/>
      <c r="M144" s="181"/>
      <c r="N144" s="181"/>
      <c r="O144" s="181"/>
      <c r="P144" s="181"/>
      <c r="Q144" s="181"/>
      <c r="R144" s="181"/>
      <c r="S144" s="181"/>
      <c r="T144" s="181"/>
      <c r="U144" s="181"/>
      <c r="V144" s="181"/>
      <c r="W144" s="181"/>
      <c r="X144" s="181"/>
      <c r="Y144" s="181"/>
      <c r="Z144" s="181"/>
    </row>
    <row r="145" ht="14.25" customHeight="1">
      <c r="A145" s="181"/>
      <c r="B145" s="181"/>
      <c r="C145" s="181"/>
      <c r="D145" s="181"/>
      <c r="E145" s="181"/>
      <c r="F145" s="181"/>
      <c r="G145" s="181"/>
      <c r="H145" s="181"/>
      <c r="I145" s="181"/>
      <c r="J145" s="181"/>
      <c r="K145" s="181"/>
      <c r="L145" s="181"/>
      <c r="M145" s="181"/>
      <c r="N145" s="181"/>
      <c r="O145" s="181"/>
      <c r="P145" s="181"/>
      <c r="Q145" s="181"/>
      <c r="R145" s="181"/>
      <c r="S145" s="181"/>
      <c r="T145" s="181"/>
      <c r="U145" s="181"/>
      <c r="V145" s="181"/>
      <c r="W145" s="181"/>
      <c r="X145" s="181"/>
      <c r="Y145" s="181"/>
      <c r="Z145" s="181"/>
    </row>
    <row r="146" ht="14.25" customHeight="1">
      <c r="A146" s="181"/>
      <c r="B146" s="181"/>
      <c r="C146" s="181"/>
      <c r="D146" s="181"/>
      <c r="E146" s="181"/>
      <c r="F146" s="181"/>
      <c r="G146" s="181"/>
      <c r="H146" s="181"/>
      <c r="I146" s="181"/>
      <c r="J146" s="181"/>
      <c r="K146" s="181"/>
      <c r="L146" s="181"/>
      <c r="M146" s="181"/>
      <c r="N146" s="181"/>
      <c r="O146" s="181"/>
      <c r="P146" s="181"/>
      <c r="Q146" s="181"/>
      <c r="R146" s="181"/>
      <c r="S146" s="181"/>
      <c r="T146" s="181"/>
      <c r="U146" s="181"/>
      <c r="V146" s="181"/>
      <c r="W146" s="181"/>
      <c r="X146" s="181"/>
      <c r="Y146" s="181"/>
      <c r="Z146" s="181"/>
    </row>
    <row r="147" ht="14.25" customHeight="1">
      <c r="A147" s="181"/>
      <c r="B147" s="181"/>
      <c r="C147" s="181"/>
      <c r="D147" s="181"/>
      <c r="E147" s="181"/>
      <c r="F147" s="181"/>
      <c r="G147" s="181"/>
      <c r="H147" s="181"/>
      <c r="I147" s="181"/>
      <c r="J147" s="181"/>
      <c r="K147" s="181"/>
      <c r="L147" s="181"/>
      <c r="M147" s="181"/>
      <c r="N147" s="181"/>
      <c r="O147" s="181"/>
      <c r="P147" s="181"/>
      <c r="Q147" s="181"/>
      <c r="R147" s="181"/>
      <c r="S147" s="181"/>
      <c r="T147" s="181"/>
      <c r="U147" s="181"/>
      <c r="V147" s="181"/>
      <c r="W147" s="181"/>
      <c r="X147" s="181"/>
      <c r="Y147" s="181"/>
      <c r="Z147" s="181"/>
    </row>
    <row r="148" ht="14.25" customHeight="1">
      <c r="A148" s="181"/>
      <c r="B148" s="181"/>
      <c r="C148" s="181"/>
      <c r="D148" s="181"/>
      <c r="E148" s="181"/>
      <c r="F148" s="181"/>
      <c r="G148" s="181"/>
      <c r="H148" s="181"/>
      <c r="I148" s="181"/>
      <c r="J148" s="181"/>
      <c r="K148" s="181"/>
      <c r="L148" s="181"/>
      <c r="M148" s="181"/>
      <c r="N148" s="181"/>
      <c r="O148" s="181"/>
      <c r="P148" s="181"/>
      <c r="Q148" s="181"/>
      <c r="R148" s="181"/>
      <c r="S148" s="181"/>
      <c r="T148" s="181"/>
      <c r="U148" s="181"/>
      <c r="V148" s="181"/>
      <c r="W148" s="181"/>
      <c r="X148" s="181"/>
      <c r="Y148" s="181"/>
      <c r="Z148" s="181"/>
    </row>
    <row r="149" ht="14.25" customHeight="1">
      <c r="A149" s="181"/>
      <c r="B149" s="181"/>
      <c r="C149" s="181"/>
      <c r="D149" s="181"/>
      <c r="E149" s="181"/>
      <c r="F149" s="181"/>
      <c r="G149" s="181"/>
      <c r="H149" s="181"/>
      <c r="I149" s="181"/>
      <c r="J149" s="181"/>
      <c r="K149" s="181"/>
      <c r="L149" s="181"/>
      <c r="M149" s="181"/>
      <c r="N149" s="181"/>
      <c r="O149" s="181"/>
      <c r="P149" s="181"/>
      <c r="Q149" s="181"/>
      <c r="R149" s="181"/>
      <c r="S149" s="181"/>
      <c r="T149" s="181"/>
      <c r="U149" s="181"/>
      <c r="V149" s="181"/>
      <c r="W149" s="181"/>
      <c r="X149" s="181"/>
      <c r="Y149" s="181"/>
      <c r="Z149" s="181"/>
    </row>
    <row r="150" ht="14.25" customHeight="1">
      <c r="A150" s="181"/>
      <c r="B150" s="181"/>
      <c r="C150" s="181"/>
      <c r="D150" s="181"/>
      <c r="E150" s="181"/>
      <c r="F150" s="181"/>
      <c r="G150" s="181"/>
      <c r="H150" s="181"/>
      <c r="I150" s="181"/>
      <c r="J150" s="181"/>
      <c r="K150" s="181"/>
      <c r="L150" s="181"/>
      <c r="M150" s="181"/>
      <c r="N150" s="181"/>
      <c r="O150" s="181"/>
      <c r="P150" s="181"/>
      <c r="Q150" s="181"/>
      <c r="R150" s="181"/>
      <c r="S150" s="181"/>
      <c r="T150" s="181"/>
      <c r="U150" s="181"/>
      <c r="V150" s="181"/>
      <c r="W150" s="181"/>
      <c r="X150" s="181"/>
      <c r="Y150" s="181"/>
      <c r="Z150" s="181"/>
    </row>
    <row r="151" ht="14.25" customHeight="1">
      <c r="A151" s="181"/>
      <c r="B151" s="181"/>
      <c r="C151" s="181"/>
      <c r="D151" s="181"/>
      <c r="E151" s="181"/>
      <c r="F151" s="181"/>
      <c r="G151" s="181"/>
      <c r="H151" s="181"/>
      <c r="I151" s="181"/>
      <c r="J151" s="181"/>
      <c r="K151" s="181"/>
      <c r="L151" s="181"/>
      <c r="M151" s="181"/>
      <c r="N151" s="181"/>
      <c r="O151" s="181"/>
      <c r="P151" s="181"/>
      <c r="Q151" s="181"/>
      <c r="R151" s="181"/>
      <c r="S151" s="181"/>
      <c r="T151" s="181"/>
      <c r="U151" s="181"/>
      <c r="V151" s="181"/>
      <c r="W151" s="181"/>
      <c r="X151" s="181"/>
      <c r="Y151" s="181"/>
      <c r="Z151" s="181"/>
    </row>
    <row r="152" ht="14.25" customHeight="1">
      <c r="A152" s="181"/>
      <c r="B152" s="181"/>
      <c r="C152" s="181"/>
      <c r="D152" s="181"/>
      <c r="E152" s="181"/>
      <c r="F152" s="181"/>
      <c r="G152" s="181"/>
      <c r="H152" s="181"/>
      <c r="I152" s="181"/>
      <c r="J152" s="181"/>
      <c r="K152" s="181"/>
      <c r="L152" s="181"/>
      <c r="M152" s="181"/>
      <c r="N152" s="181"/>
      <c r="O152" s="181"/>
      <c r="P152" s="181"/>
      <c r="Q152" s="181"/>
      <c r="R152" s="181"/>
      <c r="S152" s="181"/>
      <c r="T152" s="181"/>
      <c r="U152" s="181"/>
      <c r="V152" s="181"/>
      <c r="W152" s="181"/>
      <c r="X152" s="181"/>
      <c r="Y152" s="181"/>
      <c r="Z152" s="181"/>
    </row>
    <row r="153" ht="14.25" customHeight="1">
      <c r="A153" s="181"/>
      <c r="B153" s="181"/>
      <c r="C153" s="181"/>
      <c r="D153" s="181"/>
      <c r="E153" s="181"/>
      <c r="F153" s="181"/>
      <c r="G153" s="181"/>
      <c r="H153" s="181"/>
      <c r="I153" s="181"/>
      <c r="J153" s="181"/>
      <c r="K153" s="181"/>
      <c r="L153" s="181"/>
      <c r="M153" s="181"/>
      <c r="N153" s="181"/>
      <c r="O153" s="181"/>
      <c r="P153" s="181"/>
      <c r="Q153" s="181"/>
      <c r="R153" s="181"/>
      <c r="S153" s="181"/>
      <c r="T153" s="181"/>
      <c r="U153" s="181"/>
      <c r="V153" s="181"/>
      <c r="W153" s="181"/>
      <c r="X153" s="181"/>
      <c r="Y153" s="181"/>
      <c r="Z153" s="181"/>
    </row>
    <row r="154" ht="14.25" customHeight="1">
      <c r="A154" s="181"/>
      <c r="B154" s="181"/>
      <c r="C154" s="181"/>
      <c r="D154" s="181"/>
      <c r="E154" s="181"/>
      <c r="F154" s="181"/>
      <c r="G154" s="181"/>
      <c r="H154" s="181"/>
      <c r="I154" s="181"/>
      <c r="J154" s="181"/>
      <c r="K154" s="181"/>
      <c r="L154" s="181"/>
      <c r="M154" s="181"/>
      <c r="N154" s="181"/>
      <c r="O154" s="181"/>
      <c r="P154" s="181"/>
      <c r="Q154" s="181"/>
      <c r="R154" s="181"/>
      <c r="S154" s="181"/>
      <c r="T154" s="181"/>
      <c r="U154" s="181"/>
      <c r="V154" s="181"/>
      <c r="W154" s="181"/>
      <c r="X154" s="181"/>
      <c r="Y154" s="181"/>
      <c r="Z154" s="181"/>
    </row>
    <row r="155" ht="14.25" customHeight="1">
      <c r="A155" s="181"/>
      <c r="B155" s="181"/>
      <c r="C155" s="181"/>
      <c r="D155" s="181"/>
      <c r="E155" s="181"/>
      <c r="F155" s="181"/>
      <c r="G155" s="181"/>
      <c r="H155" s="181"/>
      <c r="I155" s="181"/>
      <c r="J155" s="181"/>
      <c r="K155" s="181"/>
      <c r="L155" s="181"/>
      <c r="M155" s="181"/>
      <c r="N155" s="181"/>
      <c r="O155" s="181"/>
      <c r="P155" s="181"/>
      <c r="Q155" s="181"/>
      <c r="R155" s="181"/>
      <c r="S155" s="181"/>
      <c r="T155" s="181"/>
      <c r="U155" s="181"/>
      <c r="V155" s="181"/>
      <c r="W155" s="181"/>
      <c r="X155" s="181"/>
      <c r="Y155" s="181"/>
      <c r="Z155" s="181"/>
    </row>
    <row r="156" ht="14.25" customHeight="1">
      <c r="A156" s="181"/>
      <c r="B156" s="181"/>
      <c r="C156" s="181"/>
      <c r="D156" s="181"/>
      <c r="E156" s="181"/>
      <c r="F156" s="181"/>
      <c r="G156" s="181"/>
      <c r="H156" s="181"/>
      <c r="I156" s="181"/>
      <c r="J156" s="181"/>
      <c r="K156" s="181"/>
      <c r="L156" s="181"/>
      <c r="M156" s="181"/>
      <c r="N156" s="181"/>
      <c r="O156" s="181"/>
      <c r="P156" s="181"/>
      <c r="Q156" s="181"/>
      <c r="R156" s="181"/>
      <c r="S156" s="181"/>
      <c r="T156" s="181"/>
      <c r="U156" s="181"/>
      <c r="V156" s="181"/>
      <c r="W156" s="181"/>
      <c r="X156" s="181"/>
      <c r="Y156" s="181"/>
      <c r="Z156" s="181"/>
    </row>
    <row r="157" ht="14.25" customHeight="1">
      <c r="A157" s="181"/>
      <c r="B157" s="181"/>
      <c r="C157" s="181"/>
      <c r="D157" s="181"/>
      <c r="E157" s="181"/>
      <c r="F157" s="181"/>
      <c r="G157" s="181"/>
      <c r="H157" s="181"/>
      <c r="I157" s="181"/>
      <c r="J157" s="181"/>
      <c r="K157" s="181"/>
      <c r="L157" s="181"/>
      <c r="M157" s="181"/>
      <c r="N157" s="181"/>
      <c r="O157" s="181"/>
      <c r="P157" s="181"/>
      <c r="Q157" s="181"/>
      <c r="R157" s="181"/>
      <c r="S157" s="181"/>
      <c r="T157" s="181"/>
      <c r="U157" s="181"/>
      <c r="V157" s="181"/>
      <c r="W157" s="181"/>
      <c r="X157" s="181"/>
      <c r="Y157" s="181"/>
      <c r="Z157" s="181"/>
    </row>
    <row r="158" ht="14.25" customHeight="1">
      <c r="A158" s="181"/>
      <c r="B158" s="181"/>
      <c r="C158" s="181"/>
      <c r="D158" s="181"/>
      <c r="E158" s="181"/>
      <c r="F158" s="181"/>
      <c r="G158" s="181"/>
      <c r="H158" s="181"/>
      <c r="I158" s="181"/>
      <c r="J158" s="181"/>
      <c r="K158" s="181"/>
      <c r="L158" s="181"/>
      <c r="M158" s="181"/>
      <c r="N158" s="181"/>
      <c r="O158" s="181"/>
      <c r="P158" s="181"/>
      <c r="Q158" s="181"/>
      <c r="R158" s="181"/>
      <c r="S158" s="181"/>
      <c r="T158" s="181"/>
      <c r="U158" s="181"/>
      <c r="V158" s="181"/>
      <c r="W158" s="181"/>
      <c r="X158" s="181"/>
      <c r="Y158" s="181"/>
      <c r="Z158" s="181"/>
    </row>
    <row r="159" ht="14.25" customHeight="1">
      <c r="A159" s="181"/>
      <c r="B159" s="181"/>
      <c r="C159" s="181"/>
      <c r="D159" s="181"/>
      <c r="E159" s="181"/>
      <c r="F159" s="181"/>
      <c r="G159" s="181"/>
      <c r="H159" s="181"/>
      <c r="I159" s="181"/>
      <c r="J159" s="181"/>
      <c r="K159" s="181"/>
      <c r="L159" s="181"/>
      <c r="M159" s="181"/>
      <c r="N159" s="181"/>
      <c r="O159" s="181"/>
      <c r="P159" s="181"/>
      <c r="Q159" s="181"/>
      <c r="R159" s="181"/>
      <c r="S159" s="181"/>
      <c r="T159" s="181"/>
      <c r="U159" s="181"/>
      <c r="V159" s="181"/>
      <c r="W159" s="181"/>
      <c r="X159" s="181"/>
      <c r="Y159" s="181"/>
      <c r="Z159" s="181"/>
    </row>
    <row r="160" ht="14.25" customHeight="1">
      <c r="A160" s="181"/>
      <c r="B160" s="181"/>
      <c r="C160" s="181"/>
      <c r="D160" s="181"/>
      <c r="E160" s="181"/>
      <c r="F160" s="181"/>
      <c r="G160" s="181"/>
      <c r="H160" s="181"/>
      <c r="I160" s="181"/>
      <c r="J160" s="181"/>
      <c r="K160" s="181"/>
      <c r="L160" s="181"/>
      <c r="M160" s="181"/>
      <c r="N160" s="181"/>
      <c r="O160" s="181"/>
      <c r="P160" s="181"/>
      <c r="Q160" s="181"/>
      <c r="R160" s="181"/>
      <c r="S160" s="181"/>
      <c r="T160" s="181"/>
      <c r="U160" s="181"/>
      <c r="V160" s="181"/>
      <c r="W160" s="181"/>
      <c r="X160" s="181"/>
      <c r="Y160" s="181"/>
      <c r="Z160" s="181"/>
    </row>
    <row r="161" ht="14.25" customHeight="1">
      <c r="A161" s="181"/>
      <c r="B161" s="181"/>
      <c r="C161" s="181"/>
      <c r="D161" s="181"/>
      <c r="E161" s="181"/>
      <c r="F161" s="181"/>
      <c r="G161" s="181"/>
      <c r="H161" s="181"/>
      <c r="I161" s="181"/>
      <c r="J161" s="181"/>
      <c r="K161" s="181"/>
      <c r="L161" s="181"/>
      <c r="M161" s="181"/>
      <c r="N161" s="181"/>
      <c r="O161" s="181"/>
      <c r="P161" s="181"/>
      <c r="Q161" s="181"/>
      <c r="R161" s="181"/>
      <c r="S161" s="181"/>
      <c r="T161" s="181"/>
      <c r="U161" s="181"/>
      <c r="V161" s="181"/>
      <c r="W161" s="181"/>
      <c r="X161" s="181"/>
      <c r="Y161" s="181"/>
      <c r="Z161" s="181"/>
    </row>
    <row r="162" ht="14.25" customHeight="1">
      <c r="A162" s="181"/>
      <c r="B162" s="181"/>
      <c r="C162" s="181"/>
      <c r="D162" s="181"/>
      <c r="E162" s="181"/>
      <c r="F162" s="181"/>
      <c r="G162" s="181"/>
      <c r="H162" s="181"/>
      <c r="I162" s="181"/>
      <c r="J162" s="181"/>
      <c r="K162" s="181"/>
      <c r="L162" s="181"/>
      <c r="M162" s="181"/>
      <c r="N162" s="181"/>
      <c r="O162" s="181"/>
      <c r="P162" s="181"/>
      <c r="Q162" s="181"/>
      <c r="R162" s="181"/>
      <c r="S162" s="181"/>
      <c r="T162" s="181"/>
      <c r="U162" s="181"/>
      <c r="V162" s="181"/>
      <c r="W162" s="181"/>
      <c r="X162" s="181"/>
      <c r="Y162" s="181"/>
      <c r="Z162" s="181"/>
    </row>
    <row r="163" ht="14.25" customHeight="1">
      <c r="A163" s="181"/>
      <c r="B163" s="181"/>
      <c r="C163" s="181"/>
      <c r="D163" s="181"/>
      <c r="E163" s="181"/>
      <c r="F163" s="181"/>
      <c r="G163" s="181"/>
      <c r="H163" s="181"/>
      <c r="I163" s="181"/>
      <c r="J163" s="181"/>
      <c r="K163" s="181"/>
      <c r="L163" s="181"/>
      <c r="M163" s="181"/>
      <c r="N163" s="181"/>
      <c r="O163" s="181"/>
      <c r="P163" s="181"/>
      <c r="Q163" s="181"/>
      <c r="R163" s="181"/>
      <c r="S163" s="181"/>
      <c r="T163" s="181"/>
      <c r="U163" s="181"/>
      <c r="V163" s="181"/>
      <c r="W163" s="181"/>
      <c r="X163" s="181"/>
      <c r="Y163" s="181"/>
      <c r="Z163" s="181"/>
    </row>
    <row r="164" ht="14.25" customHeight="1">
      <c r="A164" s="181"/>
      <c r="B164" s="181"/>
      <c r="C164" s="181"/>
      <c r="D164" s="181"/>
      <c r="E164" s="181"/>
      <c r="F164" s="181"/>
      <c r="G164" s="181"/>
      <c r="H164" s="181"/>
      <c r="I164" s="181"/>
      <c r="J164" s="181"/>
      <c r="K164" s="181"/>
      <c r="L164" s="181"/>
      <c r="M164" s="181"/>
      <c r="N164" s="181"/>
      <c r="O164" s="181"/>
      <c r="P164" s="181"/>
      <c r="Q164" s="181"/>
      <c r="R164" s="181"/>
      <c r="S164" s="181"/>
      <c r="T164" s="181"/>
      <c r="U164" s="181"/>
      <c r="V164" s="181"/>
      <c r="W164" s="181"/>
      <c r="X164" s="181"/>
      <c r="Y164" s="181"/>
      <c r="Z164" s="181"/>
    </row>
    <row r="165" ht="14.25" customHeight="1">
      <c r="A165" s="181"/>
      <c r="B165" s="181"/>
      <c r="C165" s="181"/>
      <c r="D165" s="181"/>
      <c r="E165" s="181"/>
      <c r="F165" s="181"/>
      <c r="G165" s="181"/>
      <c r="H165" s="181"/>
      <c r="I165" s="181"/>
      <c r="J165" s="181"/>
      <c r="K165" s="181"/>
      <c r="L165" s="181"/>
      <c r="M165" s="181"/>
      <c r="N165" s="181"/>
      <c r="O165" s="181"/>
      <c r="P165" s="181"/>
      <c r="Q165" s="181"/>
      <c r="R165" s="181"/>
      <c r="S165" s="181"/>
      <c r="T165" s="181"/>
      <c r="U165" s="181"/>
      <c r="V165" s="181"/>
      <c r="W165" s="181"/>
      <c r="X165" s="181"/>
      <c r="Y165" s="181"/>
      <c r="Z165" s="181"/>
    </row>
    <row r="166" ht="14.25" customHeight="1">
      <c r="A166" s="181"/>
      <c r="B166" s="181"/>
      <c r="C166" s="181"/>
      <c r="D166" s="181"/>
      <c r="E166" s="181"/>
      <c r="F166" s="181"/>
      <c r="G166" s="181"/>
      <c r="H166" s="181"/>
      <c r="I166" s="181"/>
      <c r="J166" s="181"/>
      <c r="K166" s="181"/>
      <c r="L166" s="181"/>
      <c r="M166" s="181"/>
      <c r="N166" s="181"/>
      <c r="O166" s="181"/>
      <c r="P166" s="181"/>
      <c r="Q166" s="181"/>
      <c r="R166" s="181"/>
      <c r="S166" s="181"/>
      <c r="T166" s="181"/>
      <c r="U166" s="181"/>
      <c r="V166" s="181"/>
      <c r="W166" s="181"/>
      <c r="X166" s="181"/>
      <c r="Y166" s="181"/>
      <c r="Z166" s="181"/>
    </row>
    <row r="167" ht="14.25" customHeight="1">
      <c r="A167" s="181"/>
      <c r="B167" s="181"/>
      <c r="C167" s="181"/>
      <c r="D167" s="181"/>
      <c r="E167" s="181"/>
      <c r="F167" s="181"/>
      <c r="G167" s="181"/>
      <c r="H167" s="181"/>
      <c r="I167" s="181"/>
      <c r="J167" s="181"/>
      <c r="K167" s="181"/>
      <c r="L167" s="181"/>
      <c r="M167" s="181"/>
      <c r="N167" s="181"/>
      <c r="O167" s="181"/>
      <c r="P167" s="181"/>
      <c r="Q167" s="181"/>
      <c r="R167" s="181"/>
      <c r="S167" s="181"/>
      <c r="T167" s="181"/>
      <c r="U167" s="181"/>
      <c r="V167" s="181"/>
      <c r="W167" s="181"/>
      <c r="X167" s="181"/>
      <c r="Y167" s="181"/>
      <c r="Z167" s="181"/>
    </row>
    <row r="168" ht="14.25" customHeight="1">
      <c r="A168" s="181"/>
      <c r="B168" s="181"/>
      <c r="C168" s="181"/>
      <c r="D168" s="181"/>
      <c r="E168" s="181"/>
      <c r="F168" s="181"/>
      <c r="G168" s="181"/>
      <c r="H168" s="181"/>
      <c r="I168" s="181"/>
      <c r="J168" s="181"/>
      <c r="K168" s="181"/>
      <c r="L168" s="181"/>
      <c r="M168" s="181"/>
      <c r="N168" s="181"/>
      <c r="O168" s="181"/>
      <c r="P168" s="181"/>
      <c r="Q168" s="181"/>
      <c r="R168" s="181"/>
      <c r="S168" s="181"/>
      <c r="T168" s="181"/>
      <c r="U168" s="181"/>
      <c r="V168" s="181"/>
      <c r="W168" s="181"/>
      <c r="X168" s="181"/>
      <c r="Y168" s="181"/>
      <c r="Z168" s="181"/>
    </row>
    <row r="169" ht="14.25" customHeight="1">
      <c r="A169" s="181"/>
      <c r="B169" s="181"/>
      <c r="C169" s="181"/>
      <c r="D169" s="181"/>
      <c r="E169" s="181"/>
      <c r="F169" s="181"/>
      <c r="G169" s="181"/>
      <c r="H169" s="181"/>
      <c r="I169" s="181"/>
      <c r="J169" s="181"/>
      <c r="K169" s="181"/>
      <c r="L169" s="181"/>
      <c r="M169" s="181"/>
      <c r="N169" s="181"/>
      <c r="O169" s="181"/>
      <c r="P169" s="181"/>
      <c r="Q169" s="181"/>
      <c r="R169" s="181"/>
      <c r="S169" s="181"/>
      <c r="T169" s="181"/>
      <c r="U169" s="181"/>
      <c r="V169" s="181"/>
      <c r="W169" s="181"/>
      <c r="X169" s="181"/>
      <c r="Y169" s="181"/>
      <c r="Z169" s="181"/>
    </row>
    <row r="170" ht="14.25" customHeight="1">
      <c r="A170" s="181"/>
      <c r="B170" s="181"/>
      <c r="C170" s="181"/>
      <c r="D170" s="181"/>
      <c r="E170" s="181"/>
      <c r="F170" s="181"/>
      <c r="G170" s="181"/>
      <c r="H170" s="181"/>
      <c r="I170" s="181"/>
      <c r="J170" s="181"/>
      <c r="K170" s="181"/>
      <c r="L170" s="181"/>
      <c r="M170" s="181"/>
      <c r="N170" s="181"/>
      <c r="O170" s="181"/>
      <c r="P170" s="181"/>
      <c r="Q170" s="181"/>
      <c r="R170" s="181"/>
      <c r="S170" s="181"/>
      <c r="T170" s="181"/>
      <c r="U170" s="181"/>
      <c r="V170" s="181"/>
      <c r="W170" s="181"/>
      <c r="X170" s="181"/>
      <c r="Y170" s="181"/>
      <c r="Z170" s="181"/>
    </row>
    <row r="171" ht="14.25" customHeight="1">
      <c r="A171" s="181"/>
      <c r="B171" s="181"/>
      <c r="C171" s="181"/>
      <c r="D171" s="181"/>
      <c r="E171" s="181"/>
      <c r="F171" s="181"/>
      <c r="G171" s="181"/>
      <c r="H171" s="181"/>
      <c r="I171" s="181"/>
      <c r="J171" s="181"/>
      <c r="K171" s="181"/>
      <c r="L171" s="181"/>
      <c r="M171" s="181"/>
      <c r="N171" s="181"/>
      <c r="O171" s="181"/>
      <c r="P171" s="181"/>
      <c r="Q171" s="181"/>
      <c r="R171" s="181"/>
      <c r="S171" s="181"/>
      <c r="T171" s="181"/>
      <c r="U171" s="181"/>
      <c r="V171" s="181"/>
      <c r="W171" s="181"/>
      <c r="X171" s="181"/>
      <c r="Y171" s="181"/>
      <c r="Z171" s="181"/>
    </row>
    <row r="172" ht="14.25" customHeight="1">
      <c r="A172" s="181"/>
      <c r="B172" s="181"/>
      <c r="C172" s="181"/>
      <c r="D172" s="181"/>
      <c r="E172" s="181"/>
      <c r="F172" s="181"/>
      <c r="G172" s="181"/>
      <c r="H172" s="181"/>
      <c r="I172" s="181"/>
      <c r="J172" s="181"/>
      <c r="K172" s="181"/>
      <c r="L172" s="181"/>
      <c r="M172" s="181"/>
      <c r="N172" s="181"/>
      <c r="O172" s="181"/>
      <c r="P172" s="181"/>
      <c r="Q172" s="181"/>
      <c r="R172" s="181"/>
      <c r="S172" s="181"/>
      <c r="T172" s="181"/>
      <c r="U172" s="181"/>
      <c r="V172" s="181"/>
      <c r="W172" s="181"/>
      <c r="X172" s="181"/>
      <c r="Y172" s="181"/>
      <c r="Z172" s="181"/>
    </row>
    <row r="173" ht="14.25" customHeight="1">
      <c r="A173" s="181"/>
      <c r="B173" s="181"/>
      <c r="C173" s="181"/>
      <c r="D173" s="181"/>
      <c r="E173" s="181"/>
      <c r="F173" s="181"/>
      <c r="G173" s="181"/>
      <c r="H173" s="181"/>
      <c r="I173" s="181"/>
      <c r="J173" s="181"/>
      <c r="K173" s="181"/>
      <c r="L173" s="181"/>
      <c r="M173" s="181"/>
      <c r="N173" s="181"/>
      <c r="O173" s="181"/>
      <c r="P173" s="181"/>
      <c r="Q173" s="181"/>
      <c r="R173" s="181"/>
      <c r="S173" s="181"/>
      <c r="T173" s="181"/>
      <c r="U173" s="181"/>
      <c r="V173" s="181"/>
      <c r="W173" s="181"/>
      <c r="X173" s="181"/>
      <c r="Y173" s="181"/>
      <c r="Z173" s="181"/>
    </row>
    <row r="174" ht="14.25" customHeight="1">
      <c r="A174" s="181"/>
      <c r="B174" s="181"/>
      <c r="C174" s="181"/>
      <c r="D174" s="181"/>
      <c r="E174" s="181"/>
      <c r="F174" s="181"/>
      <c r="G174" s="181"/>
      <c r="H174" s="181"/>
      <c r="I174" s="181"/>
      <c r="J174" s="181"/>
      <c r="K174" s="181"/>
      <c r="L174" s="181"/>
      <c r="M174" s="181"/>
      <c r="N174" s="181"/>
      <c r="O174" s="181"/>
      <c r="P174" s="181"/>
      <c r="Q174" s="181"/>
      <c r="R174" s="181"/>
      <c r="S174" s="181"/>
      <c r="T174" s="181"/>
      <c r="U174" s="181"/>
      <c r="V174" s="181"/>
      <c r="W174" s="181"/>
      <c r="X174" s="181"/>
      <c r="Y174" s="181"/>
      <c r="Z174" s="181"/>
    </row>
    <row r="175" ht="14.25" customHeight="1">
      <c r="A175" s="181"/>
      <c r="B175" s="181"/>
      <c r="C175" s="181"/>
      <c r="D175" s="181"/>
      <c r="E175" s="181"/>
      <c r="F175" s="181"/>
      <c r="G175" s="181"/>
      <c r="H175" s="181"/>
      <c r="I175" s="181"/>
      <c r="J175" s="181"/>
      <c r="K175" s="181"/>
      <c r="L175" s="181"/>
      <c r="M175" s="181"/>
      <c r="N175" s="181"/>
      <c r="O175" s="181"/>
      <c r="P175" s="181"/>
      <c r="Q175" s="181"/>
      <c r="R175" s="181"/>
      <c r="S175" s="181"/>
      <c r="T175" s="181"/>
      <c r="U175" s="181"/>
      <c r="V175" s="181"/>
      <c r="W175" s="181"/>
      <c r="X175" s="181"/>
      <c r="Y175" s="181"/>
      <c r="Z175" s="181"/>
    </row>
    <row r="176" ht="14.25" customHeight="1">
      <c r="A176" s="181"/>
      <c r="B176" s="181"/>
      <c r="C176" s="181"/>
      <c r="D176" s="181"/>
      <c r="E176" s="181"/>
      <c r="F176" s="181"/>
      <c r="G176" s="181"/>
      <c r="H176" s="181"/>
      <c r="I176" s="181"/>
      <c r="J176" s="181"/>
      <c r="K176" s="181"/>
      <c r="L176" s="181"/>
      <c r="M176" s="181"/>
      <c r="N176" s="181"/>
      <c r="O176" s="181"/>
      <c r="P176" s="181"/>
      <c r="Q176" s="181"/>
      <c r="R176" s="181"/>
      <c r="S176" s="181"/>
      <c r="T176" s="181"/>
      <c r="U176" s="181"/>
      <c r="V176" s="181"/>
      <c r="W176" s="181"/>
      <c r="X176" s="181"/>
      <c r="Y176" s="181"/>
      <c r="Z176" s="181"/>
    </row>
    <row r="177" ht="14.25" customHeight="1">
      <c r="A177" s="181"/>
      <c r="B177" s="181"/>
      <c r="C177" s="181"/>
      <c r="D177" s="181"/>
      <c r="E177" s="181"/>
      <c r="F177" s="181"/>
      <c r="G177" s="181"/>
      <c r="H177" s="181"/>
      <c r="I177" s="181"/>
      <c r="J177" s="181"/>
      <c r="K177" s="181"/>
      <c r="L177" s="181"/>
      <c r="M177" s="181"/>
      <c r="N177" s="181"/>
      <c r="O177" s="181"/>
      <c r="P177" s="181"/>
      <c r="Q177" s="181"/>
      <c r="R177" s="181"/>
      <c r="S177" s="181"/>
      <c r="T177" s="181"/>
      <c r="U177" s="181"/>
      <c r="V177" s="181"/>
      <c r="W177" s="181"/>
      <c r="X177" s="181"/>
      <c r="Y177" s="181"/>
      <c r="Z177" s="181"/>
    </row>
    <row r="178" ht="14.25" customHeight="1">
      <c r="A178" s="181"/>
      <c r="B178" s="181"/>
      <c r="C178" s="181"/>
      <c r="D178" s="181"/>
      <c r="E178" s="181"/>
      <c r="F178" s="181"/>
      <c r="G178" s="181"/>
      <c r="H178" s="181"/>
      <c r="I178" s="181"/>
      <c r="J178" s="181"/>
      <c r="K178" s="181"/>
      <c r="L178" s="181"/>
      <c r="M178" s="181"/>
      <c r="N178" s="181"/>
      <c r="O178" s="181"/>
      <c r="P178" s="181"/>
      <c r="Q178" s="181"/>
      <c r="R178" s="181"/>
      <c r="S178" s="181"/>
      <c r="T178" s="181"/>
      <c r="U178" s="181"/>
      <c r="V178" s="181"/>
      <c r="W178" s="181"/>
      <c r="X178" s="181"/>
      <c r="Y178" s="181"/>
      <c r="Z178" s="181"/>
    </row>
    <row r="179" ht="14.25" customHeight="1">
      <c r="A179" s="181"/>
      <c r="B179" s="181"/>
      <c r="C179" s="181"/>
      <c r="D179" s="181"/>
      <c r="E179" s="181"/>
      <c r="F179" s="181"/>
      <c r="G179" s="181"/>
      <c r="H179" s="181"/>
      <c r="I179" s="181"/>
      <c r="J179" s="181"/>
      <c r="K179" s="181"/>
      <c r="L179" s="181"/>
      <c r="M179" s="181"/>
      <c r="N179" s="181"/>
      <c r="O179" s="181"/>
      <c r="P179" s="181"/>
      <c r="Q179" s="181"/>
      <c r="R179" s="181"/>
      <c r="S179" s="181"/>
      <c r="T179" s="181"/>
      <c r="U179" s="181"/>
      <c r="V179" s="181"/>
      <c r="W179" s="181"/>
      <c r="X179" s="181"/>
      <c r="Y179" s="181"/>
      <c r="Z179" s="181"/>
    </row>
    <row r="180" ht="14.25" customHeight="1">
      <c r="A180" s="181"/>
      <c r="B180" s="181"/>
      <c r="C180" s="181"/>
      <c r="D180" s="181"/>
      <c r="E180" s="181"/>
      <c r="F180" s="181"/>
      <c r="G180" s="181"/>
      <c r="H180" s="181"/>
      <c r="I180" s="181"/>
      <c r="J180" s="181"/>
      <c r="K180" s="181"/>
      <c r="L180" s="181"/>
      <c r="M180" s="181"/>
      <c r="N180" s="181"/>
      <c r="O180" s="181"/>
      <c r="P180" s="181"/>
      <c r="Q180" s="181"/>
      <c r="R180" s="181"/>
      <c r="S180" s="181"/>
      <c r="T180" s="181"/>
      <c r="U180" s="181"/>
      <c r="V180" s="181"/>
      <c r="W180" s="181"/>
      <c r="X180" s="181"/>
      <c r="Y180" s="181"/>
      <c r="Z180" s="181"/>
    </row>
    <row r="181" ht="14.25" customHeight="1">
      <c r="A181" s="181"/>
      <c r="B181" s="181"/>
      <c r="C181" s="181"/>
      <c r="D181" s="181"/>
      <c r="E181" s="181"/>
      <c r="F181" s="181"/>
      <c r="G181" s="181"/>
      <c r="H181" s="181"/>
      <c r="I181" s="181"/>
      <c r="J181" s="181"/>
      <c r="K181" s="181"/>
      <c r="L181" s="181"/>
      <c r="M181" s="181"/>
      <c r="N181" s="181"/>
      <c r="O181" s="181"/>
      <c r="P181" s="181"/>
      <c r="Q181" s="181"/>
      <c r="R181" s="181"/>
      <c r="S181" s="181"/>
      <c r="T181" s="181"/>
      <c r="U181" s="181"/>
      <c r="V181" s="181"/>
      <c r="W181" s="181"/>
      <c r="X181" s="181"/>
      <c r="Y181" s="181"/>
      <c r="Z181" s="181"/>
    </row>
    <row r="182" ht="14.25" customHeight="1">
      <c r="A182" s="181"/>
      <c r="B182" s="181"/>
      <c r="C182" s="181"/>
      <c r="D182" s="181"/>
      <c r="E182" s="181"/>
      <c r="F182" s="181"/>
      <c r="G182" s="181"/>
      <c r="H182" s="181"/>
      <c r="I182" s="181"/>
      <c r="J182" s="181"/>
      <c r="K182" s="181"/>
      <c r="L182" s="181"/>
      <c r="M182" s="181"/>
      <c r="N182" s="181"/>
      <c r="O182" s="181"/>
      <c r="P182" s="181"/>
      <c r="Q182" s="181"/>
      <c r="R182" s="181"/>
      <c r="S182" s="181"/>
      <c r="T182" s="181"/>
      <c r="U182" s="181"/>
      <c r="V182" s="181"/>
      <c r="W182" s="181"/>
      <c r="X182" s="181"/>
      <c r="Y182" s="181"/>
      <c r="Z182" s="181"/>
    </row>
    <row r="183" ht="14.25" customHeight="1">
      <c r="A183" s="181"/>
      <c r="B183" s="181"/>
      <c r="C183" s="181"/>
      <c r="D183" s="181"/>
      <c r="E183" s="181"/>
      <c r="F183" s="181"/>
      <c r="G183" s="181"/>
      <c r="H183" s="181"/>
      <c r="I183" s="181"/>
      <c r="J183" s="181"/>
      <c r="K183" s="181"/>
      <c r="L183" s="181"/>
      <c r="M183" s="181"/>
      <c r="N183" s="181"/>
      <c r="O183" s="181"/>
      <c r="P183" s="181"/>
      <c r="Q183" s="181"/>
      <c r="R183" s="181"/>
      <c r="S183" s="181"/>
      <c r="T183" s="181"/>
      <c r="U183" s="181"/>
      <c r="V183" s="181"/>
      <c r="W183" s="181"/>
      <c r="X183" s="181"/>
      <c r="Y183" s="181"/>
      <c r="Z183" s="181"/>
    </row>
    <row r="184" ht="14.25" customHeight="1">
      <c r="A184" s="181"/>
      <c r="B184" s="181"/>
      <c r="C184" s="181"/>
      <c r="D184" s="181"/>
      <c r="E184" s="181"/>
      <c r="F184" s="181"/>
      <c r="G184" s="181"/>
      <c r="H184" s="181"/>
      <c r="I184" s="181"/>
      <c r="J184" s="181"/>
      <c r="K184" s="181"/>
      <c r="L184" s="181"/>
      <c r="M184" s="181"/>
      <c r="N184" s="181"/>
      <c r="O184" s="181"/>
      <c r="P184" s="181"/>
      <c r="Q184" s="181"/>
      <c r="R184" s="181"/>
      <c r="S184" s="181"/>
      <c r="T184" s="181"/>
      <c r="U184" s="181"/>
      <c r="V184" s="181"/>
      <c r="W184" s="181"/>
      <c r="X184" s="181"/>
      <c r="Y184" s="181"/>
      <c r="Z184" s="181"/>
    </row>
    <row r="185" ht="14.25" customHeight="1">
      <c r="A185" s="181"/>
      <c r="B185" s="181"/>
      <c r="C185" s="181"/>
      <c r="D185" s="181"/>
      <c r="E185" s="181"/>
      <c r="F185" s="181"/>
      <c r="G185" s="181"/>
      <c r="H185" s="181"/>
      <c r="I185" s="181"/>
      <c r="J185" s="181"/>
      <c r="K185" s="181"/>
      <c r="L185" s="181"/>
      <c r="M185" s="181"/>
      <c r="N185" s="181"/>
      <c r="O185" s="181"/>
      <c r="P185" s="181"/>
      <c r="Q185" s="181"/>
      <c r="R185" s="181"/>
      <c r="S185" s="181"/>
      <c r="T185" s="181"/>
      <c r="U185" s="181"/>
      <c r="V185" s="181"/>
      <c r="W185" s="181"/>
      <c r="X185" s="181"/>
      <c r="Y185" s="181"/>
      <c r="Z185" s="181"/>
    </row>
    <row r="186" ht="14.25" customHeight="1">
      <c r="A186" s="181"/>
      <c r="B186" s="181"/>
      <c r="C186" s="181"/>
      <c r="D186" s="181"/>
      <c r="E186" s="181"/>
      <c r="F186" s="181"/>
      <c r="G186" s="181"/>
      <c r="H186" s="181"/>
      <c r="I186" s="181"/>
      <c r="J186" s="181"/>
      <c r="K186" s="181"/>
      <c r="L186" s="181"/>
      <c r="M186" s="181"/>
      <c r="N186" s="181"/>
      <c r="O186" s="181"/>
      <c r="P186" s="181"/>
      <c r="Q186" s="181"/>
      <c r="R186" s="181"/>
      <c r="S186" s="181"/>
      <c r="T186" s="181"/>
      <c r="U186" s="181"/>
      <c r="V186" s="181"/>
      <c r="W186" s="181"/>
      <c r="X186" s="181"/>
      <c r="Y186" s="181"/>
      <c r="Z186" s="181"/>
    </row>
    <row r="187" ht="14.25" customHeight="1">
      <c r="A187" s="181"/>
      <c r="B187" s="181"/>
      <c r="C187" s="181"/>
      <c r="D187" s="181"/>
      <c r="E187" s="181"/>
      <c r="F187" s="181"/>
      <c r="G187" s="181"/>
      <c r="H187" s="181"/>
      <c r="I187" s="181"/>
      <c r="J187" s="181"/>
      <c r="K187" s="181"/>
      <c r="L187" s="181"/>
      <c r="M187" s="181"/>
      <c r="N187" s="181"/>
      <c r="O187" s="181"/>
      <c r="P187" s="181"/>
      <c r="Q187" s="181"/>
      <c r="R187" s="181"/>
      <c r="S187" s="181"/>
      <c r="T187" s="181"/>
      <c r="U187" s="181"/>
      <c r="V187" s="181"/>
      <c r="W187" s="181"/>
      <c r="X187" s="181"/>
      <c r="Y187" s="181"/>
      <c r="Z187" s="181"/>
    </row>
    <row r="188" ht="14.25" customHeight="1">
      <c r="A188" s="181"/>
      <c r="B188" s="181"/>
      <c r="C188" s="181"/>
      <c r="D188" s="181"/>
      <c r="E188" s="181"/>
      <c r="F188" s="181"/>
      <c r="G188" s="181"/>
      <c r="H188" s="181"/>
      <c r="I188" s="181"/>
      <c r="J188" s="181"/>
      <c r="K188" s="181"/>
      <c r="L188" s="181"/>
      <c r="M188" s="181"/>
      <c r="N188" s="181"/>
      <c r="O188" s="181"/>
      <c r="P188" s="181"/>
      <c r="Q188" s="181"/>
      <c r="R188" s="181"/>
      <c r="S188" s="181"/>
      <c r="T188" s="181"/>
      <c r="U188" s="181"/>
      <c r="V188" s="181"/>
      <c r="W188" s="181"/>
      <c r="X188" s="181"/>
      <c r="Y188" s="181"/>
      <c r="Z188" s="181"/>
    </row>
    <row r="189" ht="14.25" customHeight="1">
      <c r="A189" s="181"/>
      <c r="B189" s="181"/>
      <c r="C189" s="181"/>
      <c r="D189" s="181"/>
      <c r="E189" s="181"/>
      <c r="F189" s="181"/>
      <c r="G189" s="181"/>
      <c r="H189" s="181"/>
      <c r="I189" s="181"/>
      <c r="J189" s="181"/>
      <c r="K189" s="181"/>
      <c r="L189" s="181"/>
      <c r="M189" s="181"/>
      <c r="N189" s="181"/>
      <c r="O189" s="181"/>
      <c r="P189" s="181"/>
      <c r="Q189" s="181"/>
      <c r="R189" s="181"/>
      <c r="S189" s="181"/>
      <c r="T189" s="181"/>
      <c r="U189" s="181"/>
      <c r="V189" s="181"/>
      <c r="W189" s="181"/>
      <c r="X189" s="181"/>
      <c r="Y189" s="181"/>
      <c r="Z189" s="181"/>
    </row>
    <row r="190" ht="14.25" customHeight="1">
      <c r="A190" s="181"/>
      <c r="B190" s="181"/>
      <c r="C190" s="181"/>
      <c r="D190" s="181"/>
      <c r="E190" s="181"/>
      <c r="F190" s="181"/>
      <c r="G190" s="181"/>
      <c r="H190" s="181"/>
      <c r="I190" s="181"/>
      <c r="J190" s="181"/>
      <c r="K190" s="181"/>
      <c r="L190" s="181"/>
      <c r="M190" s="181"/>
      <c r="N190" s="181"/>
      <c r="O190" s="181"/>
      <c r="P190" s="181"/>
      <c r="Q190" s="181"/>
      <c r="R190" s="181"/>
      <c r="S190" s="181"/>
      <c r="T190" s="181"/>
      <c r="U190" s="181"/>
      <c r="V190" s="181"/>
      <c r="W190" s="181"/>
      <c r="X190" s="181"/>
      <c r="Y190" s="181"/>
      <c r="Z190" s="181"/>
    </row>
    <row r="191" ht="14.25" customHeight="1">
      <c r="A191" s="181"/>
      <c r="B191" s="181"/>
      <c r="C191" s="181"/>
      <c r="D191" s="181"/>
      <c r="E191" s="181"/>
      <c r="F191" s="181"/>
      <c r="G191" s="181"/>
      <c r="H191" s="181"/>
      <c r="I191" s="181"/>
      <c r="J191" s="181"/>
      <c r="K191" s="181"/>
      <c r="L191" s="181"/>
      <c r="M191" s="181"/>
      <c r="N191" s="181"/>
      <c r="O191" s="181"/>
      <c r="P191" s="181"/>
      <c r="Q191" s="181"/>
      <c r="R191" s="181"/>
      <c r="S191" s="181"/>
      <c r="T191" s="181"/>
      <c r="U191" s="181"/>
      <c r="V191" s="181"/>
      <c r="W191" s="181"/>
      <c r="X191" s="181"/>
      <c r="Y191" s="181"/>
      <c r="Z191" s="181"/>
    </row>
    <row r="192" ht="14.25" customHeight="1">
      <c r="A192" s="181"/>
      <c r="B192" s="181"/>
      <c r="C192" s="181"/>
      <c r="D192" s="181"/>
      <c r="E192" s="181"/>
      <c r="F192" s="181"/>
      <c r="G192" s="181"/>
      <c r="H192" s="181"/>
      <c r="I192" s="181"/>
      <c r="J192" s="181"/>
      <c r="K192" s="181"/>
      <c r="L192" s="181"/>
      <c r="M192" s="181"/>
      <c r="N192" s="181"/>
      <c r="O192" s="181"/>
      <c r="P192" s="181"/>
      <c r="Q192" s="181"/>
      <c r="R192" s="181"/>
      <c r="S192" s="181"/>
      <c r="T192" s="181"/>
      <c r="U192" s="181"/>
      <c r="V192" s="181"/>
      <c r="W192" s="181"/>
      <c r="X192" s="181"/>
      <c r="Y192" s="181"/>
      <c r="Z192" s="181"/>
    </row>
    <row r="193" ht="14.25" customHeight="1">
      <c r="A193" s="181"/>
      <c r="B193" s="181"/>
      <c r="C193" s="181"/>
      <c r="D193" s="181"/>
      <c r="E193" s="181"/>
      <c r="F193" s="181"/>
      <c r="G193" s="181"/>
      <c r="H193" s="181"/>
      <c r="I193" s="181"/>
      <c r="J193" s="181"/>
      <c r="K193" s="181"/>
      <c r="L193" s="181"/>
      <c r="M193" s="181"/>
      <c r="N193" s="181"/>
      <c r="O193" s="181"/>
      <c r="P193" s="181"/>
      <c r="Q193" s="181"/>
      <c r="R193" s="181"/>
      <c r="S193" s="181"/>
      <c r="T193" s="181"/>
      <c r="U193" s="181"/>
      <c r="V193" s="181"/>
      <c r="W193" s="181"/>
      <c r="X193" s="181"/>
      <c r="Y193" s="181"/>
      <c r="Z193" s="181"/>
    </row>
    <row r="194" ht="14.25" customHeight="1">
      <c r="A194" s="181"/>
      <c r="B194" s="181"/>
      <c r="C194" s="181"/>
      <c r="D194" s="181"/>
      <c r="E194" s="181"/>
      <c r="F194" s="181"/>
      <c r="G194" s="181"/>
      <c r="H194" s="181"/>
      <c r="I194" s="181"/>
      <c r="J194" s="181"/>
      <c r="K194" s="181"/>
      <c r="L194" s="181"/>
      <c r="M194" s="181"/>
      <c r="N194" s="181"/>
      <c r="O194" s="181"/>
      <c r="P194" s="181"/>
      <c r="Q194" s="181"/>
      <c r="R194" s="181"/>
      <c r="S194" s="181"/>
      <c r="T194" s="181"/>
      <c r="U194" s="181"/>
      <c r="V194" s="181"/>
      <c r="W194" s="181"/>
      <c r="X194" s="181"/>
      <c r="Y194" s="181"/>
      <c r="Z194" s="181"/>
    </row>
    <row r="195" ht="14.25" customHeight="1">
      <c r="A195" s="181"/>
      <c r="B195" s="181"/>
      <c r="C195" s="181"/>
      <c r="D195" s="181"/>
      <c r="E195" s="181"/>
      <c r="F195" s="181"/>
      <c r="G195" s="181"/>
      <c r="H195" s="181"/>
      <c r="I195" s="181"/>
      <c r="J195" s="181"/>
      <c r="K195" s="181"/>
      <c r="L195" s="181"/>
      <c r="M195" s="181"/>
      <c r="N195" s="181"/>
      <c r="O195" s="181"/>
      <c r="P195" s="181"/>
      <c r="Q195" s="181"/>
      <c r="R195" s="181"/>
      <c r="S195" s="181"/>
      <c r="T195" s="181"/>
      <c r="U195" s="181"/>
      <c r="V195" s="181"/>
      <c r="W195" s="181"/>
      <c r="X195" s="181"/>
      <c r="Y195" s="181"/>
      <c r="Z195" s="181"/>
    </row>
    <row r="196" ht="14.25" customHeight="1">
      <c r="A196" s="181"/>
      <c r="B196" s="181"/>
      <c r="C196" s="181"/>
      <c r="D196" s="181"/>
      <c r="E196" s="181"/>
      <c r="F196" s="181"/>
      <c r="G196" s="181"/>
      <c r="H196" s="181"/>
      <c r="I196" s="181"/>
      <c r="J196" s="181"/>
      <c r="K196" s="181"/>
      <c r="L196" s="181"/>
      <c r="M196" s="181"/>
      <c r="N196" s="181"/>
      <c r="O196" s="181"/>
      <c r="P196" s="181"/>
      <c r="Q196" s="181"/>
      <c r="R196" s="181"/>
      <c r="S196" s="181"/>
      <c r="T196" s="181"/>
      <c r="U196" s="181"/>
      <c r="V196" s="181"/>
      <c r="W196" s="181"/>
      <c r="X196" s="181"/>
      <c r="Y196" s="181"/>
      <c r="Z196" s="181"/>
    </row>
    <row r="197" ht="14.25" customHeight="1">
      <c r="A197" s="181"/>
      <c r="B197" s="181"/>
      <c r="C197" s="181"/>
      <c r="D197" s="181"/>
      <c r="E197" s="181"/>
      <c r="F197" s="181"/>
      <c r="G197" s="181"/>
      <c r="H197" s="181"/>
      <c r="I197" s="181"/>
      <c r="J197" s="181"/>
      <c r="K197" s="181"/>
      <c r="L197" s="181"/>
      <c r="M197" s="181"/>
      <c r="N197" s="181"/>
      <c r="O197" s="181"/>
      <c r="P197" s="181"/>
      <c r="Q197" s="181"/>
      <c r="R197" s="181"/>
      <c r="S197" s="181"/>
      <c r="T197" s="181"/>
      <c r="U197" s="181"/>
      <c r="V197" s="181"/>
      <c r="W197" s="181"/>
      <c r="X197" s="181"/>
      <c r="Y197" s="181"/>
      <c r="Z197" s="181"/>
    </row>
    <row r="198" ht="14.25" customHeight="1">
      <c r="A198" s="181"/>
      <c r="B198" s="181"/>
      <c r="C198" s="181"/>
      <c r="D198" s="181"/>
      <c r="E198" s="181"/>
      <c r="F198" s="181"/>
      <c r="G198" s="181"/>
      <c r="H198" s="181"/>
      <c r="I198" s="181"/>
      <c r="J198" s="181"/>
      <c r="K198" s="181"/>
      <c r="L198" s="181"/>
      <c r="M198" s="181"/>
      <c r="N198" s="181"/>
      <c r="O198" s="181"/>
      <c r="P198" s="181"/>
      <c r="Q198" s="181"/>
      <c r="R198" s="181"/>
      <c r="S198" s="181"/>
      <c r="T198" s="181"/>
      <c r="U198" s="181"/>
      <c r="V198" s="181"/>
      <c r="W198" s="181"/>
      <c r="X198" s="181"/>
      <c r="Y198" s="181"/>
      <c r="Z198" s="181"/>
    </row>
    <row r="199" ht="14.25" customHeight="1">
      <c r="A199" s="181"/>
      <c r="B199" s="181"/>
      <c r="C199" s="181"/>
      <c r="D199" s="181"/>
      <c r="E199" s="181"/>
      <c r="F199" s="181"/>
      <c r="G199" s="181"/>
      <c r="H199" s="181"/>
      <c r="I199" s="181"/>
      <c r="J199" s="181"/>
      <c r="K199" s="181"/>
      <c r="L199" s="181"/>
      <c r="M199" s="181"/>
      <c r="N199" s="181"/>
      <c r="O199" s="181"/>
      <c r="P199" s="181"/>
      <c r="Q199" s="181"/>
      <c r="R199" s="181"/>
      <c r="S199" s="181"/>
      <c r="T199" s="181"/>
      <c r="U199" s="181"/>
      <c r="V199" s="181"/>
      <c r="W199" s="181"/>
      <c r="X199" s="181"/>
      <c r="Y199" s="181"/>
      <c r="Z199" s="181"/>
    </row>
    <row r="200" ht="14.25" customHeight="1">
      <c r="A200" s="181"/>
      <c r="B200" s="181"/>
      <c r="C200" s="181"/>
      <c r="D200" s="181"/>
      <c r="E200" s="181"/>
      <c r="F200" s="181"/>
      <c r="G200" s="181"/>
      <c r="H200" s="181"/>
      <c r="I200" s="181"/>
      <c r="J200" s="181"/>
      <c r="K200" s="181"/>
      <c r="L200" s="181"/>
      <c r="M200" s="181"/>
      <c r="N200" s="181"/>
      <c r="O200" s="181"/>
      <c r="P200" s="181"/>
      <c r="Q200" s="181"/>
      <c r="R200" s="181"/>
      <c r="S200" s="181"/>
      <c r="T200" s="181"/>
      <c r="U200" s="181"/>
      <c r="V200" s="181"/>
      <c r="W200" s="181"/>
      <c r="X200" s="181"/>
      <c r="Y200" s="181"/>
      <c r="Z200" s="181"/>
    </row>
    <row r="201" ht="14.25" customHeight="1">
      <c r="A201" s="181"/>
      <c r="B201" s="181"/>
      <c r="C201" s="181"/>
      <c r="D201" s="181"/>
      <c r="E201" s="181"/>
      <c r="F201" s="181"/>
      <c r="G201" s="181"/>
      <c r="H201" s="181"/>
      <c r="I201" s="181"/>
      <c r="J201" s="181"/>
      <c r="K201" s="181"/>
      <c r="L201" s="181"/>
      <c r="M201" s="181"/>
      <c r="N201" s="181"/>
      <c r="O201" s="181"/>
      <c r="P201" s="181"/>
      <c r="Q201" s="181"/>
      <c r="R201" s="181"/>
      <c r="S201" s="181"/>
      <c r="T201" s="181"/>
      <c r="U201" s="181"/>
      <c r="V201" s="181"/>
      <c r="W201" s="181"/>
      <c r="X201" s="181"/>
      <c r="Y201" s="181"/>
      <c r="Z201" s="181"/>
    </row>
    <row r="202" ht="14.25" customHeight="1">
      <c r="A202" s="181"/>
      <c r="B202" s="181"/>
      <c r="C202" s="181"/>
      <c r="D202" s="181"/>
      <c r="E202" s="181"/>
      <c r="F202" s="181"/>
      <c r="G202" s="181"/>
      <c r="H202" s="181"/>
      <c r="I202" s="181"/>
      <c r="J202" s="181"/>
      <c r="K202" s="181"/>
      <c r="L202" s="181"/>
      <c r="M202" s="181"/>
      <c r="N202" s="181"/>
      <c r="O202" s="181"/>
      <c r="P202" s="181"/>
      <c r="Q202" s="181"/>
      <c r="R202" s="181"/>
      <c r="S202" s="181"/>
      <c r="T202" s="181"/>
      <c r="U202" s="181"/>
      <c r="V202" s="181"/>
      <c r="W202" s="181"/>
      <c r="X202" s="181"/>
      <c r="Y202" s="181"/>
      <c r="Z202" s="181"/>
    </row>
    <row r="203" ht="14.25" customHeight="1">
      <c r="A203" s="181"/>
      <c r="B203" s="181"/>
      <c r="C203" s="181"/>
      <c r="D203" s="181"/>
      <c r="E203" s="181"/>
      <c r="F203" s="181"/>
      <c r="G203" s="181"/>
      <c r="H203" s="181"/>
      <c r="I203" s="181"/>
      <c r="J203" s="181"/>
      <c r="K203" s="181"/>
      <c r="L203" s="181"/>
      <c r="M203" s="181"/>
      <c r="N203" s="181"/>
      <c r="O203" s="181"/>
      <c r="P203" s="181"/>
      <c r="Q203" s="181"/>
      <c r="R203" s="181"/>
      <c r="S203" s="181"/>
      <c r="T203" s="181"/>
      <c r="U203" s="181"/>
      <c r="V203" s="181"/>
      <c r="W203" s="181"/>
      <c r="X203" s="181"/>
      <c r="Y203" s="181"/>
      <c r="Z203" s="181"/>
    </row>
    <row r="204" ht="14.25" customHeight="1">
      <c r="A204" s="181"/>
      <c r="B204" s="181"/>
      <c r="C204" s="181"/>
      <c r="D204" s="181"/>
      <c r="E204" s="181"/>
      <c r="F204" s="181"/>
      <c r="G204" s="181"/>
      <c r="H204" s="181"/>
      <c r="I204" s="181"/>
      <c r="J204" s="181"/>
      <c r="K204" s="181"/>
      <c r="L204" s="181"/>
      <c r="M204" s="181"/>
      <c r="N204" s="181"/>
      <c r="O204" s="181"/>
      <c r="P204" s="181"/>
      <c r="Q204" s="181"/>
      <c r="R204" s="181"/>
      <c r="S204" s="181"/>
      <c r="T204" s="181"/>
      <c r="U204" s="181"/>
      <c r="V204" s="181"/>
      <c r="W204" s="181"/>
      <c r="X204" s="181"/>
      <c r="Y204" s="181"/>
      <c r="Z204" s="181"/>
    </row>
    <row r="205" ht="14.25" customHeight="1">
      <c r="A205" s="181"/>
      <c r="B205" s="181"/>
      <c r="C205" s="181"/>
      <c r="D205" s="181"/>
      <c r="E205" s="181"/>
      <c r="F205" s="181"/>
      <c r="G205" s="181"/>
      <c r="H205" s="181"/>
      <c r="I205" s="181"/>
      <c r="J205" s="181"/>
      <c r="K205" s="181"/>
      <c r="L205" s="181"/>
      <c r="M205" s="181"/>
      <c r="N205" s="181"/>
      <c r="O205" s="181"/>
      <c r="P205" s="181"/>
      <c r="Q205" s="181"/>
      <c r="R205" s="181"/>
      <c r="S205" s="181"/>
      <c r="T205" s="181"/>
      <c r="U205" s="181"/>
      <c r="V205" s="181"/>
      <c r="W205" s="181"/>
      <c r="X205" s="181"/>
      <c r="Y205" s="181"/>
      <c r="Z205" s="181"/>
    </row>
    <row r="206" ht="14.25" customHeight="1">
      <c r="A206" s="181"/>
      <c r="B206" s="181"/>
      <c r="C206" s="181"/>
      <c r="D206" s="181"/>
      <c r="E206" s="181"/>
      <c r="F206" s="181"/>
      <c r="G206" s="181"/>
      <c r="H206" s="181"/>
      <c r="I206" s="181"/>
      <c r="J206" s="181"/>
      <c r="K206" s="181"/>
      <c r="L206" s="181"/>
      <c r="M206" s="181"/>
      <c r="N206" s="181"/>
      <c r="O206" s="181"/>
      <c r="P206" s="181"/>
      <c r="Q206" s="181"/>
      <c r="R206" s="181"/>
      <c r="S206" s="181"/>
      <c r="T206" s="181"/>
      <c r="U206" s="181"/>
      <c r="V206" s="181"/>
      <c r="W206" s="181"/>
      <c r="X206" s="181"/>
      <c r="Y206" s="181"/>
      <c r="Z206" s="181"/>
    </row>
    <row r="207" ht="14.25" customHeight="1">
      <c r="A207" s="181"/>
      <c r="B207" s="181"/>
      <c r="C207" s="181"/>
      <c r="D207" s="181"/>
      <c r="E207" s="181"/>
      <c r="F207" s="181"/>
      <c r="G207" s="181"/>
      <c r="H207" s="181"/>
      <c r="I207" s="181"/>
      <c r="J207" s="181"/>
      <c r="K207" s="181"/>
      <c r="L207" s="181"/>
      <c r="M207" s="181"/>
      <c r="N207" s="181"/>
      <c r="O207" s="181"/>
      <c r="P207" s="181"/>
      <c r="Q207" s="181"/>
      <c r="R207" s="181"/>
      <c r="S207" s="181"/>
      <c r="T207" s="181"/>
      <c r="U207" s="181"/>
      <c r="V207" s="181"/>
      <c r="W207" s="181"/>
      <c r="X207" s="181"/>
      <c r="Y207" s="181"/>
      <c r="Z207" s="181"/>
    </row>
    <row r="208" ht="14.25" customHeight="1">
      <c r="A208" s="181"/>
      <c r="B208" s="181"/>
      <c r="C208" s="181"/>
      <c r="D208" s="181"/>
      <c r="E208" s="181"/>
      <c r="F208" s="181"/>
      <c r="G208" s="181"/>
      <c r="H208" s="181"/>
      <c r="I208" s="181"/>
      <c r="J208" s="181"/>
      <c r="K208" s="181"/>
      <c r="L208" s="181"/>
      <c r="M208" s="181"/>
      <c r="N208" s="181"/>
      <c r="O208" s="181"/>
      <c r="P208" s="181"/>
      <c r="Q208" s="181"/>
      <c r="R208" s="181"/>
      <c r="S208" s="181"/>
      <c r="T208" s="181"/>
      <c r="U208" s="181"/>
      <c r="V208" s="181"/>
      <c r="W208" s="181"/>
      <c r="X208" s="181"/>
      <c r="Y208" s="181"/>
      <c r="Z208" s="181"/>
    </row>
    <row r="209" ht="14.25" customHeight="1">
      <c r="A209" s="181"/>
      <c r="B209" s="181"/>
      <c r="C209" s="181"/>
      <c r="D209" s="181"/>
      <c r="E209" s="181"/>
      <c r="F209" s="181"/>
      <c r="G209" s="181"/>
      <c r="H209" s="181"/>
      <c r="I209" s="181"/>
      <c r="J209" s="181"/>
      <c r="K209" s="181"/>
      <c r="L209" s="181"/>
      <c r="M209" s="181"/>
      <c r="N209" s="181"/>
      <c r="O209" s="181"/>
      <c r="P209" s="181"/>
      <c r="Q209" s="181"/>
      <c r="R209" s="181"/>
      <c r="S209" s="181"/>
      <c r="T209" s="181"/>
      <c r="U209" s="181"/>
      <c r="V209" s="181"/>
      <c r="W209" s="181"/>
      <c r="X209" s="181"/>
      <c r="Y209" s="181"/>
      <c r="Z209" s="181"/>
    </row>
    <row r="210" ht="14.25" customHeight="1">
      <c r="A210" s="181"/>
      <c r="B210" s="181"/>
      <c r="C210" s="181"/>
      <c r="D210" s="181"/>
      <c r="E210" s="181"/>
      <c r="F210" s="181"/>
      <c r="G210" s="181"/>
      <c r="H210" s="181"/>
      <c r="I210" s="181"/>
      <c r="J210" s="181"/>
      <c r="K210" s="181"/>
      <c r="L210" s="181"/>
      <c r="M210" s="181"/>
      <c r="N210" s="181"/>
      <c r="O210" s="181"/>
      <c r="P210" s="181"/>
      <c r="Q210" s="181"/>
      <c r="R210" s="181"/>
      <c r="S210" s="181"/>
      <c r="T210" s="181"/>
      <c r="U210" s="181"/>
      <c r="V210" s="181"/>
      <c r="W210" s="181"/>
      <c r="X210" s="181"/>
      <c r="Y210" s="181"/>
      <c r="Z210" s="181"/>
    </row>
    <row r="211" ht="14.25" customHeight="1">
      <c r="A211" s="181"/>
      <c r="B211" s="181"/>
      <c r="C211" s="181"/>
      <c r="D211" s="181"/>
      <c r="E211" s="181"/>
      <c r="F211" s="181"/>
      <c r="G211" s="181"/>
      <c r="H211" s="181"/>
      <c r="I211" s="181"/>
      <c r="J211" s="181"/>
      <c r="K211" s="181"/>
      <c r="L211" s="181"/>
      <c r="M211" s="181"/>
      <c r="N211" s="181"/>
      <c r="O211" s="181"/>
      <c r="P211" s="181"/>
      <c r="Q211" s="181"/>
      <c r="R211" s="181"/>
      <c r="S211" s="181"/>
      <c r="T211" s="181"/>
      <c r="U211" s="181"/>
      <c r="V211" s="181"/>
      <c r="W211" s="181"/>
      <c r="X211" s="181"/>
      <c r="Y211" s="181"/>
      <c r="Z211" s="181"/>
    </row>
    <row r="212" ht="14.25" customHeight="1">
      <c r="A212" s="181"/>
      <c r="B212" s="181"/>
      <c r="C212" s="181"/>
      <c r="D212" s="181"/>
      <c r="E212" s="181"/>
      <c r="F212" s="181"/>
      <c r="G212" s="181"/>
      <c r="H212" s="181"/>
      <c r="I212" s="181"/>
      <c r="J212" s="181"/>
      <c r="K212" s="181"/>
      <c r="L212" s="181"/>
      <c r="M212" s="181"/>
      <c r="N212" s="181"/>
      <c r="O212" s="181"/>
      <c r="P212" s="181"/>
      <c r="Q212" s="181"/>
      <c r="R212" s="181"/>
      <c r="S212" s="181"/>
      <c r="T212" s="181"/>
      <c r="U212" s="181"/>
      <c r="V212" s="181"/>
      <c r="W212" s="181"/>
      <c r="X212" s="181"/>
      <c r="Y212" s="181"/>
      <c r="Z212" s="181"/>
    </row>
    <row r="213" ht="14.25" customHeight="1">
      <c r="A213" s="181"/>
      <c r="B213" s="181"/>
      <c r="C213" s="181"/>
      <c r="D213" s="181"/>
      <c r="E213" s="181"/>
      <c r="F213" s="181"/>
      <c r="G213" s="181"/>
      <c r="H213" s="181"/>
      <c r="I213" s="181"/>
      <c r="J213" s="181"/>
      <c r="K213" s="181"/>
      <c r="L213" s="181"/>
      <c r="M213" s="181"/>
      <c r="N213" s="181"/>
      <c r="O213" s="181"/>
      <c r="P213" s="181"/>
      <c r="Q213" s="181"/>
      <c r="R213" s="181"/>
      <c r="S213" s="181"/>
      <c r="T213" s="181"/>
      <c r="U213" s="181"/>
      <c r="V213" s="181"/>
      <c r="W213" s="181"/>
      <c r="X213" s="181"/>
      <c r="Y213" s="181"/>
      <c r="Z213" s="181"/>
    </row>
    <row r="214" ht="14.25" customHeight="1">
      <c r="A214" s="181"/>
      <c r="B214" s="181"/>
      <c r="C214" s="181"/>
      <c r="D214" s="181"/>
      <c r="E214" s="181"/>
      <c r="F214" s="181"/>
      <c r="G214" s="181"/>
      <c r="H214" s="181"/>
      <c r="I214" s="181"/>
      <c r="J214" s="181"/>
      <c r="K214" s="181"/>
      <c r="L214" s="181"/>
      <c r="M214" s="181"/>
      <c r="N214" s="181"/>
      <c r="O214" s="181"/>
      <c r="P214" s="181"/>
      <c r="Q214" s="181"/>
      <c r="R214" s="181"/>
      <c r="S214" s="181"/>
      <c r="T214" s="181"/>
      <c r="U214" s="181"/>
      <c r="V214" s="181"/>
      <c r="W214" s="181"/>
      <c r="X214" s="181"/>
      <c r="Y214" s="181"/>
      <c r="Z214" s="181"/>
    </row>
    <row r="215" ht="14.25" customHeight="1">
      <c r="A215" s="181"/>
      <c r="B215" s="181"/>
      <c r="C215" s="181"/>
      <c r="D215" s="181"/>
      <c r="E215" s="181"/>
      <c r="F215" s="181"/>
      <c r="G215" s="181"/>
      <c r="H215" s="181"/>
      <c r="I215" s="181"/>
      <c r="J215" s="181"/>
      <c r="K215" s="181"/>
      <c r="L215" s="181"/>
      <c r="M215" s="181"/>
      <c r="N215" s="181"/>
      <c r="O215" s="181"/>
      <c r="P215" s="181"/>
      <c r="Q215" s="181"/>
      <c r="R215" s="181"/>
      <c r="S215" s="181"/>
      <c r="T215" s="181"/>
      <c r="U215" s="181"/>
      <c r="V215" s="181"/>
      <c r="W215" s="181"/>
      <c r="X215" s="181"/>
      <c r="Y215" s="181"/>
      <c r="Z215" s="181"/>
    </row>
    <row r="216" ht="14.25" customHeight="1">
      <c r="A216" s="181"/>
      <c r="B216" s="181"/>
      <c r="C216" s="181"/>
      <c r="D216" s="181"/>
      <c r="E216" s="181"/>
      <c r="F216" s="181"/>
      <c r="G216" s="181"/>
      <c r="H216" s="181"/>
      <c r="I216" s="181"/>
      <c r="J216" s="181"/>
      <c r="K216" s="181"/>
      <c r="L216" s="181"/>
      <c r="M216" s="181"/>
      <c r="N216" s="181"/>
      <c r="O216" s="181"/>
      <c r="P216" s="181"/>
      <c r="Q216" s="181"/>
      <c r="R216" s="181"/>
      <c r="S216" s="181"/>
      <c r="T216" s="181"/>
      <c r="U216" s="181"/>
      <c r="V216" s="181"/>
      <c r="W216" s="181"/>
      <c r="X216" s="181"/>
      <c r="Y216" s="181"/>
      <c r="Z216" s="181"/>
    </row>
    <row r="217" ht="14.25" customHeight="1">
      <c r="A217" s="181"/>
      <c r="B217" s="181"/>
      <c r="C217" s="181"/>
      <c r="D217" s="181"/>
      <c r="E217" s="181"/>
      <c r="F217" s="181"/>
      <c r="G217" s="181"/>
      <c r="H217" s="181"/>
      <c r="I217" s="181"/>
      <c r="J217" s="181"/>
      <c r="K217" s="181"/>
      <c r="L217" s="181"/>
      <c r="M217" s="181"/>
      <c r="N217" s="181"/>
      <c r="O217" s="181"/>
      <c r="P217" s="181"/>
      <c r="Q217" s="181"/>
      <c r="R217" s="181"/>
      <c r="S217" s="181"/>
      <c r="T217" s="181"/>
      <c r="U217" s="181"/>
      <c r="V217" s="181"/>
      <c r="W217" s="181"/>
      <c r="X217" s="181"/>
      <c r="Y217" s="181"/>
      <c r="Z217" s="181"/>
    </row>
    <row r="218" ht="14.25" customHeight="1">
      <c r="A218" s="181"/>
      <c r="B218" s="181"/>
      <c r="C218" s="181"/>
      <c r="D218" s="181"/>
      <c r="E218" s="181"/>
      <c r="F218" s="181"/>
      <c r="G218" s="181"/>
      <c r="H218" s="181"/>
      <c r="I218" s="181"/>
      <c r="J218" s="181"/>
      <c r="K218" s="181"/>
      <c r="L218" s="181"/>
      <c r="M218" s="181"/>
      <c r="N218" s="181"/>
      <c r="O218" s="181"/>
      <c r="P218" s="181"/>
      <c r="Q218" s="181"/>
      <c r="R218" s="181"/>
      <c r="S218" s="181"/>
      <c r="T218" s="181"/>
      <c r="U218" s="181"/>
      <c r="V218" s="181"/>
      <c r="W218" s="181"/>
      <c r="X218" s="181"/>
      <c r="Y218" s="181"/>
      <c r="Z218" s="181"/>
    </row>
    <row r="219" ht="14.25" customHeight="1">
      <c r="A219" s="181"/>
      <c r="B219" s="181"/>
      <c r="C219" s="181"/>
      <c r="D219" s="181"/>
      <c r="E219" s="181"/>
      <c r="F219" s="181"/>
      <c r="G219" s="181"/>
      <c r="H219" s="181"/>
      <c r="I219" s="181"/>
      <c r="J219" s="181"/>
      <c r="K219" s="181"/>
      <c r="L219" s="181"/>
      <c r="M219" s="181"/>
      <c r="N219" s="181"/>
      <c r="O219" s="181"/>
      <c r="P219" s="181"/>
      <c r="Q219" s="181"/>
      <c r="R219" s="181"/>
      <c r="S219" s="181"/>
      <c r="T219" s="181"/>
      <c r="U219" s="181"/>
      <c r="V219" s="181"/>
      <c r="W219" s="181"/>
      <c r="X219" s="181"/>
      <c r="Y219" s="181"/>
      <c r="Z219" s="181"/>
    </row>
    <row r="220" ht="14.25" customHeight="1">
      <c r="A220" s="181"/>
      <c r="B220" s="181"/>
      <c r="C220" s="181"/>
      <c r="D220" s="181"/>
      <c r="E220" s="181"/>
      <c r="F220" s="181"/>
      <c r="G220" s="181"/>
      <c r="H220" s="181"/>
      <c r="I220" s="181"/>
      <c r="J220" s="181"/>
      <c r="K220" s="181"/>
      <c r="L220" s="181"/>
      <c r="M220" s="181"/>
      <c r="N220" s="181"/>
      <c r="O220" s="181"/>
      <c r="P220" s="181"/>
      <c r="Q220" s="181"/>
      <c r="R220" s="181"/>
      <c r="S220" s="181"/>
      <c r="T220" s="181"/>
      <c r="U220" s="181"/>
      <c r="V220" s="181"/>
      <c r="W220" s="181"/>
      <c r="X220" s="181"/>
      <c r="Y220" s="181"/>
      <c r="Z220" s="181"/>
    </row>
    <row r="221" ht="14.25" customHeight="1">
      <c r="A221" s="181"/>
      <c r="B221" s="181"/>
      <c r="C221" s="181"/>
      <c r="D221" s="181"/>
      <c r="E221" s="181"/>
      <c r="F221" s="181"/>
      <c r="G221" s="181"/>
      <c r="H221" s="181"/>
      <c r="I221" s="181"/>
      <c r="J221" s="181"/>
      <c r="K221" s="181"/>
      <c r="L221" s="181"/>
      <c r="M221" s="181"/>
      <c r="N221" s="181"/>
      <c r="O221" s="181"/>
      <c r="P221" s="181"/>
      <c r="Q221" s="181"/>
      <c r="R221" s="181"/>
      <c r="S221" s="181"/>
      <c r="T221" s="181"/>
      <c r="U221" s="181"/>
      <c r="V221" s="181"/>
      <c r="W221" s="181"/>
      <c r="X221" s="181"/>
      <c r="Y221" s="181"/>
      <c r="Z221" s="181"/>
    </row>
    <row r="222" ht="14.25" customHeight="1">
      <c r="A222" s="181"/>
      <c r="B222" s="181"/>
      <c r="C222" s="181"/>
      <c r="D222" s="181"/>
      <c r="E222" s="181"/>
      <c r="F222" s="181"/>
      <c r="G222" s="181"/>
      <c r="H222" s="181"/>
      <c r="I222" s="181"/>
      <c r="J222" s="181"/>
      <c r="K222" s="181"/>
      <c r="L222" s="181"/>
      <c r="M222" s="181"/>
      <c r="N222" s="181"/>
      <c r="O222" s="181"/>
      <c r="P222" s="181"/>
      <c r="Q222" s="181"/>
      <c r="R222" s="181"/>
      <c r="S222" s="181"/>
      <c r="T222" s="181"/>
      <c r="U222" s="181"/>
      <c r="V222" s="181"/>
      <c r="W222" s="181"/>
      <c r="X222" s="181"/>
      <c r="Y222" s="181"/>
      <c r="Z222" s="181"/>
    </row>
    <row r="223" ht="14.25" customHeight="1">
      <c r="A223" s="181"/>
      <c r="B223" s="181"/>
      <c r="C223" s="181"/>
      <c r="D223" s="181"/>
      <c r="E223" s="181"/>
      <c r="F223" s="181"/>
      <c r="G223" s="181"/>
      <c r="H223" s="181"/>
      <c r="I223" s="181"/>
      <c r="J223" s="181"/>
      <c r="K223" s="181"/>
      <c r="L223" s="181"/>
      <c r="M223" s="181"/>
      <c r="N223" s="181"/>
      <c r="O223" s="181"/>
      <c r="P223" s="181"/>
      <c r="Q223" s="181"/>
      <c r="R223" s="181"/>
      <c r="S223" s="181"/>
      <c r="T223" s="181"/>
      <c r="U223" s="181"/>
      <c r="V223" s="181"/>
      <c r="W223" s="181"/>
      <c r="X223" s="181"/>
      <c r="Y223" s="181"/>
      <c r="Z223" s="181"/>
    </row>
    <row r="224" ht="14.25" customHeight="1">
      <c r="A224" s="181"/>
      <c r="B224" s="181"/>
      <c r="C224" s="181"/>
      <c r="D224" s="181"/>
      <c r="E224" s="181"/>
      <c r="F224" s="181"/>
      <c r="G224" s="181"/>
      <c r="H224" s="181"/>
      <c r="I224" s="181"/>
      <c r="J224" s="181"/>
      <c r="K224" s="181"/>
      <c r="L224" s="181"/>
      <c r="M224" s="181"/>
      <c r="N224" s="181"/>
      <c r="O224" s="181"/>
      <c r="P224" s="181"/>
      <c r="Q224" s="181"/>
      <c r="R224" s="181"/>
      <c r="S224" s="181"/>
      <c r="T224" s="181"/>
      <c r="U224" s="181"/>
      <c r="V224" s="181"/>
      <c r="W224" s="181"/>
      <c r="X224" s="181"/>
      <c r="Y224" s="181"/>
      <c r="Z224" s="181"/>
    </row>
    <row r="225" ht="14.25" customHeight="1">
      <c r="A225" s="181"/>
      <c r="B225" s="181"/>
      <c r="C225" s="181"/>
      <c r="D225" s="181"/>
      <c r="E225" s="181"/>
      <c r="F225" s="181"/>
      <c r="G225" s="181"/>
      <c r="H225" s="181"/>
      <c r="I225" s="181"/>
      <c r="J225" s="181"/>
      <c r="K225" s="181"/>
      <c r="L225" s="181"/>
      <c r="M225" s="181"/>
      <c r="N225" s="181"/>
      <c r="O225" s="181"/>
      <c r="P225" s="181"/>
      <c r="Q225" s="181"/>
      <c r="R225" s="181"/>
      <c r="S225" s="181"/>
      <c r="T225" s="181"/>
      <c r="U225" s="181"/>
      <c r="V225" s="181"/>
      <c r="W225" s="181"/>
      <c r="X225" s="181"/>
      <c r="Y225" s="181"/>
      <c r="Z225" s="181"/>
    </row>
    <row r="226" ht="14.25" customHeight="1">
      <c r="A226" s="181"/>
      <c r="B226" s="181"/>
      <c r="C226" s="181"/>
      <c r="D226" s="181"/>
      <c r="E226" s="181"/>
      <c r="F226" s="181"/>
      <c r="G226" s="181"/>
      <c r="H226" s="181"/>
      <c r="I226" s="181"/>
      <c r="J226" s="181"/>
      <c r="K226" s="181"/>
      <c r="L226" s="181"/>
      <c r="M226" s="181"/>
      <c r="N226" s="181"/>
      <c r="O226" s="181"/>
      <c r="P226" s="181"/>
      <c r="Q226" s="181"/>
      <c r="R226" s="181"/>
      <c r="S226" s="181"/>
      <c r="T226" s="181"/>
      <c r="U226" s="181"/>
      <c r="V226" s="181"/>
      <c r="W226" s="181"/>
      <c r="X226" s="181"/>
      <c r="Y226" s="181"/>
      <c r="Z226" s="181"/>
    </row>
    <row r="227" ht="14.25" customHeight="1">
      <c r="A227" s="181"/>
      <c r="B227" s="181"/>
      <c r="C227" s="181"/>
      <c r="D227" s="181"/>
      <c r="E227" s="181"/>
      <c r="F227" s="181"/>
      <c r="G227" s="181"/>
      <c r="H227" s="181"/>
      <c r="I227" s="181"/>
      <c r="J227" s="181"/>
      <c r="K227" s="181"/>
      <c r="L227" s="181"/>
      <c r="M227" s="181"/>
      <c r="N227" s="181"/>
      <c r="O227" s="181"/>
      <c r="P227" s="181"/>
      <c r="Q227" s="181"/>
      <c r="R227" s="181"/>
      <c r="S227" s="181"/>
      <c r="T227" s="181"/>
      <c r="U227" s="181"/>
      <c r="V227" s="181"/>
      <c r="W227" s="181"/>
      <c r="X227" s="181"/>
      <c r="Y227" s="181"/>
      <c r="Z227" s="181"/>
    </row>
    <row r="228" ht="14.25" customHeight="1">
      <c r="A228" s="181"/>
      <c r="B228" s="181"/>
      <c r="C228" s="181"/>
      <c r="D228" s="181"/>
      <c r="E228" s="181"/>
      <c r="F228" s="181"/>
      <c r="G228" s="181"/>
      <c r="H228" s="181"/>
      <c r="I228" s="181"/>
      <c r="J228" s="181"/>
      <c r="K228" s="181"/>
      <c r="L228" s="181"/>
      <c r="M228" s="181"/>
      <c r="N228" s="181"/>
      <c r="O228" s="181"/>
      <c r="P228" s="181"/>
      <c r="Q228" s="181"/>
      <c r="R228" s="181"/>
      <c r="S228" s="181"/>
      <c r="T228" s="181"/>
      <c r="U228" s="181"/>
      <c r="V228" s="181"/>
      <c r="W228" s="181"/>
      <c r="X228" s="181"/>
      <c r="Y228" s="181"/>
      <c r="Z228" s="181"/>
    </row>
    <row r="229" ht="14.25" customHeight="1">
      <c r="A229" s="181"/>
      <c r="B229" s="181"/>
      <c r="C229" s="181"/>
      <c r="D229" s="181"/>
      <c r="E229" s="181"/>
      <c r="F229" s="181"/>
      <c r="G229" s="181"/>
      <c r="H229" s="181"/>
      <c r="I229" s="181"/>
      <c r="J229" s="181"/>
      <c r="K229" s="181"/>
      <c r="L229" s="181"/>
      <c r="M229" s="181"/>
      <c r="N229" s="181"/>
      <c r="O229" s="181"/>
      <c r="P229" s="181"/>
      <c r="Q229" s="181"/>
      <c r="R229" s="181"/>
      <c r="S229" s="181"/>
      <c r="T229" s="181"/>
      <c r="U229" s="181"/>
      <c r="V229" s="181"/>
      <c r="W229" s="181"/>
      <c r="X229" s="181"/>
      <c r="Y229" s="181"/>
      <c r="Z229" s="181"/>
    </row>
    <row r="230" ht="14.25" customHeight="1">
      <c r="A230" s="181"/>
      <c r="B230" s="181"/>
      <c r="C230" s="181"/>
      <c r="D230" s="181"/>
      <c r="E230" s="181"/>
      <c r="F230" s="181"/>
      <c r="G230" s="181"/>
      <c r="H230" s="181"/>
      <c r="I230" s="181"/>
      <c r="J230" s="181"/>
      <c r="K230" s="181"/>
      <c r="L230" s="181"/>
      <c r="M230" s="181"/>
      <c r="N230" s="181"/>
      <c r="O230" s="181"/>
      <c r="P230" s="181"/>
      <c r="Q230" s="181"/>
      <c r="R230" s="181"/>
      <c r="S230" s="181"/>
      <c r="T230" s="181"/>
      <c r="U230" s="181"/>
      <c r="V230" s="181"/>
      <c r="W230" s="181"/>
      <c r="X230" s="181"/>
      <c r="Y230" s="181"/>
      <c r="Z230" s="181"/>
    </row>
    <row r="231" ht="14.25" customHeight="1">
      <c r="A231" s="181"/>
      <c r="B231" s="181"/>
      <c r="C231" s="181"/>
      <c r="D231" s="181"/>
      <c r="E231" s="181"/>
      <c r="F231" s="181"/>
      <c r="G231" s="181"/>
      <c r="H231" s="181"/>
      <c r="I231" s="181"/>
      <c r="J231" s="181"/>
      <c r="K231" s="181"/>
      <c r="L231" s="181"/>
      <c r="M231" s="181"/>
      <c r="N231" s="181"/>
      <c r="O231" s="181"/>
      <c r="P231" s="181"/>
      <c r="Q231" s="181"/>
      <c r="R231" s="181"/>
      <c r="S231" s="181"/>
      <c r="T231" s="181"/>
      <c r="U231" s="181"/>
      <c r="V231" s="181"/>
      <c r="W231" s="181"/>
      <c r="X231" s="181"/>
      <c r="Y231" s="181"/>
      <c r="Z231" s="181"/>
    </row>
    <row r="232" ht="14.25" customHeight="1">
      <c r="A232" s="181"/>
      <c r="B232" s="181"/>
      <c r="C232" s="181"/>
      <c r="D232" s="181"/>
      <c r="E232" s="181"/>
      <c r="F232" s="181"/>
      <c r="G232" s="181"/>
      <c r="H232" s="181"/>
      <c r="I232" s="181"/>
      <c r="J232" s="181"/>
      <c r="K232" s="181"/>
      <c r="L232" s="181"/>
      <c r="M232" s="181"/>
      <c r="N232" s="181"/>
      <c r="O232" s="181"/>
      <c r="P232" s="181"/>
      <c r="Q232" s="181"/>
      <c r="R232" s="181"/>
      <c r="S232" s="181"/>
      <c r="T232" s="181"/>
      <c r="U232" s="181"/>
      <c r="V232" s="181"/>
      <c r="W232" s="181"/>
      <c r="X232" s="181"/>
      <c r="Y232" s="181"/>
      <c r="Z232" s="181"/>
    </row>
    <row r="233" ht="14.25" customHeight="1">
      <c r="A233" s="181"/>
      <c r="B233" s="181"/>
      <c r="C233" s="181"/>
      <c r="D233" s="181"/>
      <c r="E233" s="181"/>
      <c r="F233" s="181"/>
      <c r="G233" s="181"/>
      <c r="H233" s="181"/>
      <c r="I233" s="181"/>
      <c r="J233" s="181"/>
      <c r="K233" s="181"/>
      <c r="L233" s="181"/>
      <c r="M233" s="181"/>
      <c r="N233" s="181"/>
      <c r="O233" s="181"/>
      <c r="P233" s="181"/>
      <c r="Q233" s="181"/>
      <c r="R233" s="181"/>
      <c r="S233" s="181"/>
      <c r="T233" s="181"/>
      <c r="U233" s="181"/>
      <c r="V233" s="181"/>
      <c r="W233" s="181"/>
      <c r="X233" s="181"/>
      <c r="Y233" s="181"/>
      <c r="Z233" s="181"/>
    </row>
    <row r="234" ht="14.25" customHeight="1">
      <c r="A234" s="181"/>
      <c r="B234" s="181"/>
      <c r="C234" s="181"/>
      <c r="D234" s="181"/>
      <c r="E234" s="181"/>
      <c r="F234" s="181"/>
      <c r="G234" s="181"/>
      <c r="H234" s="181"/>
      <c r="I234" s="181"/>
      <c r="J234" s="181"/>
      <c r="K234" s="181"/>
      <c r="L234" s="181"/>
      <c r="M234" s="181"/>
      <c r="N234" s="181"/>
      <c r="O234" s="181"/>
      <c r="P234" s="181"/>
      <c r="Q234" s="181"/>
      <c r="R234" s="181"/>
      <c r="S234" s="181"/>
      <c r="T234" s="181"/>
      <c r="U234" s="181"/>
      <c r="V234" s="181"/>
      <c r="W234" s="181"/>
      <c r="X234" s="181"/>
      <c r="Y234" s="181"/>
      <c r="Z234" s="181"/>
    </row>
    <row r="235" ht="14.25" customHeight="1">
      <c r="A235" s="181"/>
      <c r="B235" s="181"/>
      <c r="C235" s="181"/>
      <c r="D235" s="181"/>
      <c r="E235" s="181"/>
      <c r="F235" s="181"/>
      <c r="G235" s="181"/>
      <c r="H235" s="181"/>
      <c r="I235" s="181"/>
      <c r="J235" s="181"/>
      <c r="K235" s="181"/>
      <c r="L235" s="181"/>
      <c r="M235" s="181"/>
      <c r="N235" s="181"/>
      <c r="O235" s="181"/>
      <c r="P235" s="181"/>
      <c r="Q235" s="181"/>
      <c r="R235" s="181"/>
      <c r="S235" s="181"/>
      <c r="T235" s="181"/>
      <c r="U235" s="181"/>
      <c r="V235" s="181"/>
      <c r="W235" s="181"/>
      <c r="X235" s="181"/>
      <c r="Y235" s="181"/>
      <c r="Z235" s="181"/>
    </row>
    <row r="236" ht="14.25" customHeight="1">
      <c r="A236" s="181"/>
      <c r="B236" s="181"/>
      <c r="C236" s="181"/>
      <c r="D236" s="181"/>
      <c r="E236" s="181"/>
      <c r="F236" s="181"/>
      <c r="G236" s="181"/>
      <c r="H236" s="181"/>
      <c r="I236" s="181"/>
      <c r="J236" s="181"/>
      <c r="K236" s="181"/>
      <c r="L236" s="181"/>
      <c r="M236" s="181"/>
      <c r="N236" s="181"/>
      <c r="O236" s="181"/>
      <c r="P236" s="181"/>
      <c r="Q236" s="181"/>
      <c r="R236" s="181"/>
      <c r="S236" s="181"/>
      <c r="T236" s="181"/>
      <c r="U236" s="181"/>
      <c r="V236" s="181"/>
      <c r="W236" s="181"/>
      <c r="X236" s="181"/>
      <c r="Y236" s="181"/>
      <c r="Z236" s="181"/>
    </row>
    <row r="237" ht="14.25" customHeight="1">
      <c r="A237" s="181"/>
      <c r="B237" s="181"/>
      <c r="C237" s="181"/>
      <c r="D237" s="181"/>
      <c r="E237" s="181"/>
      <c r="F237" s="181"/>
      <c r="G237" s="181"/>
      <c r="H237" s="181"/>
      <c r="I237" s="181"/>
      <c r="J237" s="181"/>
      <c r="K237" s="181"/>
      <c r="L237" s="181"/>
      <c r="M237" s="181"/>
      <c r="N237" s="181"/>
      <c r="O237" s="181"/>
      <c r="P237" s="181"/>
      <c r="Q237" s="181"/>
      <c r="R237" s="181"/>
      <c r="S237" s="181"/>
      <c r="T237" s="181"/>
      <c r="U237" s="181"/>
      <c r="V237" s="181"/>
      <c r="W237" s="181"/>
      <c r="X237" s="181"/>
      <c r="Y237" s="181"/>
      <c r="Z237" s="181"/>
    </row>
    <row r="238" ht="14.25" customHeight="1">
      <c r="A238" s="181"/>
      <c r="B238" s="181"/>
      <c r="C238" s="181"/>
      <c r="D238" s="181"/>
      <c r="E238" s="181"/>
      <c r="F238" s="181"/>
      <c r="G238" s="181"/>
      <c r="H238" s="181"/>
      <c r="I238" s="181"/>
      <c r="J238" s="181"/>
      <c r="K238" s="181"/>
      <c r="L238" s="181"/>
      <c r="M238" s="181"/>
      <c r="N238" s="181"/>
      <c r="O238" s="181"/>
      <c r="P238" s="181"/>
      <c r="Q238" s="181"/>
      <c r="R238" s="181"/>
      <c r="S238" s="181"/>
      <c r="T238" s="181"/>
      <c r="U238" s="181"/>
      <c r="V238" s="181"/>
      <c r="W238" s="181"/>
      <c r="X238" s="181"/>
      <c r="Y238" s="181"/>
      <c r="Z238" s="181"/>
    </row>
    <row r="239" ht="14.25" customHeight="1">
      <c r="A239" s="181"/>
      <c r="B239" s="181"/>
      <c r="C239" s="181"/>
      <c r="D239" s="181"/>
      <c r="E239" s="181"/>
      <c r="F239" s="181"/>
      <c r="G239" s="181"/>
      <c r="H239" s="181"/>
      <c r="I239" s="181"/>
      <c r="J239" s="181"/>
      <c r="K239" s="181"/>
      <c r="L239" s="181"/>
      <c r="M239" s="181"/>
      <c r="N239" s="181"/>
      <c r="O239" s="181"/>
      <c r="P239" s="181"/>
      <c r="Q239" s="181"/>
      <c r="R239" s="181"/>
      <c r="S239" s="181"/>
      <c r="T239" s="181"/>
      <c r="U239" s="181"/>
      <c r="V239" s="181"/>
      <c r="W239" s="181"/>
      <c r="X239" s="181"/>
      <c r="Y239" s="181"/>
      <c r="Z239" s="181"/>
    </row>
    <row r="240" ht="14.25" customHeight="1">
      <c r="A240" s="181"/>
      <c r="B240" s="181"/>
      <c r="C240" s="181"/>
      <c r="D240" s="181"/>
      <c r="E240" s="181"/>
      <c r="F240" s="181"/>
      <c r="G240" s="181"/>
      <c r="H240" s="181"/>
      <c r="I240" s="181"/>
      <c r="J240" s="181"/>
      <c r="K240" s="181"/>
      <c r="L240" s="181"/>
      <c r="M240" s="181"/>
      <c r="N240" s="181"/>
      <c r="O240" s="181"/>
      <c r="P240" s="181"/>
      <c r="Q240" s="181"/>
      <c r="R240" s="181"/>
      <c r="S240" s="181"/>
      <c r="T240" s="181"/>
      <c r="U240" s="181"/>
      <c r="V240" s="181"/>
      <c r="W240" s="181"/>
      <c r="X240" s="181"/>
      <c r="Y240" s="181"/>
      <c r="Z240" s="181"/>
    </row>
    <row r="241" ht="14.25" customHeight="1">
      <c r="A241" s="181"/>
      <c r="B241" s="181"/>
      <c r="C241" s="181"/>
      <c r="D241" s="181"/>
      <c r="E241" s="181"/>
      <c r="F241" s="181"/>
      <c r="G241" s="181"/>
      <c r="H241" s="181"/>
      <c r="I241" s="181"/>
      <c r="J241" s="181"/>
      <c r="K241" s="181"/>
      <c r="L241" s="181"/>
      <c r="M241" s="181"/>
      <c r="N241" s="181"/>
      <c r="O241" s="181"/>
      <c r="P241" s="181"/>
      <c r="Q241" s="181"/>
      <c r="R241" s="181"/>
      <c r="S241" s="181"/>
      <c r="T241" s="181"/>
      <c r="U241" s="181"/>
      <c r="V241" s="181"/>
      <c r="W241" s="181"/>
      <c r="X241" s="181"/>
      <c r="Y241" s="181"/>
      <c r="Z241" s="181"/>
    </row>
    <row r="242" ht="14.25" customHeight="1">
      <c r="A242" s="181"/>
      <c r="B242" s="181"/>
      <c r="C242" s="181"/>
      <c r="D242" s="181"/>
      <c r="E242" s="181"/>
      <c r="F242" s="181"/>
      <c r="G242" s="181"/>
      <c r="H242" s="181"/>
      <c r="I242" s="181"/>
      <c r="J242" s="181"/>
      <c r="K242" s="181"/>
      <c r="L242" s="181"/>
      <c r="M242" s="181"/>
      <c r="N242" s="181"/>
      <c r="O242" s="181"/>
      <c r="P242" s="181"/>
      <c r="Q242" s="181"/>
      <c r="R242" s="181"/>
      <c r="S242" s="181"/>
      <c r="T242" s="181"/>
      <c r="U242" s="181"/>
      <c r="V242" s="181"/>
      <c r="W242" s="181"/>
      <c r="X242" s="181"/>
      <c r="Y242" s="181"/>
      <c r="Z242" s="181"/>
    </row>
    <row r="243" ht="14.25" customHeight="1">
      <c r="A243" s="181"/>
      <c r="B243" s="181"/>
      <c r="C243" s="181"/>
      <c r="D243" s="181"/>
      <c r="E243" s="181"/>
      <c r="F243" s="181"/>
      <c r="G243" s="181"/>
      <c r="H243" s="181"/>
      <c r="I243" s="181"/>
      <c r="J243" s="181"/>
      <c r="K243" s="181"/>
      <c r="L243" s="181"/>
      <c r="M243" s="181"/>
      <c r="N243" s="181"/>
      <c r="O243" s="181"/>
      <c r="P243" s="181"/>
      <c r="Q243" s="181"/>
      <c r="R243" s="181"/>
      <c r="S243" s="181"/>
      <c r="T243" s="181"/>
      <c r="U243" s="181"/>
      <c r="V243" s="181"/>
      <c r="W243" s="181"/>
      <c r="X243" s="181"/>
      <c r="Y243" s="181"/>
      <c r="Z243" s="181"/>
    </row>
    <row r="244" ht="14.25" customHeight="1">
      <c r="A244" s="181"/>
      <c r="B244" s="181"/>
      <c r="C244" s="181"/>
      <c r="D244" s="181"/>
      <c r="E244" s="181"/>
      <c r="F244" s="181"/>
      <c r="G244" s="181"/>
      <c r="H244" s="181"/>
      <c r="I244" s="181"/>
      <c r="J244" s="181"/>
      <c r="K244" s="181"/>
      <c r="L244" s="181"/>
      <c r="M244" s="181"/>
      <c r="N244" s="181"/>
      <c r="O244" s="181"/>
      <c r="P244" s="181"/>
      <c r="Q244" s="181"/>
      <c r="R244" s="181"/>
      <c r="S244" s="181"/>
      <c r="T244" s="181"/>
      <c r="U244" s="181"/>
      <c r="V244" s="181"/>
      <c r="W244" s="181"/>
      <c r="X244" s="181"/>
      <c r="Y244" s="181"/>
      <c r="Z244" s="181"/>
    </row>
    <row r="245" ht="14.25" customHeight="1">
      <c r="A245" s="181"/>
      <c r="B245" s="181"/>
      <c r="C245" s="181"/>
      <c r="D245" s="181"/>
      <c r="E245" s="181"/>
      <c r="F245" s="181"/>
      <c r="G245" s="181"/>
      <c r="H245" s="181"/>
      <c r="I245" s="181"/>
      <c r="J245" s="181"/>
      <c r="K245" s="181"/>
      <c r="L245" s="181"/>
      <c r="M245" s="181"/>
      <c r="N245" s="181"/>
      <c r="O245" s="181"/>
      <c r="P245" s="181"/>
      <c r="Q245" s="181"/>
      <c r="R245" s="181"/>
      <c r="S245" s="181"/>
      <c r="T245" s="181"/>
      <c r="U245" s="181"/>
      <c r="V245" s="181"/>
      <c r="W245" s="181"/>
      <c r="X245" s="181"/>
      <c r="Y245" s="181"/>
      <c r="Z245" s="181"/>
    </row>
    <row r="246" ht="14.25" customHeight="1">
      <c r="A246" s="181"/>
      <c r="B246" s="181"/>
      <c r="C246" s="181"/>
      <c r="D246" s="181"/>
      <c r="E246" s="181"/>
      <c r="F246" s="181"/>
      <c r="G246" s="181"/>
      <c r="H246" s="181"/>
      <c r="I246" s="181"/>
      <c r="J246" s="181"/>
      <c r="K246" s="181"/>
      <c r="L246" s="181"/>
      <c r="M246" s="181"/>
      <c r="N246" s="181"/>
      <c r="O246" s="181"/>
      <c r="P246" s="181"/>
      <c r="Q246" s="181"/>
      <c r="R246" s="181"/>
      <c r="S246" s="181"/>
      <c r="T246" s="181"/>
      <c r="U246" s="181"/>
      <c r="V246" s="181"/>
      <c r="W246" s="181"/>
      <c r="X246" s="181"/>
      <c r="Y246" s="181"/>
      <c r="Z246" s="181"/>
    </row>
    <row r="247" ht="14.25" customHeight="1">
      <c r="A247" s="181"/>
      <c r="B247" s="181"/>
      <c r="C247" s="181"/>
      <c r="D247" s="181"/>
      <c r="E247" s="181"/>
      <c r="F247" s="181"/>
      <c r="G247" s="181"/>
      <c r="H247" s="181"/>
      <c r="I247" s="181"/>
      <c r="J247" s="181"/>
      <c r="K247" s="181"/>
      <c r="L247" s="181"/>
      <c r="M247" s="181"/>
      <c r="N247" s="181"/>
      <c r="O247" s="181"/>
      <c r="P247" s="181"/>
      <c r="Q247" s="181"/>
      <c r="R247" s="181"/>
      <c r="S247" s="181"/>
      <c r="T247" s="181"/>
      <c r="U247" s="181"/>
      <c r="V247" s="181"/>
      <c r="W247" s="181"/>
      <c r="X247" s="181"/>
      <c r="Y247" s="181"/>
      <c r="Z247" s="181"/>
    </row>
    <row r="248" ht="14.25" customHeight="1">
      <c r="A248" s="181"/>
      <c r="B248" s="181"/>
      <c r="C248" s="181"/>
      <c r="D248" s="181"/>
      <c r="E248" s="181"/>
      <c r="F248" s="181"/>
      <c r="G248" s="181"/>
      <c r="H248" s="181"/>
      <c r="I248" s="181"/>
      <c r="J248" s="181"/>
      <c r="K248" s="181"/>
      <c r="L248" s="181"/>
      <c r="M248" s="181"/>
      <c r="N248" s="181"/>
      <c r="O248" s="181"/>
      <c r="P248" s="181"/>
      <c r="Q248" s="181"/>
      <c r="R248" s="181"/>
      <c r="S248" s="181"/>
      <c r="T248" s="181"/>
      <c r="U248" s="181"/>
      <c r="V248" s="181"/>
      <c r="W248" s="181"/>
      <c r="X248" s="181"/>
      <c r="Y248" s="181"/>
      <c r="Z248" s="181"/>
    </row>
    <row r="249" ht="14.25" customHeight="1">
      <c r="A249" s="181"/>
      <c r="B249" s="181"/>
      <c r="C249" s="181"/>
      <c r="D249" s="181"/>
      <c r="E249" s="181"/>
      <c r="F249" s="181"/>
      <c r="G249" s="181"/>
      <c r="H249" s="181"/>
      <c r="I249" s="181"/>
      <c r="J249" s="181"/>
      <c r="K249" s="181"/>
      <c r="L249" s="181"/>
      <c r="M249" s="181"/>
      <c r="N249" s="181"/>
      <c r="O249" s="181"/>
      <c r="P249" s="181"/>
      <c r="Q249" s="181"/>
      <c r="R249" s="181"/>
      <c r="S249" s="181"/>
      <c r="T249" s="181"/>
      <c r="U249" s="181"/>
      <c r="V249" s="181"/>
      <c r="W249" s="181"/>
      <c r="X249" s="181"/>
      <c r="Y249" s="181"/>
      <c r="Z249" s="181"/>
    </row>
    <row r="250" ht="14.25" customHeight="1">
      <c r="A250" s="181"/>
      <c r="B250" s="181"/>
      <c r="C250" s="181"/>
      <c r="D250" s="181"/>
      <c r="E250" s="181"/>
      <c r="F250" s="181"/>
      <c r="G250" s="181"/>
      <c r="H250" s="181"/>
      <c r="I250" s="181"/>
      <c r="J250" s="181"/>
      <c r="K250" s="181"/>
      <c r="L250" s="181"/>
      <c r="M250" s="181"/>
      <c r="N250" s="181"/>
      <c r="O250" s="181"/>
      <c r="P250" s="181"/>
      <c r="Q250" s="181"/>
      <c r="R250" s="181"/>
      <c r="S250" s="181"/>
      <c r="T250" s="181"/>
      <c r="U250" s="181"/>
      <c r="V250" s="181"/>
      <c r="W250" s="181"/>
      <c r="X250" s="181"/>
      <c r="Y250" s="181"/>
      <c r="Z250" s="181"/>
    </row>
    <row r="251" ht="14.25" customHeight="1">
      <c r="A251" s="181"/>
      <c r="B251" s="181"/>
      <c r="C251" s="181"/>
      <c r="D251" s="181"/>
      <c r="E251" s="181"/>
      <c r="F251" s="181"/>
      <c r="G251" s="181"/>
      <c r="H251" s="181"/>
      <c r="I251" s="181"/>
      <c r="J251" s="181"/>
      <c r="K251" s="181"/>
      <c r="L251" s="181"/>
      <c r="M251" s="181"/>
      <c r="N251" s="181"/>
      <c r="O251" s="181"/>
      <c r="P251" s="181"/>
      <c r="Q251" s="181"/>
      <c r="R251" s="181"/>
      <c r="S251" s="181"/>
      <c r="T251" s="181"/>
      <c r="U251" s="181"/>
      <c r="V251" s="181"/>
      <c r="W251" s="181"/>
      <c r="X251" s="181"/>
      <c r="Y251" s="181"/>
      <c r="Z251" s="181"/>
    </row>
    <row r="252" ht="14.25" customHeight="1">
      <c r="A252" s="181"/>
      <c r="B252" s="181"/>
      <c r="C252" s="181"/>
      <c r="D252" s="181"/>
      <c r="E252" s="181"/>
      <c r="F252" s="181"/>
      <c r="G252" s="181"/>
      <c r="H252" s="181"/>
      <c r="I252" s="181"/>
      <c r="J252" s="181"/>
      <c r="K252" s="181"/>
      <c r="L252" s="181"/>
      <c r="M252" s="181"/>
      <c r="N252" s="181"/>
      <c r="O252" s="181"/>
      <c r="P252" s="181"/>
      <c r="Q252" s="181"/>
      <c r="R252" s="181"/>
      <c r="S252" s="181"/>
      <c r="T252" s="181"/>
      <c r="U252" s="181"/>
      <c r="V252" s="181"/>
      <c r="W252" s="181"/>
      <c r="X252" s="181"/>
      <c r="Y252" s="181"/>
      <c r="Z252" s="181"/>
    </row>
    <row r="253" ht="14.25" customHeight="1">
      <c r="A253" s="181"/>
      <c r="B253" s="181"/>
      <c r="C253" s="181"/>
      <c r="D253" s="181"/>
      <c r="E253" s="181"/>
      <c r="F253" s="181"/>
      <c r="G253" s="181"/>
      <c r="H253" s="181"/>
      <c r="I253" s="181"/>
      <c r="J253" s="181"/>
      <c r="K253" s="181"/>
      <c r="L253" s="181"/>
      <c r="M253" s="181"/>
      <c r="N253" s="181"/>
      <c r="O253" s="181"/>
      <c r="P253" s="181"/>
      <c r="Q253" s="181"/>
      <c r="R253" s="181"/>
      <c r="S253" s="181"/>
      <c r="T253" s="181"/>
      <c r="U253" s="181"/>
      <c r="V253" s="181"/>
      <c r="W253" s="181"/>
      <c r="X253" s="181"/>
      <c r="Y253" s="181"/>
      <c r="Z253" s="181"/>
    </row>
    <row r="254" ht="14.25" customHeight="1">
      <c r="A254" s="181"/>
      <c r="B254" s="181"/>
      <c r="C254" s="181"/>
      <c r="D254" s="181"/>
      <c r="E254" s="181"/>
      <c r="F254" s="181"/>
      <c r="G254" s="181"/>
      <c r="H254" s="181"/>
      <c r="I254" s="181"/>
      <c r="J254" s="181"/>
      <c r="K254" s="181"/>
      <c r="L254" s="181"/>
      <c r="M254" s="181"/>
      <c r="N254" s="181"/>
      <c r="O254" s="181"/>
      <c r="P254" s="181"/>
      <c r="Q254" s="181"/>
      <c r="R254" s="181"/>
      <c r="S254" s="181"/>
      <c r="T254" s="181"/>
      <c r="U254" s="181"/>
      <c r="V254" s="181"/>
      <c r="W254" s="181"/>
      <c r="X254" s="181"/>
      <c r="Y254" s="181"/>
      <c r="Z254" s="181"/>
    </row>
    <row r="255" ht="14.25" customHeight="1">
      <c r="A255" s="181"/>
      <c r="B255" s="181"/>
      <c r="C255" s="181"/>
      <c r="D255" s="181"/>
      <c r="E255" s="181"/>
      <c r="F255" s="181"/>
      <c r="G255" s="181"/>
      <c r="H255" s="181"/>
      <c r="I255" s="181"/>
      <c r="J255" s="181"/>
      <c r="K255" s="181"/>
      <c r="L255" s="181"/>
      <c r="M255" s="181"/>
      <c r="N255" s="181"/>
      <c r="O255" s="181"/>
      <c r="P255" s="181"/>
      <c r="Q255" s="181"/>
      <c r="R255" s="181"/>
      <c r="S255" s="181"/>
      <c r="T255" s="181"/>
      <c r="U255" s="181"/>
      <c r="V255" s="181"/>
      <c r="W255" s="181"/>
      <c r="X255" s="181"/>
      <c r="Y255" s="181"/>
      <c r="Z255" s="181"/>
    </row>
    <row r="256" ht="14.25" customHeight="1">
      <c r="A256" s="181"/>
      <c r="B256" s="181"/>
      <c r="C256" s="181"/>
      <c r="D256" s="181"/>
      <c r="E256" s="181"/>
      <c r="F256" s="181"/>
      <c r="G256" s="181"/>
      <c r="H256" s="181"/>
      <c r="I256" s="181"/>
      <c r="J256" s="181"/>
      <c r="K256" s="181"/>
      <c r="L256" s="181"/>
      <c r="M256" s="181"/>
      <c r="N256" s="181"/>
      <c r="O256" s="181"/>
      <c r="P256" s="181"/>
      <c r="Q256" s="181"/>
      <c r="R256" s="181"/>
      <c r="S256" s="181"/>
      <c r="T256" s="181"/>
      <c r="U256" s="181"/>
      <c r="V256" s="181"/>
      <c r="W256" s="181"/>
      <c r="X256" s="181"/>
      <c r="Y256" s="181"/>
      <c r="Z256" s="181"/>
    </row>
    <row r="257" ht="14.25" customHeight="1">
      <c r="A257" s="181"/>
      <c r="B257" s="181"/>
      <c r="C257" s="181"/>
      <c r="D257" s="181"/>
      <c r="E257" s="181"/>
      <c r="F257" s="181"/>
      <c r="G257" s="181"/>
      <c r="H257" s="181"/>
      <c r="I257" s="181"/>
      <c r="J257" s="181"/>
      <c r="K257" s="181"/>
      <c r="L257" s="181"/>
      <c r="M257" s="181"/>
      <c r="N257" s="181"/>
      <c r="O257" s="181"/>
      <c r="P257" s="181"/>
      <c r="Q257" s="181"/>
      <c r="R257" s="181"/>
      <c r="S257" s="181"/>
      <c r="T257" s="181"/>
      <c r="U257" s="181"/>
      <c r="V257" s="181"/>
      <c r="W257" s="181"/>
      <c r="X257" s="181"/>
      <c r="Y257" s="181"/>
      <c r="Z257" s="181"/>
    </row>
    <row r="258" ht="14.25" customHeight="1">
      <c r="A258" s="181"/>
      <c r="B258" s="181"/>
      <c r="C258" s="181"/>
      <c r="D258" s="181"/>
      <c r="E258" s="181"/>
      <c r="F258" s="181"/>
      <c r="G258" s="181"/>
      <c r="H258" s="181"/>
      <c r="I258" s="181"/>
      <c r="J258" s="181"/>
      <c r="K258" s="181"/>
      <c r="L258" s="181"/>
      <c r="M258" s="181"/>
      <c r="N258" s="181"/>
      <c r="O258" s="181"/>
      <c r="P258" s="181"/>
      <c r="Q258" s="181"/>
      <c r="R258" s="181"/>
      <c r="S258" s="181"/>
      <c r="T258" s="181"/>
      <c r="U258" s="181"/>
      <c r="V258" s="181"/>
      <c r="W258" s="181"/>
      <c r="X258" s="181"/>
      <c r="Y258" s="181"/>
      <c r="Z258" s="181"/>
    </row>
    <row r="259" ht="14.25" customHeight="1">
      <c r="A259" s="181"/>
      <c r="B259" s="181"/>
      <c r="C259" s="181"/>
      <c r="D259" s="181"/>
      <c r="E259" s="181"/>
      <c r="F259" s="181"/>
      <c r="G259" s="181"/>
      <c r="H259" s="181"/>
      <c r="I259" s="181"/>
      <c r="J259" s="181"/>
      <c r="K259" s="181"/>
      <c r="L259" s="181"/>
      <c r="M259" s="181"/>
      <c r="N259" s="181"/>
      <c r="O259" s="181"/>
      <c r="P259" s="181"/>
      <c r="Q259" s="181"/>
      <c r="R259" s="181"/>
      <c r="S259" s="181"/>
      <c r="T259" s="181"/>
      <c r="U259" s="181"/>
      <c r="V259" s="181"/>
      <c r="W259" s="181"/>
      <c r="X259" s="181"/>
      <c r="Y259" s="181"/>
      <c r="Z259" s="181"/>
    </row>
    <row r="260" ht="14.25" customHeight="1">
      <c r="A260" s="181"/>
      <c r="B260" s="181"/>
      <c r="C260" s="181"/>
      <c r="D260" s="181"/>
      <c r="E260" s="181"/>
      <c r="F260" s="181"/>
      <c r="G260" s="181"/>
      <c r="H260" s="181"/>
      <c r="I260" s="181"/>
      <c r="J260" s="181"/>
      <c r="K260" s="181"/>
      <c r="L260" s="181"/>
      <c r="M260" s="181"/>
      <c r="N260" s="181"/>
      <c r="O260" s="181"/>
      <c r="P260" s="181"/>
      <c r="Q260" s="181"/>
      <c r="R260" s="181"/>
      <c r="S260" s="181"/>
      <c r="T260" s="181"/>
      <c r="U260" s="181"/>
      <c r="V260" s="181"/>
      <c r="W260" s="181"/>
      <c r="X260" s="181"/>
      <c r="Y260" s="181"/>
      <c r="Z260" s="181"/>
    </row>
    <row r="261" ht="14.25" customHeight="1">
      <c r="A261" s="181"/>
      <c r="B261" s="181"/>
      <c r="C261" s="181"/>
      <c r="D261" s="181"/>
      <c r="E261" s="181"/>
      <c r="F261" s="181"/>
      <c r="G261" s="181"/>
      <c r="H261" s="181"/>
      <c r="I261" s="181"/>
      <c r="J261" s="181"/>
      <c r="K261" s="181"/>
      <c r="L261" s="181"/>
      <c r="M261" s="181"/>
      <c r="N261" s="181"/>
      <c r="O261" s="181"/>
      <c r="P261" s="181"/>
      <c r="Q261" s="181"/>
      <c r="R261" s="181"/>
      <c r="S261" s="181"/>
      <c r="T261" s="181"/>
      <c r="U261" s="181"/>
      <c r="V261" s="181"/>
      <c r="W261" s="181"/>
      <c r="X261" s="181"/>
      <c r="Y261" s="181"/>
      <c r="Z261" s="181"/>
    </row>
    <row r="262" ht="14.25" customHeight="1">
      <c r="A262" s="181"/>
      <c r="B262" s="181"/>
      <c r="C262" s="181"/>
      <c r="D262" s="181"/>
      <c r="E262" s="181"/>
      <c r="F262" s="181"/>
      <c r="G262" s="181"/>
      <c r="H262" s="181"/>
      <c r="I262" s="181"/>
      <c r="J262" s="181"/>
      <c r="K262" s="181"/>
      <c r="L262" s="181"/>
      <c r="M262" s="181"/>
      <c r="N262" s="181"/>
      <c r="O262" s="181"/>
      <c r="P262" s="181"/>
      <c r="Q262" s="181"/>
      <c r="R262" s="181"/>
      <c r="S262" s="181"/>
      <c r="T262" s="181"/>
      <c r="U262" s="181"/>
      <c r="V262" s="181"/>
      <c r="W262" s="181"/>
      <c r="X262" s="181"/>
      <c r="Y262" s="181"/>
      <c r="Z262" s="181"/>
    </row>
    <row r="263" ht="14.25" customHeight="1">
      <c r="A263" s="181"/>
      <c r="B263" s="181"/>
      <c r="C263" s="181"/>
      <c r="D263" s="181"/>
      <c r="E263" s="181"/>
      <c r="F263" s="181"/>
      <c r="G263" s="181"/>
      <c r="H263" s="181"/>
      <c r="I263" s="181"/>
      <c r="J263" s="181"/>
      <c r="K263" s="181"/>
      <c r="L263" s="181"/>
      <c r="M263" s="181"/>
      <c r="N263" s="181"/>
      <c r="O263" s="181"/>
      <c r="P263" s="181"/>
      <c r="Q263" s="181"/>
      <c r="R263" s="181"/>
      <c r="S263" s="181"/>
      <c r="T263" s="181"/>
      <c r="U263" s="181"/>
      <c r="V263" s="181"/>
      <c r="W263" s="181"/>
      <c r="X263" s="181"/>
      <c r="Y263" s="181"/>
      <c r="Z263" s="181"/>
    </row>
    <row r="264" ht="14.25" customHeight="1">
      <c r="A264" s="181"/>
      <c r="B264" s="181"/>
      <c r="C264" s="181"/>
      <c r="D264" s="181"/>
      <c r="E264" s="181"/>
      <c r="F264" s="181"/>
      <c r="G264" s="181"/>
      <c r="H264" s="181"/>
      <c r="I264" s="181"/>
      <c r="J264" s="181"/>
      <c r="K264" s="181"/>
      <c r="L264" s="181"/>
      <c r="M264" s="181"/>
      <c r="N264" s="181"/>
      <c r="O264" s="181"/>
      <c r="P264" s="181"/>
      <c r="Q264" s="181"/>
      <c r="R264" s="181"/>
      <c r="S264" s="181"/>
      <c r="T264" s="181"/>
      <c r="U264" s="181"/>
      <c r="V264" s="181"/>
      <c r="W264" s="181"/>
      <c r="X264" s="181"/>
      <c r="Y264" s="181"/>
      <c r="Z264" s="181"/>
    </row>
    <row r="265" ht="14.25" customHeight="1">
      <c r="A265" s="181"/>
      <c r="B265" s="181"/>
      <c r="C265" s="181"/>
      <c r="D265" s="181"/>
      <c r="E265" s="181"/>
      <c r="F265" s="181"/>
      <c r="G265" s="181"/>
      <c r="H265" s="181"/>
      <c r="I265" s="181"/>
      <c r="J265" s="181"/>
      <c r="K265" s="181"/>
      <c r="L265" s="181"/>
      <c r="M265" s="181"/>
      <c r="N265" s="181"/>
      <c r="O265" s="181"/>
      <c r="P265" s="181"/>
      <c r="Q265" s="181"/>
      <c r="R265" s="181"/>
      <c r="S265" s="181"/>
      <c r="T265" s="181"/>
      <c r="U265" s="181"/>
      <c r="V265" s="181"/>
      <c r="W265" s="181"/>
      <c r="X265" s="181"/>
      <c r="Y265" s="181"/>
      <c r="Z265" s="181"/>
    </row>
    <row r="266" ht="14.25" customHeight="1">
      <c r="A266" s="181"/>
      <c r="B266" s="181"/>
      <c r="C266" s="181"/>
      <c r="D266" s="181"/>
      <c r="E266" s="181"/>
      <c r="F266" s="181"/>
      <c r="G266" s="181"/>
      <c r="H266" s="181"/>
      <c r="I266" s="181"/>
      <c r="J266" s="181"/>
      <c r="K266" s="181"/>
      <c r="L266" s="181"/>
      <c r="M266" s="181"/>
      <c r="N266" s="181"/>
      <c r="O266" s="181"/>
      <c r="P266" s="181"/>
      <c r="Q266" s="181"/>
      <c r="R266" s="181"/>
      <c r="S266" s="181"/>
      <c r="T266" s="181"/>
      <c r="U266" s="181"/>
      <c r="V266" s="181"/>
      <c r="W266" s="181"/>
      <c r="X266" s="181"/>
      <c r="Y266" s="181"/>
      <c r="Z266" s="181"/>
    </row>
    <row r="267" ht="14.25" customHeight="1">
      <c r="A267" s="181"/>
      <c r="B267" s="181"/>
      <c r="C267" s="181"/>
      <c r="D267" s="181"/>
      <c r="E267" s="181"/>
      <c r="F267" s="181"/>
      <c r="G267" s="181"/>
      <c r="H267" s="181"/>
      <c r="I267" s="181"/>
      <c r="J267" s="181"/>
      <c r="K267" s="181"/>
      <c r="L267" s="181"/>
      <c r="M267" s="181"/>
      <c r="N267" s="181"/>
      <c r="O267" s="181"/>
      <c r="P267" s="181"/>
      <c r="Q267" s="181"/>
      <c r="R267" s="181"/>
      <c r="S267" s="181"/>
      <c r="T267" s="181"/>
      <c r="U267" s="181"/>
      <c r="V267" s="181"/>
      <c r="W267" s="181"/>
      <c r="X267" s="181"/>
      <c r="Y267" s="181"/>
      <c r="Z267" s="181"/>
    </row>
    <row r="268" ht="14.25" customHeight="1">
      <c r="A268" s="181"/>
      <c r="B268" s="181"/>
      <c r="C268" s="181"/>
      <c r="D268" s="181"/>
      <c r="E268" s="181"/>
      <c r="F268" s="181"/>
      <c r="G268" s="181"/>
      <c r="H268" s="181"/>
      <c r="I268" s="181"/>
      <c r="J268" s="181"/>
      <c r="K268" s="181"/>
      <c r="L268" s="181"/>
      <c r="M268" s="181"/>
      <c r="N268" s="181"/>
      <c r="O268" s="181"/>
      <c r="P268" s="181"/>
      <c r="Q268" s="181"/>
      <c r="R268" s="181"/>
      <c r="S268" s="181"/>
      <c r="T268" s="181"/>
      <c r="U268" s="181"/>
      <c r="V268" s="181"/>
      <c r="W268" s="181"/>
      <c r="X268" s="181"/>
      <c r="Y268" s="181"/>
      <c r="Z268" s="181"/>
    </row>
    <row r="269" ht="14.25" customHeight="1">
      <c r="A269" s="181"/>
      <c r="B269" s="181"/>
      <c r="C269" s="181"/>
      <c r="D269" s="181"/>
      <c r="E269" s="181"/>
      <c r="F269" s="181"/>
      <c r="G269" s="181"/>
      <c r="H269" s="181"/>
      <c r="I269" s="181"/>
      <c r="J269" s="181"/>
      <c r="K269" s="181"/>
      <c r="L269" s="181"/>
      <c r="M269" s="181"/>
      <c r="N269" s="181"/>
      <c r="O269" s="181"/>
      <c r="P269" s="181"/>
      <c r="Q269" s="181"/>
      <c r="R269" s="181"/>
      <c r="S269" s="181"/>
      <c r="T269" s="181"/>
      <c r="U269" s="181"/>
      <c r="V269" s="181"/>
      <c r="W269" s="181"/>
      <c r="X269" s="181"/>
      <c r="Y269" s="181"/>
      <c r="Z269" s="181"/>
    </row>
    <row r="270" ht="14.25" customHeight="1">
      <c r="A270" s="181"/>
      <c r="B270" s="181"/>
      <c r="C270" s="181"/>
      <c r="D270" s="181"/>
      <c r="E270" s="181"/>
      <c r="F270" s="181"/>
      <c r="G270" s="181"/>
      <c r="H270" s="181"/>
      <c r="I270" s="181"/>
      <c r="J270" s="181"/>
      <c r="K270" s="181"/>
      <c r="L270" s="181"/>
      <c r="M270" s="181"/>
      <c r="N270" s="181"/>
      <c r="O270" s="181"/>
      <c r="P270" s="181"/>
      <c r="Q270" s="181"/>
      <c r="R270" s="181"/>
      <c r="S270" s="181"/>
      <c r="T270" s="181"/>
      <c r="U270" s="181"/>
      <c r="V270" s="181"/>
      <c r="W270" s="181"/>
      <c r="X270" s="181"/>
      <c r="Y270" s="181"/>
      <c r="Z270" s="181"/>
    </row>
    <row r="271" ht="14.25" customHeight="1">
      <c r="A271" s="181"/>
      <c r="B271" s="181"/>
      <c r="C271" s="181"/>
      <c r="D271" s="181"/>
      <c r="E271" s="181"/>
      <c r="F271" s="181"/>
      <c r="G271" s="181"/>
      <c r="H271" s="181"/>
      <c r="I271" s="181"/>
      <c r="J271" s="181"/>
      <c r="K271" s="181"/>
      <c r="L271" s="181"/>
      <c r="M271" s="181"/>
      <c r="N271" s="181"/>
      <c r="O271" s="181"/>
      <c r="P271" s="181"/>
      <c r="Q271" s="181"/>
      <c r="R271" s="181"/>
      <c r="S271" s="181"/>
      <c r="T271" s="181"/>
      <c r="U271" s="181"/>
      <c r="V271" s="181"/>
      <c r="W271" s="181"/>
      <c r="X271" s="181"/>
      <c r="Y271" s="181"/>
      <c r="Z271" s="181"/>
    </row>
    <row r="272" ht="14.25" customHeight="1">
      <c r="A272" s="181"/>
      <c r="B272" s="181"/>
      <c r="C272" s="181"/>
      <c r="D272" s="181"/>
      <c r="E272" s="181"/>
      <c r="F272" s="181"/>
      <c r="G272" s="181"/>
      <c r="H272" s="181"/>
      <c r="I272" s="181"/>
      <c r="J272" s="181"/>
      <c r="K272" s="181"/>
      <c r="L272" s="181"/>
      <c r="M272" s="181"/>
      <c r="N272" s="181"/>
      <c r="O272" s="181"/>
      <c r="P272" s="181"/>
      <c r="Q272" s="181"/>
      <c r="R272" s="181"/>
      <c r="S272" s="181"/>
      <c r="T272" s="181"/>
      <c r="U272" s="181"/>
      <c r="V272" s="181"/>
      <c r="W272" s="181"/>
      <c r="X272" s="181"/>
      <c r="Y272" s="181"/>
      <c r="Z272" s="181"/>
    </row>
    <row r="273" ht="14.25" customHeight="1">
      <c r="A273" s="181"/>
      <c r="B273" s="181"/>
      <c r="C273" s="181"/>
      <c r="D273" s="181"/>
      <c r="E273" s="181"/>
      <c r="F273" s="181"/>
      <c r="G273" s="181"/>
      <c r="H273" s="181"/>
      <c r="I273" s="181"/>
      <c r="J273" s="181"/>
      <c r="K273" s="181"/>
      <c r="L273" s="181"/>
      <c r="M273" s="181"/>
      <c r="N273" s="181"/>
      <c r="O273" s="181"/>
      <c r="P273" s="181"/>
      <c r="Q273" s="181"/>
      <c r="R273" s="181"/>
      <c r="S273" s="181"/>
      <c r="T273" s="181"/>
      <c r="U273" s="181"/>
      <c r="V273" s="181"/>
      <c r="W273" s="181"/>
      <c r="X273" s="181"/>
      <c r="Y273" s="181"/>
      <c r="Z273" s="181"/>
    </row>
    <row r="274" ht="14.25" customHeight="1">
      <c r="A274" s="181"/>
      <c r="B274" s="181"/>
      <c r="C274" s="181"/>
      <c r="D274" s="181"/>
      <c r="E274" s="181"/>
      <c r="F274" s="181"/>
      <c r="G274" s="181"/>
      <c r="H274" s="181"/>
      <c r="I274" s="181"/>
      <c r="J274" s="181"/>
      <c r="K274" s="181"/>
      <c r="L274" s="181"/>
      <c r="M274" s="181"/>
      <c r="N274" s="181"/>
      <c r="O274" s="181"/>
      <c r="P274" s="181"/>
      <c r="Q274" s="181"/>
      <c r="R274" s="181"/>
      <c r="S274" s="181"/>
      <c r="T274" s="181"/>
      <c r="U274" s="181"/>
      <c r="V274" s="181"/>
      <c r="W274" s="181"/>
      <c r="X274" s="181"/>
      <c r="Y274" s="181"/>
      <c r="Z274" s="181"/>
    </row>
    <row r="275" ht="14.25" customHeight="1">
      <c r="A275" s="181"/>
      <c r="B275" s="181"/>
      <c r="C275" s="181"/>
      <c r="D275" s="181"/>
      <c r="E275" s="181"/>
      <c r="F275" s="181"/>
      <c r="G275" s="181"/>
      <c r="H275" s="181"/>
      <c r="I275" s="181"/>
      <c r="J275" s="181"/>
      <c r="K275" s="181"/>
      <c r="L275" s="181"/>
      <c r="M275" s="181"/>
      <c r="N275" s="181"/>
      <c r="O275" s="181"/>
      <c r="P275" s="181"/>
      <c r="Q275" s="181"/>
      <c r="R275" s="181"/>
      <c r="S275" s="181"/>
      <c r="T275" s="181"/>
      <c r="U275" s="181"/>
      <c r="V275" s="181"/>
      <c r="W275" s="181"/>
      <c r="X275" s="181"/>
      <c r="Y275" s="181"/>
      <c r="Z275" s="181"/>
    </row>
    <row r="276" ht="14.25" customHeight="1">
      <c r="A276" s="181"/>
      <c r="B276" s="181"/>
      <c r="C276" s="181"/>
      <c r="D276" s="181"/>
      <c r="E276" s="181"/>
      <c r="F276" s="181"/>
      <c r="G276" s="181"/>
      <c r="H276" s="181"/>
      <c r="I276" s="181"/>
      <c r="J276" s="181"/>
      <c r="K276" s="181"/>
      <c r="L276" s="181"/>
      <c r="M276" s="181"/>
      <c r="N276" s="181"/>
      <c r="O276" s="181"/>
      <c r="P276" s="181"/>
      <c r="Q276" s="181"/>
      <c r="R276" s="181"/>
      <c r="S276" s="181"/>
      <c r="T276" s="181"/>
      <c r="U276" s="181"/>
      <c r="V276" s="181"/>
      <c r="W276" s="181"/>
      <c r="X276" s="181"/>
      <c r="Y276" s="181"/>
      <c r="Z276" s="181"/>
    </row>
    <row r="277" ht="14.25" customHeight="1">
      <c r="A277" s="181"/>
      <c r="B277" s="181"/>
      <c r="C277" s="181"/>
      <c r="D277" s="181"/>
      <c r="E277" s="181"/>
      <c r="F277" s="181"/>
      <c r="G277" s="181"/>
      <c r="H277" s="181"/>
      <c r="I277" s="181"/>
      <c r="J277" s="181"/>
      <c r="K277" s="181"/>
      <c r="L277" s="181"/>
      <c r="M277" s="181"/>
      <c r="N277" s="181"/>
      <c r="O277" s="181"/>
      <c r="P277" s="181"/>
      <c r="Q277" s="181"/>
      <c r="R277" s="181"/>
      <c r="S277" s="181"/>
      <c r="T277" s="181"/>
      <c r="U277" s="181"/>
      <c r="V277" s="181"/>
      <c r="W277" s="181"/>
      <c r="X277" s="181"/>
      <c r="Y277" s="181"/>
      <c r="Z277" s="181"/>
    </row>
    <row r="278" ht="14.25" customHeight="1">
      <c r="A278" s="181"/>
      <c r="B278" s="181"/>
      <c r="C278" s="181"/>
      <c r="D278" s="181"/>
      <c r="E278" s="181"/>
      <c r="F278" s="181"/>
      <c r="G278" s="181"/>
      <c r="H278" s="181"/>
      <c r="I278" s="181"/>
      <c r="J278" s="181"/>
      <c r="K278" s="181"/>
      <c r="L278" s="181"/>
      <c r="M278" s="181"/>
      <c r="N278" s="181"/>
      <c r="O278" s="181"/>
      <c r="P278" s="181"/>
      <c r="Q278" s="181"/>
      <c r="R278" s="181"/>
      <c r="S278" s="181"/>
      <c r="T278" s="181"/>
      <c r="U278" s="181"/>
      <c r="V278" s="181"/>
      <c r="W278" s="181"/>
      <c r="X278" s="181"/>
      <c r="Y278" s="181"/>
      <c r="Z278" s="181"/>
    </row>
    <row r="279" ht="14.25" customHeight="1">
      <c r="A279" s="181"/>
      <c r="B279" s="181"/>
      <c r="C279" s="181"/>
      <c r="D279" s="181"/>
      <c r="E279" s="181"/>
      <c r="F279" s="181"/>
      <c r="G279" s="181"/>
      <c r="H279" s="181"/>
      <c r="I279" s="181"/>
      <c r="J279" s="181"/>
      <c r="K279" s="181"/>
      <c r="L279" s="181"/>
      <c r="M279" s="181"/>
      <c r="N279" s="181"/>
      <c r="O279" s="181"/>
      <c r="P279" s="181"/>
      <c r="Q279" s="181"/>
      <c r="R279" s="181"/>
      <c r="S279" s="181"/>
      <c r="T279" s="181"/>
      <c r="U279" s="181"/>
      <c r="V279" s="181"/>
      <c r="W279" s="181"/>
      <c r="X279" s="181"/>
      <c r="Y279" s="181"/>
      <c r="Z279" s="181"/>
    </row>
    <row r="280" ht="14.25" customHeight="1">
      <c r="A280" s="181"/>
      <c r="B280" s="181"/>
      <c r="C280" s="181"/>
      <c r="D280" s="181"/>
      <c r="E280" s="181"/>
      <c r="F280" s="181"/>
      <c r="G280" s="181"/>
      <c r="H280" s="181"/>
      <c r="I280" s="181"/>
      <c r="J280" s="181"/>
      <c r="K280" s="181"/>
      <c r="L280" s="181"/>
      <c r="M280" s="181"/>
      <c r="N280" s="181"/>
      <c r="O280" s="181"/>
      <c r="P280" s="181"/>
      <c r="Q280" s="181"/>
      <c r="R280" s="181"/>
      <c r="S280" s="181"/>
      <c r="T280" s="181"/>
      <c r="U280" s="181"/>
      <c r="V280" s="181"/>
      <c r="W280" s="181"/>
      <c r="X280" s="181"/>
      <c r="Y280" s="181"/>
      <c r="Z280" s="181"/>
    </row>
    <row r="281" ht="14.25" customHeight="1">
      <c r="A281" s="181"/>
      <c r="B281" s="181"/>
      <c r="C281" s="181"/>
      <c r="D281" s="181"/>
      <c r="E281" s="181"/>
      <c r="F281" s="181"/>
      <c r="G281" s="181"/>
      <c r="H281" s="181"/>
      <c r="I281" s="181"/>
      <c r="J281" s="181"/>
      <c r="K281" s="181"/>
      <c r="L281" s="181"/>
      <c r="M281" s="181"/>
      <c r="N281" s="181"/>
      <c r="O281" s="181"/>
      <c r="P281" s="181"/>
      <c r="Q281" s="181"/>
      <c r="R281" s="181"/>
      <c r="S281" s="181"/>
      <c r="T281" s="181"/>
      <c r="U281" s="181"/>
      <c r="V281" s="181"/>
      <c r="W281" s="181"/>
      <c r="X281" s="181"/>
      <c r="Y281" s="181"/>
      <c r="Z281" s="181"/>
    </row>
    <row r="282" ht="14.25" customHeight="1">
      <c r="A282" s="181"/>
      <c r="B282" s="181"/>
      <c r="C282" s="181"/>
      <c r="D282" s="181"/>
      <c r="E282" s="181"/>
      <c r="F282" s="181"/>
      <c r="G282" s="181"/>
      <c r="H282" s="181"/>
      <c r="I282" s="181"/>
      <c r="J282" s="181"/>
      <c r="K282" s="181"/>
      <c r="L282" s="181"/>
      <c r="M282" s="181"/>
      <c r="N282" s="181"/>
      <c r="O282" s="181"/>
      <c r="P282" s="181"/>
      <c r="Q282" s="181"/>
      <c r="R282" s="181"/>
      <c r="S282" s="181"/>
      <c r="T282" s="181"/>
      <c r="U282" s="181"/>
      <c r="V282" s="181"/>
      <c r="W282" s="181"/>
      <c r="X282" s="181"/>
      <c r="Y282" s="181"/>
      <c r="Z282" s="181"/>
    </row>
    <row r="283" ht="14.25" customHeight="1">
      <c r="A283" s="181"/>
      <c r="B283" s="181"/>
      <c r="C283" s="181"/>
      <c r="D283" s="181"/>
      <c r="E283" s="181"/>
      <c r="F283" s="181"/>
      <c r="G283" s="181"/>
      <c r="H283" s="181"/>
      <c r="I283" s="181"/>
      <c r="J283" s="181"/>
      <c r="K283" s="181"/>
      <c r="L283" s="181"/>
      <c r="M283" s="181"/>
      <c r="N283" s="181"/>
      <c r="O283" s="181"/>
      <c r="P283" s="181"/>
      <c r="Q283" s="181"/>
      <c r="R283" s="181"/>
      <c r="S283" s="181"/>
      <c r="T283" s="181"/>
      <c r="U283" s="181"/>
      <c r="V283" s="181"/>
      <c r="W283" s="181"/>
      <c r="X283" s="181"/>
      <c r="Y283" s="181"/>
      <c r="Z283" s="181"/>
    </row>
    <row r="284" ht="14.25" customHeight="1">
      <c r="A284" s="181"/>
      <c r="B284" s="181"/>
      <c r="C284" s="181"/>
      <c r="D284" s="181"/>
      <c r="E284" s="181"/>
      <c r="F284" s="181"/>
      <c r="G284" s="181"/>
      <c r="H284" s="181"/>
      <c r="I284" s="181"/>
      <c r="J284" s="181"/>
      <c r="K284" s="181"/>
      <c r="L284" s="181"/>
      <c r="M284" s="181"/>
      <c r="N284" s="181"/>
      <c r="O284" s="181"/>
      <c r="P284" s="181"/>
      <c r="Q284" s="181"/>
      <c r="R284" s="181"/>
      <c r="S284" s="181"/>
      <c r="T284" s="181"/>
      <c r="U284" s="181"/>
      <c r="V284" s="181"/>
      <c r="W284" s="181"/>
      <c r="X284" s="181"/>
      <c r="Y284" s="181"/>
      <c r="Z284" s="181"/>
    </row>
    <row r="285" ht="14.25" customHeight="1">
      <c r="A285" s="181"/>
      <c r="B285" s="181"/>
      <c r="C285" s="181"/>
      <c r="D285" s="181"/>
      <c r="E285" s="181"/>
      <c r="F285" s="181"/>
      <c r="G285" s="181"/>
      <c r="H285" s="181"/>
      <c r="I285" s="181"/>
      <c r="J285" s="181"/>
      <c r="K285" s="181"/>
      <c r="L285" s="181"/>
      <c r="M285" s="181"/>
      <c r="N285" s="181"/>
      <c r="O285" s="181"/>
      <c r="P285" s="181"/>
      <c r="Q285" s="181"/>
      <c r="R285" s="181"/>
      <c r="S285" s="181"/>
      <c r="T285" s="181"/>
      <c r="U285" s="181"/>
      <c r="V285" s="181"/>
      <c r="W285" s="181"/>
      <c r="X285" s="181"/>
      <c r="Y285" s="181"/>
      <c r="Z285" s="181"/>
    </row>
    <row r="286" ht="14.25" customHeight="1">
      <c r="A286" s="181"/>
      <c r="B286" s="181"/>
      <c r="C286" s="181"/>
      <c r="D286" s="181"/>
      <c r="E286" s="181"/>
      <c r="F286" s="181"/>
      <c r="G286" s="181"/>
      <c r="H286" s="181"/>
      <c r="I286" s="181"/>
      <c r="J286" s="181"/>
      <c r="K286" s="181"/>
      <c r="L286" s="181"/>
      <c r="M286" s="181"/>
      <c r="N286" s="181"/>
      <c r="O286" s="181"/>
      <c r="P286" s="181"/>
      <c r="Q286" s="181"/>
      <c r="R286" s="181"/>
      <c r="S286" s="181"/>
      <c r="T286" s="181"/>
      <c r="U286" s="181"/>
      <c r="V286" s="181"/>
      <c r="W286" s="181"/>
      <c r="X286" s="181"/>
      <c r="Y286" s="181"/>
      <c r="Z286" s="181"/>
    </row>
    <row r="287" ht="14.25" customHeight="1">
      <c r="A287" s="181"/>
      <c r="B287" s="181"/>
      <c r="C287" s="181"/>
      <c r="D287" s="181"/>
      <c r="E287" s="181"/>
      <c r="F287" s="181"/>
      <c r="G287" s="181"/>
      <c r="H287" s="181"/>
      <c r="I287" s="181"/>
      <c r="J287" s="181"/>
      <c r="K287" s="181"/>
      <c r="L287" s="181"/>
      <c r="M287" s="181"/>
      <c r="N287" s="181"/>
      <c r="O287" s="181"/>
      <c r="P287" s="181"/>
      <c r="Q287" s="181"/>
      <c r="R287" s="181"/>
      <c r="S287" s="181"/>
      <c r="T287" s="181"/>
      <c r="U287" s="181"/>
      <c r="V287" s="181"/>
      <c r="W287" s="181"/>
      <c r="X287" s="181"/>
      <c r="Y287" s="181"/>
      <c r="Z287" s="181"/>
    </row>
    <row r="288" ht="14.25" customHeight="1">
      <c r="A288" s="181"/>
      <c r="B288" s="181"/>
      <c r="C288" s="181"/>
      <c r="D288" s="181"/>
      <c r="E288" s="181"/>
      <c r="F288" s="181"/>
      <c r="G288" s="181"/>
      <c r="H288" s="181"/>
      <c r="I288" s="181"/>
      <c r="J288" s="181"/>
      <c r="K288" s="181"/>
      <c r="L288" s="181"/>
      <c r="M288" s="181"/>
      <c r="N288" s="181"/>
      <c r="O288" s="181"/>
      <c r="P288" s="181"/>
      <c r="Q288" s="181"/>
      <c r="R288" s="181"/>
      <c r="S288" s="181"/>
      <c r="T288" s="181"/>
      <c r="U288" s="181"/>
      <c r="V288" s="181"/>
      <c r="W288" s="181"/>
      <c r="X288" s="181"/>
      <c r="Y288" s="181"/>
      <c r="Z288" s="181"/>
    </row>
    <row r="289" ht="14.25" customHeight="1">
      <c r="A289" s="181"/>
      <c r="B289" s="181"/>
      <c r="C289" s="181"/>
      <c r="D289" s="181"/>
      <c r="E289" s="181"/>
      <c r="F289" s="181"/>
      <c r="G289" s="181"/>
      <c r="H289" s="181"/>
      <c r="I289" s="181"/>
      <c r="J289" s="181"/>
      <c r="K289" s="181"/>
      <c r="L289" s="181"/>
      <c r="M289" s="181"/>
      <c r="N289" s="181"/>
      <c r="O289" s="181"/>
      <c r="P289" s="181"/>
      <c r="Q289" s="181"/>
      <c r="R289" s="181"/>
      <c r="S289" s="181"/>
      <c r="T289" s="181"/>
      <c r="U289" s="181"/>
      <c r="V289" s="181"/>
      <c r="W289" s="181"/>
      <c r="X289" s="181"/>
      <c r="Y289" s="181"/>
      <c r="Z289" s="181"/>
    </row>
    <row r="290" ht="14.25" customHeight="1">
      <c r="A290" s="181"/>
      <c r="B290" s="181"/>
      <c r="C290" s="181"/>
      <c r="D290" s="181"/>
      <c r="E290" s="181"/>
      <c r="F290" s="181"/>
      <c r="G290" s="181"/>
      <c r="H290" s="181"/>
      <c r="I290" s="181"/>
      <c r="J290" s="181"/>
      <c r="K290" s="181"/>
      <c r="L290" s="181"/>
      <c r="M290" s="181"/>
      <c r="N290" s="181"/>
      <c r="O290" s="181"/>
      <c r="P290" s="181"/>
      <c r="Q290" s="181"/>
      <c r="R290" s="181"/>
      <c r="S290" s="181"/>
      <c r="T290" s="181"/>
      <c r="U290" s="181"/>
      <c r="V290" s="181"/>
      <c r="W290" s="181"/>
      <c r="X290" s="181"/>
      <c r="Y290" s="181"/>
      <c r="Z290" s="181"/>
    </row>
    <row r="291" ht="14.25" customHeight="1">
      <c r="A291" s="181"/>
      <c r="B291" s="181"/>
      <c r="C291" s="181"/>
      <c r="D291" s="181"/>
      <c r="E291" s="181"/>
      <c r="F291" s="181"/>
      <c r="G291" s="181"/>
      <c r="H291" s="181"/>
      <c r="I291" s="181"/>
      <c r="J291" s="181"/>
      <c r="K291" s="181"/>
      <c r="L291" s="181"/>
      <c r="M291" s="181"/>
      <c r="N291" s="181"/>
      <c r="O291" s="181"/>
      <c r="P291" s="181"/>
      <c r="Q291" s="181"/>
      <c r="R291" s="181"/>
      <c r="S291" s="181"/>
      <c r="T291" s="181"/>
      <c r="U291" s="181"/>
      <c r="V291" s="181"/>
      <c r="W291" s="181"/>
      <c r="X291" s="181"/>
      <c r="Y291" s="181"/>
      <c r="Z291" s="181"/>
    </row>
    <row r="292" ht="14.25" customHeight="1">
      <c r="A292" s="181"/>
      <c r="B292" s="181"/>
      <c r="C292" s="181"/>
      <c r="D292" s="181"/>
      <c r="E292" s="181"/>
      <c r="F292" s="181"/>
      <c r="G292" s="181"/>
      <c r="H292" s="181"/>
      <c r="I292" s="181"/>
      <c r="J292" s="181"/>
      <c r="K292" s="181"/>
      <c r="L292" s="181"/>
      <c r="M292" s="181"/>
      <c r="N292" s="181"/>
      <c r="O292" s="181"/>
      <c r="P292" s="181"/>
      <c r="Q292" s="181"/>
      <c r="R292" s="181"/>
      <c r="S292" s="181"/>
      <c r="T292" s="181"/>
      <c r="U292" s="181"/>
      <c r="V292" s="181"/>
      <c r="W292" s="181"/>
      <c r="X292" s="181"/>
      <c r="Y292" s="181"/>
      <c r="Z292" s="181"/>
    </row>
    <row r="293" ht="14.25" customHeight="1">
      <c r="A293" s="181"/>
      <c r="B293" s="181"/>
      <c r="C293" s="181"/>
      <c r="D293" s="181"/>
      <c r="E293" s="181"/>
      <c r="F293" s="181"/>
      <c r="G293" s="181"/>
      <c r="H293" s="181"/>
      <c r="I293" s="181"/>
      <c r="J293" s="181"/>
      <c r="K293" s="181"/>
      <c r="L293" s="181"/>
      <c r="M293" s="181"/>
      <c r="N293" s="181"/>
      <c r="O293" s="181"/>
      <c r="P293" s="181"/>
      <c r="Q293" s="181"/>
      <c r="R293" s="181"/>
      <c r="S293" s="181"/>
      <c r="T293" s="181"/>
      <c r="U293" s="181"/>
      <c r="V293" s="181"/>
      <c r="W293" s="181"/>
      <c r="X293" s="181"/>
      <c r="Y293" s="181"/>
      <c r="Z293" s="181"/>
    </row>
    <row r="294" ht="14.25" customHeight="1">
      <c r="A294" s="181"/>
      <c r="B294" s="181"/>
      <c r="C294" s="181"/>
      <c r="D294" s="181"/>
      <c r="E294" s="181"/>
      <c r="F294" s="181"/>
      <c r="G294" s="181"/>
      <c r="H294" s="181"/>
      <c r="I294" s="181"/>
      <c r="J294" s="181"/>
      <c r="K294" s="181"/>
      <c r="L294" s="181"/>
      <c r="M294" s="181"/>
      <c r="N294" s="181"/>
      <c r="O294" s="181"/>
      <c r="P294" s="181"/>
      <c r="Q294" s="181"/>
      <c r="R294" s="181"/>
      <c r="S294" s="181"/>
      <c r="T294" s="181"/>
      <c r="U294" s="181"/>
      <c r="V294" s="181"/>
      <c r="W294" s="181"/>
      <c r="X294" s="181"/>
      <c r="Y294" s="181"/>
      <c r="Z294" s="181"/>
    </row>
    <row r="295" ht="14.25" customHeight="1">
      <c r="A295" s="181"/>
      <c r="B295" s="181"/>
      <c r="C295" s="181"/>
      <c r="D295" s="181"/>
      <c r="E295" s="181"/>
      <c r="F295" s="181"/>
      <c r="G295" s="181"/>
      <c r="H295" s="181"/>
      <c r="I295" s="181"/>
      <c r="J295" s="181"/>
      <c r="K295" s="181"/>
      <c r="L295" s="181"/>
      <c r="M295" s="181"/>
      <c r="N295" s="181"/>
      <c r="O295" s="181"/>
      <c r="P295" s="181"/>
      <c r="Q295" s="181"/>
      <c r="R295" s="181"/>
      <c r="S295" s="181"/>
      <c r="T295" s="181"/>
      <c r="U295" s="181"/>
      <c r="V295" s="181"/>
      <c r="W295" s="181"/>
      <c r="X295" s="181"/>
      <c r="Y295" s="181"/>
      <c r="Z295" s="181"/>
    </row>
    <row r="296" ht="14.25" customHeight="1">
      <c r="A296" s="181"/>
      <c r="B296" s="181"/>
      <c r="C296" s="181"/>
      <c r="D296" s="181"/>
      <c r="E296" s="181"/>
      <c r="F296" s="181"/>
      <c r="G296" s="181"/>
      <c r="H296" s="181"/>
      <c r="I296" s="181"/>
      <c r="J296" s="181"/>
      <c r="K296" s="181"/>
      <c r="L296" s="181"/>
      <c r="M296" s="181"/>
      <c r="N296" s="181"/>
      <c r="O296" s="181"/>
      <c r="P296" s="181"/>
      <c r="Q296" s="181"/>
      <c r="R296" s="181"/>
      <c r="S296" s="181"/>
      <c r="T296" s="181"/>
      <c r="U296" s="181"/>
      <c r="V296" s="181"/>
      <c r="W296" s="181"/>
      <c r="X296" s="181"/>
      <c r="Y296" s="181"/>
      <c r="Z296" s="181"/>
    </row>
    <row r="297" ht="14.25" customHeight="1">
      <c r="A297" s="181"/>
      <c r="B297" s="181"/>
      <c r="C297" s="181"/>
      <c r="D297" s="181"/>
      <c r="E297" s="181"/>
      <c r="F297" s="181"/>
      <c r="G297" s="181"/>
      <c r="H297" s="181"/>
      <c r="I297" s="181"/>
      <c r="J297" s="181"/>
      <c r="K297" s="181"/>
      <c r="L297" s="181"/>
      <c r="M297" s="181"/>
      <c r="N297" s="181"/>
      <c r="O297" s="181"/>
      <c r="P297" s="181"/>
      <c r="Q297" s="181"/>
      <c r="R297" s="181"/>
      <c r="S297" s="181"/>
      <c r="T297" s="181"/>
      <c r="U297" s="181"/>
      <c r="V297" s="181"/>
      <c r="W297" s="181"/>
      <c r="X297" s="181"/>
      <c r="Y297" s="181"/>
      <c r="Z297" s="181"/>
    </row>
    <row r="298" ht="14.25" customHeight="1">
      <c r="A298" s="181"/>
      <c r="B298" s="181"/>
      <c r="C298" s="181"/>
      <c r="D298" s="181"/>
      <c r="E298" s="181"/>
      <c r="F298" s="181"/>
      <c r="G298" s="181"/>
      <c r="H298" s="181"/>
      <c r="I298" s="181"/>
      <c r="J298" s="181"/>
      <c r="K298" s="181"/>
      <c r="L298" s="181"/>
      <c r="M298" s="181"/>
      <c r="N298" s="181"/>
      <c r="O298" s="181"/>
      <c r="P298" s="181"/>
      <c r="Q298" s="181"/>
      <c r="R298" s="181"/>
      <c r="S298" s="181"/>
      <c r="T298" s="181"/>
      <c r="U298" s="181"/>
      <c r="V298" s="181"/>
      <c r="W298" s="181"/>
      <c r="X298" s="181"/>
      <c r="Y298" s="181"/>
      <c r="Z298" s="181"/>
    </row>
    <row r="299" ht="14.25" customHeight="1">
      <c r="A299" s="181"/>
      <c r="B299" s="181"/>
      <c r="C299" s="181"/>
      <c r="D299" s="181"/>
      <c r="E299" s="181"/>
      <c r="F299" s="181"/>
      <c r="G299" s="181"/>
      <c r="H299" s="181"/>
      <c r="I299" s="181"/>
      <c r="J299" s="181"/>
      <c r="K299" s="181"/>
      <c r="L299" s="181"/>
      <c r="M299" s="181"/>
      <c r="N299" s="181"/>
      <c r="O299" s="181"/>
      <c r="P299" s="181"/>
      <c r="Q299" s="181"/>
      <c r="R299" s="181"/>
      <c r="S299" s="181"/>
      <c r="T299" s="181"/>
      <c r="U299" s="181"/>
      <c r="V299" s="181"/>
      <c r="W299" s="181"/>
      <c r="X299" s="181"/>
      <c r="Y299" s="181"/>
      <c r="Z299" s="181"/>
    </row>
    <row r="300" ht="14.25" customHeight="1">
      <c r="A300" s="181"/>
      <c r="B300" s="181"/>
      <c r="C300" s="181"/>
      <c r="D300" s="181"/>
      <c r="E300" s="181"/>
      <c r="F300" s="181"/>
      <c r="G300" s="181"/>
      <c r="H300" s="181"/>
      <c r="I300" s="181"/>
      <c r="J300" s="181"/>
      <c r="K300" s="181"/>
      <c r="L300" s="181"/>
      <c r="M300" s="181"/>
      <c r="N300" s="181"/>
      <c r="O300" s="181"/>
      <c r="P300" s="181"/>
      <c r="Q300" s="181"/>
      <c r="R300" s="181"/>
      <c r="S300" s="181"/>
      <c r="T300" s="181"/>
      <c r="U300" s="181"/>
      <c r="V300" s="181"/>
      <c r="W300" s="181"/>
      <c r="X300" s="181"/>
      <c r="Y300" s="181"/>
      <c r="Z300" s="181"/>
    </row>
    <row r="301" ht="14.25" customHeight="1">
      <c r="A301" s="181"/>
      <c r="B301" s="181"/>
      <c r="C301" s="181"/>
      <c r="D301" s="181"/>
      <c r="E301" s="181"/>
      <c r="F301" s="181"/>
      <c r="G301" s="181"/>
      <c r="H301" s="181"/>
      <c r="I301" s="181"/>
      <c r="J301" s="181"/>
      <c r="K301" s="181"/>
      <c r="L301" s="181"/>
      <c r="M301" s="181"/>
      <c r="N301" s="181"/>
      <c r="O301" s="181"/>
      <c r="P301" s="181"/>
      <c r="Q301" s="181"/>
      <c r="R301" s="181"/>
      <c r="S301" s="181"/>
      <c r="T301" s="181"/>
      <c r="U301" s="181"/>
      <c r="V301" s="181"/>
      <c r="W301" s="181"/>
      <c r="X301" s="181"/>
      <c r="Y301" s="181"/>
      <c r="Z301" s="181"/>
    </row>
    <row r="302" ht="14.25" customHeight="1">
      <c r="A302" s="181"/>
      <c r="B302" s="181"/>
      <c r="C302" s="181"/>
      <c r="D302" s="181"/>
      <c r="E302" s="181"/>
      <c r="F302" s="181"/>
      <c r="G302" s="181"/>
      <c r="H302" s="181"/>
      <c r="I302" s="181"/>
      <c r="J302" s="181"/>
      <c r="K302" s="181"/>
      <c r="L302" s="181"/>
      <c r="M302" s="181"/>
      <c r="N302" s="181"/>
      <c r="O302" s="181"/>
      <c r="P302" s="181"/>
      <c r="Q302" s="181"/>
      <c r="R302" s="181"/>
      <c r="S302" s="181"/>
      <c r="T302" s="181"/>
      <c r="U302" s="181"/>
      <c r="V302" s="181"/>
      <c r="W302" s="181"/>
      <c r="X302" s="181"/>
      <c r="Y302" s="181"/>
      <c r="Z302" s="181"/>
    </row>
    <row r="303" ht="14.25" customHeight="1">
      <c r="A303" s="181"/>
      <c r="B303" s="181"/>
      <c r="C303" s="181"/>
      <c r="D303" s="181"/>
      <c r="E303" s="181"/>
      <c r="F303" s="181"/>
      <c r="G303" s="181"/>
      <c r="H303" s="181"/>
      <c r="I303" s="181"/>
      <c r="J303" s="181"/>
      <c r="K303" s="181"/>
      <c r="L303" s="181"/>
      <c r="M303" s="181"/>
      <c r="N303" s="181"/>
      <c r="O303" s="181"/>
      <c r="P303" s="181"/>
      <c r="Q303" s="181"/>
      <c r="R303" s="181"/>
      <c r="S303" s="181"/>
      <c r="T303" s="181"/>
      <c r="U303" s="181"/>
      <c r="V303" s="181"/>
      <c r="W303" s="181"/>
      <c r="X303" s="181"/>
      <c r="Y303" s="181"/>
      <c r="Z303" s="181"/>
    </row>
    <row r="304" ht="14.25" customHeight="1">
      <c r="A304" s="181"/>
      <c r="B304" s="181"/>
      <c r="C304" s="181"/>
      <c r="D304" s="181"/>
      <c r="E304" s="181"/>
      <c r="F304" s="181"/>
      <c r="G304" s="181"/>
      <c r="H304" s="181"/>
      <c r="I304" s="181"/>
      <c r="J304" s="181"/>
      <c r="K304" s="181"/>
      <c r="L304" s="181"/>
      <c r="M304" s="181"/>
      <c r="N304" s="181"/>
      <c r="O304" s="181"/>
      <c r="P304" s="181"/>
      <c r="Q304" s="181"/>
      <c r="R304" s="181"/>
      <c r="S304" s="181"/>
      <c r="T304" s="181"/>
      <c r="U304" s="181"/>
      <c r="V304" s="181"/>
      <c r="W304" s="181"/>
      <c r="X304" s="181"/>
      <c r="Y304" s="181"/>
      <c r="Z304" s="181"/>
    </row>
    <row r="305" ht="14.25" customHeight="1">
      <c r="A305" s="181"/>
      <c r="B305" s="181"/>
      <c r="C305" s="181"/>
      <c r="D305" s="181"/>
      <c r="E305" s="181"/>
      <c r="F305" s="181"/>
      <c r="G305" s="181"/>
      <c r="H305" s="181"/>
      <c r="I305" s="181"/>
      <c r="J305" s="181"/>
      <c r="K305" s="181"/>
      <c r="L305" s="181"/>
      <c r="M305" s="181"/>
      <c r="N305" s="181"/>
      <c r="O305" s="181"/>
      <c r="P305" s="181"/>
      <c r="Q305" s="181"/>
      <c r="R305" s="181"/>
      <c r="S305" s="181"/>
      <c r="T305" s="181"/>
      <c r="U305" s="181"/>
      <c r="V305" s="181"/>
      <c r="W305" s="181"/>
      <c r="X305" s="181"/>
      <c r="Y305" s="181"/>
      <c r="Z305" s="181"/>
    </row>
    <row r="306" ht="14.25" customHeight="1">
      <c r="A306" s="181"/>
      <c r="B306" s="181"/>
      <c r="C306" s="181"/>
      <c r="D306" s="181"/>
      <c r="E306" s="181"/>
      <c r="F306" s="181"/>
      <c r="G306" s="181"/>
      <c r="H306" s="181"/>
      <c r="I306" s="181"/>
      <c r="J306" s="181"/>
      <c r="K306" s="181"/>
      <c r="L306" s="181"/>
      <c r="M306" s="181"/>
      <c r="N306" s="181"/>
      <c r="O306" s="181"/>
      <c r="P306" s="181"/>
      <c r="Q306" s="181"/>
      <c r="R306" s="181"/>
      <c r="S306" s="181"/>
      <c r="T306" s="181"/>
      <c r="U306" s="181"/>
      <c r="V306" s="181"/>
      <c r="W306" s="181"/>
      <c r="X306" s="181"/>
      <c r="Y306" s="181"/>
      <c r="Z306" s="181"/>
    </row>
    <row r="307" ht="14.25" customHeight="1">
      <c r="A307" s="181"/>
      <c r="B307" s="181"/>
      <c r="C307" s="181"/>
      <c r="D307" s="181"/>
      <c r="E307" s="181"/>
      <c r="F307" s="181"/>
      <c r="G307" s="181"/>
      <c r="H307" s="181"/>
      <c r="I307" s="181"/>
      <c r="J307" s="181"/>
      <c r="K307" s="181"/>
      <c r="L307" s="181"/>
      <c r="M307" s="181"/>
      <c r="N307" s="181"/>
      <c r="O307" s="181"/>
      <c r="P307" s="181"/>
      <c r="Q307" s="181"/>
      <c r="R307" s="181"/>
      <c r="S307" s="181"/>
      <c r="T307" s="181"/>
      <c r="U307" s="181"/>
      <c r="V307" s="181"/>
      <c r="W307" s="181"/>
      <c r="X307" s="181"/>
      <c r="Y307" s="181"/>
      <c r="Z307" s="181"/>
    </row>
    <row r="308" ht="14.25" customHeight="1">
      <c r="A308" s="181"/>
      <c r="B308" s="181"/>
      <c r="C308" s="181"/>
      <c r="D308" s="181"/>
      <c r="E308" s="181"/>
      <c r="F308" s="181"/>
      <c r="G308" s="181"/>
      <c r="H308" s="181"/>
      <c r="I308" s="181"/>
      <c r="J308" s="181"/>
      <c r="K308" s="181"/>
      <c r="L308" s="181"/>
      <c r="M308" s="181"/>
      <c r="N308" s="181"/>
      <c r="O308" s="181"/>
      <c r="P308" s="181"/>
      <c r="Q308" s="181"/>
      <c r="R308" s="181"/>
      <c r="S308" s="181"/>
      <c r="T308" s="181"/>
      <c r="U308" s="181"/>
      <c r="V308" s="181"/>
      <c r="W308" s="181"/>
      <c r="X308" s="181"/>
      <c r="Y308" s="181"/>
      <c r="Z308" s="181"/>
    </row>
    <row r="309" ht="14.25" customHeight="1">
      <c r="A309" s="181"/>
      <c r="B309" s="181"/>
      <c r="C309" s="181"/>
      <c r="D309" s="181"/>
      <c r="E309" s="181"/>
      <c r="F309" s="181"/>
      <c r="G309" s="181"/>
      <c r="H309" s="181"/>
      <c r="I309" s="181"/>
      <c r="J309" s="181"/>
      <c r="K309" s="181"/>
      <c r="L309" s="181"/>
      <c r="M309" s="181"/>
      <c r="N309" s="181"/>
      <c r="O309" s="181"/>
      <c r="P309" s="181"/>
      <c r="Q309" s="181"/>
      <c r="R309" s="181"/>
      <c r="S309" s="181"/>
      <c r="T309" s="181"/>
      <c r="U309" s="181"/>
      <c r="V309" s="181"/>
      <c r="W309" s="181"/>
      <c r="X309" s="181"/>
      <c r="Y309" s="181"/>
      <c r="Z309" s="181"/>
    </row>
    <row r="310" ht="14.25" customHeight="1">
      <c r="A310" s="181"/>
      <c r="B310" s="181"/>
      <c r="C310" s="181"/>
      <c r="D310" s="181"/>
      <c r="E310" s="181"/>
      <c r="F310" s="181"/>
      <c r="G310" s="181"/>
      <c r="H310" s="181"/>
      <c r="I310" s="181"/>
      <c r="J310" s="181"/>
      <c r="K310" s="181"/>
      <c r="L310" s="181"/>
      <c r="M310" s="181"/>
      <c r="N310" s="181"/>
      <c r="O310" s="181"/>
      <c r="P310" s="181"/>
      <c r="Q310" s="181"/>
      <c r="R310" s="181"/>
      <c r="S310" s="181"/>
      <c r="T310" s="181"/>
      <c r="U310" s="181"/>
      <c r="V310" s="181"/>
      <c r="W310" s="181"/>
      <c r="X310" s="181"/>
      <c r="Y310" s="181"/>
      <c r="Z310" s="181"/>
    </row>
    <row r="311" ht="14.25" customHeight="1">
      <c r="A311" s="181"/>
      <c r="B311" s="181"/>
      <c r="C311" s="181"/>
      <c r="D311" s="181"/>
      <c r="E311" s="181"/>
      <c r="F311" s="181"/>
      <c r="G311" s="181"/>
      <c r="H311" s="181"/>
      <c r="I311" s="181"/>
      <c r="J311" s="181"/>
      <c r="K311" s="181"/>
      <c r="L311" s="181"/>
      <c r="M311" s="181"/>
      <c r="N311" s="181"/>
      <c r="O311" s="181"/>
      <c r="P311" s="181"/>
      <c r="Q311" s="181"/>
      <c r="R311" s="181"/>
      <c r="S311" s="181"/>
      <c r="T311" s="181"/>
      <c r="U311" s="181"/>
      <c r="V311" s="181"/>
      <c r="W311" s="181"/>
      <c r="X311" s="181"/>
      <c r="Y311" s="181"/>
      <c r="Z311" s="181"/>
    </row>
    <row r="312" ht="14.25" customHeight="1">
      <c r="A312" s="181"/>
      <c r="B312" s="181"/>
      <c r="C312" s="181"/>
      <c r="D312" s="181"/>
      <c r="E312" s="181"/>
      <c r="F312" s="181"/>
      <c r="G312" s="181"/>
      <c r="H312" s="181"/>
      <c r="I312" s="181"/>
      <c r="J312" s="181"/>
      <c r="K312" s="181"/>
      <c r="L312" s="181"/>
      <c r="M312" s="181"/>
      <c r="N312" s="181"/>
      <c r="O312" s="181"/>
      <c r="P312" s="181"/>
      <c r="Q312" s="181"/>
      <c r="R312" s="181"/>
      <c r="S312" s="181"/>
      <c r="T312" s="181"/>
      <c r="U312" s="181"/>
      <c r="V312" s="181"/>
      <c r="W312" s="181"/>
      <c r="X312" s="181"/>
      <c r="Y312" s="181"/>
      <c r="Z312" s="181"/>
    </row>
    <row r="313" ht="14.25" customHeight="1">
      <c r="A313" s="181"/>
      <c r="B313" s="181"/>
      <c r="C313" s="181"/>
      <c r="D313" s="181"/>
      <c r="E313" s="181"/>
      <c r="F313" s="181"/>
      <c r="G313" s="181"/>
      <c r="H313" s="181"/>
      <c r="I313" s="181"/>
      <c r="J313" s="181"/>
      <c r="K313" s="181"/>
      <c r="L313" s="181"/>
      <c r="M313" s="181"/>
      <c r="N313" s="181"/>
      <c r="O313" s="181"/>
      <c r="P313" s="181"/>
      <c r="Q313" s="181"/>
      <c r="R313" s="181"/>
      <c r="S313" s="181"/>
      <c r="T313" s="181"/>
      <c r="U313" s="181"/>
      <c r="V313" s="181"/>
      <c r="W313" s="181"/>
      <c r="X313" s="181"/>
      <c r="Y313" s="181"/>
      <c r="Z313" s="181"/>
    </row>
    <row r="314" ht="14.25" customHeight="1">
      <c r="A314" s="181"/>
      <c r="B314" s="181"/>
      <c r="C314" s="181"/>
      <c r="D314" s="181"/>
      <c r="E314" s="181"/>
      <c r="F314" s="181"/>
      <c r="G314" s="181"/>
      <c r="H314" s="181"/>
      <c r="I314" s="181"/>
      <c r="J314" s="181"/>
      <c r="K314" s="181"/>
      <c r="L314" s="181"/>
      <c r="M314" s="181"/>
      <c r="N314" s="181"/>
      <c r="O314" s="181"/>
      <c r="P314" s="181"/>
      <c r="Q314" s="181"/>
      <c r="R314" s="181"/>
      <c r="S314" s="181"/>
      <c r="T314" s="181"/>
      <c r="U314" s="181"/>
      <c r="V314" s="181"/>
      <c r="W314" s="181"/>
      <c r="X314" s="181"/>
      <c r="Y314" s="181"/>
      <c r="Z314" s="181"/>
    </row>
    <row r="315" ht="14.25" customHeight="1">
      <c r="A315" s="181"/>
      <c r="B315" s="181"/>
      <c r="C315" s="181"/>
      <c r="D315" s="181"/>
      <c r="E315" s="181"/>
      <c r="F315" s="181"/>
      <c r="G315" s="181"/>
      <c r="H315" s="181"/>
      <c r="I315" s="181"/>
      <c r="J315" s="181"/>
      <c r="K315" s="181"/>
      <c r="L315" s="181"/>
      <c r="M315" s="181"/>
      <c r="N315" s="181"/>
      <c r="O315" s="181"/>
      <c r="P315" s="181"/>
      <c r="Q315" s="181"/>
      <c r="R315" s="181"/>
      <c r="S315" s="181"/>
      <c r="T315" s="181"/>
      <c r="U315" s="181"/>
      <c r="V315" s="181"/>
      <c r="W315" s="181"/>
      <c r="X315" s="181"/>
      <c r="Y315" s="181"/>
      <c r="Z315" s="181"/>
    </row>
    <row r="316" ht="14.25" customHeight="1">
      <c r="A316" s="181"/>
      <c r="B316" s="181"/>
      <c r="C316" s="181"/>
      <c r="D316" s="181"/>
      <c r="E316" s="181"/>
      <c r="F316" s="181"/>
      <c r="G316" s="181"/>
      <c r="H316" s="181"/>
      <c r="I316" s="181"/>
      <c r="J316" s="181"/>
      <c r="K316" s="181"/>
      <c r="L316" s="181"/>
      <c r="M316" s="181"/>
      <c r="N316" s="181"/>
      <c r="O316" s="181"/>
      <c r="P316" s="181"/>
      <c r="Q316" s="181"/>
      <c r="R316" s="181"/>
      <c r="S316" s="181"/>
      <c r="T316" s="181"/>
      <c r="U316" s="181"/>
      <c r="V316" s="181"/>
      <c r="W316" s="181"/>
      <c r="X316" s="181"/>
      <c r="Y316" s="181"/>
      <c r="Z316" s="181"/>
    </row>
    <row r="317" ht="14.25" customHeight="1">
      <c r="A317" s="181"/>
      <c r="B317" s="181"/>
      <c r="C317" s="181"/>
      <c r="D317" s="181"/>
      <c r="E317" s="181"/>
      <c r="F317" s="181"/>
      <c r="G317" s="181"/>
      <c r="H317" s="181"/>
      <c r="I317" s="181"/>
      <c r="J317" s="181"/>
      <c r="K317" s="181"/>
      <c r="L317" s="181"/>
      <c r="M317" s="181"/>
      <c r="N317" s="181"/>
      <c r="O317" s="181"/>
      <c r="P317" s="181"/>
      <c r="Q317" s="181"/>
      <c r="R317" s="181"/>
      <c r="S317" s="181"/>
      <c r="T317" s="181"/>
      <c r="U317" s="181"/>
      <c r="V317" s="181"/>
      <c r="W317" s="181"/>
      <c r="X317" s="181"/>
      <c r="Y317" s="181"/>
      <c r="Z317" s="181"/>
    </row>
    <row r="318" ht="14.25" customHeight="1">
      <c r="A318" s="181"/>
      <c r="B318" s="181"/>
      <c r="C318" s="181"/>
      <c r="D318" s="181"/>
      <c r="E318" s="181"/>
      <c r="F318" s="181"/>
      <c r="G318" s="181"/>
      <c r="H318" s="181"/>
      <c r="I318" s="181"/>
      <c r="J318" s="181"/>
      <c r="K318" s="181"/>
      <c r="L318" s="181"/>
      <c r="M318" s="181"/>
      <c r="N318" s="181"/>
      <c r="O318" s="181"/>
      <c r="P318" s="181"/>
      <c r="Q318" s="181"/>
      <c r="R318" s="181"/>
      <c r="S318" s="181"/>
      <c r="T318" s="181"/>
      <c r="U318" s="181"/>
      <c r="V318" s="181"/>
      <c r="W318" s="181"/>
      <c r="X318" s="181"/>
      <c r="Y318" s="181"/>
      <c r="Z318" s="181"/>
    </row>
    <row r="319" ht="14.25" customHeight="1">
      <c r="A319" s="181"/>
      <c r="B319" s="181"/>
      <c r="C319" s="181"/>
      <c r="D319" s="181"/>
      <c r="E319" s="181"/>
      <c r="F319" s="181"/>
      <c r="G319" s="181"/>
      <c r="H319" s="181"/>
      <c r="I319" s="181"/>
      <c r="J319" s="181"/>
      <c r="K319" s="181"/>
      <c r="L319" s="181"/>
      <c r="M319" s="181"/>
      <c r="N319" s="181"/>
      <c r="O319" s="181"/>
      <c r="P319" s="181"/>
      <c r="Q319" s="181"/>
      <c r="R319" s="181"/>
      <c r="S319" s="181"/>
      <c r="T319" s="181"/>
      <c r="U319" s="181"/>
      <c r="V319" s="181"/>
      <c r="W319" s="181"/>
      <c r="X319" s="181"/>
      <c r="Y319" s="181"/>
      <c r="Z319" s="181"/>
    </row>
    <row r="320" ht="14.25" customHeight="1">
      <c r="A320" s="181"/>
      <c r="B320" s="181"/>
      <c r="C320" s="181"/>
      <c r="D320" s="181"/>
      <c r="E320" s="181"/>
      <c r="F320" s="181"/>
      <c r="G320" s="181"/>
      <c r="H320" s="181"/>
      <c r="I320" s="181"/>
      <c r="J320" s="181"/>
      <c r="K320" s="181"/>
      <c r="L320" s="181"/>
      <c r="M320" s="181"/>
      <c r="N320" s="181"/>
      <c r="O320" s="181"/>
      <c r="P320" s="181"/>
      <c r="Q320" s="181"/>
      <c r="R320" s="181"/>
      <c r="S320" s="181"/>
      <c r="T320" s="181"/>
      <c r="U320" s="181"/>
      <c r="V320" s="181"/>
      <c r="W320" s="181"/>
      <c r="X320" s="181"/>
      <c r="Y320" s="181"/>
      <c r="Z320" s="181"/>
    </row>
    <row r="321" ht="14.25" customHeight="1">
      <c r="A321" s="181"/>
      <c r="B321" s="181"/>
      <c r="C321" s="181"/>
      <c r="D321" s="181"/>
      <c r="E321" s="181"/>
      <c r="F321" s="181"/>
      <c r="G321" s="181"/>
      <c r="H321" s="181"/>
      <c r="I321" s="181"/>
      <c r="J321" s="181"/>
      <c r="K321" s="181"/>
      <c r="L321" s="181"/>
      <c r="M321" s="181"/>
      <c r="N321" s="181"/>
      <c r="O321" s="181"/>
      <c r="P321" s="181"/>
      <c r="Q321" s="181"/>
      <c r="R321" s="181"/>
      <c r="S321" s="181"/>
      <c r="T321" s="181"/>
      <c r="U321" s="181"/>
      <c r="V321" s="181"/>
      <c r="W321" s="181"/>
      <c r="X321" s="181"/>
      <c r="Y321" s="181"/>
      <c r="Z321" s="181"/>
    </row>
    <row r="322" ht="14.25" customHeight="1">
      <c r="A322" s="181"/>
      <c r="B322" s="181"/>
      <c r="C322" s="181"/>
      <c r="D322" s="181"/>
      <c r="E322" s="181"/>
      <c r="F322" s="181"/>
      <c r="G322" s="181"/>
      <c r="H322" s="181"/>
      <c r="I322" s="181"/>
      <c r="J322" s="181"/>
      <c r="K322" s="181"/>
      <c r="L322" s="181"/>
      <c r="M322" s="181"/>
      <c r="N322" s="181"/>
      <c r="O322" s="181"/>
      <c r="P322" s="181"/>
      <c r="Q322" s="181"/>
      <c r="R322" s="181"/>
      <c r="S322" s="181"/>
      <c r="T322" s="181"/>
      <c r="U322" s="181"/>
      <c r="V322" s="181"/>
      <c r="W322" s="181"/>
      <c r="X322" s="181"/>
      <c r="Y322" s="181"/>
      <c r="Z322" s="181"/>
    </row>
    <row r="323" ht="14.25" customHeight="1">
      <c r="A323" s="181"/>
      <c r="B323" s="181"/>
      <c r="C323" s="181"/>
      <c r="D323" s="181"/>
      <c r="E323" s="181"/>
      <c r="F323" s="181"/>
      <c r="G323" s="181"/>
      <c r="H323" s="181"/>
      <c r="I323" s="181"/>
      <c r="J323" s="181"/>
      <c r="K323" s="181"/>
      <c r="L323" s="181"/>
      <c r="M323" s="181"/>
      <c r="N323" s="181"/>
      <c r="O323" s="181"/>
      <c r="P323" s="181"/>
      <c r="Q323" s="181"/>
      <c r="R323" s="181"/>
      <c r="S323" s="181"/>
      <c r="T323" s="181"/>
      <c r="U323" s="181"/>
      <c r="V323" s="181"/>
      <c r="W323" s="181"/>
      <c r="X323" s="181"/>
      <c r="Y323" s="181"/>
      <c r="Z323" s="181"/>
    </row>
    <row r="324" ht="14.25" customHeight="1">
      <c r="A324" s="181"/>
      <c r="B324" s="181"/>
      <c r="C324" s="181"/>
      <c r="D324" s="181"/>
      <c r="E324" s="181"/>
      <c r="F324" s="181"/>
      <c r="G324" s="181"/>
      <c r="H324" s="181"/>
      <c r="I324" s="181"/>
      <c r="J324" s="181"/>
      <c r="K324" s="181"/>
      <c r="L324" s="181"/>
      <c r="M324" s="181"/>
      <c r="N324" s="181"/>
      <c r="O324" s="181"/>
      <c r="P324" s="181"/>
      <c r="Q324" s="181"/>
      <c r="R324" s="181"/>
      <c r="S324" s="181"/>
      <c r="T324" s="181"/>
      <c r="U324" s="181"/>
      <c r="V324" s="181"/>
      <c r="W324" s="181"/>
      <c r="X324" s="181"/>
      <c r="Y324" s="181"/>
      <c r="Z324" s="181"/>
    </row>
    <row r="325" ht="14.25" customHeight="1">
      <c r="A325" s="181"/>
      <c r="B325" s="181"/>
      <c r="C325" s="181"/>
      <c r="D325" s="181"/>
      <c r="E325" s="181"/>
      <c r="F325" s="181"/>
      <c r="G325" s="181"/>
      <c r="H325" s="181"/>
      <c r="I325" s="181"/>
      <c r="J325" s="181"/>
      <c r="K325" s="181"/>
      <c r="L325" s="181"/>
      <c r="M325" s="181"/>
      <c r="N325" s="181"/>
      <c r="O325" s="181"/>
      <c r="P325" s="181"/>
      <c r="Q325" s="181"/>
      <c r="R325" s="181"/>
      <c r="S325" s="181"/>
      <c r="T325" s="181"/>
      <c r="U325" s="181"/>
      <c r="V325" s="181"/>
      <c r="W325" s="181"/>
      <c r="X325" s="181"/>
      <c r="Y325" s="181"/>
      <c r="Z325" s="181"/>
    </row>
    <row r="326" ht="14.25" customHeight="1">
      <c r="A326" s="181"/>
      <c r="B326" s="181"/>
      <c r="C326" s="181"/>
      <c r="D326" s="181"/>
      <c r="E326" s="181"/>
      <c r="F326" s="181"/>
      <c r="G326" s="181"/>
      <c r="H326" s="181"/>
      <c r="I326" s="181"/>
      <c r="J326" s="181"/>
      <c r="K326" s="181"/>
      <c r="L326" s="181"/>
      <c r="M326" s="181"/>
      <c r="N326" s="181"/>
      <c r="O326" s="181"/>
      <c r="P326" s="181"/>
      <c r="Q326" s="181"/>
      <c r="R326" s="181"/>
      <c r="S326" s="181"/>
      <c r="T326" s="181"/>
      <c r="U326" s="181"/>
      <c r="V326" s="181"/>
      <c r="W326" s="181"/>
      <c r="X326" s="181"/>
      <c r="Y326" s="181"/>
      <c r="Z326" s="181"/>
    </row>
    <row r="327" ht="14.25" customHeight="1">
      <c r="A327" s="181"/>
      <c r="B327" s="181"/>
      <c r="C327" s="181"/>
      <c r="D327" s="181"/>
      <c r="E327" s="181"/>
      <c r="F327" s="181"/>
      <c r="G327" s="181"/>
      <c r="H327" s="181"/>
      <c r="I327" s="181"/>
      <c r="J327" s="181"/>
      <c r="K327" s="181"/>
      <c r="L327" s="181"/>
      <c r="M327" s="181"/>
      <c r="N327" s="181"/>
      <c r="O327" s="181"/>
      <c r="P327" s="181"/>
      <c r="Q327" s="181"/>
      <c r="R327" s="181"/>
      <c r="S327" s="181"/>
      <c r="T327" s="181"/>
      <c r="U327" s="181"/>
      <c r="V327" s="181"/>
      <c r="W327" s="181"/>
      <c r="X327" s="181"/>
      <c r="Y327" s="181"/>
      <c r="Z327" s="181"/>
    </row>
    <row r="328" ht="14.25" customHeight="1">
      <c r="A328" s="181"/>
      <c r="B328" s="181"/>
      <c r="C328" s="181"/>
      <c r="D328" s="181"/>
      <c r="E328" s="181"/>
      <c r="F328" s="181"/>
      <c r="G328" s="181"/>
      <c r="H328" s="181"/>
      <c r="I328" s="181"/>
      <c r="J328" s="181"/>
      <c r="K328" s="181"/>
      <c r="L328" s="181"/>
      <c r="M328" s="181"/>
      <c r="N328" s="181"/>
      <c r="O328" s="181"/>
      <c r="P328" s="181"/>
      <c r="Q328" s="181"/>
      <c r="R328" s="181"/>
      <c r="S328" s="181"/>
      <c r="T328" s="181"/>
      <c r="U328" s="181"/>
      <c r="V328" s="181"/>
      <c r="W328" s="181"/>
      <c r="X328" s="181"/>
      <c r="Y328" s="181"/>
      <c r="Z328" s="181"/>
    </row>
    <row r="329" ht="14.25" customHeight="1">
      <c r="A329" s="181"/>
      <c r="B329" s="181"/>
      <c r="C329" s="181"/>
      <c r="D329" s="181"/>
      <c r="E329" s="181"/>
      <c r="F329" s="181"/>
      <c r="G329" s="181"/>
      <c r="H329" s="181"/>
      <c r="I329" s="181"/>
      <c r="J329" s="181"/>
      <c r="K329" s="181"/>
      <c r="L329" s="181"/>
      <c r="M329" s="181"/>
      <c r="N329" s="181"/>
      <c r="O329" s="181"/>
      <c r="P329" s="181"/>
      <c r="Q329" s="181"/>
      <c r="R329" s="181"/>
      <c r="S329" s="181"/>
      <c r="T329" s="181"/>
      <c r="U329" s="181"/>
      <c r="V329" s="181"/>
      <c r="W329" s="181"/>
      <c r="X329" s="181"/>
      <c r="Y329" s="181"/>
      <c r="Z329" s="181"/>
    </row>
    <row r="330" ht="14.25" customHeight="1">
      <c r="A330" s="181"/>
      <c r="B330" s="181"/>
      <c r="C330" s="181"/>
      <c r="D330" s="181"/>
      <c r="E330" s="181"/>
      <c r="F330" s="181"/>
      <c r="G330" s="181"/>
      <c r="H330" s="181"/>
      <c r="I330" s="181"/>
      <c r="J330" s="181"/>
      <c r="K330" s="181"/>
      <c r="L330" s="181"/>
      <c r="M330" s="181"/>
      <c r="N330" s="181"/>
      <c r="O330" s="181"/>
      <c r="P330" s="181"/>
      <c r="Q330" s="181"/>
      <c r="R330" s="181"/>
      <c r="S330" s="181"/>
      <c r="T330" s="181"/>
      <c r="U330" s="181"/>
      <c r="V330" s="181"/>
      <c r="W330" s="181"/>
      <c r="X330" s="181"/>
      <c r="Y330" s="181"/>
      <c r="Z330" s="181"/>
    </row>
    <row r="331" ht="14.25" customHeight="1">
      <c r="A331" s="181"/>
      <c r="B331" s="181"/>
      <c r="C331" s="181"/>
      <c r="D331" s="181"/>
      <c r="E331" s="181"/>
      <c r="F331" s="181"/>
      <c r="G331" s="181"/>
      <c r="H331" s="181"/>
      <c r="I331" s="181"/>
      <c r="J331" s="181"/>
      <c r="K331" s="181"/>
      <c r="L331" s="181"/>
      <c r="M331" s="181"/>
      <c r="N331" s="181"/>
      <c r="O331" s="181"/>
      <c r="P331" s="181"/>
      <c r="Q331" s="181"/>
      <c r="R331" s="181"/>
      <c r="S331" s="181"/>
      <c r="T331" s="181"/>
      <c r="U331" s="181"/>
      <c r="V331" s="181"/>
      <c r="W331" s="181"/>
      <c r="X331" s="181"/>
      <c r="Y331" s="181"/>
      <c r="Z331" s="181"/>
    </row>
    <row r="332" ht="14.25" customHeight="1">
      <c r="A332" s="181"/>
      <c r="B332" s="181"/>
      <c r="C332" s="181"/>
      <c r="D332" s="181"/>
      <c r="E332" s="181"/>
      <c r="F332" s="181"/>
      <c r="G332" s="181"/>
      <c r="H332" s="181"/>
      <c r="I332" s="181"/>
      <c r="J332" s="181"/>
      <c r="K332" s="181"/>
      <c r="L332" s="181"/>
      <c r="M332" s="181"/>
      <c r="N332" s="181"/>
      <c r="O332" s="181"/>
      <c r="P332" s="181"/>
      <c r="Q332" s="181"/>
      <c r="R332" s="181"/>
      <c r="S332" s="181"/>
      <c r="T332" s="181"/>
      <c r="U332" s="181"/>
      <c r="V332" s="181"/>
      <c r="W332" s="181"/>
      <c r="X332" s="181"/>
      <c r="Y332" s="181"/>
      <c r="Z332" s="181"/>
    </row>
    <row r="333" ht="14.25" customHeight="1">
      <c r="A333" s="181"/>
      <c r="B333" s="181"/>
      <c r="C333" s="181"/>
      <c r="D333" s="181"/>
      <c r="E333" s="181"/>
      <c r="F333" s="181"/>
      <c r="G333" s="181"/>
      <c r="H333" s="181"/>
      <c r="I333" s="181"/>
      <c r="J333" s="181"/>
      <c r="K333" s="181"/>
      <c r="L333" s="181"/>
      <c r="M333" s="181"/>
      <c r="N333" s="181"/>
      <c r="O333" s="181"/>
      <c r="P333" s="181"/>
      <c r="Q333" s="181"/>
      <c r="R333" s="181"/>
      <c r="S333" s="181"/>
      <c r="T333" s="181"/>
      <c r="U333" s="181"/>
      <c r="V333" s="181"/>
      <c r="W333" s="181"/>
      <c r="X333" s="181"/>
      <c r="Y333" s="181"/>
      <c r="Z333" s="181"/>
    </row>
    <row r="334" ht="14.25" customHeight="1">
      <c r="A334" s="181"/>
      <c r="B334" s="181"/>
      <c r="C334" s="181"/>
      <c r="D334" s="181"/>
      <c r="E334" s="181"/>
      <c r="F334" s="181"/>
      <c r="G334" s="181"/>
      <c r="H334" s="181"/>
      <c r="I334" s="181"/>
      <c r="J334" s="181"/>
      <c r="K334" s="181"/>
      <c r="L334" s="181"/>
      <c r="M334" s="181"/>
      <c r="N334" s="181"/>
      <c r="O334" s="181"/>
      <c r="P334" s="181"/>
      <c r="Q334" s="181"/>
      <c r="R334" s="181"/>
      <c r="S334" s="181"/>
      <c r="T334" s="181"/>
      <c r="U334" s="181"/>
      <c r="V334" s="181"/>
      <c r="W334" s="181"/>
      <c r="X334" s="181"/>
      <c r="Y334" s="181"/>
      <c r="Z334" s="181"/>
    </row>
    <row r="335" ht="14.25" customHeight="1">
      <c r="A335" s="181"/>
      <c r="B335" s="181"/>
      <c r="C335" s="181"/>
      <c r="D335" s="181"/>
      <c r="E335" s="181"/>
      <c r="F335" s="181"/>
      <c r="G335" s="181"/>
      <c r="H335" s="181"/>
      <c r="I335" s="181"/>
      <c r="J335" s="181"/>
      <c r="K335" s="181"/>
      <c r="L335" s="181"/>
      <c r="M335" s="181"/>
      <c r="N335" s="181"/>
      <c r="O335" s="181"/>
      <c r="P335" s="181"/>
      <c r="Q335" s="181"/>
      <c r="R335" s="181"/>
      <c r="S335" s="181"/>
      <c r="T335" s="181"/>
      <c r="U335" s="181"/>
      <c r="V335" s="181"/>
      <c r="W335" s="181"/>
      <c r="X335" s="181"/>
      <c r="Y335" s="181"/>
      <c r="Z335" s="181"/>
    </row>
    <row r="336" ht="14.25" customHeight="1">
      <c r="A336" s="181"/>
      <c r="B336" s="181"/>
      <c r="C336" s="181"/>
      <c r="D336" s="181"/>
      <c r="E336" s="181"/>
      <c r="F336" s="181"/>
      <c r="G336" s="181"/>
      <c r="H336" s="181"/>
      <c r="I336" s="181"/>
      <c r="J336" s="181"/>
      <c r="K336" s="181"/>
      <c r="L336" s="181"/>
      <c r="M336" s="181"/>
      <c r="N336" s="181"/>
      <c r="O336" s="181"/>
      <c r="P336" s="181"/>
      <c r="Q336" s="181"/>
      <c r="R336" s="181"/>
      <c r="S336" s="181"/>
      <c r="T336" s="181"/>
      <c r="U336" s="181"/>
      <c r="V336" s="181"/>
      <c r="W336" s="181"/>
      <c r="X336" s="181"/>
      <c r="Y336" s="181"/>
      <c r="Z336" s="181"/>
    </row>
    <row r="337" ht="14.25" customHeight="1">
      <c r="A337" s="181"/>
      <c r="B337" s="181"/>
      <c r="C337" s="181"/>
      <c r="D337" s="181"/>
      <c r="E337" s="181"/>
      <c r="F337" s="181"/>
      <c r="G337" s="181"/>
      <c r="H337" s="181"/>
      <c r="I337" s="181"/>
      <c r="J337" s="181"/>
      <c r="K337" s="181"/>
      <c r="L337" s="181"/>
      <c r="M337" s="181"/>
      <c r="N337" s="181"/>
      <c r="O337" s="181"/>
      <c r="P337" s="181"/>
      <c r="Q337" s="181"/>
      <c r="R337" s="181"/>
      <c r="S337" s="181"/>
      <c r="T337" s="181"/>
      <c r="U337" s="181"/>
      <c r="V337" s="181"/>
      <c r="W337" s="181"/>
      <c r="X337" s="181"/>
      <c r="Y337" s="181"/>
      <c r="Z337" s="181"/>
    </row>
    <row r="338" ht="14.25" customHeight="1">
      <c r="A338" s="181"/>
      <c r="B338" s="181"/>
      <c r="C338" s="181"/>
      <c r="D338" s="181"/>
      <c r="E338" s="181"/>
      <c r="F338" s="181"/>
      <c r="G338" s="181"/>
      <c r="H338" s="181"/>
      <c r="I338" s="181"/>
      <c r="J338" s="181"/>
      <c r="K338" s="181"/>
      <c r="L338" s="181"/>
      <c r="M338" s="181"/>
      <c r="N338" s="181"/>
      <c r="O338" s="181"/>
      <c r="P338" s="181"/>
      <c r="Q338" s="181"/>
      <c r="R338" s="181"/>
      <c r="S338" s="181"/>
      <c r="T338" s="181"/>
      <c r="U338" s="181"/>
      <c r="V338" s="181"/>
      <c r="W338" s="181"/>
      <c r="X338" s="181"/>
      <c r="Y338" s="181"/>
      <c r="Z338" s="181"/>
    </row>
    <row r="339" ht="14.25" customHeight="1">
      <c r="A339" s="181"/>
      <c r="B339" s="181"/>
      <c r="C339" s="181"/>
      <c r="D339" s="181"/>
      <c r="E339" s="181"/>
      <c r="F339" s="181"/>
      <c r="G339" s="181"/>
      <c r="H339" s="181"/>
      <c r="I339" s="181"/>
      <c r="J339" s="181"/>
      <c r="K339" s="181"/>
      <c r="L339" s="181"/>
      <c r="M339" s="181"/>
      <c r="N339" s="181"/>
      <c r="O339" s="181"/>
      <c r="P339" s="181"/>
      <c r="Q339" s="181"/>
      <c r="R339" s="181"/>
      <c r="S339" s="181"/>
      <c r="T339" s="181"/>
      <c r="U339" s="181"/>
      <c r="V339" s="181"/>
      <c r="W339" s="181"/>
      <c r="X339" s="181"/>
      <c r="Y339" s="181"/>
      <c r="Z339" s="181"/>
    </row>
    <row r="340" ht="14.25" customHeight="1">
      <c r="A340" s="181"/>
      <c r="B340" s="181"/>
      <c r="C340" s="181"/>
      <c r="D340" s="181"/>
      <c r="E340" s="181"/>
      <c r="F340" s="181"/>
      <c r="G340" s="181"/>
      <c r="H340" s="181"/>
      <c r="I340" s="181"/>
      <c r="J340" s="181"/>
      <c r="K340" s="181"/>
      <c r="L340" s="181"/>
      <c r="M340" s="181"/>
      <c r="N340" s="181"/>
      <c r="O340" s="181"/>
      <c r="P340" s="181"/>
      <c r="Q340" s="181"/>
      <c r="R340" s="181"/>
      <c r="S340" s="181"/>
      <c r="T340" s="181"/>
      <c r="U340" s="181"/>
      <c r="V340" s="181"/>
      <c r="W340" s="181"/>
      <c r="X340" s="181"/>
      <c r="Y340" s="181"/>
      <c r="Z340" s="181"/>
    </row>
    <row r="341" ht="14.25" customHeight="1">
      <c r="A341" s="181"/>
      <c r="B341" s="181"/>
      <c r="C341" s="181"/>
      <c r="D341" s="181"/>
      <c r="E341" s="181"/>
      <c r="F341" s="181"/>
      <c r="G341" s="181"/>
      <c r="H341" s="181"/>
      <c r="I341" s="181"/>
      <c r="J341" s="181"/>
      <c r="K341" s="181"/>
      <c r="L341" s="181"/>
      <c r="M341" s="181"/>
      <c r="N341" s="181"/>
      <c r="O341" s="181"/>
      <c r="P341" s="181"/>
      <c r="Q341" s="181"/>
      <c r="R341" s="181"/>
      <c r="S341" s="181"/>
      <c r="T341" s="181"/>
      <c r="U341" s="181"/>
      <c r="V341" s="181"/>
      <c r="W341" s="181"/>
      <c r="X341" s="181"/>
      <c r="Y341" s="181"/>
      <c r="Z341" s="181"/>
    </row>
    <row r="342" ht="14.25" customHeight="1">
      <c r="A342" s="181"/>
      <c r="B342" s="181"/>
      <c r="C342" s="181"/>
      <c r="D342" s="181"/>
      <c r="E342" s="181"/>
      <c r="F342" s="181"/>
      <c r="G342" s="181"/>
      <c r="H342" s="181"/>
      <c r="I342" s="181"/>
      <c r="J342" s="181"/>
      <c r="K342" s="181"/>
      <c r="L342" s="181"/>
      <c r="M342" s="181"/>
      <c r="N342" s="181"/>
      <c r="O342" s="181"/>
      <c r="P342" s="181"/>
      <c r="Q342" s="181"/>
      <c r="R342" s="181"/>
      <c r="S342" s="181"/>
      <c r="T342" s="181"/>
      <c r="U342" s="181"/>
      <c r="V342" s="181"/>
      <c r="W342" s="181"/>
      <c r="X342" s="181"/>
      <c r="Y342" s="181"/>
      <c r="Z342" s="181"/>
    </row>
    <row r="343" ht="14.25" customHeight="1">
      <c r="A343" s="181"/>
      <c r="B343" s="181"/>
      <c r="C343" s="181"/>
      <c r="D343" s="181"/>
      <c r="E343" s="181"/>
      <c r="F343" s="181"/>
      <c r="G343" s="181"/>
      <c r="H343" s="181"/>
      <c r="I343" s="181"/>
      <c r="J343" s="181"/>
      <c r="K343" s="181"/>
      <c r="L343" s="181"/>
      <c r="M343" s="181"/>
      <c r="N343" s="181"/>
      <c r="O343" s="181"/>
      <c r="P343" s="181"/>
      <c r="Q343" s="181"/>
      <c r="R343" s="181"/>
      <c r="S343" s="181"/>
      <c r="T343" s="181"/>
      <c r="U343" s="181"/>
      <c r="V343" s="181"/>
      <c r="W343" s="181"/>
      <c r="X343" s="181"/>
      <c r="Y343" s="181"/>
      <c r="Z343" s="181"/>
    </row>
    <row r="344" ht="14.25" customHeight="1">
      <c r="A344" s="181"/>
      <c r="B344" s="181"/>
      <c r="C344" s="181"/>
      <c r="D344" s="181"/>
      <c r="E344" s="181"/>
      <c r="F344" s="181"/>
      <c r="G344" s="181"/>
      <c r="H344" s="181"/>
      <c r="I344" s="181"/>
      <c r="J344" s="181"/>
      <c r="K344" s="181"/>
      <c r="L344" s="181"/>
      <c r="M344" s="181"/>
      <c r="N344" s="181"/>
      <c r="O344" s="181"/>
      <c r="P344" s="181"/>
      <c r="Q344" s="181"/>
      <c r="R344" s="181"/>
      <c r="S344" s="181"/>
      <c r="T344" s="181"/>
      <c r="U344" s="181"/>
      <c r="V344" s="181"/>
      <c r="W344" s="181"/>
      <c r="X344" s="181"/>
      <c r="Y344" s="181"/>
      <c r="Z344" s="181"/>
    </row>
    <row r="345" ht="14.25" customHeight="1">
      <c r="A345" s="181"/>
      <c r="B345" s="181"/>
      <c r="C345" s="181"/>
      <c r="D345" s="181"/>
      <c r="E345" s="181"/>
      <c r="F345" s="181"/>
      <c r="G345" s="181"/>
      <c r="H345" s="181"/>
      <c r="I345" s="181"/>
      <c r="J345" s="181"/>
      <c r="K345" s="181"/>
      <c r="L345" s="181"/>
      <c r="M345" s="181"/>
      <c r="N345" s="181"/>
      <c r="O345" s="181"/>
      <c r="P345" s="181"/>
      <c r="Q345" s="181"/>
      <c r="R345" s="181"/>
      <c r="S345" s="181"/>
      <c r="T345" s="181"/>
      <c r="U345" s="181"/>
      <c r="V345" s="181"/>
      <c r="W345" s="181"/>
      <c r="X345" s="181"/>
      <c r="Y345" s="181"/>
      <c r="Z345" s="181"/>
    </row>
    <row r="346" ht="14.25" customHeight="1">
      <c r="A346" s="181"/>
      <c r="B346" s="181"/>
      <c r="C346" s="181"/>
      <c r="D346" s="181"/>
      <c r="E346" s="181"/>
      <c r="F346" s="181"/>
      <c r="G346" s="181"/>
      <c r="H346" s="181"/>
      <c r="I346" s="181"/>
      <c r="J346" s="181"/>
      <c r="K346" s="181"/>
      <c r="L346" s="181"/>
      <c r="M346" s="181"/>
      <c r="N346" s="181"/>
      <c r="O346" s="181"/>
      <c r="P346" s="181"/>
      <c r="Q346" s="181"/>
      <c r="R346" s="181"/>
      <c r="S346" s="181"/>
      <c r="T346" s="181"/>
      <c r="U346" s="181"/>
      <c r="V346" s="181"/>
      <c r="W346" s="181"/>
      <c r="X346" s="181"/>
      <c r="Y346" s="181"/>
      <c r="Z346" s="181"/>
    </row>
    <row r="347" ht="14.25" customHeight="1">
      <c r="A347" s="181"/>
      <c r="B347" s="181"/>
      <c r="C347" s="181"/>
      <c r="D347" s="181"/>
      <c r="E347" s="181"/>
      <c r="F347" s="181"/>
      <c r="G347" s="181"/>
      <c r="H347" s="181"/>
      <c r="I347" s="181"/>
      <c r="J347" s="181"/>
      <c r="K347" s="181"/>
      <c r="L347" s="181"/>
      <c r="M347" s="181"/>
      <c r="N347" s="181"/>
      <c r="O347" s="181"/>
      <c r="P347" s="181"/>
      <c r="Q347" s="181"/>
      <c r="R347" s="181"/>
      <c r="S347" s="181"/>
      <c r="T347" s="181"/>
      <c r="U347" s="181"/>
      <c r="V347" s="181"/>
      <c r="W347" s="181"/>
      <c r="X347" s="181"/>
      <c r="Y347" s="181"/>
      <c r="Z347" s="181"/>
    </row>
    <row r="348" ht="14.25" customHeight="1">
      <c r="A348" s="181"/>
      <c r="B348" s="181"/>
      <c r="C348" s="181"/>
      <c r="D348" s="181"/>
      <c r="E348" s="181"/>
      <c r="F348" s="181"/>
      <c r="G348" s="181"/>
      <c r="H348" s="181"/>
      <c r="I348" s="181"/>
      <c r="J348" s="181"/>
      <c r="K348" s="181"/>
      <c r="L348" s="181"/>
      <c r="M348" s="181"/>
      <c r="N348" s="181"/>
      <c r="O348" s="181"/>
      <c r="P348" s="181"/>
      <c r="Q348" s="181"/>
      <c r="R348" s="181"/>
      <c r="S348" s="181"/>
      <c r="T348" s="181"/>
      <c r="U348" s="181"/>
      <c r="V348" s="181"/>
      <c r="W348" s="181"/>
      <c r="X348" s="181"/>
      <c r="Y348" s="181"/>
      <c r="Z348" s="181"/>
    </row>
    <row r="349" ht="14.25" customHeight="1">
      <c r="A349" s="181"/>
      <c r="B349" s="181"/>
      <c r="C349" s="181"/>
      <c r="D349" s="181"/>
      <c r="E349" s="181"/>
      <c r="F349" s="181"/>
      <c r="G349" s="181"/>
      <c r="H349" s="181"/>
      <c r="I349" s="181"/>
      <c r="J349" s="181"/>
      <c r="K349" s="181"/>
      <c r="L349" s="181"/>
      <c r="M349" s="181"/>
      <c r="N349" s="181"/>
      <c r="O349" s="181"/>
      <c r="P349" s="181"/>
      <c r="Q349" s="181"/>
      <c r="R349" s="181"/>
      <c r="S349" s="181"/>
      <c r="T349" s="181"/>
      <c r="U349" s="181"/>
      <c r="V349" s="181"/>
      <c r="W349" s="181"/>
      <c r="X349" s="181"/>
      <c r="Y349" s="181"/>
      <c r="Z349" s="181"/>
    </row>
    <row r="350" ht="14.25" customHeight="1">
      <c r="A350" s="181"/>
      <c r="B350" s="181"/>
      <c r="C350" s="181"/>
      <c r="D350" s="181"/>
      <c r="E350" s="181"/>
      <c r="F350" s="181"/>
      <c r="G350" s="181"/>
      <c r="H350" s="181"/>
      <c r="I350" s="181"/>
      <c r="J350" s="181"/>
      <c r="K350" s="181"/>
      <c r="L350" s="181"/>
      <c r="M350" s="181"/>
      <c r="N350" s="181"/>
      <c r="O350" s="181"/>
      <c r="P350" s="181"/>
      <c r="Q350" s="181"/>
      <c r="R350" s="181"/>
      <c r="S350" s="181"/>
      <c r="T350" s="181"/>
      <c r="U350" s="181"/>
      <c r="V350" s="181"/>
      <c r="W350" s="181"/>
      <c r="X350" s="181"/>
      <c r="Y350" s="181"/>
      <c r="Z350" s="181"/>
    </row>
    <row r="351" ht="14.25" customHeight="1">
      <c r="A351" s="181"/>
      <c r="B351" s="181"/>
      <c r="C351" s="181"/>
      <c r="D351" s="181"/>
      <c r="E351" s="181"/>
      <c r="F351" s="181"/>
      <c r="G351" s="181"/>
      <c r="H351" s="181"/>
      <c r="I351" s="181"/>
      <c r="J351" s="181"/>
      <c r="K351" s="181"/>
      <c r="L351" s="181"/>
      <c r="M351" s="181"/>
      <c r="N351" s="181"/>
      <c r="O351" s="181"/>
      <c r="P351" s="181"/>
      <c r="Q351" s="181"/>
      <c r="R351" s="181"/>
      <c r="S351" s="181"/>
      <c r="T351" s="181"/>
      <c r="U351" s="181"/>
      <c r="V351" s="181"/>
      <c r="W351" s="181"/>
      <c r="X351" s="181"/>
      <c r="Y351" s="181"/>
      <c r="Z351" s="181"/>
    </row>
    <row r="352" ht="14.25" customHeight="1">
      <c r="A352" s="181"/>
      <c r="B352" s="181"/>
      <c r="C352" s="181"/>
      <c r="D352" s="181"/>
      <c r="E352" s="181"/>
      <c r="F352" s="181"/>
      <c r="G352" s="181"/>
      <c r="H352" s="181"/>
      <c r="I352" s="181"/>
      <c r="J352" s="181"/>
      <c r="K352" s="181"/>
      <c r="L352" s="181"/>
      <c r="M352" s="181"/>
      <c r="N352" s="181"/>
      <c r="O352" s="181"/>
      <c r="P352" s="181"/>
      <c r="Q352" s="181"/>
      <c r="R352" s="181"/>
      <c r="S352" s="181"/>
      <c r="T352" s="181"/>
      <c r="U352" s="181"/>
      <c r="V352" s="181"/>
      <c r="W352" s="181"/>
      <c r="X352" s="181"/>
      <c r="Y352" s="181"/>
      <c r="Z352" s="181"/>
    </row>
    <row r="353" ht="14.25" customHeight="1">
      <c r="A353" s="181"/>
      <c r="B353" s="181"/>
      <c r="C353" s="181"/>
      <c r="D353" s="181"/>
      <c r="E353" s="181"/>
      <c r="F353" s="181"/>
      <c r="G353" s="181"/>
      <c r="H353" s="181"/>
      <c r="I353" s="181"/>
      <c r="J353" s="181"/>
      <c r="K353" s="181"/>
      <c r="L353" s="181"/>
      <c r="M353" s="181"/>
      <c r="N353" s="181"/>
      <c r="O353" s="181"/>
      <c r="P353" s="181"/>
      <c r="Q353" s="181"/>
      <c r="R353" s="181"/>
      <c r="S353" s="181"/>
      <c r="T353" s="181"/>
      <c r="U353" s="181"/>
      <c r="V353" s="181"/>
      <c r="W353" s="181"/>
      <c r="X353" s="181"/>
      <c r="Y353" s="181"/>
      <c r="Z353" s="181"/>
    </row>
    <row r="354" ht="14.25" customHeight="1">
      <c r="A354" s="181"/>
      <c r="B354" s="181"/>
      <c r="C354" s="181"/>
      <c r="D354" s="181"/>
      <c r="E354" s="181"/>
      <c r="F354" s="181"/>
      <c r="G354" s="181"/>
      <c r="H354" s="181"/>
      <c r="I354" s="181"/>
      <c r="J354" s="181"/>
      <c r="K354" s="181"/>
      <c r="L354" s="181"/>
      <c r="M354" s="181"/>
      <c r="N354" s="181"/>
      <c r="O354" s="181"/>
      <c r="P354" s="181"/>
      <c r="Q354" s="181"/>
      <c r="R354" s="181"/>
      <c r="S354" s="181"/>
      <c r="T354" s="181"/>
      <c r="U354" s="181"/>
      <c r="V354" s="181"/>
      <c r="W354" s="181"/>
      <c r="X354" s="181"/>
      <c r="Y354" s="181"/>
      <c r="Z354" s="181"/>
    </row>
    <row r="355" ht="14.25" customHeight="1">
      <c r="A355" s="181"/>
      <c r="B355" s="181"/>
      <c r="C355" s="181"/>
      <c r="D355" s="181"/>
      <c r="E355" s="181"/>
      <c r="F355" s="181"/>
      <c r="G355" s="181"/>
      <c r="H355" s="181"/>
      <c r="I355" s="181"/>
      <c r="J355" s="181"/>
      <c r="K355" s="181"/>
      <c r="L355" s="181"/>
      <c r="M355" s="181"/>
      <c r="N355" s="181"/>
      <c r="O355" s="181"/>
      <c r="P355" s="181"/>
      <c r="Q355" s="181"/>
      <c r="R355" s="181"/>
      <c r="S355" s="181"/>
      <c r="T355" s="181"/>
      <c r="U355" s="181"/>
      <c r="V355" s="181"/>
      <c r="W355" s="181"/>
      <c r="X355" s="181"/>
      <c r="Y355" s="181"/>
      <c r="Z355" s="181"/>
    </row>
    <row r="356" ht="14.25" customHeight="1">
      <c r="A356" s="181"/>
      <c r="B356" s="181"/>
      <c r="C356" s="181"/>
      <c r="D356" s="181"/>
      <c r="E356" s="181"/>
      <c r="F356" s="181"/>
      <c r="G356" s="181"/>
      <c r="H356" s="181"/>
      <c r="I356" s="181"/>
      <c r="J356" s="181"/>
      <c r="K356" s="181"/>
      <c r="L356" s="181"/>
      <c r="M356" s="181"/>
      <c r="N356" s="181"/>
      <c r="O356" s="181"/>
      <c r="P356" s="181"/>
      <c r="Q356" s="181"/>
      <c r="R356" s="181"/>
      <c r="S356" s="181"/>
      <c r="T356" s="181"/>
      <c r="U356" s="181"/>
      <c r="V356" s="181"/>
      <c r="W356" s="181"/>
      <c r="X356" s="181"/>
      <c r="Y356" s="181"/>
      <c r="Z356" s="181"/>
    </row>
    <row r="357" ht="14.25" customHeight="1">
      <c r="A357" s="181"/>
      <c r="B357" s="181"/>
      <c r="C357" s="181"/>
      <c r="D357" s="181"/>
      <c r="E357" s="181"/>
      <c r="F357" s="181"/>
      <c r="G357" s="181"/>
      <c r="H357" s="181"/>
      <c r="I357" s="181"/>
      <c r="J357" s="181"/>
      <c r="K357" s="181"/>
      <c r="L357" s="181"/>
      <c r="M357" s="181"/>
      <c r="N357" s="181"/>
      <c r="O357" s="181"/>
      <c r="P357" s="181"/>
      <c r="Q357" s="181"/>
      <c r="R357" s="181"/>
      <c r="S357" s="181"/>
      <c r="T357" s="181"/>
      <c r="U357" s="181"/>
      <c r="V357" s="181"/>
      <c r="W357" s="181"/>
      <c r="X357" s="181"/>
      <c r="Y357" s="181"/>
      <c r="Z357" s="181"/>
    </row>
    <row r="358" ht="14.25" customHeight="1">
      <c r="A358" s="181"/>
      <c r="B358" s="181"/>
      <c r="C358" s="181"/>
      <c r="D358" s="181"/>
      <c r="E358" s="181"/>
      <c r="F358" s="181"/>
      <c r="G358" s="181"/>
      <c r="H358" s="181"/>
      <c r="I358" s="181"/>
      <c r="J358" s="181"/>
      <c r="K358" s="181"/>
      <c r="L358" s="181"/>
      <c r="M358" s="181"/>
      <c r="N358" s="181"/>
      <c r="O358" s="181"/>
      <c r="P358" s="181"/>
      <c r="Q358" s="181"/>
      <c r="R358" s="181"/>
      <c r="S358" s="181"/>
      <c r="T358" s="181"/>
      <c r="U358" s="181"/>
      <c r="V358" s="181"/>
      <c r="W358" s="181"/>
      <c r="X358" s="181"/>
      <c r="Y358" s="181"/>
      <c r="Z358" s="181"/>
    </row>
    <row r="359" ht="14.25" customHeight="1">
      <c r="A359" s="181"/>
      <c r="B359" s="181"/>
      <c r="C359" s="181"/>
      <c r="D359" s="181"/>
      <c r="E359" s="181"/>
      <c r="F359" s="181"/>
      <c r="G359" s="181"/>
      <c r="H359" s="181"/>
      <c r="I359" s="181"/>
      <c r="J359" s="181"/>
      <c r="K359" s="181"/>
      <c r="L359" s="181"/>
      <c r="M359" s="181"/>
      <c r="N359" s="181"/>
      <c r="O359" s="181"/>
      <c r="P359" s="181"/>
      <c r="Q359" s="181"/>
      <c r="R359" s="181"/>
      <c r="S359" s="181"/>
      <c r="T359" s="181"/>
      <c r="U359" s="181"/>
      <c r="V359" s="181"/>
      <c r="W359" s="181"/>
      <c r="X359" s="181"/>
      <c r="Y359" s="181"/>
      <c r="Z359" s="181"/>
    </row>
    <row r="360" ht="14.25" customHeight="1">
      <c r="A360" s="181"/>
      <c r="B360" s="181"/>
      <c r="C360" s="181"/>
      <c r="D360" s="181"/>
      <c r="E360" s="181"/>
      <c r="F360" s="181"/>
      <c r="G360" s="181"/>
      <c r="H360" s="181"/>
      <c r="I360" s="181"/>
      <c r="J360" s="181"/>
      <c r="K360" s="181"/>
      <c r="L360" s="181"/>
      <c r="M360" s="181"/>
      <c r="N360" s="181"/>
      <c r="O360" s="181"/>
      <c r="P360" s="181"/>
      <c r="Q360" s="181"/>
      <c r="R360" s="181"/>
      <c r="S360" s="181"/>
      <c r="T360" s="181"/>
      <c r="U360" s="181"/>
      <c r="V360" s="181"/>
      <c r="W360" s="181"/>
      <c r="X360" s="181"/>
      <c r="Y360" s="181"/>
      <c r="Z360" s="181"/>
    </row>
    <row r="361" ht="14.25" customHeight="1">
      <c r="A361" s="181"/>
      <c r="B361" s="181"/>
      <c r="C361" s="181"/>
      <c r="D361" s="181"/>
      <c r="E361" s="181"/>
      <c r="F361" s="181"/>
      <c r="G361" s="181"/>
      <c r="H361" s="181"/>
      <c r="I361" s="181"/>
      <c r="J361" s="181"/>
      <c r="K361" s="181"/>
      <c r="L361" s="181"/>
      <c r="M361" s="181"/>
      <c r="N361" s="181"/>
      <c r="O361" s="181"/>
      <c r="P361" s="181"/>
      <c r="Q361" s="181"/>
      <c r="R361" s="181"/>
      <c r="S361" s="181"/>
      <c r="T361" s="181"/>
      <c r="U361" s="181"/>
      <c r="V361" s="181"/>
      <c r="W361" s="181"/>
      <c r="X361" s="181"/>
      <c r="Y361" s="181"/>
      <c r="Z361" s="181"/>
    </row>
    <row r="362" ht="14.25" customHeight="1">
      <c r="A362" s="181"/>
      <c r="B362" s="181"/>
      <c r="C362" s="181"/>
      <c r="D362" s="181"/>
      <c r="E362" s="181"/>
      <c r="F362" s="181"/>
      <c r="G362" s="181"/>
      <c r="H362" s="181"/>
      <c r="I362" s="181"/>
      <c r="J362" s="181"/>
      <c r="K362" s="181"/>
      <c r="L362" s="181"/>
      <c r="M362" s="181"/>
      <c r="N362" s="181"/>
      <c r="O362" s="181"/>
      <c r="P362" s="181"/>
      <c r="Q362" s="181"/>
      <c r="R362" s="181"/>
      <c r="S362" s="181"/>
      <c r="T362" s="181"/>
      <c r="U362" s="181"/>
      <c r="V362" s="181"/>
      <c r="W362" s="181"/>
      <c r="X362" s="181"/>
      <c r="Y362" s="181"/>
      <c r="Z362" s="181"/>
    </row>
    <row r="363" ht="14.25" customHeight="1">
      <c r="A363" s="181"/>
      <c r="B363" s="181"/>
      <c r="C363" s="181"/>
      <c r="D363" s="181"/>
      <c r="E363" s="181"/>
      <c r="F363" s="181"/>
      <c r="G363" s="181"/>
      <c r="H363" s="181"/>
      <c r="I363" s="181"/>
      <c r="J363" s="181"/>
      <c r="K363" s="181"/>
      <c r="L363" s="181"/>
      <c r="M363" s="181"/>
      <c r="N363" s="181"/>
      <c r="O363" s="181"/>
      <c r="P363" s="181"/>
      <c r="Q363" s="181"/>
      <c r="R363" s="181"/>
      <c r="S363" s="181"/>
      <c r="T363" s="181"/>
      <c r="U363" s="181"/>
      <c r="V363" s="181"/>
      <c r="W363" s="181"/>
      <c r="X363" s="181"/>
      <c r="Y363" s="181"/>
      <c r="Z363" s="181"/>
    </row>
    <row r="364" ht="14.25" customHeight="1">
      <c r="A364" s="181"/>
      <c r="B364" s="181"/>
      <c r="C364" s="181"/>
      <c r="D364" s="181"/>
      <c r="E364" s="181"/>
      <c r="F364" s="181"/>
      <c r="G364" s="181"/>
      <c r="H364" s="181"/>
      <c r="I364" s="181"/>
      <c r="J364" s="181"/>
      <c r="K364" s="181"/>
      <c r="L364" s="181"/>
      <c r="M364" s="181"/>
      <c r="N364" s="181"/>
      <c r="O364" s="181"/>
      <c r="P364" s="181"/>
      <c r="Q364" s="181"/>
      <c r="R364" s="181"/>
      <c r="S364" s="181"/>
      <c r="T364" s="181"/>
      <c r="U364" s="181"/>
      <c r="V364" s="181"/>
      <c r="W364" s="181"/>
      <c r="X364" s="181"/>
      <c r="Y364" s="181"/>
      <c r="Z364" s="181"/>
    </row>
    <row r="365" ht="14.25" customHeight="1">
      <c r="A365" s="181"/>
      <c r="B365" s="181"/>
      <c r="C365" s="181"/>
      <c r="D365" s="181"/>
      <c r="E365" s="181"/>
      <c r="F365" s="181"/>
      <c r="G365" s="181"/>
      <c r="H365" s="181"/>
      <c r="I365" s="181"/>
      <c r="J365" s="181"/>
      <c r="K365" s="181"/>
      <c r="L365" s="181"/>
      <c r="M365" s="181"/>
      <c r="N365" s="181"/>
      <c r="O365" s="181"/>
      <c r="P365" s="181"/>
      <c r="Q365" s="181"/>
      <c r="R365" s="181"/>
      <c r="S365" s="181"/>
      <c r="T365" s="181"/>
      <c r="U365" s="181"/>
      <c r="V365" s="181"/>
      <c r="W365" s="181"/>
      <c r="X365" s="181"/>
      <c r="Y365" s="181"/>
      <c r="Z365" s="181"/>
    </row>
    <row r="366" ht="14.25" customHeight="1">
      <c r="A366" s="181"/>
      <c r="B366" s="181"/>
      <c r="C366" s="181"/>
      <c r="D366" s="181"/>
      <c r="E366" s="181"/>
      <c r="F366" s="181"/>
      <c r="G366" s="181"/>
      <c r="H366" s="181"/>
      <c r="I366" s="181"/>
      <c r="J366" s="181"/>
      <c r="K366" s="181"/>
      <c r="L366" s="181"/>
      <c r="M366" s="181"/>
      <c r="N366" s="181"/>
      <c r="O366" s="181"/>
      <c r="P366" s="181"/>
      <c r="Q366" s="181"/>
      <c r="R366" s="181"/>
      <c r="S366" s="181"/>
      <c r="T366" s="181"/>
      <c r="U366" s="181"/>
      <c r="V366" s="181"/>
      <c r="W366" s="181"/>
      <c r="X366" s="181"/>
      <c r="Y366" s="181"/>
      <c r="Z366" s="181"/>
    </row>
    <row r="367" ht="14.25" customHeight="1">
      <c r="A367" s="181"/>
      <c r="B367" s="181"/>
      <c r="C367" s="181"/>
      <c r="D367" s="181"/>
      <c r="E367" s="181"/>
      <c r="F367" s="181"/>
      <c r="G367" s="181"/>
      <c r="H367" s="181"/>
      <c r="I367" s="181"/>
      <c r="J367" s="181"/>
      <c r="K367" s="181"/>
      <c r="L367" s="181"/>
      <c r="M367" s="181"/>
      <c r="N367" s="181"/>
      <c r="O367" s="181"/>
      <c r="P367" s="181"/>
      <c r="Q367" s="181"/>
      <c r="R367" s="181"/>
      <c r="S367" s="181"/>
      <c r="T367" s="181"/>
      <c r="U367" s="181"/>
      <c r="V367" s="181"/>
      <c r="W367" s="181"/>
      <c r="X367" s="181"/>
      <c r="Y367" s="181"/>
      <c r="Z367" s="181"/>
    </row>
    <row r="368" ht="14.25" customHeight="1">
      <c r="A368" s="181"/>
      <c r="B368" s="181"/>
      <c r="C368" s="181"/>
      <c r="D368" s="181"/>
      <c r="E368" s="181"/>
      <c r="F368" s="181"/>
      <c r="G368" s="181"/>
      <c r="H368" s="181"/>
      <c r="I368" s="181"/>
      <c r="J368" s="181"/>
      <c r="K368" s="181"/>
      <c r="L368" s="181"/>
      <c r="M368" s="181"/>
      <c r="N368" s="181"/>
      <c r="O368" s="181"/>
      <c r="P368" s="181"/>
      <c r="Q368" s="181"/>
      <c r="R368" s="181"/>
      <c r="S368" s="181"/>
      <c r="T368" s="181"/>
      <c r="U368" s="181"/>
      <c r="V368" s="181"/>
      <c r="W368" s="181"/>
      <c r="X368" s="181"/>
      <c r="Y368" s="181"/>
      <c r="Z368" s="181"/>
    </row>
    <row r="369" ht="14.25" customHeight="1">
      <c r="A369" s="181"/>
      <c r="B369" s="181"/>
      <c r="C369" s="181"/>
      <c r="D369" s="181"/>
      <c r="E369" s="181"/>
      <c r="F369" s="181"/>
      <c r="G369" s="181"/>
      <c r="H369" s="181"/>
      <c r="I369" s="181"/>
      <c r="J369" s="181"/>
      <c r="K369" s="181"/>
      <c r="L369" s="181"/>
      <c r="M369" s="181"/>
      <c r="N369" s="181"/>
      <c r="O369" s="181"/>
      <c r="P369" s="181"/>
      <c r="Q369" s="181"/>
      <c r="R369" s="181"/>
      <c r="S369" s="181"/>
      <c r="T369" s="181"/>
      <c r="U369" s="181"/>
      <c r="V369" s="181"/>
      <c r="W369" s="181"/>
      <c r="X369" s="181"/>
      <c r="Y369" s="181"/>
      <c r="Z369" s="181"/>
    </row>
    <row r="370" ht="14.25" customHeight="1">
      <c r="A370" s="181"/>
      <c r="B370" s="181"/>
      <c r="C370" s="181"/>
      <c r="D370" s="181"/>
      <c r="E370" s="181"/>
      <c r="F370" s="181"/>
      <c r="G370" s="181"/>
      <c r="H370" s="181"/>
      <c r="I370" s="181"/>
      <c r="J370" s="181"/>
      <c r="K370" s="181"/>
      <c r="L370" s="181"/>
      <c r="M370" s="181"/>
      <c r="N370" s="181"/>
      <c r="O370" s="181"/>
      <c r="P370" s="181"/>
      <c r="Q370" s="181"/>
      <c r="R370" s="181"/>
      <c r="S370" s="181"/>
      <c r="T370" s="181"/>
      <c r="U370" s="181"/>
      <c r="V370" s="181"/>
      <c r="W370" s="181"/>
      <c r="X370" s="181"/>
      <c r="Y370" s="181"/>
      <c r="Z370" s="181"/>
    </row>
    <row r="371" ht="14.25" customHeight="1">
      <c r="A371" s="181"/>
      <c r="B371" s="181"/>
      <c r="C371" s="181"/>
      <c r="D371" s="181"/>
      <c r="E371" s="181"/>
      <c r="F371" s="181"/>
      <c r="G371" s="181"/>
      <c r="H371" s="181"/>
      <c r="I371" s="181"/>
      <c r="J371" s="181"/>
      <c r="K371" s="181"/>
      <c r="L371" s="181"/>
      <c r="M371" s="181"/>
      <c r="N371" s="181"/>
      <c r="O371" s="181"/>
      <c r="P371" s="181"/>
      <c r="Q371" s="181"/>
      <c r="R371" s="181"/>
      <c r="S371" s="181"/>
      <c r="T371" s="181"/>
      <c r="U371" s="181"/>
      <c r="V371" s="181"/>
      <c r="W371" s="181"/>
      <c r="X371" s="181"/>
      <c r="Y371" s="181"/>
      <c r="Z371" s="181"/>
    </row>
    <row r="372" ht="14.25" customHeight="1">
      <c r="A372" s="181"/>
      <c r="B372" s="181"/>
      <c r="C372" s="181"/>
      <c r="D372" s="181"/>
      <c r="E372" s="181"/>
      <c r="F372" s="181"/>
      <c r="G372" s="181"/>
      <c r="H372" s="181"/>
      <c r="I372" s="181"/>
      <c r="J372" s="181"/>
      <c r="K372" s="181"/>
      <c r="L372" s="181"/>
      <c r="M372" s="181"/>
      <c r="N372" s="181"/>
      <c r="O372" s="181"/>
      <c r="P372" s="181"/>
      <c r="Q372" s="181"/>
      <c r="R372" s="181"/>
      <c r="S372" s="181"/>
      <c r="T372" s="181"/>
      <c r="U372" s="181"/>
      <c r="V372" s="181"/>
      <c r="W372" s="181"/>
      <c r="X372" s="181"/>
      <c r="Y372" s="181"/>
      <c r="Z372" s="181"/>
    </row>
    <row r="373" ht="14.25" customHeight="1">
      <c r="A373" s="181"/>
      <c r="B373" s="181"/>
      <c r="C373" s="181"/>
      <c r="D373" s="181"/>
      <c r="E373" s="181"/>
      <c r="F373" s="181"/>
      <c r="G373" s="181"/>
      <c r="H373" s="181"/>
      <c r="I373" s="181"/>
      <c r="J373" s="181"/>
      <c r="K373" s="181"/>
      <c r="L373" s="181"/>
      <c r="M373" s="181"/>
      <c r="N373" s="181"/>
      <c r="O373" s="181"/>
      <c r="P373" s="181"/>
      <c r="Q373" s="181"/>
      <c r="R373" s="181"/>
      <c r="S373" s="181"/>
      <c r="T373" s="181"/>
      <c r="U373" s="181"/>
      <c r="V373" s="181"/>
      <c r="W373" s="181"/>
      <c r="X373" s="181"/>
      <c r="Y373" s="181"/>
      <c r="Z373" s="181"/>
    </row>
    <row r="374" ht="14.25" customHeight="1">
      <c r="A374" s="181"/>
      <c r="B374" s="181"/>
      <c r="C374" s="181"/>
      <c r="D374" s="181"/>
      <c r="E374" s="181"/>
      <c r="F374" s="181"/>
      <c r="G374" s="181"/>
      <c r="H374" s="181"/>
      <c r="I374" s="181"/>
      <c r="J374" s="181"/>
      <c r="K374" s="181"/>
      <c r="L374" s="181"/>
      <c r="M374" s="181"/>
      <c r="N374" s="181"/>
      <c r="O374" s="181"/>
      <c r="P374" s="181"/>
      <c r="Q374" s="181"/>
      <c r="R374" s="181"/>
      <c r="S374" s="181"/>
      <c r="T374" s="181"/>
      <c r="U374" s="181"/>
      <c r="V374" s="181"/>
      <c r="W374" s="181"/>
      <c r="X374" s="181"/>
      <c r="Y374" s="181"/>
      <c r="Z374" s="181"/>
    </row>
    <row r="375" ht="14.25" customHeight="1">
      <c r="A375" s="181"/>
      <c r="B375" s="181"/>
      <c r="C375" s="181"/>
      <c r="D375" s="181"/>
      <c r="E375" s="181"/>
      <c r="F375" s="181"/>
      <c r="G375" s="181"/>
      <c r="H375" s="181"/>
      <c r="I375" s="181"/>
      <c r="J375" s="181"/>
      <c r="K375" s="181"/>
      <c r="L375" s="181"/>
      <c r="M375" s="181"/>
      <c r="N375" s="181"/>
      <c r="O375" s="181"/>
      <c r="P375" s="181"/>
      <c r="Q375" s="181"/>
      <c r="R375" s="181"/>
      <c r="S375" s="181"/>
      <c r="T375" s="181"/>
      <c r="U375" s="181"/>
      <c r="V375" s="181"/>
      <c r="W375" s="181"/>
      <c r="X375" s="181"/>
      <c r="Y375" s="181"/>
      <c r="Z375" s="181"/>
    </row>
    <row r="376" ht="14.25" customHeight="1">
      <c r="A376" s="181"/>
      <c r="B376" s="181"/>
      <c r="C376" s="181"/>
      <c r="D376" s="181"/>
      <c r="E376" s="181"/>
      <c r="F376" s="181"/>
      <c r="G376" s="181"/>
      <c r="H376" s="181"/>
      <c r="I376" s="181"/>
      <c r="J376" s="181"/>
      <c r="K376" s="181"/>
      <c r="L376" s="181"/>
      <c r="M376" s="181"/>
      <c r="N376" s="181"/>
      <c r="O376" s="181"/>
      <c r="P376" s="181"/>
      <c r="Q376" s="181"/>
      <c r="R376" s="181"/>
      <c r="S376" s="181"/>
      <c r="T376" s="181"/>
      <c r="U376" s="181"/>
      <c r="V376" s="181"/>
      <c r="W376" s="181"/>
      <c r="X376" s="181"/>
      <c r="Y376" s="181"/>
      <c r="Z376" s="181"/>
    </row>
    <row r="377" ht="14.25" customHeight="1">
      <c r="A377" s="181"/>
      <c r="B377" s="181"/>
      <c r="C377" s="181"/>
      <c r="D377" s="181"/>
      <c r="E377" s="181"/>
      <c r="F377" s="181"/>
      <c r="G377" s="181"/>
      <c r="H377" s="181"/>
      <c r="I377" s="181"/>
      <c r="J377" s="181"/>
      <c r="K377" s="181"/>
      <c r="L377" s="181"/>
      <c r="M377" s="181"/>
      <c r="N377" s="181"/>
      <c r="O377" s="181"/>
      <c r="P377" s="181"/>
      <c r="Q377" s="181"/>
      <c r="R377" s="181"/>
      <c r="S377" s="181"/>
      <c r="T377" s="181"/>
      <c r="U377" s="181"/>
      <c r="V377" s="181"/>
      <c r="W377" s="181"/>
      <c r="X377" s="181"/>
      <c r="Y377" s="181"/>
      <c r="Z377" s="181"/>
    </row>
    <row r="378" ht="14.25" customHeight="1">
      <c r="A378" s="181"/>
      <c r="B378" s="181"/>
      <c r="C378" s="181"/>
      <c r="D378" s="181"/>
      <c r="E378" s="181"/>
      <c r="F378" s="181"/>
      <c r="G378" s="181"/>
      <c r="H378" s="181"/>
      <c r="I378" s="181"/>
      <c r="J378" s="181"/>
      <c r="K378" s="181"/>
      <c r="L378" s="181"/>
      <c r="M378" s="181"/>
      <c r="N378" s="181"/>
      <c r="O378" s="181"/>
      <c r="P378" s="181"/>
      <c r="Q378" s="181"/>
      <c r="R378" s="181"/>
      <c r="S378" s="181"/>
      <c r="T378" s="181"/>
      <c r="U378" s="181"/>
      <c r="V378" s="181"/>
      <c r="W378" s="181"/>
      <c r="X378" s="181"/>
      <c r="Y378" s="181"/>
      <c r="Z378" s="181"/>
    </row>
    <row r="379" ht="14.25" customHeight="1">
      <c r="A379" s="181"/>
      <c r="B379" s="181"/>
      <c r="C379" s="181"/>
      <c r="D379" s="181"/>
      <c r="E379" s="181"/>
      <c r="F379" s="181"/>
      <c r="G379" s="181"/>
      <c r="H379" s="181"/>
      <c r="I379" s="181"/>
      <c r="J379" s="181"/>
      <c r="K379" s="181"/>
      <c r="L379" s="181"/>
      <c r="M379" s="181"/>
      <c r="N379" s="181"/>
      <c r="O379" s="181"/>
      <c r="P379" s="181"/>
      <c r="Q379" s="181"/>
      <c r="R379" s="181"/>
      <c r="S379" s="181"/>
      <c r="T379" s="181"/>
      <c r="U379" s="181"/>
      <c r="V379" s="181"/>
      <c r="W379" s="181"/>
      <c r="X379" s="181"/>
      <c r="Y379" s="181"/>
      <c r="Z379" s="181"/>
    </row>
    <row r="380" ht="14.25" customHeight="1">
      <c r="A380" s="181"/>
      <c r="B380" s="181"/>
      <c r="C380" s="181"/>
      <c r="D380" s="181"/>
      <c r="E380" s="181"/>
      <c r="F380" s="181"/>
      <c r="G380" s="181"/>
      <c r="H380" s="181"/>
      <c r="I380" s="181"/>
      <c r="J380" s="181"/>
      <c r="K380" s="181"/>
      <c r="L380" s="181"/>
      <c r="M380" s="181"/>
      <c r="N380" s="181"/>
      <c r="O380" s="181"/>
      <c r="P380" s="181"/>
      <c r="Q380" s="181"/>
      <c r="R380" s="181"/>
      <c r="S380" s="181"/>
      <c r="T380" s="181"/>
      <c r="U380" s="181"/>
      <c r="V380" s="181"/>
      <c r="W380" s="181"/>
      <c r="X380" s="181"/>
      <c r="Y380" s="181"/>
      <c r="Z380" s="181"/>
    </row>
    <row r="381" ht="14.25" customHeight="1">
      <c r="A381" s="181"/>
      <c r="B381" s="181"/>
      <c r="C381" s="181"/>
      <c r="D381" s="181"/>
      <c r="E381" s="181"/>
      <c r="F381" s="181"/>
      <c r="G381" s="181"/>
      <c r="H381" s="181"/>
      <c r="I381" s="181"/>
      <c r="J381" s="181"/>
      <c r="K381" s="181"/>
      <c r="L381" s="181"/>
      <c r="M381" s="181"/>
      <c r="N381" s="181"/>
      <c r="O381" s="181"/>
      <c r="P381" s="181"/>
      <c r="Q381" s="181"/>
      <c r="R381" s="181"/>
      <c r="S381" s="181"/>
      <c r="T381" s="181"/>
      <c r="U381" s="181"/>
      <c r="V381" s="181"/>
      <c r="W381" s="181"/>
      <c r="X381" s="181"/>
      <c r="Y381" s="181"/>
      <c r="Z381" s="181"/>
    </row>
    <row r="382" ht="14.25" customHeight="1">
      <c r="A382" s="181"/>
      <c r="B382" s="181"/>
      <c r="C382" s="181"/>
      <c r="D382" s="181"/>
      <c r="E382" s="181"/>
      <c r="F382" s="181"/>
      <c r="G382" s="181"/>
      <c r="H382" s="181"/>
      <c r="I382" s="181"/>
      <c r="J382" s="181"/>
      <c r="K382" s="181"/>
      <c r="L382" s="181"/>
      <c r="M382" s="181"/>
      <c r="N382" s="181"/>
      <c r="O382" s="181"/>
      <c r="P382" s="181"/>
      <c r="Q382" s="181"/>
      <c r="R382" s="181"/>
      <c r="S382" s="181"/>
      <c r="T382" s="181"/>
      <c r="U382" s="181"/>
      <c r="V382" s="181"/>
      <c r="W382" s="181"/>
      <c r="X382" s="181"/>
      <c r="Y382" s="181"/>
      <c r="Z382" s="181"/>
    </row>
    <row r="383" ht="14.25" customHeight="1">
      <c r="A383" s="181"/>
      <c r="B383" s="181"/>
      <c r="C383" s="181"/>
      <c r="D383" s="181"/>
      <c r="E383" s="181"/>
      <c r="F383" s="181"/>
      <c r="G383" s="181"/>
      <c r="H383" s="181"/>
      <c r="I383" s="181"/>
      <c r="J383" s="181"/>
      <c r="K383" s="181"/>
      <c r="L383" s="181"/>
      <c r="M383" s="181"/>
      <c r="N383" s="181"/>
      <c r="O383" s="181"/>
      <c r="P383" s="181"/>
      <c r="Q383" s="181"/>
      <c r="R383" s="181"/>
      <c r="S383" s="181"/>
      <c r="T383" s="181"/>
      <c r="U383" s="181"/>
      <c r="V383" s="181"/>
      <c r="W383" s="181"/>
      <c r="X383" s="181"/>
      <c r="Y383" s="181"/>
      <c r="Z383" s="181"/>
    </row>
    <row r="384" ht="14.25" customHeight="1">
      <c r="A384" s="181"/>
      <c r="B384" s="181"/>
      <c r="C384" s="181"/>
      <c r="D384" s="181"/>
      <c r="E384" s="181"/>
      <c r="F384" s="181"/>
      <c r="G384" s="181"/>
      <c r="H384" s="181"/>
      <c r="I384" s="181"/>
      <c r="J384" s="181"/>
      <c r="K384" s="181"/>
      <c r="L384" s="181"/>
      <c r="M384" s="181"/>
      <c r="N384" s="181"/>
      <c r="O384" s="181"/>
      <c r="P384" s="181"/>
      <c r="Q384" s="181"/>
      <c r="R384" s="181"/>
      <c r="S384" s="181"/>
      <c r="T384" s="181"/>
      <c r="U384" s="181"/>
      <c r="V384" s="181"/>
      <c r="W384" s="181"/>
      <c r="X384" s="181"/>
      <c r="Y384" s="181"/>
      <c r="Z384" s="181"/>
    </row>
    <row r="385" ht="14.25" customHeight="1">
      <c r="A385" s="181"/>
      <c r="B385" s="181"/>
      <c r="C385" s="181"/>
      <c r="D385" s="181"/>
      <c r="E385" s="181"/>
      <c r="F385" s="181"/>
      <c r="G385" s="181"/>
      <c r="H385" s="181"/>
      <c r="I385" s="181"/>
      <c r="J385" s="181"/>
      <c r="K385" s="181"/>
      <c r="L385" s="181"/>
      <c r="M385" s="181"/>
      <c r="N385" s="181"/>
      <c r="O385" s="181"/>
      <c r="P385" s="181"/>
      <c r="Q385" s="181"/>
      <c r="R385" s="181"/>
      <c r="S385" s="181"/>
      <c r="T385" s="181"/>
      <c r="U385" s="181"/>
      <c r="V385" s="181"/>
      <c r="W385" s="181"/>
      <c r="X385" s="181"/>
      <c r="Y385" s="181"/>
      <c r="Z385" s="181"/>
    </row>
    <row r="386" ht="14.25" customHeight="1">
      <c r="A386" s="181"/>
      <c r="B386" s="181"/>
      <c r="C386" s="181"/>
      <c r="D386" s="181"/>
      <c r="E386" s="181"/>
      <c r="F386" s="181"/>
      <c r="G386" s="181"/>
      <c r="H386" s="181"/>
      <c r="I386" s="181"/>
      <c r="J386" s="181"/>
      <c r="K386" s="181"/>
      <c r="L386" s="181"/>
      <c r="M386" s="181"/>
      <c r="N386" s="181"/>
      <c r="O386" s="181"/>
      <c r="P386" s="181"/>
      <c r="Q386" s="181"/>
      <c r="R386" s="181"/>
      <c r="S386" s="181"/>
      <c r="T386" s="181"/>
      <c r="U386" s="181"/>
      <c r="V386" s="181"/>
      <c r="W386" s="181"/>
      <c r="X386" s="181"/>
      <c r="Y386" s="181"/>
      <c r="Z386" s="181"/>
    </row>
    <row r="387" ht="14.25" customHeight="1">
      <c r="A387" s="181"/>
      <c r="B387" s="181"/>
      <c r="C387" s="181"/>
      <c r="D387" s="181"/>
      <c r="E387" s="181"/>
      <c r="F387" s="181"/>
      <c r="G387" s="181"/>
      <c r="H387" s="181"/>
      <c r="I387" s="181"/>
      <c r="J387" s="181"/>
      <c r="K387" s="181"/>
      <c r="L387" s="181"/>
      <c r="M387" s="181"/>
      <c r="N387" s="181"/>
      <c r="O387" s="181"/>
      <c r="P387" s="181"/>
      <c r="Q387" s="181"/>
      <c r="R387" s="181"/>
      <c r="S387" s="181"/>
      <c r="T387" s="181"/>
      <c r="U387" s="181"/>
      <c r="V387" s="181"/>
      <c r="W387" s="181"/>
      <c r="X387" s="181"/>
      <c r="Y387" s="181"/>
      <c r="Z387" s="181"/>
    </row>
    <row r="388" ht="14.25" customHeight="1">
      <c r="A388" s="181"/>
      <c r="B388" s="181"/>
      <c r="C388" s="181"/>
      <c r="D388" s="181"/>
      <c r="E388" s="181"/>
      <c r="F388" s="181"/>
      <c r="G388" s="181"/>
      <c r="H388" s="181"/>
      <c r="I388" s="181"/>
      <c r="J388" s="181"/>
      <c r="K388" s="181"/>
      <c r="L388" s="181"/>
      <c r="M388" s="181"/>
      <c r="N388" s="181"/>
      <c r="O388" s="181"/>
      <c r="P388" s="181"/>
      <c r="Q388" s="181"/>
      <c r="R388" s="181"/>
      <c r="S388" s="181"/>
      <c r="T388" s="181"/>
      <c r="U388" s="181"/>
      <c r="V388" s="181"/>
      <c r="W388" s="181"/>
      <c r="X388" s="181"/>
      <c r="Y388" s="181"/>
      <c r="Z388" s="181"/>
    </row>
    <row r="389" ht="14.25" customHeight="1">
      <c r="A389" s="181"/>
      <c r="B389" s="181"/>
      <c r="C389" s="181"/>
      <c r="D389" s="181"/>
      <c r="E389" s="181"/>
      <c r="F389" s="181"/>
      <c r="G389" s="181"/>
      <c r="H389" s="181"/>
      <c r="I389" s="181"/>
      <c r="J389" s="181"/>
      <c r="K389" s="181"/>
      <c r="L389" s="181"/>
      <c r="M389" s="181"/>
      <c r="N389" s="181"/>
      <c r="O389" s="181"/>
      <c r="P389" s="181"/>
      <c r="Q389" s="181"/>
      <c r="R389" s="181"/>
      <c r="S389" s="181"/>
      <c r="T389" s="181"/>
      <c r="U389" s="181"/>
      <c r="V389" s="181"/>
      <c r="W389" s="181"/>
      <c r="X389" s="181"/>
      <c r="Y389" s="181"/>
      <c r="Z389" s="181"/>
    </row>
    <row r="390" ht="14.25" customHeight="1">
      <c r="A390" s="181"/>
      <c r="B390" s="181"/>
      <c r="C390" s="181"/>
      <c r="D390" s="181"/>
      <c r="E390" s="181"/>
      <c r="F390" s="181"/>
      <c r="G390" s="181"/>
      <c r="H390" s="181"/>
      <c r="I390" s="181"/>
      <c r="J390" s="181"/>
      <c r="K390" s="181"/>
      <c r="L390" s="181"/>
      <c r="M390" s="181"/>
      <c r="N390" s="181"/>
      <c r="O390" s="181"/>
      <c r="P390" s="181"/>
      <c r="Q390" s="181"/>
      <c r="R390" s="181"/>
      <c r="S390" s="181"/>
      <c r="T390" s="181"/>
      <c r="U390" s="181"/>
      <c r="V390" s="181"/>
      <c r="W390" s="181"/>
      <c r="X390" s="181"/>
      <c r="Y390" s="181"/>
      <c r="Z390" s="181"/>
    </row>
    <row r="391" ht="14.25" customHeight="1">
      <c r="A391" s="181"/>
      <c r="B391" s="181"/>
      <c r="C391" s="181"/>
      <c r="D391" s="181"/>
      <c r="E391" s="181"/>
      <c r="F391" s="181"/>
      <c r="G391" s="181"/>
      <c r="H391" s="181"/>
      <c r="I391" s="181"/>
      <c r="J391" s="181"/>
      <c r="K391" s="181"/>
      <c r="L391" s="181"/>
      <c r="M391" s="181"/>
      <c r="N391" s="181"/>
      <c r="O391" s="181"/>
      <c r="P391" s="181"/>
      <c r="Q391" s="181"/>
      <c r="R391" s="181"/>
      <c r="S391" s="181"/>
      <c r="T391" s="181"/>
      <c r="U391" s="181"/>
      <c r="V391" s="181"/>
      <c r="W391" s="181"/>
      <c r="X391" s="181"/>
      <c r="Y391" s="181"/>
      <c r="Z391" s="181"/>
    </row>
    <row r="392" ht="14.25" customHeight="1">
      <c r="A392" s="181"/>
      <c r="B392" s="181"/>
      <c r="C392" s="181"/>
      <c r="D392" s="181"/>
      <c r="E392" s="181"/>
      <c r="F392" s="181"/>
      <c r="G392" s="181"/>
      <c r="H392" s="181"/>
      <c r="I392" s="181"/>
      <c r="J392" s="181"/>
      <c r="K392" s="181"/>
      <c r="L392" s="181"/>
      <c r="M392" s="181"/>
      <c r="N392" s="181"/>
      <c r="O392" s="181"/>
      <c r="P392" s="181"/>
      <c r="Q392" s="181"/>
      <c r="R392" s="181"/>
      <c r="S392" s="181"/>
      <c r="T392" s="181"/>
      <c r="U392" s="181"/>
      <c r="V392" s="181"/>
      <c r="W392" s="181"/>
      <c r="X392" s="181"/>
      <c r="Y392" s="181"/>
      <c r="Z392" s="181"/>
    </row>
    <row r="393" ht="14.25" customHeight="1">
      <c r="A393" s="181"/>
      <c r="B393" s="181"/>
      <c r="C393" s="181"/>
      <c r="D393" s="181"/>
      <c r="E393" s="181"/>
      <c r="F393" s="181"/>
      <c r="G393" s="181"/>
      <c r="H393" s="181"/>
      <c r="I393" s="181"/>
      <c r="J393" s="181"/>
      <c r="K393" s="181"/>
      <c r="L393" s="181"/>
      <c r="M393" s="181"/>
      <c r="N393" s="181"/>
      <c r="O393" s="181"/>
      <c r="P393" s="181"/>
      <c r="Q393" s="181"/>
      <c r="R393" s="181"/>
      <c r="S393" s="181"/>
      <c r="T393" s="181"/>
      <c r="U393" s="181"/>
      <c r="V393" s="181"/>
      <c r="W393" s="181"/>
      <c r="X393" s="181"/>
      <c r="Y393" s="181"/>
      <c r="Z393" s="181"/>
    </row>
    <row r="394" ht="14.25" customHeight="1">
      <c r="A394" s="181"/>
      <c r="B394" s="181"/>
      <c r="C394" s="181"/>
      <c r="D394" s="181"/>
      <c r="E394" s="181"/>
      <c r="F394" s="181"/>
      <c r="G394" s="181"/>
      <c r="H394" s="181"/>
      <c r="I394" s="181"/>
      <c r="J394" s="181"/>
      <c r="K394" s="181"/>
      <c r="L394" s="181"/>
      <c r="M394" s="181"/>
      <c r="N394" s="181"/>
      <c r="O394" s="181"/>
      <c r="P394" s="181"/>
      <c r="Q394" s="181"/>
      <c r="R394" s="181"/>
      <c r="S394" s="181"/>
      <c r="T394" s="181"/>
      <c r="U394" s="181"/>
      <c r="V394" s="181"/>
      <c r="W394" s="181"/>
      <c r="X394" s="181"/>
      <c r="Y394" s="181"/>
      <c r="Z394" s="181"/>
    </row>
    <row r="395" ht="14.25" customHeight="1">
      <c r="A395" s="181"/>
      <c r="B395" s="181"/>
      <c r="C395" s="181"/>
      <c r="D395" s="181"/>
      <c r="E395" s="181"/>
      <c r="F395" s="181"/>
      <c r="G395" s="181"/>
      <c r="H395" s="181"/>
      <c r="I395" s="181"/>
      <c r="J395" s="181"/>
      <c r="K395" s="181"/>
      <c r="L395" s="181"/>
      <c r="M395" s="181"/>
      <c r="N395" s="181"/>
      <c r="O395" s="181"/>
      <c r="P395" s="181"/>
      <c r="Q395" s="181"/>
      <c r="R395" s="181"/>
      <c r="S395" s="181"/>
      <c r="T395" s="181"/>
      <c r="U395" s="181"/>
      <c r="V395" s="181"/>
      <c r="W395" s="181"/>
      <c r="X395" s="181"/>
      <c r="Y395" s="181"/>
      <c r="Z395" s="181"/>
    </row>
    <row r="396" ht="14.25" customHeight="1">
      <c r="A396" s="181"/>
      <c r="B396" s="181"/>
      <c r="C396" s="181"/>
      <c r="D396" s="181"/>
      <c r="E396" s="181"/>
      <c r="F396" s="181"/>
      <c r="G396" s="181"/>
      <c r="H396" s="181"/>
      <c r="I396" s="181"/>
      <c r="J396" s="181"/>
      <c r="K396" s="181"/>
      <c r="L396" s="181"/>
      <c r="M396" s="181"/>
      <c r="N396" s="181"/>
      <c r="O396" s="181"/>
      <c r="P396" s="181"/>
      <c r="Q396" s="181"/>
      <c r="R396" s="181"/>
      <c r="S396" s="181"/>
      <c r="T396" s="181"/>
      <c r="U396" s="181"/>
      <c r="V396" s="181"/>
      <c r="W396" s="181"/>
      <c r="X396" s="181"/>
      <c r="Y396" s="181"/>
      <c r="Z396" s="181"/>
    </row>
    <row r="397" ht="14.25" customHeight="1">
      <c r="A397" s="181"/>
      <c r="B397" s="181"/>
      <c r="C397" s="181"/>
      <c r="D397" s="181"/>
      <c r="E397" s="181"/>
      <c r="F397" s="181"/>
      <c r="G397" s="181"/>
      <c r="H397" s="181"/>
      <c r="I397" s="181"/>
      <c r="J397" s="181"/>
      <c r="K397" s="181"/>
      <c r="L397" s="181"/>
      <c r="M397" s="181"/>
      <c r="N397" s="181"/>
      <c r="O397" s="181"/>
      <c r="P397" s="181"/>
      <c r="Q397" s="181"/>
      <c r="R397" s="181"/>
      <c r="S397" s="181"/>
      <c r="T397" s="181"/>
      <c r="U397" s="181"/>
      <c r="V397" s="181"/>
      <c r="W397" s="181"/>
      <c r="X397" s="181"/>
      <c r="Y397" s="181"/>
      <c r="Z397" s="181"/>
    </row>
    <row r="398" ht="14.25" customHeight="1">
      <c r="A398" s="181"/>
      <c r="B398" s="181"/>
      <c r="C398" s="181"/>
      <c r="D398" s="181"/>
      <c r="E398" s="181"/>
      <c r="F398" s="181"/>
      <c r="G398" s="181"/>
      <c r="H398" s="181"/>
      <c r="I398" s="181"/>
      <c r="J398" s="181"/>
      <c r="K398" s="181"/>
      <c r="L398" s="181"/>
      <c r="M398" s="181"/>
      <c r="N398" s="181"/>
      <c r="O398" s="181"/>
      <c r="P398" s="181"/>
      <c r="Q398" s="181"/>
      <c r="R398" s="181"/>
      <c r="S398" s="181"/>
      <c r="T398" s="181"/>
      <c r="U398" s="181"/>
      <c r="V398" s="181"/>
      <c r="W398" s="181"/>
      <c r="X398" s="181"/>
      <c r="Y398" s="181"/>
      <c r="Z398" s="181"/>
    </row>
    <row r="399" ht="14.25" customHeight="1">
      <c r="A399" s="181"/>
      <c r="B399" s="181"/>
      <c r="C399" s="181"/>
      <c r="D399" s="181"/>
      <c r="E399" s="181"/>
      <c r="F399" s="181"/>
      <c r="G399" s="181"/>
      <c r="H399" s="181"/>
      <c r="I399" s="181"/>
      <c r="J399" s="181"/>
      <c r="K399" s="181"/>
      <c r="L399" s="181"/>
      <c r="M399" s="181"/>
      <c r="N399" s="181"/>
      <c r="O399" s="181"/>
      <c r="P399" s="181"/>
      <c r="Q399" s="181"/>
      <c r="R399" s="181"/>
      <c r="S399" s="181"/>
      <c r="T399" s="181"/>
      <c r="U399" s="181"/>
      <c r="V399" s="181"/>
      <c r="W399" s="181"/>
      <c r="X399" s="181"/>
      <c r="Y399" s="181"/>
      <c r="Z399" s="181"/>
    </row>
    <row r="400" ht="14.25" customHeight="1">
      <c r="A400" s="181"/>
      <c r="B400" s="181"/>
      <c r="C400" s="181"/>
      <c r="D400" s="181"/>
      <c r="E400" s="181"/>
      <c r="F400" s="181"/>
      <c r="G400" s="181"/>
      <c r="H400" s="181"/>
      <c r="I400" s="181"/>
      <c r="J400" s="181"/>
      <c r="K400" s="181"/>
      <c r="L400" s="181"/>
      <c r="M400" s="181"/>
      <c r="N400" s="181"/>
      <c r="O400" s="181"/>
      <c r="P400" s="181"/>
      <c r="Q400" s="181"/>
      <c r="R400" s="181"/>
      <c r="S400" s="181"/>
      <c r="T400" s="181"/>
      <c r="U400" s="181"/>
      <c r="V400" s="181"/>
      <c r="W400" s="181"/>
      <c r="X400" s="181"/>
      <c r="Y400" s="181"/>
      <c r="Z400" s="181"/>
    </row>
    <row r="401" ht="14.25" customHeight="1">
      <c r="A401" s="181"/>
      <c r="B401" s="181"/>
      <c r="C401" s="181"/>
      <c r="D401" s="181"/>
      <c r="E401" s="181"/>
      <c r="F401" s="181"/>
      <c r="G401" s="181"/>
      <c r="H401" s="181"/>
      <c r="I401" s="181"/>
      <c r="J401" s="181"/>
      <c r="K401" s="181"/>
      <c r="L401" s="181"/>
      <c r="M401" s="181"/>
      <c r="N401" s="181"/>
      <c r="O401" s="181"/>
      <c r="P401" s="181"/>
      <c r="Q401" s="181"/>
      <c r="R401" s="181"/>
      <c r="S401" s="181"/>
      <c r="T401" s="181"/>
      <c r="U401" s="181"/>
      <c r="V401" s="181"/>
      <c r="W401" s="181"/>
      <c r="X401" s="181"/>
      <c r="Y401" s="181"/>
      <c r="Z401" s="181"/>
    </row>
    <row r="402" ht="14.25" customHeight="1">
      <c r="A402" s="181"/>
      <c r="B402" s="181"/>
      <c r="C402" s="181"/>
      <c r="D402" s="181"/>
      <c r="E402" s="181"/>
      <c r="F402" s="181"/>
      <c r="G402" s="181"/>
      <c r="H402" s="181"/>
      <c r="I402" s="181"/>
      <c r="J402" s="181"/>
      <c r="K402" s="181"/>
      <c r="L402" s="181"/>
      <c r="M402" s="181"/>
      <c r="N402" s="181"/>
      <c r="O402" s="181"/>
      <c r="P402" s="181"/>
      <c r="Q402" s="181"/>
      <c r="R402" s="181"/>
      <c r="S402" s="181"/>
      <c r="T402" s="181"/>
      <c r="U402" s="181"/>
      <c r="V402" s="181"/>
      <c r="W402" s="181"/>
      <c r="X402" s="181"/>
      <c r="Y402" s="181"/>
      <c r="Z402" s="181"/>
    </row>
    <row r="403" ht="14.25" customHeight="1">
      <c r="A403" s="181"/>
      <c r="B403" s="181"/>
      <c r="C403" s="181"/>
      <c r="D403" s="181"/>
      <c r="E403" s="181"/>
      <c r="F403" s="181"/>
      <c r="G403" s="181"/>
      <c r="H403" s="181"/>
      <c r="I403" s="181"/>
      <c r="J403" s="181"/>
      <c r="K403" s="181"/>
      <c r="L403" s="181"/>
      <c r="M403" s="181"/>
      <c r="N403" s="181"/>
      <c r="O403" s="181"/>
      <c r="P403" s="181"/>
      <c r="Q403" s="181"/>
      <c r="R403" s="181"/>
      <c r="S403" s="181"/>
      <c r="T403" s="181"/>
      <c r="U403" s="181"/>
      <c r="V403" s="181"/>
      <c r="W403" s="181"/>
      <c r="X403" s="181"/>
      <c r="Y403" s="181"/>
      <c r="Z403" s="181"/>
    </row>
    <row r="404" ht="14.25" customHeight="1">
      <c r="A404" s="181"/>
      <c r="B404" s="181"/>
      <c r="C404" s="181"/>
      <c r="D404" s="181"/>
      <c r="E404" s="181"/>
      <c r="F404" s="181"/>
      <c r="G404" s="181"/>
      <c r="H404" s="181"/>
      <c r="I404" s="181"/>
      <c r="J404" s="181"/>
      <c r="K404" s="181"/>
      <c r="L404" s="181"/>
      <c r="M404" s="181"/>
      <c r="N404" s="181"/>
      <c r="O404" s="181"/>
      <c r="P404" s="181"/>
      <c r="Q404" s="181"/>
      <c r="R404" s="181"/>
      <c r="S404" s="181"/>
      <c r="T404" s="181"/>
      <c r="U404" s="181"/>
      <c r="V404" s="181"/>
      <c r="W404" s="181"/>
      <c r="X404" s="181"/>
      <c r="Y404" s="181"/>
      <c r="Z404" s="181"/>
    </row>
    <row r="405" ht="14.25" customHeight="1">
      <c r="A405" s="181"/>
      <c r="B405" s="181"/>
      <c r="C405" s="181"/>
      <c r="D405" s="181"/>
      <c r="E405" s="181"/>
      <c r="F405" s="181"/>
      <c r="G405" s="181"/>
      <c r="H405" s="181"/>
      <c r="I405" s="181"/>
      <c r="J405" s="181"/>
      <c r="K405" s="181"/>
      <c r="L405" s="181"/>
      <c r="M405" s="181"/>
      <c r="N405" s="181"/>
      <c r="O405" s="181"/>
      <c r="P405" s="181"/>
      <c r="Q405" s="181"/>
      <c r="R405" s="181"/>
      <c r="S405" s="181"/>
      <c r="T405" s="181"/>
      <c r="U405" s="181"/>
      <c r="V405" s="181"/>
      <c r="W405" s="181"/>
      <c r="X405" s="181"/>
      <c r="Y405" s="181"/>
      <c r="Z405" s="181"/>
    </row>
    <row r="406" ht="14.25" customHeight="1">
      <c r="A406" s="181"/>
      <c r="B406" s="181"/>
      <c r="C406" s="181"/>
      <c r="D406" s="181"/>
      <c r="E406" s="181"/>
      <c r="F406" s="181"/>
      <c r="G406" s="181"/>
      <c r="H406" s="181"/>
      <c r="I406" s="181"/>
      <c r="J406" s="181"/>
      <c r="K406" s="181"/>
      <c r="L406" s="181"/>
      <c r="M406" s="181"/>
      <c r="N406" s="181"/>
      <c r="O406" s="181"/>
      <c r="P406" s="181"/>
      <c r="Q406" s="181"/>
      <c r="R406" s="181"/>
      <c r="S406" s="181"/>
      <c r="T406" s="181"/>
      <c r="U406" s="181"/>
      <c r="V406" s="181"/>
      <c r="W406" s="181"/>
      <c r="X406" s="181"/>
      <c r="Y406" s="181"/>
      <c r="Z406" s="181"/>
    </row>
    <row r="407" ht="14.25" customHeight="1">
      <c r="A407" s="181"/>
      <c r="B407" s="181"/>
      <c r="C407" s="181"/>
      <c r="D407" s="181"/>
      <c r="E407" s="181"/>
      <c r="F407" s="181"/>
      <c r="G407" s="181"/>
      <c r="H407" s="181"/>
      <c r="I407" s="181"/>
      <c r="J407" s="181"/>
      <c r="K407" s="181"/>
      <c r="L407" s="181"/>
      <c r="M407" s="181"/>
      <c r="N407" s="181"/>
      <c r="O407" s="181"/>
      <c r="P407" s="181"/>
      <c r="Q407" s="181"/>
      <c r="R407" s="181"/>
      <c r="S407" s="181"/>
      <c r="T407" s="181"/>
      <c r="U407" s="181"/>
      <c r="V407" s="181"/>
      <c r="W407" s="181"/>
      <c r="X407" s="181"/>
      <c r="Y407" s="181"/>
      <c r="Z407" s="181"/>
    </row>
    <row r="408" ht="14.25" customHeight="1">
      <c r="A408" s="181"/>
      <c r="B408" s="181"/>
      <c r="C408" s="181"/>
      <c r="D408" s="181"/>
      <c r="E408" s="181"/>
      <c r="F408" s="181"/>
      <c r="G408" s="181"/>
      <c r="H408" s="181"/>
      <c r="I408" s="181"/>
      <c r="J408" s="181"/>
      <c r="K408" s="181"/>
      <c r="L408" s="181"/>
      <c r="M408" s="181"/>
      <c r="N408" s="181"/>
      <c r="O408" s="181"/>
      <c r="P408" s="181"/>
      <c r="Q408" s="181"/>
      <c r="R408" s="181"/>
      <c r="S408" s="181"/>
      <c r="T408" s="181"/>
      <c r="U408" s="181"/>
      <c r="V408" s="181"/>
      <c r="W408" s="181"/>
      <c r="X408" s="181"/>
      <c r="Y408" s="181"/>
      <c r="Z408" s="181"/>
    </row>
    <row r="409" ht="14.25" customHeight="1">
      <c r="A409" s="181"/>
      <c r="B409" s="181"/>
      <c r="C409" s="181"/>
      <c r="D409" s="181"/>
      <c r="E409" s="181"/>
      <c r="F409" s="181"/>
      <c r="G409" s="181"/>
      <c r="H409" s="181"/>
      <c r="I409" s="181"/>
      <c r="J409" s="181"/>
      <c r="K409" s="181"/>
      <c r="L409" s="181"/>
      <c r="M409" s="181"/>
      <c r="N409" s="181"/>
      <c r="O409" s="181"/>
      <c r="P409" s="181"/>
      <c r="Q409" s="181"/>
      <c r="R409" s="181"/>
      <c r="S409" s="181"/>
      <c r="T409" s="181"/>
      <c r="U409" s="181"/>
      <c r="V409" s="181"/>
      <c r="W409" s="181"/>
      <c r="X409" s="181"/>
      <c r="Y409" s="181"/>
      <c r="Z409" s="181"/>
    </row>
    <row r="410" ht="14.25" customHeight="1">
      <c r="A410" s="181"/>
      <c r="B410" s="181"/>
      <c r="C410" s="181"/>
      <c r="D410" s="181"/>
      <c r="E410" s="181"/>
      <c r="F410" s="181"/>
      <c r="G410" s="181"/>
      <c r="H410" s="181"/>
      <c r="I410" s="181"/>
      <c r="J410" s="181"/>
      <c r="K410" s="181"/>
      <c r="L410" s="181"/>
      <c r="M410" s="181"/>
      <c r="N410" s="181"/>
      <c r="O410" s="181"/>
      <c r="P410" s="181"/>
      <c r="Q410" s="181"/>
      <c r="R410" s="181"/>
      <c r="S410" s="181"/>
      <c r="T410" s="181"/>
      <c r="U410" s="181"/>
      <c r="V410" s="181"/>
      <c r="W410" s="181"/>
      <c r="X410" s="181"/>
      <c r="Y410" s="181"/>
      <c r="Z410" s="181"/>
    </row>
    <row r="411" ht="14.25" customHeight="1">
      <c r="A411" s="181"/>
      <c r="B411" s="181"/>
      <c r="C411" s="181"/>
      <c r="D411" s="181"/>
      <c r="E411" s="181"/>
      <c r="F411" s="181"/>
      <c r="G411" s="181"/>
      <c r="H411" s="181"/>
      <c r="I411" s="181"/>
      <c r="J411" s="181"/>
      <c r="K411" s="181"/>
      <c r="L411" s="181"/>
      <c r="M411" s="181"/>
      <c r="N411" s="181"/>
      <c r="O411" s="181"/>
      <c r="P411" s="181"/>
      <c r="Q411" s="181"/>
      <c r="R411" s="181"/>
      <c r="S411" s="181"/>
      <c r="T411" s="181"/>
      <c r="U411" s="181"/>
      <c r="V411" s="181"/>
      <c r="W411" s="181"/>
      <c r="X411" s="181"/>
      <c r="Y411" s="181"/>
      <c r="Z411" s="181"/>
    </row>
    <row r="412" ht="14.25" customHeight="1">
      <c r="A412" s="181"/>
      <c r="B412" s="181"/>
      <c r="C412" s="181"/>
      <c r="D412" s="181"/>
      <c r="E412" s="181"/>
      <c r="F412" s="181"/>
      <c r="G412" s="181"/>
      <c r="H412" s="181"/>
      <c r="I412" s="181"/>
      <c r="J412" s="181"/>
      <c r="K412" s="181"/>
      <c r="L412" s="181"/>
      <c r="M412" s="181"/>
      <c r="N412" s="181"/>
      <c r="O412" s="181"/>
      <c r="P412" s="181"/>
      <c r="Q412" s="181"/>
      <c r="R412" s="181"/>
      <c r="S412" s="181"/>
      <c r="T412" s="181"/>
      <c r="U412" s="181"/>
      <c r="V412" s="181"/>
      <c r="W412" s="181"/>
      <c r="X412" s="181"/>
      <c r="Y412" s="181"/>
      <c r="Z412" s="181"/>
    </row>
    <row r="413" ht="14.25" customHeight="1">
      <c r="A413" s="181"/>
      <c r="B413" s="181"/>
      <c r="C413" s="181"/>
      <c r="D413" s="181"/>
      <c r="E413" s="181"/>
      <c r="F413" s="181"/>
      <c r="G413" s="181"/>
      <c r="H413" s="181"/>
      <c r="I413" s="181"/>
      <c r="J413" s="181"/>
      <c r="K413" s="181"/>
      <c r="L413" s="181"/>
      <c r="M413" s="181"/>
      <c r="N413" s="181"/>
      <c r="O413" s="181"/>
      <c r="P413" s="181"/>
      <c r="Q413" s="181"/>
      <c r="R413" s="181"/>
      <c r="S413" s="181"/>
      <c r="T413" s="181"/>
      <c r="U413" s="181"/>
      <c r="V413" s="181"/>
      <c r="W413" s="181"/>
      <c r="X413" s="181"/>
      <c r="Y413" s="181"/>
      <c r="Z413" s="181"/>
    </row>
    <row r="414" ht="14.25" customHeight="1">
      <c r="A414" s="181"/>
      <c r="B414" s="181"/>
      <c r="C414" s="181"/>
      <c r="D414" s="181"/>
      <c r="E414" s="181"/>
      <c r="F414" s="181"/>
      <c r="G414" s="181"/>
      <c r="H414" s="181"/>
      <c r="I414" s="181"/>
      <c r="J414" s="181"/>
      <c r="K414" s="181"/>
      <c r="L414" s="181"/>
      <c r="M414" s="181"/>
      <c r="N414" s="181"/>
      <c r="O414" s="181"/>
      <c r="P414" s="181"/>
      <c r="Q414" s="181"/>
      <c r="R414" s="181"/>
      <c r="S414" s="181"/>
      <c r="T414" s="181"/>
      <c r="U414" s="181"/>
      <c r="V414" s="181"/>
      <c r="W414" s="181"/>
      <c r="X414" s="181"/>
      <c r="Y414" s="181"/>
      <c r="Z414" s="181"/>
    </row>
    <row r="415" ht="14.25" customHeight="1">
      <c r="A415" s="181"/>
      <c r="B415" s="181"/>
      <c r="C415" s="181"/>
      <c r="D415" s="181"/>
      <c r="E415" s="181"/>
      <c r="F415" s="181"/>
      <c r="G415" s="181"/>
      <c r="H415" s="181"/>
      <c r="I415" s="181"/>
      <c r="J415" s="181"/>
      <c r="K415" s="181"/>
      <c r="L415" s="181"/>
      <c r="M415" s="181"/>
      <c r="N415" s="181"/>
      <c r="O415" s="181"/>
      <c r="P415" s="181"/>
      <c r="Q415" s="181"/>
      <c r="R415" s="181"/>
      <c r="S415" s="181"/>
      <c r="T415" s="181"/>
      <c r="U415" s="181"/>
      <c r="V415" s="181"/>
      <c r="W415" s="181"/>
      <c r="X415" s="181"/>
      <c r="Y415" s="181"/>
      <c r="Z415" s="181"/>
    </row>
    <row r="416" ht="14.25" customHeight="1">
      <c r="A416" s="181"/>
      <c r="B416" s="181"/>
      <c r="C416" s="181"/>
      <c r="D416" s="181"/>
      <c r="E416" s="181"/>
      <c r="F416" s="181"/>
      <c r="G416" s="181"/>
      <c r="H416" s="181"/>
      <c r="I416" s="181"/>
      <c r="J416" s="181"/>
      <c r="K416" s="181"/>
      <c r="L416" s="181"/>
      <c r="M416" s="181"/>
      <c r="N416" s="181"/>
      <c r="O416" s="181"/>
      <c r="P416" s="181"/>
      <c r="Q416" s="181"/>
      <c r="R416" s="181"/>
      <c r="S416" s="181"/>
      <c r="T416" s="181"/>
      <c r="U416" s="181"/>
      <c r="V416" s="181"/>
      <c r="W416" s="181"/>
      <c r="X416" s="181"/>
      <c r="Y416" s="181"/>
      <c r="Z416" s="181"/>
    </row>
    <row r="417" ht="14.25" customHeight="1">
      <c r="A417" s="181"/>
      <c r="B417" s="181"/>
      <c r="C417" s="181"/>
      <c r="D417" s="181"/>
      <c r="E417" s="181"/>
      <c r="F417" s="181"/>
      <c r="G417" s="181"/>
      <c r="H417" s="181"/>
      <c r="I417" s="181"/>
      <c r="J417" s="181"/>
      <c r="K417" s="181"/>
      <c r="L417" s="181"/>
      <c r="M417" s="181"/>
      <c r="N417" s="181"/>
      <c r="O417" s="181"/>
      <c r="P417" s="181"/>
      <c r="Q417" s="181"/>
      <c r="R417" s="181"/>
      <c r="S417" s="181"/>
      <c r="T417" s="181"/>
      <c r="U417" s="181"/>
      <c r="V417" s="181"/>
      <c r="W417" s="181"/>
      <c r="X417" s="181"/>
      <c r="Y417" s="181"/>
      <c r="Z417" s="181"/>
    </row>
    <row r="418" ht="14.25" customHeight="1">
      <c r="A418" s="181"/>
      <c r="B418" s="181"/>
      <c r="C418" s="181"/>
      <c r="D418" s="181"/>
      <c r="E418" s="181"/>
      <c r="F418" s="181"/>
      <c r="G418" s="181"/>
      <c r="H418" s="181"/>
      <c r="I418" s="181"/>
      <c r="J418" s="181"/>
      <c r="K418" s="181"/>
      <c r="L418" s="181"/>
      <c r="M418" s="181"/>
      <c r="N418" s="181"/>
      <c r="O418" s="181"/>
      <c r="P418" s="181"/>
      <c r="Q418" s="181"/>
      <c r="R418" s="181"/>
      <c r="S418" s="181"/>
      <c r="T418" s="181"/>
      <c r="U418" s="181"/>
      <c r="V418" s="181"/>
      <c r="W418" s="181"/>
      <c r="X418" s="181"/>
      <c r="Y418" s="181"/>
      <c r="Z418" s="181"/>
    </row>
    <row r="419" ht="14.25" customHeight="1">
      <c r="A419" s="181"/>
      <c r="B419" s="181"/>
      <c r="C419" s="181"/>
      <c r="D419" s="181"/>
      <c r="E419" s="181"/>
      <c r="F419" s="181"/>
      <c r="G419" s="181"/>
      <c r="H419" s="181"/>
      <c r="I419" s="181"/>
      <c r="J419" s="181"/>
      <c r="K419" s="181"/>
      <c r="L419" s="181"/>
      <c r="M419" s="181"/>
      <c r="N419" s="181"/>
      <c r="O419" s="181"/>
      <c r="P419" s="181"/>
      <c r="Q419" s="181"/>
      <c r="R419" s="181"/>
      <c r="S419" s="181"/>
      <c r="T419" s="181"/>
      <c r="U419" s="181"/>
      <c r="V419" s="181"/>
      <c r="W419" s="181"/>
      <c r="X419" s="181"/>
      <c r="Y419" s="181"/>
      <c r="Z419" s="181"/>
    </row>
    <row r="420" ht="14.25" customHeight="1">
      <c r="A420" s="181"/>
      <c r="B420" s="181"/>
      <c r="C420" s="181"/>
      <c r="D420" s="181"/>
      <c r="E420" s="181"/>
      <c r="F420" s="181"/>
      <c r="G420" s="181"/>
      <c r="H420" s="181"/>
      <c r="I420" s="181"/>
      <c r="J420" s="181"/>
      <c r="K420" s="181"/>
      <c r="L420" s="181"/>
      <c r="M420" s="181"/>
      <c r="N420" s="181"/>
      <c r="O420" s="181"/>
      <c r="P420" s="181"/>
      <c r="Q420" s="181"/>
      <c r="R420" s="181"/>
      <c r="S420" s="181"/>
      <c r="T420" s="181"/>
      <c r="U420" s="181"/>
      <c r="V420" s="181"/>
      <c r="W420" s="181"/>
      <c r="X420" s="181"/>
      <c r="Y420" s="181"/>
      <c r="Z420" s="181"/>
    </row>
    <row r="421" ht="14.25" customHeight="1">
      <c r="A421" s="181"/>
      <c r="B421" s="181"/>
      <c r="C421" s="181"/>
      <c r="D421" s="181"/>
      <c r="E421" s="181"/>
      <c r="F421" s="181"/>
      <c r="G421" s="181"/>
      <c r="H421" s="181"/>
      <c r="I421" s="181"/>
      <c r="J421" s="181"/>
      <c r="K421" s="181"/>
      <c r="L421" s="181"/>
      <c r="M421" s="181"/>
      <c r="N421" s="181"/>
      <c r="O421" s="181"/>
      <c r="P421" s="181"/>
      <c r="Q421" s="181"/>
      <c r="R421" s="181"/>
      <c r="S421" s="181"/>
      <c r="T421" s="181"/>
      <c r="U421" s="181"/>
      <c r="V421" s="181"/>
      <c r="W421" s="181"/>
      <c r="X421" s="181"/>
      <c r="Y421" s="181"/>
      <c r="Z421" s="181"/>
    </row>
    <row r="422" ht="14.25" customHeight="1">
      <c r="A422" s="181"/>
      <c r="B422" s="181"/>
      <c r="C422" s="181"/>
      <c r="D422" s="181"/>
      <c r="E422" s="181"/>
      <c r="F422" s="181"/>
      <c r="G422" s="181"/>
      <c r="H422" s="181"/>
      <c r="I422" s="181"/>
      <c r="J422" s="181"/>
      <c r="K422" s="181"/>
      <c r="L422" s="181"/>
      <c r="M422" s="181"/>
      <c r="N422" s="181"/>
      <c r="O422" s="181"/>
      <c r="P422" s="181"/>
      <c r="Q422" s="181"/>
      <c r="R422" s="181"/>
      <c r="S422" s="181"/>
      <c r="T422" s="181"/>
      <c r="U422" s="181"/>
      <c r="V422" s="181"/>
      <c r="W422" s="181"/>
      <c r="X422" s="181"/>
      <c r="Y422" s="181"/>
      <c r="Z422" s="181"/>
    </row>
    <row r="423" ht="14.25" customHeight="1">
      <c r="A423" s="181"/>
      <c r="B423" s="181"/>
      <c r="C423" s="181"/>
      <c r="D423" s="181"/>
      <c r="E423" s="181"/>
      <c r="F423" s="181"/>
      <c r="G423" s="181"/>
      <c r="H423" s="181"/>
      <c r="I423" s="181"/>
      <c r="J423" s="181"/>
      <c r="K423" s="181"/>
      <c r="L423" s="181"/>
      <c r="M423" s="181"/>
      <c r="N423" s="181"/>
      <c r="O423" s="181"/>
      <c r="P423" s="181"/>
      <c r="Q423" s="181"/>
      <c r="R423" s="181"/>
      <c r="S423" s="181"/>
      <c r="T423" s="181"/>
      <c r="U423" s="181"/>
      <c r="V423" s="181"/>
      <c r="W423" s="181"/>
      <c r="X423" s="181"/>
      <c r="Y423" s="181"/>
      <c r="Z423" s="181"/>
    </row>
    <row r="424" ht="14.25" customHeight="1">
      <c r="A424" s="181"/>
      <c r="B424" s="181"/>
      <c r="C424" s="181"/>
      <c r="D424" s="181"/>
      <c r="E424" s="181"/>
      <c r="F424" s="181"/>
      <c r="G424" s="181"/>
      <c r="H424" s="181"/>
      <c r="I424" s="181"/>
      <c r="J424" s="181"/>
      <c r="K424" s="181"/>
      <c r="L424" s="181"/>
      <c r="M424" s="181"/>
      <c r="N424" s="181"/>
      <c r="O424" s="181"/>
      <c r="P424" s="181"/>
      <c r="Q424" s="181"/>
      <c r="R424" s="181"/>
      <c r="S424" s="181"/>
      <c r="T424" s="181"/>
      <c r="U424" s="181"/>
      <c r="V424" s="181"/>
      <c r="W424" s="181"/>
      <c r="X424" s="181"/>
      <c r="Y424" s="181"/>
      <c r="Z424" s="181"/>
    </row>
    <row r="425" ht="14.25" customHeight="1">
      <c r="A425" s="181"/>
      <c r="B425" s="181"/>
      <c r="C425" s="181"/>
      <c r="D425" s="181"/>
      <c r="E425" s="181"/>
      <c r="F425" s="181"/>
      <c r="G425" s="181"/>
      <c r="H425" s="181"/>
      <c r="I425" s="181"/>
      <c r="J425" s="181"/>
      <c r="K425" s="181"/>
      <c r="L425" s="181"/>
      <c r="M425" s="181"/>
      <c r="N425" s="181"/>
      <c r="O425" s="181"/>
      <c r="P425" s="181"/>
      <c r="Q425" s="181"/>
      <c r="R425" s="181"/>
      <c r="S425" s="181"/>
      <c r="T425" s="181"/>
      <c r="U425" s="181"/>
      <c r="V425" s="181"/>
      <c r="W425" s="181"/>
      <c r="X425" s="181"/>
      <c r="Y425" s="181"/>
      <c r="Z425" s="181"/>
    </row>
    <row r="426" ht="14.25" customHeight="1">
      <c r="A426" s="181"/>
      <c r="B426" s="181"/>
      <c r="C426" s="181"/>
      <c r="D426" s="181"/>
      <c r="E426" s="181"/>
      <c r="F426" s="181"/>
      <c r="G426" s="181"/>
      <c r="H426" s="181"/>
      <c r="I426" s="181"/>
      <c r="J426" s="181"/>
      <c r="K426" s="181"/>
      <c r="L426" s="181"/>
      <c r="M426" s="181"/>
      <c r="N426" s="181"/>
      <c r="O426" s="181"/>
      <c r="P426" s="181"/>
      <c r="Q426" s="181"/>
      <c r="R426" s="181"/>
      <c r="S426" s="181"/>
      <c r="T426" s="181"/>
      <c r="U426" s="181"/>
      <c r="V426" s="181"/>
      <c r="W426" s="181"/>
      <c r="X426" s="181"/>
      <c r="Y426" s="181"/>
      <c r="Z426" s="181"/>
    </row>
    <row r="427" ht="14.25" customHeight="1">
      <c r="A427" s="181"/>
      <c r="B427" s="181"/>
      <c r="C427" s="181"/>
      <c r="D427" s="181"/>
      <c r="E427" s="181"/>
      <c r="F427" s="181"/>
      <c r="G427" s="181"/>
      <c r="H427" s="181"/>
      <c r="I427" s="181"/>
      <c r="J427" s="181"/>
      <c r="K427" s="181"/>
      <c r="L427" s="181"/>
      <c r="M427" s="181"/>
      <c r="N427" s="181"/>
      <c r="O427" s="181"/>
      <c r="P427" s="181"/>
      <c r="Q427" s="181"/>
      <c r="R427" s="181"/>
      <c r="S427" s="181"/>
      <c r="T427" s="181"/>
      <c r="U427" s="181"/>
      <c r="V427" s="181"/>
      <c r="W427" s="181"/>
      <c r="X427" s="181"/>
      <c r="Y427" s="181"/>
      <c r="Z427" s="181"/>
    </row>
    <row r="428" ht="14.25" customHeight="1">
      <c r="A428" s="181"/>
      <c r="B428" s="181"/>
      <c r="C428" s="181"/>
      <c r="D428" s="181"/>
      <c r="E428" s="181"/>
      <c r="F428" s="181"/>
      <c r="G428" s="181"/>
      <c r="H428" s="181"/>
      <c r="I428" s="181"/>
      <c r="J428" s="181"/>
      <c r="K428" s="181"/>
      <c r="L428" s="181"/>
      <c r="M428" s="181"/>
      <c r="N428" s="181"/>
      <c r="O428" s="181"/>
      <c r="P428" s="181"/>
      <c r="Q428" s="181"/>
      <c r="R428" s="181"/>
      <c r="S428" s="181"/>
      <c r="T428" s="181"/>
      <c r="U428" s="181"/>
      <c r="V428" s="181"/>
      <c r="W428" s="181"/>
      <c r="X428" s="181"/>
      <c r="Y428" s="181"/>
      <c r="Z428" s="181"/>
    </row>
    <row r="429" ht="14.25" customHeight="1">
      <c r="A429" s="181"/>
      <c r="B429" s="181"/>
      <c r="C429" s="181"/>
      <c r="D429" s="181"/>
      <c r="E429" s="181"/>
      <c r="F429" s="181"/>
      <c r="G429" s="181"/>
      <c r="H429" s="181"/>
      <c r="I429" s="181"/>
      <c r="J429" s="181"/>
      <c r="K429" s="181"/>
      <c r="L429" s="181"/>
      <c r="M429" s="181"/>
      <c r="N429" s="181"/>
      <c r="O429" s="181"/>
      <c r="P429" s="181"/>
      <c r="Q429" s="181"/>
      <c r="R429" s="181"/>
      <c r="S429" s="181"/>
      <c r="T429" s="181"/>
      <c r="U429" s="181"/>
      <c r="V429" s="181"/>
      <c r="W429" s="181"/>
      <c r="X429" s="181"/>
      <c r="Y429" s="181"/>
      <c r="Z429" s="181"/>
    </row>
    <row r="430" ht="14.25" customHeight="1">
      <c r="A430" s="181"/>
      <c r="B430" s="181"/>
      <c r="C430" s="181"/>
      <c r="D430" s="181"/>
      <c r="E430" s="181"/>
      <c r="F430" s="181"/>
      <c r="G430" s="181"/>
      <c r="H430" s="181"/>
      <c r="I430" s="181"/>
      <c r="J430" s="181"/>
      <c r="K430" s="181"/>
      <c r="L430" s="181"/>
      <c r="M430" s="181"/>
      <c r="N430" s="181"/>
      <c r="O430" s="181"/>
      <c r="P430" s="181"/>
      <c r="Q430" s="181"/>
      <c r="R430" s="181"/>
      <c r="S430" s="181"/>
      <c r="T430" s="181"/>
      <c r="U430" s="181"/>
      <c r="V430" s="181"/>
      <c r="W430" s="181"/>
      <c r="X430" s="181"/>
      <c r="Y430" s="181"/>
      <c r="Z430" s="181"/>
    </row>
    <row r="431" ht="14.25" customHeight="1">
      <c r="A431" s="181"/>
      <c r="B431" s="181"/>
      <c r="C431" s="181"/>
      <c r="D431" s="181"/>
      <c r="E431" s="181"/>
      <c r="F431" s="181"/>
      <c r="G431" s="181"/>
      <c r="H431" s="181"/>
      <c r="I431" s="181"/>
      <c r="J431" s="181"/>
      <c r="K431" s="181"/>
      <c r="L431" s="181"/>
      <c r="M431" s="181"/>
      <c r="N431" s="181"/>
      <c r="O431" s="181"/>
      <c r="P431" s="181"/>
      <c r="Q431" s="181"/>
      <c r="R431" s="181"/>
      <c r="S431" s="181"/>
      <c r="T431" s="181"/>
      <c r="U431" s="181"/>
      <c r="V431" s="181"/>
      <c r="W431" s="181"/>
      <c r="X431" s="181"/>
      <c r="Y431" s="181"/>
      <c r="Z431" s="181"/>
    </row>
    <row r="432" ht="14.25" customHeight="1">
      <c r="A432" s="181"/>
      <c r="B432" s="181"/>
      <c r="C432" s="181"/>
      <c r="D432" s="181"/>
      <c r="E432" s="181"/>
      <c r="F432" s="181"/>
      <c r="G432" s="181"/>
      <c r="H432" s="181"/>
      <c r="I432" s="181"/>
      <c r="J432" s="181"/>
      <c r="K432" s="181"/>
      <c r="L432" s="181"/>
      <c r="M432" s="181"/>
      <c r="N432" s="181"/>
      <c r="O432" s="181"/>
      <c r="P432" s="181"/>
      <c r="Q432" s="181"/>
      <c r="R432" s="181"/>
      <c r="S432" s="181"/>
      <c r="T432" s="181"/>
      <c r="U432" s="181"/>
      <c r="V432" s="181"/>
      <c r="W432" s="181"/>
      <c r="X432" s="181"/>
      <c r="Y432" s="181"/>
      <c r="Z432" s="181"/>
    </row>
    <row r="433" ht="14.25" customHeight="1">
      <c r="A433" s="181"/>
      <c r="B433" s="181"/>
      <c r="C433" s="181"/>
      <c r="D433" s="181"/>
      <c r="E433" s="181"/>
      <c r="F433" s="181"/>
      <c r="G433" s="181"/>
      <c r="H433" s="181"/>
      <c r="I433" s="181"/>
      <c r="J433" s="181"/>
      <c r="K433" s="181"/>
      <c r="L433" s="181"/>
      <c r="M433" s="181"/>
      <c r="N433" s="181"/>
      <c r="O433" s="181"/>
      <c r="P433" s="181"/>
      <c r="Q433" s="181"/>
      <c r="R433" s="181"/>
      <c r="S433" s="181"/>
      <c r="T433" s="181"/>
      <c r="U433" s="181"/>
      <c r="V433" s="181"/>
      <c r="W433" s="181"/>
      <c r="X433" s="181"/>
      <c r="Y433" s="181"/>
      <c r="Z433" s="181"/>
    </row>
    <row r="434" ht="14.25" customHeight="1">
      <c r="A434" s="181"/>
      <c r="B434" s="181"/>
      <c r="C434" s="181"/>
      <c r="D434" s="181"/>
      <c r="E434" s="181"/>
      <c r="F434" s="181"/>
      <c r="G434" s="181"/>
      <c r="H434" s="181"/>
      <c r="I434" s="181"/>
      <c r="J434" s="181"/>
      <c r="K434" s="181"/>
      <c r="L434" s="181"/>
      <c r="M434" s="181"/>
      <c r="N434" s="181"/>
      <c r="O434" s="181"/>
      <c r="P434" s="181"/>
      <c r="Q434" s="181"/>
      <c r="R434" s="181"/>
      <c r="S434" s="181"/>
      <c r="T434" s="181"/>
      <c r="U434" s="181"/>
      <c r="V434" s="181"/>
      <c r="W434" s="181"/>
      <c r="X434" s="181"/>
      <c r="Y434" s="181"/>
      <c r="Z434" s="181"/>
    </row>
    <row r="435" ht="14.25" customHeight="1">
      <c r="A435" s="181"/>
      <c r="B435" s="181"/>
      <c r="C435" s="181"/>
      <c r="D435" s="181"/>
      <c r="E435" s="181"/>
      <c r="F435" s="181"/>
      <c r="G435" s="181"/>
      <c r="H435" s="181"/>
      <c r="I435" s="181"/>
      <c r="J435" s="181"/>
      <c r="K435" s="181"/>
      <c r="L435" s="181"/>
      <c r="M435" s="181"/>
      <c r="N435" s="181"/>
      <c r="O435" s="181"/>
      <c r="P435" s="181"/>
      <c r="Q435" s="181"/>
      <c r="R435" s="181"/>
      <c r="S435" s="181"/>
      <c r="T435" s="181"/>
      <c r="U435" s="181"/>
      <c r="V435" s="181"/>
      <c r="W435" s="181"/>
      <c r="X435" s="181"/>
      <c r="Y435" s="181"/>
      <c r="Z435" s="181"/>
    </row>
    <row r="436" ht="14.25" customHeight="1">
      <c r="A436" s="181"/>
      <c r="B436" s="181"/>
      <c r="C436" s="181"/>
      <c r="D436" s="181"/>
      <c r="E436" s="181"/>
      <c r="F436" s="181"/>
      <c r="G436" s="181"/>
      <c r="H436" s="181"/>
      <c r="I436" s="181"/>
      <c r="J436" s="181"/>
      <c r="K436" s="181"/>
      <c r="L436" s="181"/>
      <c r="M436" s="181"/>
      <c r="N436" s="181"/>
      <c r="O436" s="181"/>
      <c r="P436" s="181"/>
      <c r="Q436" s="181"/>
      <c r="R436" s="181"/>
      <c r="S436" s="181"/>
      <c r="T436" s="181"/>
      <c r="U436" s="181"/>
      <c r="V436" s="181"/>
      <c r="W436" s="181"/>
      <c r="X436" s="181"/>
      <c r="Y436" s="181"/>
      <c r="Z436" s="181"/>
    </row>
    <row r="437" ht="14.25" customHeight="1">
      <c r="A437" s="181"/>
      <c r="B437" s="181"/>
      <c r="C437" s="181"/>
      <c r="D437" s="181"/>
      <c r="E437" s="181"/>
      <c r="F437" s="181"/>
      <c r="G437" s="181"/>
      <c r="H437" s="181"/>
      <c r="I437" s="181"/>
      <c r="J437" s="181"/>
      <c r="K437" s="181"/>
      <c r="L437" s="181"/>
      <c r="M437" s="181"/>
      <c r="N437" s="181"/>
      <c r="O437" s="181"/>
      <c r="P437" s="181"/>
      <c r="Q437" s="181"/>
      <c r="R437" s="181"/>
      <c r="S437" s="181"/>
      <c r="T437" s="181"/>
      <c r="U437" s="181"/>
      <c r="V437" s="181"/>
      <c r="W437" s="181"/>
      <c r="X437" s="181"/>
      <c r="Y437" s="181"/>
      <c r="Z437" s="181"/>
    </row>
    <row r="438" ht="14.25" customHeight="1">
      <c r="A438" s="181"/>
      <c r="B438" s="181"/>
      <c r="C438" s="181"/>
      <c r="D438" s="181"/>
      <c r="E438" s="181"/>
      <c r="F438" s="181"/>
      <c r="G438" s="181"/>
      <c r="H438" s="181"/>
      <c r="I438" s="181"/>
      <c r="J438" s="181"/>
      <c r="K438" s="181"/>
      <c r="L438" s="181"/>
      <c r="M438" s="181"/>
      <c r="N438" s="181"/>
      <c r="O438" s="181"/>
      <c r="P438" s="181"/>
      <c r="Q438" s="181"/>
      <c r="R438" s="181"/>
      <c r="S438" s="181"/>
      <c r="T438" s="181"/>
      <c r="U438" s="181"/>
      <c r="V438" s="181"/>
      <c r="W438" s="181"/>
      <c r="X438" s="181"/>
      <c r="Y438" s="181"/>
      <c r="Z438" s="181"/>
    </row>
    <row r="439" ht="14.25" customHeight="1">
      <c r="A439" s="181"/>
      <c r="B439" s="181"/>
      <c r="C439" s="181"/>
      <c r="D439" s="181"/>
      <c r="E439" s="181"/>
      <c r="F439" s="181"/>
      <c r="G439" s="181"/>
      <c r="H439" s="181"/>
      <c r="I439" s="181"/>
      <c r="J439" s="181"/>
      <c r="K439" s="181"/>
      <c r="L439" s="181"/>
      <c r="M439" s="181"/>
      <c r="N439" s="181"/>
      <c r="O439" s="181"/>
      <c r="P439" s="181"/>
      <c r="Q439" s="181"/>
      <c r="R439" s="181"/>
      <c r="S439" s="181"/>
      <c r="T439" s="181"/>
      <c r="U439" s="181"/>
      <c r="V439" s="181"/>
      <c r="W439" s="181"/>
      <c r="X439" s="181"/>
      <c r="Y439" s="181"/>
      <c r="Z439" s="181"/>
    </row>
    <row r="440" ht="14.25" customHeight="1">
      <c r="A440" s="181"/>
      <c r="B440" s="181"/>
      <c r="C440" s="181"/>
      <c r="D440" s="181"/>
      <c r="E440" s="181"/>
      <c r="F440" s="181"/>
      <c r="G440" s="181"/>
      <c r="H440" s="181"/>
      <c r="I440" s="181"/>
      <c r="J440" s="181"/>
      <c r="K440" s="181"/>
      <c r="L440" s="181"/>
      <c r="M440" s="181"/>
      <c r="N440" s="181"/>
      <c r="O440" s="181"/>
      <c r="P440" s="181"/>
      <c r="Q440" s="181"/>
      <c r="R440" s="181"/>
      <c r="S440" s="181"/>
      <c r="T440" s="181"/>
      <c r="U440" s="181"/>
      <c r="V440" s="181"/>
      <c r="W440" s="181"/>
      <c r="X440" s="181"/>
      <c r="Y440" s="181"/>
      <c r="Z440" s="181"/>
    </row>
    <row r="441" ht="14.25" customHeight="1">
      <c r="A441" s="181"/>
      <c r="B441" s="181"/>
      <c r="C441" s="181"/>
      <c r="D441" s="181"/>
      <c r="E441" s="181"/>
      <c r="F441" s="181"/>
      <c r="G441" s="181"/>
      <c r="H441" s="181"/>
      <c r="I441" s="181"/>
      <c r="J441" s="181"/>
      <c r="K441" s="181"/>
      <c r="L441" s="181"/>
      <c r="M441" s="181"/>
      <c r="N441" s="181"/>
      <c r="O441" s="181"/>
      <c r="P441" s="181"/>
      <c r="Q441" s="181"/>
      <c r="R441" s="181"/>
      <c r="S441" s="181"/>
      <c r="T441" s="181"/>
      <c r="U441" s="181"/>
      <c r="V441" s="181"/>
      <c r="W441" s="181"/>
      <c r="X441" s="181"/>
      <c r="Y441" s="181"/>
      <c r="Z441" s="181"/>
    </row>
    <row r="442" ht="14.25" customHeight="1">
      <c r="A442" s="181"/>
      <c r="B442" s="181"/>
      <c r="C442" s="181"/>
      <c r="D442" s="181"/>
      <c r="E442" s="181"/>
      <c r="F442" s="181"/>
      <c r="G442" s="181"/>
      <c r="H442" s="181"/>
      <c r="I442" s="181"/>
      <c r="J442" s="181"/>
      <c r="K442" s="181"/>
      <c r="L442" s="181"/>
      <c r="M442" s="181"/>
      <c r="N442" s="181"/>
      <c r="O442" s="181"/>
      <c r="P442" s="181"/>
      <c r="Q442" s="181"/>
      <c r="R442" s="181"/>
      <c r="S442" s="181"/>
      <c r="T442" s="181"/>
      <c r="U442" s="181"/>
      <c r="V442" s="181"/>
      <c r="W442" s="181"/>
      <c r="X442" s="181"/>
      <c r="Y442" s="181"/>
      <c r="Z442" s="181"/>
    </row>
    <row r="443" ht="14.25" customHeight="1">
      <c r="A443" s="181"/>
      <c r="B443" s="181"/>
      <c r="C443" s="181"/>
      <c r="D443" s="181"/>
      <c r="E443" s="181"/>
      <c r="F443" s="181"/>
      <c r="G443" s="181"/>
      <c r="H443" s="181"/>
      <c r="I443" s="181"/>
      <c r="J443" s="181"/>
      <c r="K443" s="181"/>
      <c r="L443" s="181"/>
      <c r="M443" s="181"/>
      <c r="N443" s="181"/>
      <c r="O443" s="181"/>
      <c r="P443" s="181"/>
      <c r="Q443" s="181"/>
      <c r="R443" s="181"/>
      <c r="S443" s="181"/>
      <c r="T443" s="181"/>
      <c r="U443" s="181"/>
      <c r="V443" s="181"/>
      <c r="W443" s="181"/>
      <c r="X443" s="181"/>
      <c r="Y443" s="181"/>
      <c r="Z443" s="181"/>
    </row>
    <row r="444" ht="14.25" customHeight="1">
      <c r="A444" s="181"/>
      <c r="B444" s="181"/>
      <c r="C444" s="181"/>
      <c r="D444" s="181"/>
      <c r="E444" s="181"/>
      <c r="F444" s="181"/>
      <c r="G444" s="181"/>
      <c r="H444" s="181"/>
      <c r="I444" s="181"/>
      <c r="J444" s="181"/>
      <c r="K444" s="181"/>
      <c r="L444" s="181"/>
      <c r="M444" s="181"/>
      <c r="N444" s="181"/>
      <c r="O444" s="181"/>
      <c r="P444" s="181"/>
      <c r="Q444" s="181"/>
      <c r="R444" s="181"/>
      <c r="S444" s="181"/>
      <c r="T444" s="181"/>
      <c r="U444" s="181"/>
      <c r="V444" s="181"/>
      <c r="W444" s="181"/>
      <c r="X444" s="181"/>
      <c r="Y444" s="181"/>
      <c r="Z444" s="181"/>
    </row>
    <row r="445" ht="14.25" customHeight="1">
      <c r="A445" s="181"/>
      <c r="B445" s="181"/>
      <c r="C445" s="181"/>
      <c r="D445" s="181"/>
      <c r="E445" s="181"/>
      <c r="F445" s="181"/>
      <c r="G445" s="181"/>
      <c r="H445" s="181"/>
      <c r="I445" s="181"/>
      <c r="J445" s="181"/>
      <c r="K445" s="181"/>
      <c r="L445" s="181"/>
      <c r="M445" s="181"/>
      <c r="N445" s="181"/>
      <c r="O445" s="181"/>
      <c r="P445" s="181"/>
      <c r="Q445" s="181"/>
      <c r="R445" s="181"/>
      <c r="S445" s="181"/>
      <c r="T445" s="181"/>
      <c r="U445" s="181"/>
      <c r="V445" s="181"/>
      <c r="W445" s="181"/>
      <c r="X445" s="181"/>
      <c r="Y445" s="181"/>
      <c r="Z445" s="181"/>
    </row>
    <row r="446" ht="14.25" customHeight="1">
      <c r="A446" s="181"/>
      <c r="B446" s="181"/>
      <c r="C446" s="181"/>
      <c r="D446" s="181"/>
      <c r="E446" s="181"/>
      <c r="F446" s="181"/>
      <c r="G446" s="181"/>
      <c r="H446" s="181"/>
      <c r="I446" s="181"/>
      <c r="J446" s="181"/>
      <c r="K446" s="181"/>
      <c r="L446" s="181"/>
      <c r="M446" s="181"/>
      <c r="N446" s="181"/>
      <c r="O446" s="181"/>
      <c r="P446" s="181"/>
      <c r="Q446" s="181"/>
      <c r="R446" s="181"/>
      <c r="S446" s="181"/>
      <c r="T446" s="181"/>
      <c r="U446" s="181"/>
      <c r="V446" s="181"/>
      <c r="W446" s="181"/>
      <c r="X446" s="181"/>
      <c r="Y446" s="181"/>
      <c r="Z446" s="181"/>
    </row>
    <row r="447" ht="14.25" customHeight="1">
      <c r="A447" s="181"/>
      <c r="B447" s="181"/>
      <c r="C447" s="181"/>
      <c r="D447" s="181"/>
      <c r="E447" s="181"/>
      <c r="F447" s="181"/>
      <c r="G447" s="181"/>
      <c r="H447" s="181"/>
      <c r="I447" s="181"/>
      <c r="J447" s="181"/>
      <c r="K447" s="181"/>
      <c r="L447" s="181"/>
      <c r="M447" s="181"/>
      <c r="N447" s="181"/>
      <c r="O447" s="181"/>
      <c r="P447" s="181"/>
      <c r="Q447" s="181"/>
      <c r="R447" s="181"/>
      <c r="S447" s="181"/>
      <c r="T447" s="181"/>
      <c r="U447" s="181"/>
      <c r="V447" s="181"/>
      <c r="W447" s="181"/>
      <c r="X447" s="181"/>
      <c r="Y447" s="181"/>
      <c r="Z447" s="181"/>
    </row>
    <row r="448" ht="14.25" customHeight="1">
      <c r="A448" s="181"/>
      <c r="B448" s="181"/>
      <c r="C448" s="181"/>
      <c r="D448" s="181"/>
      <c r="E448" s="181"/>
      <c r="F448" s="181"/>
      <c r="G448" s="181"/>
      <c r="H448" s="181"/>
      <c r="I448" s="181"/>
      <c r="J448" s="181"/>
      <c r="K448" s="181"/>
      <c r="L448" s="181"/>
      <c r="M448" s="181"/>
      <c r="N448" s="181"/>
      <c r="O448" s="181"/>
      <c r="P448" s="181"/>
      <c r="Q448" s="181"/>
      <c r="R448" s="181"/>
      <c r="S448" s="181"/>
      <c r="T448" s="181"/>
      <c r="U448" s="181"/>
      <c r="V448" s="181"/>
      <c r="W448" s="181"/>
      <c r="X448" s="181"/>
      <c r="Y448" s="181"/>
      <c r="Z448" s="181"/>
    </row>
    <row r="449" ht="14.25" customHeight="1">
      <c r="A449" s="181"/>
      <c r="B449" s="181"/>
      <c r="C449" s="181"/>
      <c r="D449" s="181"/>
      <c r="E449" s="181"/>
      <c r="F449" s="181"/>
      <c r="G449" s="181"/>
      <c r="H449" s="181"/>
      <c r="I449" s="181"/>
      <c r="J449" s="181"/>
      <c r="K449" s="181"/>
      <c r="L449" s="181"/>
      <c r="M449" s="181"/>
      <c r="N449" s="181"/>
      <c r="O449" s="181"/>
      <c r="P449" s="181"/>
      <c r="Q449" s="181"/>
      <c r="R449" s="181"/>
      <c r="S449" s="181"/>
      <c r="T449" s="181"/>
      <c r="U449" s="181"/>
      <c r="V449" s="181"/>
      <c r="W449" s="181"/>
      <c r="X449" s="181"/>
      <c r="Y449" s="181"/>
      <c r="Z449" s="181"/>
    </row>
    <row r="450" ht="14.25" customHeight="1">
      <c r="A450" s="181"/>
      <c r="B450" s="181"/>
      <c r="C450" s="181"/>
      <c r="D450" s="181"/>
      <c r="E450" s="181"/>
      <c r="F450" s="181"/>
      <c r="G450" s="181"/>
      <c r="H450" s="181"/>
      <c r="I450" s="181"/>
      <c r="J450" s="181"/>
      <c r="K450" s="181"/>
      <c r="L450" s="181"/>
      <c r="M450" s="181"/>
      <c r="N450" s="181"/>
      <c r="O450" s="181"/>
      <c r="P450" s="181"/>
      <c r="Q450" s="181"/>
      <c r="R450" s="181"/>
      <c r="S450" s="181"/>
      <c r="T450" s="181"/>
      <c r="U450" s="181"/>
      <c r="V450" s="181"/>
      <c r="W450" s="181"/>
      <c r="X450" s="181"/>
      <c r="Y450" s="181"/>
      <c r="Z450" s="181"/>
    </row>
    <row r="451" ht="14.25" customHeight="1">
      <c r="A451" s="181"/>
      <c r="B451" s="181"/>
      <c r="C451" s="181"/>
      <c r="D451" s="181"/>
      <c r="E451" s="181"/>
      <c r="F451" s="181"/>
      <c r="G451" s="181"/>
      <c r="H451" s="181"/>
      <c r="I451" s="181"/>
      <c r="J451" s="181"/>
      <c r="K451" s="181"/>
      <c r="L451" s="181"/>
      <c r="M451" s="181"/>
      <c r="N451" s="181"/>
      <c r="O451" s="181"/>
      <c r="P451" s="181"/>
      <c r="Q451" s="181"/>
      <c r="R451" s="181"/>
      <c r="S451" s="181"/>
      <c r="T451" s="181"/>
      <c r="U451" s="181"/>
      <c r="V451" s="181"/>
      <c r="W451" s="181"/>
      <c r="X451" s="181"/>
      <c r="Y451" s="181"/>
      <c r="Z451" s="181"/>
    </row>
    <row r="452" ht="14.25" customHeight="1">
      <c r="A452" s="181"/>
      <c r="B452" s="181"/>
      <c r="C452" s="181"/>
      <c r="D452" s="181"/>
      <c r="E452" s="181"/>
      <c r="F452" s="181"/>
      <c r="G452" s="181"/>
      <c r="H452" s="181"/>
      <c r="I452" s="181"/>
      <c r="J452" s="181"/>
      <c r="K452" s="181"/>
      <c r="L452" s="181"/>
      <c r="M452" s="181"/>
      <c r="N452" s="181"/>
      <c r="O452" s="181"/>
      <c r="P452" s="181"/>
      <c r="Q452" s="181"/>
      <c r="R452" s="181"/>
      <c r="S452" s="181"/>
      <c r="T452" s="181"/>
      <c r="U452" s="181"/>
      <c r="V452" s="181"/>
      <c r="W452" s="181"/>
      <c r="X452" s="181"/>
      <c r="Y452" s="181"/>
      <c r="Z452" s="181"/>
    </row>
    <row r="453" ht="14.25" customHeight="1">
      <c r="A453" s="181"/>
      <c r="B453" s="181"/>
      <c r="C453" s="181"/>
      <c r="D453" s="181"/>
      <c r="E453" s="181"/>
      <c r="F453" s="181"/>
      <c r="G453" s="181"/>
      <c r="H453" s="181"/>
      <c r="I453" s="181"/>
      <c r="J453" s="181"/>
      <c r="K453" s="181"/>
      <c r="L453" s="181"/>
      <c r="M453" s="181"/>
      <c r="N453" s="181"/>
      <c r="O453" s="181"/>
      <c r="P453" s="181"/>
      <c r="Q453" s="181"/>
      <c r="R453" s="181"/>
      <c r="S453" s="181"/>
      <c r="T453" s="181"/>
      <c r="U453" s="181"/>
      <c r="V453" s="181"/>
      <c r="W453" s="181"/>
      <c r="X453" s="181"/>
      <c r="Y453" s="181"/>
      <c r="Z453" s="181"/>
    </row>
    <row r="454" ht="14.25" customHeight="1">
      <c r="A454" s="181"/>
      <c r="B454" s="181"/>
      <c r="C454" s="181"/>
      <c r="D454" s="181"/>
      <c r="E454" s="181"/>
      <c r="F454" s="181"/>
      <c r="G454" s="181"/>
      <c r="H454" s="181"/>
      <c r="I454" s="181"/>
      <c r="J454" s="181"/>
      <c r="K454" s="181"/>
      <c r="L454" s="181"/>
      <c r="M454" s="181"/>
      <c r="N454" s="181"/>
      <c r="O454" s="181"/>
      <c r="P454" s="181"/>
      <c r="Q454" s="181"/>
      <c r="R454" s="181"/>
      <c r="S454" s="181"/>
      <c r="T454" s="181"/>
      <c r="U454" s="181"/>
      <c r="V454" s="181"/>
      <c r="W454" s="181"/>
      <c r="X454" s="181"/>
      <c r="Y454" s="181"/>
      <c r="Z454" s="181"/>
    </row>
    <row r="455" ht="14.25" customHeight="1">
      <c r="A455" s="181"/>
      <c r="B455" s="181"/>
      <c r="C455" s="181"/>
      <c r="D455" s="181"/>
      <c r="E455" s="181"/>
      <c r="F455" s="181"/>
      <c r="G455" s="181"/>
      <c r="H455" s="181"/>
      <c r="I455" s="181"/>
      <c r="J455" s="181"/>
      <c r="K455" s="181"/>
      <c r="L455" s="181"/>
      <c r="M455" s="181"/>
      <c r="N455" s="181"/>
      <c r="O455" s="181"/>
      <c r="P455" s="181"/>
      <c r="Q455" s="181"/>
      <c r="R455" s="181"/>
      <c r="S455" s="181"/>
      <c r="T455" s="181"/>
      <c r="U455" s="181"/>
      <c r="V455" s="181"/>
      <c r="W455" s="181"/>
      <c r="X455" s="181"/>
      <c r="Y455" s="181"/>
      <c r="Z455" s="181"/>
    </row>
    <row r="456" ht="14.25" customHeight="1">
      <c r="A456" s="181"/>
      <c r="B456" s="181"/>
      <c r="C456" s="181"/>
      <c r="D456" s="181"/>
      <c r="E456" s="181"/>
      <c r="F456" s="181"/>
      <c r="G456" s="181"/>
      <c r="H456" s="181"/>
      <c r="I456" s="181"/>
      <c r="J456" s="181"/>
      <c r="K456" s="181"/>
      <c r="L456" s="181"/>
      <c r="M456" s="181"/>
      <c r="N456" s="181"/>
      <c r="O456" s="181"/>
      <c r="P456" s="181"/>
      <c r="Q456" s="181"/>
      <c r="R456" s="181"/>
      <c r="S456" s="181"/>
      <c r="T456" s="181"/>
      <c r="U456" s="181"/>
      <c r="V456" s="181"/>
      <c r="W456" s="181"/>
      <c r="X456" s="181"/>
      <c r="Y456" s="181"/>
      <c r="Z456" s="181"/>
    </row>
    <row r="457" ht="14.25" customHeight="1">
      <c r="A457" s="181"/>
      <c r="B457" s="181"/>
      <c r="C457" s="181"/>
      <c r="D457" s="181"/>
      <c r="E457" s="181"/>
      <c r="F457" s="181"/>
      <c r="G457" s="181"/>
      <c r="H457" s="181"/>
      <c r="I457" s="181"/>
      <c r="J457" s="181"/>
      <c r="K457" s="181"/>
      <c r="L457" s="181"/>
      <c r="M457" s="181"/>
      <c r="N457" s="181"/>
      <c r="O457" s="181"/>
      <c r="P457" s="181"/>
      <c r="Q457" s="181"/>
      <c r="R457" s="181"/>
      <c r="S457" s="181"/>
      <c r="T457" s="181"/>
      <c r="U457" s="181"/>
      <c r="V457" s="181"/>
      <c r="W457" s="181"/>
      <c r="X457" s="181"/>
      <c r="Y457" s="181"/>
      <c r="Z457" s="181"/>
    </row>
    <row r="458" ht="14.25" customHeight="1">
      <c r="A458" s="181"/>
      <c r="B458" s="181"/>
      <c r="C458" s="181"/>
      <c r="D458" s="181"/>
      <c r="E458" s="181"/>
      <c r="F458" s="181"/>
      <c r="G458" s="181"/>
      <c r="H458" s="181"/>
      <c r="I458" s="181"/>
      <c r="J458" s="181"/>
      <c r="K458" s="181"/>
      <c r="L458" s="181"/>
      <c r="M458" s="181"/>
      <c r="N458" s="181"/>
      <c r="O458" s="181"/>
      <c r="P458" s="181"/>
      <c r="Q458" s="181"/>
      <c r="R458" s="181"/>
      <c r="S458" s="181"/>
      <c r="T458" s="181"/>
      <c r="U458" s="181"/>
      <c r="V458" s="181"/>
      <c r="W458" s="181"/>
      <c r="X458" s="181"/>
      <c r="Y458" s="181"/>
      <c r="Z458" s="181"/>
    </row>
    <row r="459" ht="14.25" customHeight="1">
      <c r="A459" s="181"/>
      <c r="B459" s="181"/>
      <c r="C459" s="181"/>
      <c r="D459" s="181"/>
      <c r="E459" s="181"/>
      <c r="F459" s="181"/>
      <c r="G459" s="181"/>
      <c r="H459" s="181"/>
      <c r="I459" s="181"/>
      <c r="J459" s="181"/>
      <c r="K459" s="181"/>
      <c r="L459" s="181"/>
      <c r="M459" s="181"/>
      <c r="N459" s="181"/>
      <c r="O459" s="181"/>
      <c r="P459" s="181"/>
      <c r="Q459" s="181"/>
      <c r="R459" s="181"/>
      <c r="S459" s="181"/>
      <c r="T459" s="181"/>
      <c r="U459" s="181"/>
      <c r="V459" s="181"/>
      <c r="W459" s="181"/>
      <c r="X459" s="181"/>
      <c r="Y459" s="181"/>
      <c r="Z459" s="181"/>
    </row>
    <row r="460" ht="14.25" customHeight="1">
      <c r="A460" s="181"/>
      <c r="B460" s="181"/>
      <c r="C460" s="181"/>
      <c r="D460" s="181"/>
      <c r="E460" s="181"/>
      <c r="F460" s="181"/>
      <c r="G460" s="181"/>
      <c r="H460" s="181"/>
      <c r="I460" s="181"/>
      <c r="J460" s="181"/>
      <c r="K460" s="181"/>
      <c r="L460" s="181"/>
      <c r="M460" s="181"/>
      <c r="N460" s="181"/>
      <c r="O460" s="181"/>
      <c r="P460" s="181"/>
      <c r="Q460" s="181"/>
      <c r="R460" s="181"/>
      <c r="S460" s="181"/>
      <c r="T460" s="181"/>
      <c r="U460" s="181"/>
      <c r="V460" s="181"/>
      <c r="W460" s="181"/>
      <c r="X460" s="181"/>
      <c r="Y460" s="181"/>
      <c r="Z460" s="181"/>
    </row>
    <row r="461" ht="14.25" customHeight="1">
      <c r="A461" s="181"/>
      <c r="B461" s="181"/>
      <c r="C461" s="181"/>
      <c r="D461" s="181"/>
      <c r="E461" s="181"/>
      <c r="F461" s="181"/>
      <c r="G461" s="181"/>
      <c r="H461" s="181"/>
      <c r="I461" s="181"/>
      <c r="J461" s="181"/>
      <c r="K461" s="181"/>
      <c r="L461" s="181"/>
      <c r="M461" s="181"/>
      <c r="N461" s="181"/>
      <c r="O461" s="181"/>
      <c r="P461" s="181"/>
      <c r="Q461" s="181"/>
      <c r="R461" s="181"/>
      <c r="S461" s="181"/>
      <c r="T461" s="181"/>
      <c r="U461" s="181"/>
      <c r="V461" s="181"/>
      <c r="W461" s="181"/>
      <c r="X461" s="181"/>
      <c r="Y461" s="181"/>
      <c r="Z461" s="181"/>
    </row>
    <row r="462" ht="14.25" customHeight="1">
      <c r="A462" s="181"/>
      <c r="B462" s="181"/>
      <c r="C462" s="181"/>
      <c r="D462" s="181"/>
      <c r="E462" s="181"/>
      <c r="F462" s="181"/>
      <c r="G462" s="181"/>
      <c r="H462" s="181"/>
      <c r="I462" s="181"/>
      <c r="J462" s="181"/>
      <c r="K462" s="181"/>
      <c r="L462" s="181"/>
      <c r="M462" s="181"/>
      <c r="N462" s="181"/>
      <c r="O462" s="181"/>
      <c r="P462" s="181"/>
      <c r="Q462" s="181"/>
      <c r="R462" s="181"/>
      <c r="S462" s="181"/>
      <c r="T462" s="181"/>
      <c r="U462" s="181"/>
      <c r="V462" s="181"/>
      <c r="W462" s="181"/>
      <c r="X462" s="181"/>
      <c r="Y462" s="181"/>
      <c r="Z462" s="181"/>
    </row>
    <row r="463" ht="14.25" customHeight="1">
      <c r="A463" s="181"/>
      <c r="B463" s="181"/>
      <c r="C463" s="181"/>
      <c r="D463" s="181"/>
      <c r="E463" s="181"/>
      <c r="F463" s="181"/>
      <c r="G463" s="181"/>
      <c r="H463" s="181"/>
      <c r="I463" s="181"/>
      <c r="J463" s="181"/>
      <c r="K463" s="181"/>
      <c r="L463" s="181"/>
      <c r="M463" s="181"/>
      <c r="N463" s="181"/>
      <c r="O463" s="181"/>
      <c r="P463" s="181"/>
      <c r="Q463" s="181"/>
      <c r="R463" s="181"/>
      <c r="S463" s="181"/>
      <c r="T463" s="181"/>
      <c r="U463" s="181"/>
      <c r="V463" s="181"/>
      <c r="W463" s="181"/>
      <c r="X463" s="181"/>
      <c r="Y463" s="181"/>
      <c r="Z463" s="181"/>
    </row>
    <row r="464" ht="14.25" customHeight="1">
      <c r="A464" s="181"/>
      <c r="B464" s="181"/>
      <c r="C464" s="181"/>
      <c r="D464" s="181"/>
      <c r="E464" s="181"/>
      <c r="F464" s="181"/>
      <c r="G464" s="181"/>
      <c r="H464" s="181"/>
      <c r="I464" s="181"/>
      <c r="J464" s="181"/>
      <c r="K464" s="181"/>
      <c r="L464" s="181"/>
      <c r="M464" s="181"/>
      <c r="N464" s="181"/>
      <c r="O464" s="181"/>
      <c r="P464" s="181"/>
      <c r="Q464" s="181"/>
      <c r="R464" s="181"/>
      <c r="S464" s="181"/>
      <c r="T464" s="181"/>
      <c r="U464" s="181"/>
      <c r="V464" s="181"/>
      <c r="W464" s="181"/>
      <c r="X464" s="181"/>
      <c r="Y464" s="181"/>
      <c r="Z464" s="181"/>
    </row>
    <row r="465" ht="14.25" customHeight="1">
      <c r="A465" s="181"/>
      <c r="B465" s="181"/>
      <c r="C465" s="181"/>
      <c r="D465" s="181"/>
      <c r="E465" s="181"/>
      <c r="F465" s="181"/>
      <c r="G465" s="181"/>
      <c r="H465" s="181"/>
      <c r="I465" s="181"/>
      <c r="J465" s="181"/>
      <c r="K465" s="181"/>
      <c r="L465" s="181"/>
      <c r="M465" s="181"/>
      <c r="N465" s="181"/>
      <c r="O465" s="181"/>
      <c r="P465" s="181"/>
      <c r="Q465" s="181"/>
      <c r="R465" s="181"/>
      <c r="S465" s="181"/>
      <c r="T465" s="181"/>
      <c r="U465" s="181"/>
      <c r="V465" s="181"/>
      <c r="W465" s="181"/>
      <c r="X465" s="181"/>
      <c r="Y465" s="181"/>
      <c r="Z465" s="181"/>
    </row>
    <row r="466" ht="14.25" customHeight="1">
      <c r="A466" s="181"/>
      <c r="B466" s="181"/>
      <c r="C466" s="181"/>
      <c r="D466" s="181"/>
      <c r="E466" s="181"/>
      <c r="F466" s="181"/>
      <c r="G466" s="181"/>
      <c r="H466" s="181"/>
      <c r="I466" s="181"/>
      <c r="J466" s="181"/>
      <c r="K466" s="181"/>
      <c r="L466" s="181"/>
      <c r="M466" s="181"/>
      <c r="N466" s="181"/>
      <c r="O466" s="181"/>
      <c r="P466" s="181"/>
      <c r="Q466" s="181"/>
      <c r="R466" s="181"/>
      <c r="S466" s="181"/>
      <c r="T466" s="181"/>
      <c r="U466" s="181"/>
      <c r="V466" s="181"/>
      <c r="W466" s="181"/>
      <c r="X466" s="181"/>
      <c r="Y466" s="181"/>
      <c r="Z466" s="181"/>
    </row>
    <row r="467" ht="14.25" customHeight="1">
      <c r="A467" s="181"/>
      <c r="B467" s="181"/>
      <c r="C467" s="181"/>
      <c r="D467" s="181"/>
      <c r="E467" s="181"/>
      <c r="F467" s="181"/>
      <c r="G467" s="181"/>
      <c r="H467" s="181"/>
      <c r="I467" s="181"/>
      <c r="J467" s="181"/>
      <c r="K467" s="181"/>
      <c r="L467" s="181"/>
      <c r="M467" s="181"/>
      <c r="N467" s="181"/>
      <c r="O467" s="181"/>
      <c r="P467" s="181"/>
      <c r="Q467" s="181"/>
      <c r="R467" s="181"/>
      <c r="S467" s="181"/>
      <c r="T467" s="181"/>
      <c r="U467" s="181"/>
      <c r="V467" s="181"/>
      <c r="W467" s="181"/>
      <c r="X467" s="181"/>
      <c r="Y467" s="181"/>
      <c r="Z467" s="181"/>
    </row>
    <row r="468" ht="14.25" customHeight="1">
      <c r="A468" s="181"/>
      <c r="B468" s="181"/>
      <c r="C468" s="181"/>
      <c r="D468" s="181"/>
      <c r="E468" s="181"/>
      <c r="F468" s="181"/>
      <c r="G468" s="181"/>
      <c r="H468" s="181"/>
      <c r="I468" s="181"/>
      <c r="J468" s="181"/>
      <c r="K468" s="181"/>
      <c r="L468" s="181"/>
      <c r="M468" s="181"/>
      <c r="N468" s="181"/>
      <c r="O468" s="181"/>
      <c r="P468" s="181"/>
      <c r="Q468" s="181"/>
      <c r="R468" s="181"/>
      <c r="S468" s="181"/>
      <c r="T468" s="181"/>
      <c r="U468" s="181"/>
      <c r="V468" s="181"/>
      <c r="W468" s="181"/>
      <c r="X468" s="181"/>
      <c r="Y468" s="181"/>
      <c r="Z468" s="181"/>
    </row>
    <row r="469" ht="14.25" customHeight="1">
      <c r="A469" s="181"/>
      <c r="B469" s="181"/>
      <c r="C469" s="181"/>
      <c r="D469" s="181"/>
      <c r="E469" s="181"/>
      <c r="F469" s="181"/>
      <c r="G469" s="181"/>
      <c r="H469" s="181"/>
      <c r="I469" s="181"/>
      <c r="J469" s="181"/>
      <c r="K469" s="181"/>
      <c r="L469" s="181"/>
      <c r="M469" s="181"/>
      <c r="N469" s="181"/>
      <c r="O469" s="181"/>
      <c r="P469" s="181"/>
      <c r="Q469" s="181"/>
      <c r="R469" s="181"/>
      <c r="S469" s="181"/>
      <c r="T469" s="181"/>
      <c r="U469" s="181"/>
      <c r="V469" s="181"/>
      <c r="W469" s="181"/>
      <c r="X469" s="181"/>
      <c r="Y469" s="181"/>
      <c r="Z469" s="181"/>
    </row>
    <row r="470" ht="14.25" customHeight="1">
      <c r="A470" s="181"/>
      <c r="B470" s="181"/>
      <c r="C470" s="181"/>
      <c r="D470" s="181"/>
      <c r="E470" s="181"/>
      <c r="F470" s="181"/>
      <c r="G470" s="181"/>
      <c r="H470" s="181"/>
      <c r="I470" s="181"/>
      <c r="J470" s="181"/>
      <c r="K470" s="181"/>
      <c r="L470" s="181"/>
      <c r="M470" s="181"/>
      <c r="N470" s="181"/>
      <c r="O470" s="181"/>
      <c r="P470" s="181"/>
      <c r="Q470" s="181"/>
      <c r="R470" s="181"/>
      <c r="S470" s="181"/>
      <c r="T470" s="181"/>
      <c r="U470" s="181"/>
      <c r="V470" s="181"/>
      <c r="W470" s="181"/>
      <c r="X470" s="181"/>
      <c r="Y470" s="181"/>
      <c r="Z470" s="181"/>
    </row>
    <row r="471" ht="14.25" customHeight="1">
      <c r="A471" s="181"/>
      <c r="B471" s="181"/>
      <c r="C471" s="181"/>
      <c r="D471" s="181"/>
      <c r="E471" s="181"/>
      <c r="F471" s="181"/>
      <c r="G471" s="181"/>
      <c r="H471" s="181"/>
      <c r="I471" s="181"/>
      <c r="J471" s="181"/>
      <c r="K471" s="181"/>
      <c r="L471" s="181"/>
      <c r="M471" s="181"/>
      <c r="N471" s="181"/>
      <c r="O471" s="181"/>
      <c r="P471" s="181"/>
      <c r="Q471" s="181"/>
      <c r="R471" s="181"/>
      <c r="S471" s="181"/>
      <c r="T471" s="181"/>
      <c r="U471" s="181"/>
      <c r="V471" s="181"/>
      <c r="W471" s="181"/>
      <c r="X471" s="181"/>
      <c r="Y471" s="181"/>
      <c r="Z471" s="181"/>
    </row>
    <row r="472" ht="14.25" customHeight="1">
      <c r="A472" s="181"/>
      <c r="B472" s="181"/>
      <c r="C472" s="181"/>
      <c r="D472" s="181"/>
      <c r="E472" s="181"/>
      <c r="F472" s="181"/>
      <c r="G472" s="181"/>
      <c r="H472" s="181"/>
      <c r="I472" s="181"/>
      <c r="J472" s="181"/>
      <c r="K472" s="181"/>
      <c r="L472" s="181"/>
      <c r="M472" s="181"/>
      <c r="N472" s="181"/>
      <c r="O472" s="181"/>
      <c r="P472" s="181"/>
      <c r="Q472" s="181"/>
      <c r="R472" s="181"/>
      <c r="S472" s="181"/>
      <c r="T472" s="181"/>
      <c r="U472" s="181"/>
      <c r="V472" s="181"/>
      <c r="W472" s="181"/>
      <c r="X472" s="181"/>
      <c r="Y472" s="181"/>
      <c r="Z472" s="181"/>
    </row>
    <row r="473" ht="14.25" customHeight="1">
      <c r="A473" s="181"/>
      <c r="B473" s="181"/>
      <c r="C473" s="181"/>
      <c r="D473" s="181"/>
      <c r="E473" s="181"/>
      <c r="F473" s="181"/>
      <c r="G473" s="181"/>
      <c r="H473" s="181"/>
      <c r="I473" s="181"/>
      <c r="J473" s="181"/>
      <c r="K473" s="181"/>
      <c r="L473" s="181"/>
      <c r="M473" s="181"/>
      <c r="N473" s="181"/>
      <c r="O473" s="181"/>
      <c r="P473" s="181"/>
      <c r="Q473" s="181"/>
      <c r="R473" s="181"/>
      <c r="S473" s="181"/>
      <c r="T473" s="181"/>
      <c r="U473" s="181"/>
      <c r="V473" s="181"/>
      <c r="W473" s="181"/>
      <c r="X473" s="181"/>
      <c r="Y473" s="181"/>
      <c r="Z473" s="181"/>
    </row>
    <row r="474" ht="14.25" customHeight="1">
      <c r="A474" s="181"/>
      <c r="B474" s="181"/>
      <c r="C474" s="181"/>
      <c r="D474" s="181"/>
      <c r="E474" s="181"/>
      <c r="F474" s="181"/>
      <c r="G474" s="181"/>
      <c r="H474" s="181"/>
      <c r="I474" s="181"/>
      <c r="J474" s="181"/>
      <c r="K474" s="181"/>
      <c r="L474" s="181"/>
      <c r="M474" s="181"/>
      <c r="N474" s="181"/>
      <c r="O474" s="181"/>
      <c r="P474" s="181"/>
      <c r="Q474" s="181"/>
      <c r="R474" s="181"/>
      <c r="S474" s="181"/>
      <c r="T474" s="181"/>
      <c r="U474" s="181"/>
      <c r="V474" s="181"/>
      <c r="W474" s="181"/>
      <c r="X474" s="181"/>
      <c r="Y474" s="181"/>
      <c r="Z474" s="181"/>
    </row>
    <row r="475" ht="14.25" customHeight="1">
      <c r="A475" s="181"/>
      <c r="B475" s="181"/>
      <c r="C475" s="181"/>
      <c r="D475" s="181"/>
      <c r="E475" s="181"/>
      <c r="F475" s="181"/>
      <c r="G475" s="181"/>
      <c r="H475" s="181"/>
      <c r="I475" s="181"/>
      <c r="J475" s="181"/>
      <c r="K475" s="181"/>
      <c r="L475" s="181"/>
      <c r="M475" s="181"/>
      <c r="N475" s="181"/>
      <c r="O475" s="181"/>
      <c r="P475" s="181"/>
      <c r="Q475" s="181"/>
      <c r="R475" s="181"/>
      <c r="S475" s="181"/>
      <c r="T475" s="181"/>
      <c r="U475" s="181"/>
      <c r="V475" s="181"/>
      <c r="W475" s="181"/>
      <c r="X475" s="181"/>
      <c r="Y475" s="181"/>
      <c r="Z475" s="181"/>
    </row>
    <row r="476" ht="14.25" customHeight="1">
      <c r="A476" s="181"/>
      <c r="B476" s="181"/>
      <c r="C476" s="181"/>
      <c r="D476" s="181"/>
      <c r="E476" s="181"/>
      <c r="F476" s="181"/>
      <c r="G476" s="181"/>
      <c r="H476" s="181"/>
      <c r="I476" s="181"/>
      <c r="J476" s="181"/>
      <c r="K476" s="181"/>
      <c r="L476" s="181"/>
      <c r="M476" s="181"/>
      <c r="N476" s="181"/>
      <c r="O476" s="181"/>
      <c r="P476" s="181"/>
      <c r="Q476" s="181"/>
      <c r="R476" s="181"/>
      <c r="S476" s="181"/>
      <c r="T476" s="181"/>
      <c r="U476" s="181"/>
      <c r="V476" s="181"/>
      <c r="W476" s="181"/>
      <c r="X476" s="181"/>
      <c r="Y476" s="181"/>
      <c r="Z476" s="181"/>
    </row>
    <row r="477" ht="14.25" customHeight="1">
      <c r="A477" s="181"/>
      <c r="B477" s="181"/>
      <c r="C477" s="181"/>
      <c r="D477" s="181"/>
      <c r="E477" s="181"/>
      <c r="F477" s="181"/>
      <c r="G477" s="181"/>
      <c r="H477" s="181"/>
      <c r="I477" s="181"/>
      <c r="J477" s="181"/>
      <c r="K477" s="181"/>
      <c r="L477" s="181"/>
      <c r="M477" s="181"/>
      <c r="N477" s="181"/>
      <c r="O477" s="181"/>
      <c r="P477" s="181"/>
      <c r="Q477" s="181"/>
      <c r="R477" s="181"/>
      <c r="S477" s="181"/>
      <c r="T477" s="181"/>
      <c r="U477" s="181"/>
      <c r="V477" s="181"/>
      <c r="W477" s="181"/>
      <c r="X477" s="181"/>
      <c r="Y477" s="181"/>
      <c r="Z477" s="181"/>
    </row>
    <row r="478" ht="14.25" customHeight="1">
      <c r="A478" s="181"/>
      <c r="B478" s="181"/>
      <c r="C478" s="181"/>
      <c r="D478" s="181"/>
      <c r="E478" s="181"/>
      <c r="F478" s="181"/>
      <c r="G478" s="181"/>
      <c r="H478" s="181"/>
      <c r="I478" s="181"/>
      <c r="J478" s="181"/>
      <c r="K478" s="181"/>
      <c r="L478" s="181"/>
      <c r="M478" s="181"/>
      <c r="N478" s="181"/>
      <c r="O478" s="181"/>
      <c r="P478" s="181"/>
      <c r="Q478" s="181"/>
      <c r="R478" s="181"/>
      <c r="S478" s="181"/>
      <c r="T478" s="181"/>
      <c r="U478" s="181"/>
      <c r="V478" s="181"/>
      <c r="W478" s="181"/>
      <c r="X478" s="181"/>
      <c r="Y478" s="181"/>
      <c r="Z478" s="181"/>
    </row>
    <row r="479" ht="14.25" customHeight="1">
      <c r="A479" s="181"/>
      <c r="B479" s="181"/>
      <c r="C479" s="181"/>
      <c r="D479" s="181"/>
      <c r="E479" s="181"/>
      <c r="F479" s="181"/>
      <c r="G479" s="181"/>
      <c r="H479" s="181"/>
      <c r="I479" s="181"/>
      <c r="J479" s="181"/>
      <c r="K479" s="181"/>
      <c r="L479" s="181"/>
      <c r="M479" s="181"/>
      <c r="N479" s="181"/>
      <c r="O479" s="181"/>
      <c r="P479" s="181"/>
      <c r="Q479" s="181"/>
      <c r="R479" s="181"/>
      <c r="S479" s="181"/>
      <c r="T479" s="181"/>
      <c r="U479" s="181"/>
      <c r="V479" s="181"/>
      <c r="W479" s="181"/>
      <c r="X479" s="181"/>
      <c r="Y479" s="181"/>
      <c r="Z479" s="181"/>
    </row>
    <row r="480" ht="14.25" customHeight="1">
      <c r="A480" s="181"/>
      <c r="B480" s="181"/>
      <c r="C480" s="181"/>
      <c r="D480" s="181"/>
      <c r="E480" s="181"/>
      <c r="F480" s="181"/>
      <c r="G480" s="181"/>
      <c r="H480" s="181"/>
      <c r="I480" s="181"/>
      <c r="J480" s="181"/>
      <c r="K480" s="181"/>
      <c r="L480" s="181"/>
      <c r="M480" s="181"/>
      <c r="N480" s="181"/>
      <c r="O480" s="181"/>
      <c r="P480" s="181"/>
      <c r="Q480" s="181"/>
      <c r="R480" s="181"/>
      <c r="S480" s="181"/>
      <c r="T480" s="181"/>
      <c r="U480" s="181"/>
      <c r="V480" s="181"/>
      <c r="W480" s="181"/>
      <c r="X480" s="181"/>
      <c r="Y480" s="181"/>
      <c r="Z480" s="181"/>
    </row>
    <row r="481" ht="14.25" customHeight="1">
      <c r="A481" s="181"/>
      <c r="B481" s="181"/>
      <c r="C481" s="181"/>
      <c r="D481" s="181"/>
      <c r="E481" s="181"/>
      <c r="F481" s="181"/>
      <c r="G481" s="181"/>
      <c r="H481" s="181"/>
      <c r="I481" s="181"/>
      <c r="J481" s="181"/>
      <c r="K481" s="181"/>
      <c r="L481" s="181"/>
      <c r="M481" s="181"/>
      <c r="N481" s="181"/>
      <c r="O481" s="181"/>
      <c r="P481" s="181"/>
      <c r="Q481" s="181"/>
      <c r="R481" s="181"/>
      <c r="S481" s="181"/>
      <c r="T481" s="181"/>
      <c r="U481" s="181"/>
      <c r="V481" s="181"/>
      <c r="W481" s="181"/>
      <c r="X481" s="181"/>
      <c r="Y481" s="181"/>
      <c r="Z481" s="181"/>
    </row>
    <row r="482" ht="14.25" customHeight="1">
      <c r="A482" s="181"/>
      <c r="B482" s="181"/>
      <c r="C482" s="181"/>
      <c r="D482" s="181"/>
      <c r="E482" s="181"/>
      <c r="F482" s="181"/>
      <c r="G482" s="181"/>
      <c r="H482" s="181"/>
      <c r="I482" s="181"/>
      <c r="J482" s="181"/>
      <c r="K482" s="181"/>
      <c r="L482" s="181"/>
      <c r="M482" s="181"/>
      <c r="N482" s="181"/>
      <c r="O482" s="181"/>
      <c r="P482" s="181"/>
      <c r="Q482" s="181"/>
      <c r="R482" s="181"/>
      <c r="S482" s="181"/>
      <c r="T482" s="181"/>
      <c r="U482" s="181"/>
      <c r="V482" s="181"/>
      <c r="W482" s="181"/>
      <c r="X482" s="181"/>
      <c r="Y482" s="181"/>
      <c r="Z482" s="181"/>
    </row>
    <row r="483" ht="14.25" customHeight="1">
      <c r="A483" s="181"/>
      <c r="B483" s="181"/>
      <c r="C483" s="181"/>
      <c r="D483" s="181"/>
      <c r="E483" s="181"/>
      <c r="F483" s="181"/>
      <c r="G483" s="181"/>
      <c r="H483" s="181"/>
      <c r="I483" s="181"/>
      <c r="J483" s="181"/>
      <c r="K483" s="181"/>
      <c r="L483" s="181"/>
      <c r="M483" s="181"/>
      <c r="N483" s="181"/>
      <c r="O483" s="181"/>
      <c r="P483" s="181"/>
      <c r="Q483" s="181"/>
      <c r="R483" s="181"/>
      <c r="S483" s="181"/>
      <c r="T483" s="181"/>
      <c r="U483" s="181"/>
      <c r="V483" s="181"/>
      <c r="W483" s="181"/>
      <c r="X483" s="181"/>
      <c r="Y483" s="181"/>
      <c r="Z483" s="181"/>
    </row>
    <row r="484" ht="14.25" customHeight="1">
      <c r="A484" s="181"/>
      <c r="B484" s="181"/>
      <c r="C484" s="181"/>
      <c r="D484" s="181"/>
      <c r="E484" s="181"/>
      <c r="F484" s="181"/>
      <c r="G484" s="181"/>
      <c r="H484" s="181"/>
      <c r="I484" s="181"/>
      <c r="J484" s="181"/>
      <c r="K484" s="181"/>
      <c r="L484" s="181"/>
      <c r="M484" s="181"/>
      <c r="N484" s="181"/>
      <c r="O484" s="181"/>
      <c r="P484" s="181"/>
      <c r="Q484" s="181"/>
      <c r="R484" s="181"/>
      <c r="S484" s="181"/>
      <c r="T484" s="181"/>
      <c r="U484" s="181"/>
      <c r="V484" s="181"/>
      <c r="W484" s="181"/>
      <c r="X484" s="181"/>
      <c r="Y484" s="181"/>
      <c r="Z484" s="181"/>
    </row>
    <row r="485" ht="14.25" customHeight="1">
      <c r="A485" s="181"/>
      <c r="B485" s="181"/>
      <c r="C485" s="181"/>
      <c r="D485" s="181"/>
      <c r="E485" s="181"/>
      <c r="F485" s="181"/>
      <c r="G485" s="181"/>
      <c r="H485" s="181"/>
      <c r="I485" s="181"/>
      <c r="J485" s="181"/>
      <c r="K485" s="181"/>
      <c r="L485" s="181"/>
      <c r="M485" s="181"/>
      <c r="N485" s="181"/>
      <c r="O485" s="181"/>
      <c r="P485" s="181"/>
      <c r="Q485" s="181"/>
      <c r="R485" s="181"/>
      <c r="S485" s="181"/>
      <c r="T485" s="181"/>
      <c r="U485" s="181"/>
      <c r="V485" s="181"/>
      <c r="W485" s="181"/>
      <c r="X485" s="181"/>
      <c r="Y485" s="181"/>
      <c r="Z485" s="181"/>
    </row>
    <row r="486" ht="14.25" customHeight="1">
      <c r="A486" s="181"/>
      <c r="B486" s="181"/>
      <c r="C486" s="181"/>
      <c r="D486" s="181"/>
      <c r="E486" s="181"/>
      <c r="F486" s="181"/>
      <c r="G486" s="181"/>
      <c r="H486" s="181"/>
      <c r="I486" s="181"/>
      <c r="J486" s="181"/>
      <c r="K486" s="181"/>
      <c r="L486" s="181"/>
      <c r="M486" s="181"/>
      <c r="N486" s="181"/>
      <c r="O486" s="181"/>
      <c r="P486" s="181"/>
      <c r="Q486" s="181"/>
      <c r="R486" s="181"/>
      <c r="S486" s="181"/>
      <c r="T486" s="181"/>
      <c r="U486" s="181"/>
      <c r="V486" s="181"/>
      <c r="W486" s="181"/>
      <c r="X486" s="181"/>
      <c r="Y486" s="181"/>
      <c r="Z486" s="181"/>
    </row>
    <row r="487" ht="14.25" customHeight="1">
      <c r="A487" s="181"/>
      <c r="B487" s="181"/>
      <c r="C487" s="181"/>
      <c r="D487" s="181"/>
      <c r="E487" s="181"/>
      <c r="F487" s="181"/>
      <c r="G487" s="181"/>
      <c r="H487" s="181"/>
      <c r="I487" s="181"/>
      <c r="J487" s="181"/>
      <c r="K487" s="181"/>
      <c r="L487" s="181"/>
      <c r="M487" s="181"/>
      <c r="N487" s="181"/>
      <c r="O487" s="181"/>
      <c r="P487" s="181"/>
      <c r="Q487" s="181"/>
      <c r="R487" s="181"/>
      <c r="S487" s="181"/>
      <c r="T487" s="181"/>
      <c r="U487" s="181"/>
      <c r="V487" s="181"/>
      <c r="W487" s="181"/>
      <c r="X487" s="181"/>
      <c r="Y487" s="181"/>
      <c r="Z487" s="181"/>
    </row>
    <row r="488" ht="14.25" customHeight="1">
      <c r="A488" s="181"/>
      <c r="B488" s="181"/>
      <c r="C488" s="181"/>
      <c r="D488" s="181"/>
      <c r="E488" s="181"/>
      <c r="F488" s="181"/>
      <c r="G488" s="181"/>
      <c r="H488" s="181"/>
      <c r="I488" s="181"/>
      <c r="J488" s="181"/>
      <c r="K488" s="181"/>
      <c r="L488" s="181"/>
      <c r="M488" s="181"/>
      <c r="N488" s="181"/>
      <c r="O488" s="181"/>
      <c r="P488" s="181"/>
      <c r="Q488" s="181"/>
      <c r="R488" s="181"/>
      <c r="S488" s="181"/>
      <c r="T488" s="181"/>
      <c r="U488" s="181"/>
      <c r="V488" s="181"/>
      <c r="W488" s="181"/>
      <c r="X488" s="181"/>
      <c r="Y488" s="181"/>
      <c r="Z488" s="181"/>
    </row>
    <row r="489" ht="14.25" customHeight="1">
      <c r="A489" s="181"/>
      <c r="B489" s="181"/>
      <c r="C489" s="181"/>
      <c r="D489" s="181"/>
      <c r="E489" s="181"/>
      <c r="F489" s="181"/>
      <c r="G489" s="181"/>
      <c r="H489" s="181"/>
      <c r="I489" s="181"/>
      <c r="J489" s="181"/>
      <c r="K489" s="181"/>
      <c r="L489" s="181"/>
      <c r="M489" s="181"/>
      <c r="N489" s="181"/>
      <c r="O489" s="181"/>
      <c r="P489" s="181"/>
      <c r="Q489" s="181"/>
      <c r="R489" s="181"/>
      <c r="S489" s="181"/>
      <c r="T489" s="181"/>
      <c r="U489" s="181"/>
      <c r="V489" s="181"/>
      <c r="W489" s="181"/>
      <c r="X489" s="181"/>
      <c r="Y489" s="181"/>
      <c r="Z489" s="181"/>
    </row>
    <row r="490" ht="14.25" customHeight="1">
      <c r="A490" s="181"/>
      <c r="B490" s="181"/>
      <c r="C490" s="181"/>
      <c r="D490" s="181"/>
      <c r="E490" s="181"/>
      <c r="F490" s="181"/>
      <c r="G490" s="181"/>
      <c r="H490" s="181"/>
      <c r="I490" s="181"/>
      <c r="J490" s="181"/>
      <c r="K490" s="181"/>
      <c r="L490" s="181"/>
      <c r="M490" s="181"/>
      <c r="N490" s="181"/>
      <c r="O490" s="181"/>
      <c r="P490" s="181"/>
      <c r="Q490" s="181"/>
      <c r="R490" s="181"/>
      <c r="S490" s="181"/>
      <c r="T490" s="181"/>
      <c r="U490" s="181"/>
      <c r="V490" s="181"/>
      <c r="W490" s="181"/>
      <c r="X490" s="181"/>
      <c r="Y490" s="181"/>
      <c r="Z490" s="181"/>
    </row>
    <row r="491" ht="14.25" customHeight="1">
      <c r="A491" s="181"/>
      <c r="B491" s="181"/>
      <c r="C491" s="181"/>
      <c r="D491" s="181"/>
      <c r="E491" s="181"/>
      <c r="F491" s="181"/>
      <c r="G491" s="181"/>
      <c r="H491" s="181"/>
      <c r="I491" s="181"/>
      <c r="J491" s="181"/>
      <c r="K491" s="181"/>
      <c r="L491" s="181"/>
      <c r="M491" s="181"/>
      <c r="N491" s="181"/>
      <c r="O491" s="181"/>
      <c r="P491" s="181"/>
      <c r="Q491" s="181"/>
      <c r="R491" s="181"/>
      <c r="S491" s="181"/>
      <c r="T491" s="181"/>
      <c r="U491" s="181"/>
      <c r="V491" s="181"/>
      <c r="W491" s="181"/>
      <c r="X491" s="181"/>
      <c r="Y491" s="181"/>
      <c r="Z491" s="181"/>
    </row>
    <row r="492" ht="14.25" customHeight="1">
      <c r="A492" s="181"/>
      <c r="B492" s="181"/>
      <c r="C492" s="181"/>
      <c r="D492" s="181"/>
      <c r="E492" s="181"/>
      <c r="F492" s="181"/>
      <c r="G492" s="181"/>
      <c r="H492" s="181"/>
      <c r="I492" s="181"/>
      <c r="J492" s="181"/>
      <c r="K492" s="181"/>
      <c r="L492" s="181"/>
      <c r="M492" s="181"/>
      <c r="N492" s="181"/>
      <c r="O492" s="181"/>
      <c r="P492" s="181"/>
      <c r="Q492" s="181"/>
      <c r="R492" s="181"/>
      <c r="S492" s="181"/>
      <c r="T492" s="181"/>
      <c r="U492" s="181"/>
      <c r="V492" s="181"/>
      <c r="W492" s="181"/>
      <c r="X492" s="181"/>
      <c r="Y492" s="181"/>
      <c r="Z492" s="181"/>
    </row>
    <row r="493" ht="14.25" customHeight="1">
      <c r="A493" s="181"/>
      <c r="B493" s="181"/>
      <c r="C493" s="181"/>
      <c r="D493" s="181"/>
      <c r="E493" s="181"/>
      <c r="F493" s="181"/>
      <c r="G493" s="181"/>
      <c r="H493" s="181"/>
      <c r="I493" s="181"/>
      <c r="J493" s="181"/>
      <c r="K493" s="181"/>
      <c r="L493" s="181"/>
      <c r="M493" s="181"/>
      <c r="N493" s="181"/>
      <c r="O493" s="181"/>
      <c r="P493" s="181"/>
      <c r="Q493" s="181"/>
      <c r="R493" s="181"/>
      <c r="S493" s="181"/>
      <c r="T493" s="181"/>
      <c r="U493" s="181"/>
      <c r="V493" s="181"/>
      <c r="W493" s="181"/>
      <c r="X493" s="181"/>
      <c r="Y493" s="181"/>
      <c r="Z493" s="181"/>
    </row>
    <row r="494" ht="14.25" customHeight="1">
      <c r="A494" s="181"/>
      <c r="B494" s="181"/>
      <c r="C494" s="181"/>
      <c r="D494" s="181"/>
      <c r="E494" s="181"/>
      <c r="F494" s="181"/>
      <c r="G494" s="181"/>
      <c r="H494" s="181"/>
      <c r="I494" s="181"/>
      <c r="J494" s="181"/>
      <c r="K494" s="181"/>
      <c r="L494" s="181"/>
      <c r="M494" s="181"/>
      <c r="N494" s="181"/>
      <c r="O494" s="181"/>
      <c r="P494" s="181"/>
      <c r="Q494" s="181"/>
      <c r="R494" s="181"/>
      <c r="S494" s="181"/>
      <c r="T494" s="181"/>
      <c r="U494" s="181"/>
      <c r="V494" s="181"/>
      <c r="W494" s="181"/>
      <c r="X494" s="181"/>
      <c r="Y494" s="181"/>
      <c r="Z494" s="181"/>
    </row>
    <row r="495" ht="14.25" customHeight="1">
      <c r="A495" s="181"/>
      <c r="B495" s="181"/>
      <c r="C495" s="181"/>
      <c r="D495" s="181"/>
      <c r="E495" s="181"/>
      <c r="F495" s="181"/>
      <c r="G495" s="181"/>
      <c r="H495" s="181"/>
      <c r="I495" s="181"/>
      <c r="J495" s="181"/>
      <c r="K495" s="181"/>
      <c r="L495" s="181"/>
      <c r="M495" s="181"/>
      <c r="N495" s="181"/>
      <c r="O495" s="181"/>
      <c r="P495" s="181"/>
      <c r="Q495" s="181"/>
      <c r="R495" s="181"/>
      <c r="S495" s="181"/>
      <c r="T495" s="181"/>
      <c r="U495" s="181"/>
      <c r="V495" s="181"/>
      <c r="W495" s="181"/>
      <c r="X495" s="181"/>
      <c r="Y495" s="181"/>
      <c r="Z495" s="181"/>
    </row>
    <row r="496" ht="14.25" customHeight="1">
      <c r="A496" s="181"/>
      <c r="B496" s="181"/>
      <c r="C496" s="181"/>
      <c r="D496" s="181"/>
      <c r="E496" s="181"/>
      <c r="F496" s="181"/>
      <c r="G496" s="181"/>
      <c r="H496" s="181"/>
      <c r="I496" s="181"/>
      <c r="J496" s="181"/>
      <c r="K496" s="181"/>
      <c r="L496" s="181"/>
      <c r="M496" s="181"/>
      <c r="N496" s="181"/>
      <c r="O496" s="181"/>
      <c r="P496" s="181"/>
      <c r="Q496" s="181"/>
      <c r="R496" s="181"/>
      <c r="S496" s="181"/>
      <c r="T496" s="181"/>
      <c r="U496" s="181"/>
      <c r="V496" s="181"/>
      <c r="W496" s="181"/>
      <c r="X496" s="181"/>
      <c r="Y496" s="181"/>
      <c r="Z496" s="181"/>
    </row>
    <row r="497" ht="14.25" customHeight="1">
      <c r="A497" s="181"/>
      <c r="B497" s="181"/>
      <c r="C497" s="181"/>
      <c r="D497" s="181"/>
      <c r="E497" s="181"/>
      <c r="F497" s="181"/>
      <c r="G497" s="181"/>
      <c r="H497" s="181"/>
      <c r="I497" s="181"/>
      <c r="J497" s="181"/>
      <c r="K497" s="181"/>
      <c r="L497" s="181"/>
      <c r="M497" s="181"/>
      <c r="N497" s="181"/>
      <c r="O497" s="181"/>
      <c r="P497" s="181"/>
      <c r="Q497" s="181"/>
      <c r="R497" s="181"/>
      <c r="S497" s="181"/>
      <c r="T497" s="181"/>
      <c r="U497" s="181"/>
      <c r="V497" s="181"/>
      <c r="W497" s="181"/>
      <c r="X497" s="181"/>
      <c r="Y497" s="181"/>
      <c r="Z497" s="181"/>
    </row>
    <row r="498" ht="14.25" customHeight="1">
      <c r="A498" s="181"/>
      <c r="B498" s="181"/>
      <c r="C498" s="181"/>
      <c r="D498" s="181"/>
      <c r="E498" s="181"/>
      <c r="F498" s="181"/>
      <c r="G498" s="181"/>
      <c r="H498" s="181"/>
      <c r="I498" s="181"/>
      <c r="J498" s="181"/>
      <c r="K498" s="181"/>
      <c r="L498" s="181"/>
      <c r="M498" s="181"/>
      <c r="N498" s="181"/>
      <c r="O498" s="181"/>
      <c r="P498" s="181"/>
      <c r="Q498" s="181"/>
      <c r="R498" s="181"/>
      <c r="S498" s="181"/>
      <c r="T498" s="181"/>
      <c r="U498" s="181"/>
      <c r="V498" s="181"/>
      <c r="W498" s="181"/>
      <c r="X498" s="181"/>
      <c r="Y498" s="181"/>
      <c r="Z498" s="181"/>
    </row>
    <row r="499" ht="14.25" customHeight="1">
      <c r="A499" s="181"/>
      <c r="B499" s="181"/>
      <c r="C499" s="181"/>
      <c r="D499" s="181"/>
      <c r="E499" s="181"/>
      <c r="F499" s="181"/>
      <c r="G499" s="181"/>
      <c r="H499" s="181"/>
      <c r="I499" s="181"/>
      <c r="J499" s="181"/>
      <c r="K499" s="181"/>
      <c r="L499" s="181"/>
      <c r="M499" s="181"/>
      <c r="N499" s="181"/>
      <c r="O499" s="181"/>
      <c r="P499" s="181"/>
      <c r="Q499" s="181"/>
      <c r="R499" s="181"/>
      <c r="S499" s="181"/>
      <c r="T499" s="181"/>
      <c r="U499" s="181"/>
      <c r="V499" s="181"/>
      <c r="W499" s="181"/>
      <c r="X499" s="181"/>
      <c r="Y499" s="181"/>
      <c r="Z499" s="181"/>
    </row>
    <row r="500" ht="14.25" customHeight="1">
      <c r="A500" s="181"/>
      <c r="B500" s="181"/>
      <c r="C500" s="181"/>
      <c r="D500" s="181"/>
      <c r="E500" s="181"/>
      <c r="F500" s="181"/>
      <c r="G500" s="181"/>
      <c r="H500" s="181"/>
      <c r="I500" s="181"/>
      <c r="J500" s="181"/>
      <c r="K500" s="181"/>
      <c r="L500" s="181"/>
      <c r="M500" s="181"/>
      <c r="N500" s="181"/>
      <c r="O500" s="181"/>
      <c r="P500" s="181"/>
      <c r="Q500" s="181"/>
      <c r="R500" s="181"/>
      <c r="S500" s="181"/>
      <c r="T500" s="181"/>
      <c r="U500" s="181"/>
      <c r="V500" s="181"/>
      <c r="W500" s="181"/>
      <c r="X500" s="181"/>
      <c r="Y500" s="181"/>
      <c r="Z500" s="181"/>
    </row>
    <row r="501" ht="14.25" customHeight="1">
      <c r="A501" s="181"/>
      <c r="B501" s="181"/>
      <c r="C501" s="181"/>
      <c r="D501" s="181"/>
      <c r="E501" s="181"/>
      <c r="F501" s="181"/>
      <c r="G501" s="181"/>
      <c r="H501" s="181"/>
      <c r="I501" s="181"/>
      <c r="J501" s="181"/>
      <c r="K501" s="181"/>
      <c r="L501" s="181"/>
      <c r="M501" s="181"/>
      <c r="N501" s="181"/>
      <c r="O501" s="181"/>
      <c r="P501" s="181"/>
      <c r="Q501" s="181"/>
      <c r="R501" s="181"/>
      <c r="S501" s="181"/>
      <c r="T501" s="181"/>
      <c r="U501" s="181"/>
      <c r="V501" s="181"/>
      <c r="W501" s="181"/>
      <c r="X501" s="181"/>
      <c r="Y501" s="181"/>
      <c r="Z501" s="181"/>
    </row>
    <row r="502" ht="14.25" customHeight="1">
      <c r="A502" s="181"/>
      <c r="B502" s="181"/>
      <c r="C502" s="181"/>
      <c r="D502" s="181"/>
      <c r="E502" s="181"/>
      <c r="F502" s="181"/>
      <c r="G502" s="181"/>
      <c r="H502" s="181"/>
      <c r="I502" s="181"/>
      <c r="J502" s="181"/>
      <c r="K502" s="181"/>
      <c r="L502" s="181"/>
      <c r="M502" s="181"/>
      <c r="N502" s="181"/>
      <c r="O502" s="181"/>
      <c r="P502" s="181"/>
      <c r="Q502" s="181"/>
      <c r="R502" s="181"/>
      <c r="S502" s="181"/>
      <c r="T502" s="181"/>
      <c r="U502" s="181"/>
      <c r="V502" s="181"/>
      <c r="W502" s="181"/>
      <c r="X502" s="181"/>
      <c r="Y502" s="181"/>
      <c r="Z502" s="181"/>
    </row>
    <row r="503" ht="14.25" customHeight="1">
      <c r="A503" s="181"/>
      <c r="B503" s="181"/>
      <c r="C503" s="181"/>
      <c r="D503" s="181"/>
      <c r="E503" s="181"/>
      <c r="F503" s="181"/>
      <c r="G503" s="181"/>
      <c r="H503" s="181"/>
      <c r="I503" s="181"/>
      <c r="J503" s="181"/>
      <c r="K503" s="181"/>
      <c r="L503" s="181"/>
      <c r="M503" s="181"/>
      <c r="N503" s="181"/>
      <c r="O503" s="181"/>
      <c r="P503" s="181"/>
      <c r="Q503" s="181"/>
      <c r="R503" s="181"/>
      <c r="S503" s="181"/>
      <c r="T503" s="181"/>
      <c r="U503" s="181"/>
      <c r="V503" s="181"/>
      <c r="W503" s="181"/>
      <c r="X503" s="181"/>
      <c r="Y503" s="181"/>
      <c r="Z503" s="181"/>
    </row>
    <row r="504" ht="14.25" customHeight="1">
      <c r="A504" s="181"/>
      <c r="B504" s="181"/>
      <c r="C504" s="181"/>
      <c r="D504" s="181"/>
      <c r="E504" s="181"/>
      <c r="F504" s="181"/>
      <c r="G504" s="181"/>
      <c r="H504" s="181"/>
      <c r="I504" s="181"/>
      <c r="J504" s="181"/>
      <c r="K504" s="181"/>
      <c r="L504" s="181"/>
      <c r="M504" s="181"/>
      <c r="N504" s="181"/>
      <c r="O504" s="181"/>
      <c r="P504" s="181"/>
      <c r="Q504" s="181"/>
      <c r="R504" s="181"/>
      <c r="S504" s="181"/>
      <c r="T504" s="181"/>
      <c r="U504" s="181"/>
      <c r="V504" s="181"/>
      <c r="W504" s="181"/>
      <c r="X504" s="181"/>
      <c r="Y504" s="181"/>
      <c r="Z504" s="181"/>
    </row>
    <row r="505" ht="14.25" customHeight="1">
      <c r="A505" s="181"/>
      <c r="B505" s="181"/>
      <c r="C505" s="181"/>
      <c r="D505" s="181"/>
      <c r="E505" s="181"/>
      <c r="F505" s="181"/>
      <c r="G505" s="181"/>
      <c r="H505" s="181"/>
      <c r="I505" s="181"/>
      <c r="J505" s="181"/>
      <c r="K505" s="181"/>
      <c r="L505" s="181"/>
      <c r="M505" s="181"/>
      <c r="N505" s="181"/>
      <c r="O505" s="181"/>
      <c r="P505" s="181"/>
      <c r="Q505" s="181"/>
      <c r="R505" s="181"/>
      <c r="S505" s="181"/>
      <c r="T505" s="181"/>
      <c r="U505" s="181"/>
      <c r="V505" s="181"/>
      <c r="W505" s="181"/>
      <c r="X505" s="181"/>
      <c r="Y505" s="181"/>
      <c r="Z505" s="181"/>
    </row>
    <row r="506" ht="14.25" customHeight="1">
      <c r="A506" s="181"/>
      <c r="B506" s="181"/>
      <c r="C506" s="181"/>
      <c r="D506" s="181"/>
      <c r="E506" s="181"/>
      <c r="F506" s="181"/>
      <c r="G506" s="181"/>
      <c r="H506" s="181"/>
      <c r="I506" s="181"/>
      <c r="J506" s="181"/>
      <c r="K506" s="181"/>
      <c r="L506" s="181"/>
      <c r="M506" s="181"/>
      <c r="N506" s="181"/>
      <c r="O506" s="181"/>
      <c r="P506" s="181"/>
      <c r="Q506" s="181"/>
      <c r="R506" s="181"/>
      <c r="S506" s="181"/>
      <c r="T506" s="181"/>
      <c r="U506" s="181"/>
      <c r="V506" s="181"/>
      <c r="W506" s="181"/>
      <c r="X506" s="181"/>
      <c r="Y506" s="181"/>
      <c r="Z506" s="181"/>
    </row>
    <row r="507" ht="14.25" customHeight="1">
      <c r="A507" s="181"/>
      <c r="B507" s="181"/>
      <c r="C507" s="181"/>
      <c r="D507" s="181"/>
      <c r="E507" s="181"/>
      <c r="F507" s="181"/>
      <c r="G507" s="181"/>
      <c r="H507" s="181"/>
      <c r="I507" s="181"/>
      <c r="J507" s="181"/>
      <c r="K507" s="181"/>
      <c r="L507" s="181"/>
      <c r="M507" s="181"/>
      <c r="N507" s="181"/>
      <c r="O507" s="181"/>
      <c r="P507" s="181"/>
      <c r="Q507" s="181"/>
      <c r="R507" s="181"/>
      <c r="S507" s="181"/>
      <c r="T507" s="181"/>
      <c r="U507" s="181"/>
      <c r="V507" s="181"/>
      <c r="W507" s="181"/>
      <c r="X507" s="181"/>
      <c r="Y507" s="181"/>
      <c r="Z507" s="181"/>
    </row>
    <row r="508" ht="14.25" customHeight="1">
      <c r="A508" s="181"/>
      <c r="B508" s="181"/>
      <c r="C508" s="181"/>
      <c r="D508" s="181"/>
      <c r="E508" s="181"/>
      <c r="F508" s="181"/>
      <c r="G508" s="181"/>
      <c r="H508" s="181"/>
      <c r="I508" s="181"/>
      <c r="J508" s="181"/>
      <c r="K508" s="181"/>
      <c r="L508" s="181"/>
      <c r="M508" s="181"/>
      <c r="N508" s="181"/>
      <c r="O508" s="181"/>
      <c r="P508" s="181"/>
      <c r="Q508" s="181"/>
      <c r="R508" s="181"/>
      <c r="S508" s="181"/>
      <c r="T508" s="181"/>
      <c r="U508" s="181"/>
      <c r="V508" s="181"/>
      <c r="W508" s="181"/>
      <c r="X508" s="181"/>
      <c r="Y508" s="181"/>
      <c r="Z508" s="181"/>
    </row>
    <row r="509" ht="14.25" customHeight="1">
      <c r="A509" s="181"/>
      <c r="B509" s="181"/>
      <c r="C509" s="181"/>
      <c r="D509" s="181"/>
      <c r="E509" s="181"/>
      <c r="F509" s="181"/>
      <c r="G509" s="181"/>
      <c r="H509" s="181"/>
      <c r="I509" s="181"/>
      <c r="J509" s="181"/>
      <c r="K509" s="181"/>
      <c r="L509" s="181"/>
      <c r="M509" s="181"/>
      <c r="N509" s="181"/>
      <c r="O509" s="181"/>
      <c r="P509" s="181"/>
      <c r="Q509" s="181"/>
      <c r="R509" s="181"/>
      <c r="S509" s="181"/>
      <c r="T509" s="181"/>
      <c r="U509" s="181"/>
      <c r="V509" s="181"/>
      <c r="W509" s="181"/>
      <c r="X509" s="181"/>
      <c r="Y509" s="181"/>
      <c r="Z509" s="181"/>
    </row>
    <row r="510" ht="14.25" customHeight="1">
      <c r="A510" s="181"/>
      <c r="B510" s="181"/>
      <c r="C510" s="181"/>
      <c r="D510" s="181"/>
      <c r="E510" s="181"/>
      <c r="F510" s="181"/>
      <c r="G510" s="181"/>
      <c r="H510" s="181"/>
      <c r="I510" s="181"/>
      <c r="J510" s="181"/>
      <c r="K510" s="181"/>
      <c r="L510" s="181"/>
      <c r="M510" s="181"/>
      <c r="N510" s="181"/>
      <c r="O510" s="181"/>
      <c r="P510" s="181"/>
      <c r="Q510" s="181"/>
      <c r="R510" s="181"/>
      <c r="S510" s="181"/>
      <c r="T510" s="181"/>
      <c r="U510" s="181"/>
      <c r="V510" s="181"/>
      <c r="W510" s="181"/>
      <c r="X510" s="181"/>
      <c r="Y510" s="181"/>
      <c r="Z510" s="181"/>
    </row>
    <row r="511" ht="14.25" customHeight="1">
      <c r="A511" s="181"/>
      <c r="B511" s="181"/>
      <c r="C511" s="181"/>
      <c r="D511" s="181"/>
      <c r="E511" s="181"/>
      <c r="F511" s="181"/>
      <c r="G511" s="181"/>
      <c r="H511" s="181"/>
      <c r="I511" s="181"/>
      <c r="J511" s="181"/>
      <c r="K511" s="181"/>
      <c r="L511" s="181"/>
      <c r="M511" s="181"/>
      <c r="N511" s="181"/>
      <c r="O511" s="181"/>
      <c r="P511" s="181"/>
      <c r="Q511" s="181"/>
      <c r="R511" s="181"/>
      <c r="S511" s="181"/>
      <c r="T511" s="181"/>
      <c r="U511" s="181"/>
      <c r="V511" s="181"/>
      <c r="W511" s="181"/>
      <c r="X511" s="181"/>
      <c r="Y511" s="181"/>
      <c r="Z511" s="181"/>
    </row>
    <row r="512" ht="14.25" customHeight="1">
      <c r="A512" s="181"/>
      <c r="B512" s="181"/>
      <c r="C512" s="181"/>
      <c r="D512" s="181"/>
      <c r="E512" s="181"/>
      <c r="F512" s="181"/>
      <c r="G512" s="181"/>
      <c r="H512" s="181"/>
      <c r="I512" s="181"/>
      <c r="J512" s="181"/>
      <c r="K512" s="181"/>
      <c r="L512" s="181"/>
      <c r="M512" s="181"/>
      <c r="N512" s="181"/>
      <c r="O512" s="181"/>
      <c r="P512" s="181"/>
      <c r="Q512" s="181"/>
      <c r="R512" s="181"/>
      <c r="S512" s="181"/>
      <c r="T512" s="181"/>
      <c r="U512" s="181"/>
      <c r="V512" s="181"/>
      <c r="W512" s="181"/>
      <c r="X512" s="181"/>
      <c r="Y512" s="181"/>
      <c r="Z512" s="181"/>
    </row>
    <row r="513" ht="14.25" customHeight="1">
      <c r="A513" s="181"/>
      <c r="B513" s="181"/>
      <c r="C513" s="181"/>
      <c r="D513" s="181"/>
      <c r="E513" s="181"/>
      <c r="F513" s="181"/>
      <c r="G513" s="181"/>
      <c r="H513" s="181"/>
      <c r="I513" s="181"/>
      <c r="J513" s="181"/>
      <c r="K513" s="181"/>
      <c r="L513" s="181"/>
      <c r="M513" s="181"/>
      <c r="N513" s="181"/>
      <c r="O513" s="181"/>
      <c r="P513" s="181"/>
      <c r="Q513" s="181"/>
      <c r="R513" s="181"/>
      <c r="S513" s="181"/>
      <c r="T513" s="181"/>
      <c r="U513" s="181"/>
      <c r="V513" s="181"/>
      <c r="W513" s="181"/>
      <c r="X513" s="181"/>
      <c r="Y513" s="181"/>
      <c r="Z513" s="181"/>
    </row>
    <row r="514" ht="14.25" customHeight="1">
      <c r="A514" s="181"/>
      <c r="B514" s="181"/>
      <c r="C514" s="181"/>
      <c r="D514" s="181"/>
      <c r="E514" s="181"/>
      <c r="F514" s="181"/>
      <c r="G514" s="181"/>
      <c r="H514" s="181"/>
      <c r="I514" s="181"/>
      <c r="J514" s="181"/>
      <c r="K514" s="181"/>
      <c r="L514" s="181"/>
      <c r="M514" s="181"/>
      <c r="N514" s="181"/>
      <c r="O514" s="181"/>
      <c r="P514" s="181"/>
      <c r="Q514" s="181"/>
      <c r="R514" s="181"/>
      <c r="S514" s="181"/>
      <c r="T514" s="181"/>
      <c r="U514" s="181"/>
      <c r="V514" s="181"/>
      <c r="W514" s="181"/>
      <c r="X514" s="181"/>
      <c r="Y514" s="181"/>
      <c r="Z514" s="181"/>
    </row>
    <row r="515" ht="14.25" customHeight="1">
      <c r="A515" s="181"/>
      <c r="B515" s="181"/>
      <c r="C515" s="181"/>
      <c r="D515" s="181"/>
      <c r="E515" s="181"/>
      <c r="F515" s="181"/>
      <c r="G515" s="181"/>
      <c r="H515" s="181"/>
      <c r="I515" s="181"/>
      <c r="J515" s="181"/>
      <c r="K515" s="181"/>
      <c r="L515" s="181"/>
      <c r="M515" s="181"/>
      <c r="N515" s="181"/>
      <c r="O515" s="181"/>
      <c r="P515" s="181"/>
      <c r="Q515" s="181"/>
      <c r="R515" s="181"/>
      <c r="S515" s="181"/>
      <c r="T515" s="181"/>
      <c r="U515" s="181"/>
      <c r="V515" s="181"/>
      <c r="W515" s="181"/>
      <c r="X515" s="181"/>
      <c r="Y515" s="181"/>
      <c r="Z515" s="181"/>
    </row>
    <row r="516" ht="14.25" customHeight="1">
      <c r="A516" s="181"/>
      <c r="B516" s="181"/>
      <c r="C516" s="181"/>
      <c r="D516" s="181"/>
      <c r="E516" s="181"/>
      <c r="F516" s="181"/>
      <c r="G516" s="181"/>
      <c r="H516" s="181"/>
      <c r="I516" s="181"/>
      <c r="J516" s="181"/>
      <c r="K516" s="181"/>
      <c r="L516" s="181"/>
      <c r="M516" s="181"/>
      <c r="N516" s="181"/>
      <c r="O516" s="181"/>
      <c r="P516" s="181"/>
      <c r="Q516" s="181"/>
      <c r="R516" s="181"/>
      <c r="S516" s="181"/>
      <c r="T516" s="181"/>
      <c r="U516" s="181"/>
      <c r="V516" s="181"/>
      <c r="W516" s="181"/>
      <c r="X516" s="181"/>
      <c r="Y516" s="181"/>
      <c r="Z516" s="181"/>
    </row>
    <row r="517" ht="14.25" customHeight="1">
      <c r="A517" s="181"/>
      <c r="B517" s="181"/>
      <c r="C517" s="181"/>
      <c r="D517" s="181"/>
      <c r="E517" s="181"/>
      <c r="F517" s="181"/>
      <c r="G517" s="181"/>
      <c r="H517" s="181"/>
      <c r="I517" s="181"/>
      <c r="J517" s="181"/>
      <c r="K517" s="181"/>
      <c r="L517" s="181"/>
      <c r="M517" s="181"/>
      <c r="N517" s="181"/>
      <c r="O517" s="181"/>
      <c r="P517" s="181"/>
      <c r="Q517" s="181"/>
      <c r="R517" s="181"/>
      <c r="S517" s="181"/>
      <c r="T517" s="181"/>
      <c r="U517" s="181"/>
      <c r="V517" s="181"/>
      <c r="W517" s="181"/>
      <c r="X517" s="181"/>
      <c r="Y517" s="181"/>
      <c r="Z517" s="181"/>
    </row>
    <row r="518" ht="14.25" customHeight="1">
      <c r="A518" s="181"/>
      <c r="B518" s="181"/>
      <c r="C518" s="181"/>
      <c r="D518" s="181"/>
      <c r="E518" s="181"/>
      <c r="F518" s="181"/>
      <c r="G518" s="181"/>
      <c r="H518" s="181"/>
      <c r="I518" s="181"/>
      <c r="J518" s="181"/>
      <c r="K518" s="181"/>
      <c r="L518" s="181"/>
      <c r="M518" s="181"/>
      <c r="N518" s="181"/>
      <c r="O518" s="181"/>
      <c r="P518" s="181"/>
      <c r="Q518" s="181"/>
      <c r="R518" s="181"/>
      <c r="S518" s="181"/>
      <c r="T518" s="181"/>
      <c r="U518" s="181"/>
      <c r="V518" s="181"/>
      <c r="W518" s="181"/>
      <c r="X518" s="181"/>
      <c r="Y518" s="181"/>
      <c r="Z518" s="181"/>
    </row>
    <row r="519" ht="14.25" customHeight="1">
      <c r="A519" s="181"/>
      <c r="B519" s="181"/>
      <c r="C519" s="181"/>
      <c r="D519" s="181"/>
      <c r="E519" s="181"/>
      <c r="F519" s="181"/>
      <c r="G519" s="181"/>
      <c r="H519" s="181"/>
      <c r="I519" s="181"/>
      <c r="J519" s="181"/>
      <c r="K519" s="181"/>
      <c r="L519" s="181"/>
      <c r="M519" s="181"/>
      <c r="N519" s="181"/>
      <c r="O519" s="181"/>
      <c r="P519" s="181"/>
      <c r="Q519" s="181"/>
      <c r="R519" s="181"/>
      <c r="S519" s="181"/>
      <c r="T519" s="181"/>
      <c r="U519" s="181"/>
      <c r="V519" s="181"/>
      <c r="W519" s="181"/>
      <c r="X519" s="181"/>
      <c r="Y519" s="181"/>
      <c r="Z519" s="181"/>
    </row>
    <row r="520" ht="14.25" customHeight="1">
      <c r="A520" s="181"/>
      <c r="B520" s="181"/>
      <c r="C520" s="181"/>
      <c r="D520" s="181"/>
      <c r="E520" s="181"/>
      <c r="F520" s="181"/>
      <c r="G520" s="181"/>
      <c r="H520" s="181"/>
      <c r="I520" s="181"/>
      <c r="J520" s="181"/>
      <c r="K520" s="181"/>
      <c r="L520" s="181"/>
      <c r="M520" s="181"/>
      <c r="N520" s="181"/>
      <c r="O520" s="181"/>
      <c r="P520" s="181"/>
      <c r="Q520" s="181"/>
      <c r="R520" s="181"/>
      <c r="S520" s="181"/>
      <c r="T520" s="181"/>
      <c r="U520" s="181"/>
      <c r="V520" s="181"/>
      <c r="W520" s="181"/>
      <c r="X520" s="181"/>
      <c r="Y520" s="181"/>
      <c r="Z520" s="181"/>
    </row>
    <row r="521" ht="14.25" customHeight="1">
      <c r="A521" s="181"/>
      <c r="B521" s="181"/>
      <c r="C521" s="181"/>
      <c r="D521" s="181"/>
      <c r="E521" s="181"/>
      <c r="F521" s="181"/>
      <c r="G521" s="181"/>
      <c r="H521" s="181"/>
      <c r="I521" s="181"/>
      <c r="J521" s="181"/>
      <c r="K521" s="181"/>
      <c r="L521" s="181"/>
      <c r="M521" s="181"/>
      <c r="N521" s="181"/>
      <c r="O521" s="181"/>
      <c r="P521" s="181"/>
      <c r="Q521" s="181"/>
      <c r="R521" s="181"/>
      <c r="S521" s="181"/>
      <c r="T521" s="181"/>
      <c r="U521" s="181"/>
      <c r="V521" s="181"/>
      <c r="W521" s="181"/>
      <c r="X521" s="181"/>
      <c r="Y521" s="181"/>
      <c r="Z521" s="181"/>
    </row>
    <row r="522" ht="14.25" customHeight="1">
      <c r="A522" s="181"/>
      <c r="B522" s="181"/>
      <c r="C522" s="181"/>
      <c r="D522" s="181"/>
      <c r="E522" s="181"/>
      <c r="F522" s="181"/>
      <c r="G522" s="181"/>
      <c r="H522" s="181"/>
      <c r="I522" s="181"/>
      <c r="J522" s="181"/>
      <c r="K522" s="181"/>
      <c r="L522" s="181"/>
      <c r="M522" s="181"/>
      <c r="N522" s="181"/>
      <c r="O522" s="181"/>
      <c r="P522" s="181"/>
      <c r="Q522" s="181"/>
      <c r="R522" s="181"/>
      <c r="S522" s="181"/>
      <c r="T522" s="181"/>
      <c r="U522" s="181"/>
      <c r="V522" s="181"/>
      <c r="W522" s="181"/>
      <c r="X522" s="181"/>
      <c r="Y522" s="181"/>
      <c r="Z522" s="181"/>
    </row>
    <row r="523" ht="14.25" customHeight="1">
      <c r="A523" s="181"/>
      <c r="B523" s="181"/>
      <c r="C523" s="181"/>
      <c r="D523" s="181"/>
      <c r="E523" s="181"/>
      <c r="F523" s="181"/>
      <c r="G523" s="181"/>
      <c r="H523" s="181"/>
      <c r="I523" s="181"/>
      <c r="J523" s="181"/>
      <c r="K523" s="181"/>
      <c r="L523" s="181"/>
      <c r="M523" s="181"/>
      <c r="N523" s="181"/>
      <c r="O523" s="181"/>
      <c r="P523" s="181"/>
      <c r="Q523" s="181"/>
      <c r="R523" s="181"/>
      <c r="S523" s="181"/>
      <c r="T523" s="181"/>
      <c r="U523" s="181"/>
      <c r="V523" s="181"/>
      <c r="W523" s="181"/>
      <c r="X523" s="181"/>
      <c r="Y523" s="181"/>
      <c r="Z523" s="181"/>
    </row>
    <row r="524" ht="14.25" customHeight="1">
      <c r="A524" s="181"/>
      <c r="B524" s="181"/>
      <c r="C524" s="181"/>
      <c r="D524" s="181"/>
      <c r="E524" s="181"/>
      <c r="F524" s="181"/>
      <c r="G524" s="181"/>
      <c r="H524" s="181"/>
      <c r="I524" s="181"/>
      <c r="J524" s="181"/>
      <c r="K524" s="181"/>
      <c r="L524" s="181"/>
      <c r="M524" s="181"/>
      <c r="N524" s="181"/>
      <c r="O524" s="181"/>
      <c r="P524" s="181"/>
      <c r="Q524" s="181"/>
      <c r="R524" s="181"/>
      <c r="S524" s="181"/>
      <c r="T524" s="181"/>
      <c r="U524" s="181"/>
      <c r="V524" s="181"/>
      <c r="W524" s="181"/>
      <c r="X524" s="181"/>
      <c r="Y524" s="181"/>
      <c r="Z524" s="181"/>
    </row>
    <row r="525" ht="14.25" customHeight="1">
      <c r="A525" s="181"/>
      <c r="B525" s="181"/>
      <c r="C525" s="181"/>
      <c r="D525" s="181"/>
      <c r="E525" s="181"/>
      <c r="F525" s="181"/>
      <c r="G525" s="181"/>
      <c r="H525" s="181"/>
      <c r="I525" s="181"/>
      <c r="J525" s="181"/>
      <c r="K525" s="181"/>
      <c r="L525" s="181"/>
      <c r="M525" s="181"/>
      <c r="N525" s="181"/>
      <c r="O525" s="181"/>
      <c r="P525" s="181"/>
      <c r="Q525" s="181"/>
      <c r="R525" s="181"/>
      <c r="S525" s="181"/>
      <c r="T525" s="181"/>
      <c r="U525" s="181"/>
      <c r="V525" s="181"/>
      <c r="W525" s="181"/>
      <c r="X525" s="181"/>
      <c r="Y525" s="181"/>
      <c r="Z525" s="181"/>
    </row>
    <row r="526" ht="14.25" customHeight="1">
      <c r="A526" s="181"/>
      <c r="B526" s="181"/>
      <c r="C526" s="181"/>
      <c r="D526" s="181"/>
      <c r="E526" s="181"/>
      <c r="F526" s="181"/>
      <c r="G526" s="181"/>
      <c r="H526" s="181"/>
      <c r="I526" s="181"/>
      <c r="J526" s="181"/>
      <c r="K526" s="181"/>
      <c r="L526" s="181"/>
      <c r="M526" s="181"/>
      <c r="N526" s="181"/>
      <c r="O526" s="181"/>
      <c r="P526" s="181"/>
      <c r="Q526" s="181"/>
      <c r="R526" s="181"/>
      <c r="S526" s="181"/>
      <c r="T526" s="181"/>
      <c r="U526" s="181"/>
      <c r="V526" s="181"/>
      <c r="W526" s="181"/>
      <c r="X526" s="181"/>
      <c r="Y526" s="181"/>
      <c r="Z526" s="181"/>
    </row>
    <row r="527" ht="14.25" customHeight="1">
      <c r="A527" s="181"/>
      <c r="B527" s="181"/>
      <c r="C527" s="181"/>
      <c r="D527" s="181"/>
      <c r="E527" s="181"/>
      <c r="F527" s="181"/>
      <c r="G527" s="181"/>
      <c r="H527" s="181"/>
      <c r="I527" s="181"/>
      <c r="J527" s="181"/>
      <c r="K527" s="181"/>
      <c r="L527" s="181"/>
      <c r="M527" s="181"/>
      <c r="N527" s="181"/>
      <c r="O527" s="181"/>
      <c r="P527" s="181"/>
      <c r="Q527" s="181"/>
      <c r="R527" s="181"/>
      <c r="S527" s="181"/>
      <c r="T527" s="181"/>
      <c r="U527" s="181"/>
      <c r="V527" s="181"/>
      <c r="W527" s="181"/>
      <c r="X527" s="181"/>
      <c r="Y527" s="181"/>
      <c r="Z527" s="181"/>
    </row>
    <row r="528" ht="14.25" customHeight="1">
      <c r="A528" s="181"/>
      <c r="B528" s="181"/>
      <c r="C528" s="181"/>
      <c r="D528" s="181"/>
      <c r="E528" s="181"/>
      <c r="F528" s="181"/>
      <c r="G528" s="181"/>
      <c r="H528" s="181"/>
      <c r="I528" s="181"/>
      <c r="J528" s="181"/>
      <c r="K528" s="181"/>
      <c r="L528" s="181"/>
      <c r="M528" s="181"/>
      <c r="N528" s="181"/>
      <c r="O528" s="181"/>
      <c r="P528" s="181"/>
      <c r="Q528" s="181"/>
      <c r="R528" s="181"/>
      <c r="S528" s="181"/>
      <c r="T528" s="181"/>
      <c r="U528" s="181"/>
      <c r="V528" s="181"/>
      <c r="W528" s="181"/>
      <c r="X528" s="181"/>
      <c r="Y528" s="181"/>
      <c r="Z528" s="181"/>
    </row>
    <row r="529" ht="14.25" customHeight="1">
      <c r="A529" s="181"/>
      <c r="B529" s="181"/>
      <c r="C529" s="181"/>
      <c r="D529" s="181"/>
      <c r="E529" s="181"/>
      <c r="F529" s="181"/>
      <c r="G529" s="181"/>
      <c r="H529" s="181"/>
      <c r="I529" s="181"/>
      <c r="J529" s="181"/>
      <c r="K529" s="181"/>
      <c r="L529" s="181"/>
      <c r="M529" s="181"/>
      <c r="N529" s="181"/>
      <c r="O529" s="181"/>
      <c r="P529" s="181"/>
      <c r="Q529" s="181"/>
      <c r="R529" s="181"/>
      <c r="S529" s="181"/>
      <c r="T529" s="181"/>
      <c r="U529" s="181"/>
      <c r="V529" s="181"/>
      <c r="W529" s="181"/>
      <c r="X529" s="181"/>
      <c r="Y529" s="181"/>
      <c r="Z529" s="181"/>
    </row>
    <row r="530" ht="14.25" customHeight="1">
      <c r="A530" s="181"/>
      <c r="B530" s="181"/>
      <c r="C530" s="181"/>
      <c r="D530" s="181"/>
      <c r="E530" s="181"/>
      <c r="F530" s="181"/>
      <c r="G530" s="181"/>
      <c r="H530" s="181"/>
      <c r="I530" s="181"/>
      <c r="J530" s="181"/>
      <c r="K530" s="181"/>
      <c r="L530" s="181"/>
      <c r="M530" s="181"/>
      <c r="N530" s="181"/>
      <c r="O530" s="181"/>
      <c r="P530" s="181"/>
      <c r="Q530" s="181"/>
      <c r="R530" s="181"/>
      <c r="S530" s="181"/>
      <c r="T530" s="181"/>
      <c r="U530" s="181"/>
      <c r="V530" s="181"/>
      <c r="W530" s="181"/>
      <c r="X530" s="181"/>
      <c r="Y530" s="181"/>
      <c r="Z530" s="181"/>
    </row>
    <row r="531" ht="14.25" customHeight="1">
      <c r="A531" s="181"/>
      <c r="B531" s="181"/>
      <c r="C531" s="181"/>
      <c r="D531" s="181"/>
      <c r="E531" s="181"/>
      <c r="F531" s="181"/>
      <c r="G531" s="181"/>
      <c r="H531" s="181"/>
      <c r="I531" s="181"/>
      <c r="J531" s="181"/>
      <c r="K531" s="181"/>
      <c r="L531" s="181"/>
      <c r="M531" s="181"/>
      <c r="N531" s="181"/>
      <c r="O531" s="181"/>
      <c r="P531" s="181"/>
      <c r="Q531" s="181"/>
      <c r="R531" s="181"/>
      <c r="S531" s="181"/>
      <c r="T531" s="181"/>
      <c r="U531" s="181"/>
      <c r="V531" s="181"/>
      <c r="W531" s="181"/>
      <c r="X531" s="181"/>
      <c r="Y531" s="181"/>
      <c r="Z531" s="181"/>
    </row>
    <row r="532" ht="14.25" customHeight="1">
      <c r="A532" s="181"/>
      <c r="B532" s="181"/>
      <c r="C532" s="181"/>
      <c r="D532" s="181"/>
      <c r="E532" s="181"/>
      <c r="F532" s="181"/>
      <c r="G532" s="181"/>
      <c r="H532" s="181"/>
      <c r="I532" s="181"/>
      <c r="J532" s="181"/>
      <c r="K532" s="181"/>
      <c r="L532" s="181"/>
      <c r="M532" s="181"/>
      <c r="N532" s="181"/>
      <c r="O532" s="181"/>
      <c r="P532" s="181"/>
      <c r="Q532" s="181"/>
      <c r="R532" s="181"/>
      <c r="S532" s="181"/>
      <c r="T532" s="181"/>
      <c r="U532" s="181"/>
      <c r="V532" s="181"/>
      <c r="W532" s="181"/>
      <c r="X532" s="181"/>
      <c r="Y532" s="181"/>
      <c r="Z532" s="181"/>
    </row>
    <row r="533" ht="14.25" customHeight="1">
      <c r="A533" s="181"/>
      <c r="B533" s="181"/>
      <c r="C533" s="181"/>
      <c r="D533" s="181"/>
      <c r="E533" s="181"/>
      <c r="F533" s="181"/>
      <c r="G533" s="181"/>
      <c r="H533" s="181"/>
      <c r="I533" s="181"/>
      <c r="J533" s="181"/>
      <c r="K533" s="181"/>
      <c r="L533" s="181"/>
      <c r="M533" s="181"/>
      <c r="N533" s="181"/>
      <c r="O533" s="181"/>
      <c r="P533" s="181"/>
      <c r="Q533" s="181"/>
      <c r="R533" s="181"/>
      <c r="S533" s="181"/>
      <c r="T533" s="181"/>
      <c r="U533" s="181"/>
      <c r="V533" s="181"/>
      <c r="W533" s="181"/>
      <c r="X533" s="181"/>
      <c r="Y533" s="181"/>
      <c r="Z533" s="181"/>
    </row>
    <row r="534" ht="14.25" customHeight="1">
      <c r="A534" s="181"/>
      <c r="B534" s="181"/>
      <c r="C534" s="181"/>
      <c r="D534" s="181"/>
      <c r="E534" s="181"/>
      <c r="F534" s="181"/>
      <c r="G534" s="181"/>
      <c r="H534" s="181"/>
      <c r="I534" s="181"/>
      <c r="J534" s="181"/>
      <c r="K534" s="181"/>
      <c r="L534" s="181"/>
      <c r="M534" s="181"/>
      <c r="N534" s="181"/>
      <c r="O534" s="181"/>
      <c r="P534" s="181"/>
      <c r="Q534" s="181"/>
      <c r="R534" s="181"/>
      <c r="S534" s="181"/>
      <c r="T534" s="181"/>
      <c r="U534" s="181"/>
      <c r="V534" s="181"/>
      <c r="W534" s="181"/>
      <c r="X534" s="181"/>
      <c r="Y534" s="181"/>
      <c r="Z534" s="181"/>
    </row>
    <row r="535" ht="14.25" customHeight="1">
      <c r="A535" s="181"/>
      <c r="B535" s="181"/>
      <c r="C535" s="181"/>
      <c r="D535" s="181"/>
      <c r="E535" s="181"/>
      <c r="F535" s="181"/>
      <c r="G535" s="181"/>
      <c r="H535" s="181"/>
      <c r="I535" s="181"/>
      <c r="J535" s="181"/>
      <c r="K535" s="181"/>
      <c r="L535" s="181"/>
      <c r="M535" s="181"/>
      <c r="N535" s="181"/>
      <c r="O535" s="181"/>
      <c r="P535" s="181"/>
      <c r="Q535" s="181"/>
      <c r="R535" s="181"/>
      <c r="S535" s="181"/>
      <c r="T535" s="181"/>
      <c r="U535" s="181"/>
      <c r="V535" s="181"/>
      <c r="W535" s="181"/>
      <c r="X535" s="181"/>
      <c r="Y535" s="181"/>
      <c r="Z535" s="181"/>
    </row>
    <row r="536" ht="14.25" customHeight="1">
      <c r="A536" s="181"/>
      <c r="B536" s="181"/>
      <c r="C536" s="181"/>
      <c r="D536" s="181"/>
      <c r="E536" s="181"/>
      <c r="F536" s="181"/>
      <c r="G536" s="181"/>
      <c r="H536" s="181"/>
      <c r="I536" s="181"/>
      <c r="J536" s="181"/>
      <c r="K536" s="181"/>
      <c r="L536" s="181"/>
      <c r="M536" s="181"/>
      <c r="N536" s="181"/>
      <c r="O536" s="181"/>
      <c r="P536" s="181"/>
      <c r="Q536" s="181"/>
      <c r="R536" s="181"/>
      <c r="S536" s="181"/>
      <c r="T536" s="181"/>
      <c r="U536" s="181"/>
      <c r="V536" s="181"/>
      <c r="W536" s="181"/>
      <c r="X536" s="181"/>
      <c r="Y536" s="181"/>
      <c r="Z536" s="181"/>
    </row>
    <row r="537" ht="14.25" customHeight="1">
      <c r="A537" s="181"/>
      <c r="B537" s="181"/>
      <c r="C537" s="181"/>
      <c r="D537" s="181"/>
      <c r="E537" s="181"/>
      <c r="F537" s="181"/>
      <c r="G537" s="181"/>
      <c r="H537" s="181"/>
      <c r="I537" s="181"/>
      <c r="J537" s="181"/>
      <c r="K537" s="181"/>
      <c r="L537" s="181"/>
      <c r="M537" s="181"/>
      <c r="N537" s="181"/>
      <c r="O537" s="181"/>
      <c r="P537" s="181"/>
      <c r="Q537" s="181"/>
      <c r="R537" s="181"/>
      <c r="S537" s="181"/>
      <c r="T537" s="181"/>
      <c r="U537" s="181"/>
      <c r="V537" s="181"/>
      <c r="W537" s="181"/>
      <c r="X537" s="181"/>
      <c r="Y537" s="181"/>
      <c r="Z537" s="181"/>
    </row>
    <row r="538" ht="14.25" customHeight="1">
      <c r="A538" s="181"/>
      <c r="B538" s="181"/>
      <c r="C538" s="181"/>
      <c r="D538" s="181"/>
      <c r="E538" s="181"/>
      <c r="F538" s="181"/>
      <c r="G538" s="181"/>
      <c r="H538" s="181"/>
      <c r="I538" s="181"/>
      <c r="J538" s="181"/>
      <c r="K538" s="181"/>
      <c r="L538" s="181"/>
      <c r="M538" s="181"/>
      <c r="N538" s="181"/>
      <c r="O538" s="181"/>
      <c r="P538" s="181"/>
      <c r="Q538" s="181"/>
      <c r="R538" s="181"/>
      <c r="S538" s="181"/>
      <c r="T538" s="181"/>
      <c r="U538" s="181"/>
      <c r="V538" s="181"/>
      <c r="W538" s="181"/>
      <c r="X538" s="181"/>
      <c r="Y538" s="181"/>
      <c r="Z538" s="181"/>
    </row>
    <row r="539" ht="14.25" customHeight="1">
      <c r="A539" s="181"/>
      <c r="B539" s="181"/>
      <c r="C539" s="181"/>
      <c r="D539" s="181"/>
      <c r="E539" s="181"/>
      <c r="F539" s="181"/>
      <c r="G539" s="181"/>
      <c r="H539" s="181"/>
      <c r="I539" s="181"/>
      <c r="J539" s="181"/>
      <c r="K539" s="181"/>
      <c r="L539" s="181"/>
      <c r="M539" s="181"/>
      <c r="N539" s="181"/>
      <c r="O539" s="181"/>
      <c r="P539" s="181"/>
      <c r="Q539" s="181"/>
      <c r="R539" s="181"/>
      <c r="S539" s="181"/>
      <c r="T539" s="181"/>
      <c r="U539" s="181"/>
      <c r="V539" s="181"/>
      <c r="W539" s="181"/>
      <c r="X539" s="181"/>
      <c r="Y539" s="181"/>
      <c r="Z539" s="181"/>
    </row>
    <row r="540" ht="14.25" customHeight="1">
      <c r="A540" s="181"/>
      <c r="B540" s="181"/>
      <c r="C540" s="181"/>
      <c r="D540" s="181"/>
      <c r="E540" s="181"/>
      <c r="F540" s="181"/>
      <c r="G540" s="181"/>
      <c r="H540" s="181"/>
      <c r="I540" s="181"/>
      <c r="J540" s="181"/>
      <c r="K540" s="181"/>
      <c r="L540" s="181"/>
      <c r="M540" s="181"/>
      <c r="N540" s="181"/>
      <c r="O540" s="181"/>
      <c r="P540" s="181"/>
      <c r="Q540" s="181"/>
      <c r="R540" s="181"/>
      <c r="S540" s="181"/>
      <c r="T540" s="181"/>
      <c r="U540" s="181"/>
      <c r="V540" s="181"/>
      <c r="W540" s="181"/>
      <c r="X540" s="181"/>
      <c r="Y540" s="181"/>
      <c r="Z540" s="181"/>
    </row>
    <row r="541" ht="14.25" customHeight="1">
      <c r="A541" s="181"/>
      <c r="B541" s="181"/>
      <c r="C541" s="181"/>
      <c r="D541" s="181"/>
      <c r="E541" s="181"/>
      <c r="F541" s="181"/>
      <c r="G541" s="181"/>
      <c r="H541" s="181"/>
      <c r="I541" s="181"/>
      <c r="J541" s="181"/>
      <c r="K541" s="181"/>
      <c r="L541" s="181"/>
      <c r="M541" s="181"/>
      <c r="N541" s="181"/>
      <c r="O541" s="181"/>
      <c r="P541" s="181"/>
      <c r="Q541" s="181"/>
      <c r="R541" s="181"/>
      <c r="S541" s="181"/>
      <c r="T541" s="181"/>
      <c r="U541" s="181"/>
      <c r="V541" s="181"/>
      <c r="W541" s="181"/>
      <c r="X541" s="181"/>
      <c r="Y541" s="181"/>
      <c r="Z541" s="181"/>
    </row>
    <row r="542" ht="14.25" customHeight="1">
      <c r="A542" s="181"/>
      <c r="B542" s="181"/>
      <c r="C542" s="181"/>
      <c r="D542" s="181"/>
      <c r="E542" s="181"/>
      <c r="F542" s="181"/>
      <c r="G542" s="181"/>
      <c r="H542" s="181"/>
      <c r="I542" s="181"/>
      <c r="J542" s="181"/>
      <c r="K542" s="181"/>
      <c r="L542" s="181"/>
      <c r="M542" s="181"/>
      <c r="N542" s="181"/>
      <c r="O542" s="181"/>
      <c r="P542" s="181"/>
      <c r="Q542" s="181"/>
      <c r="R542" s="181"/>
      <c r="S542" s="181"/>
      <c r="T542" s="181"/>
      <c r="U542" s="181"/>
      <c r="V542" s="181"/>
      <c r="W542" s="181"/>
      <c r="X542" s="181"/>
      <c r="Y542" s="181"/>
      <c r="Z542" s="181"/>
    </row>
    <row r="543" ht="14.25" customHeight="1">
      <c r="A543" s="181"/>
      <c r="B543" s="181"/>
      <c r="C543" s="181"/>
      <c r="D543" s="181"/>
      <c r="E543" s="181"/>
      <c r="F543" s="181"/>
      <c r="G543" s="181"/>
      <c r="H543" s="181"/>
      <c r="I543" s="181"/>
      <c r="J543" s="181"/>
      <c r="K543" s="181"/>
      <c r="L543" s="181"/>
      <c r="M543" s="181"/>
      <c r="N543" s="181"/>
      <c r="O543" s="181"/>
      <c r="P543" s="181"/>
      <c r="Q543" s="181"/>
      <c r="R543" s="181"/>
      <c r="S543" s="181"/>
      <c r="T543" s="181"/>
      <c r="U543" s="181"/>
      <c r="V543" s="181"/>
      <c r="W543" s="181"/>
      <c r="X543" s="181"/>
      <c r="Y543" s="181"/>
      <c r="Z543" s="181"/>
    </row>
    <row r="544" ht="14.25" customHeight="1">
      <c r="A544" s="181"/>
      <c r="B544" s="181"/>
      <c r="C544" s="181"/>
      <c r="D544" s="181"/>
      <c r="E544" s="181"/>
      <c r="F544" s="181"/>
      <c r="G544" s="181"/>
      <c r="H544" s="181"/>
      <c r="I544" s="181"/>
      <c r="J544" s="181"/>
      <c r="K544" s="181"/>
      <c r="L544" s="181"/>
      <c r="M544" s="181"/>
      <c r="N544" s="181"/>
      <c r="O544" s="181"/>
      <c r="P544" s="181"/>
      <c r="Q544" s="181"/>
      <c r="R544" s="181"/>
      <c r="S544" s="181"/>
      <c r="T544" s="181"/>
      <c r="U544" s="181"/>
      <c r="V544" s="181"/>
      <c r="W544" s="181"/>
      <c r="X544" s="181"/>
      <c r="Y544" s="181"/>
      <c r="Z544" s="181"/>
    </row>
    <row r="545" ht="14.25" customHeight="1">
      <c r="A545" s="181"/>
      <c r="B545" s="181"/>
      <c r="C545" s="181"/>
      <c r="D545" s="181"/>
      <c r="E545" s="181"/>
      <c r="F545" s="181"/>
      <c r="G545" s="181"/>
      <c r="H545" s="181"/>
      <c r="I545" s="181"/>
      <c r="J545" s="181"/>
      <c r="K545" s="181"/>
      <c r="L545" s="181"/>
      <c r="M545" s="181"/>
      <c r="N545" s="181"/>
      <c r="O545" s="181"/>
      <c r="P545" s="181"/>
      <c r="Q545" s="181"/>
      <c r="R545" s="181"/>
      <c r="S545" s="181"/>
      <c r="T545" s="181"/>
      <c r="U545" s="181"/>
      <c r="V545" s="181"/>
      <c r="W545" s="181"/>
      <c r="X545" s="181"/>
      <c r="Y545" s="181"/>
      <c r="Z545" s="181"/>
    </row>
    <row r="546" ht="14.25" customHeight="1">
      <c r="A546" s="181"/>
      <c r="B546" s="181"/>
      <c r="C546" s="181"/>
      <c r="D546" s="181"/>
      <c r="E546" s="181"/>
      <c r="F546" s="181"/>
      <c r="G546" s="181"/>
      <c r="H546" s="181"/>
      <c r="I546" s="181"/>
      <c r="J546" s="181"/>
      <c r="K546" s="181"/>
      <c r="L546" s="181"/>
      <c r="M546" s="181"/>
      <c r="N546" s="181"/>
      <c r="O546" s="181"/>
      <c r="P546" s="181"/>
      <c r="Q546" s="181"/>
      <c r="R546" s="181"/>
      <c r="S546" s="181"/>
      <c r="T546" s="181"/>
      <c r="U546" s="181"/>
      <c r="V546" s="181"/>
      <c r="W546" s="181"/>
      <c r="X546" s="181"/>
      <c r="Y546" s="181"/>
      <c r="Z546" s="181"/>
    </row>
    <row r="547" ht="14.25" customHeight="1">
      <c r="A547" s="181"/>
      <c r="B547" s="181"/>
      <c r="C547" s="181"/>
      <c r="D547" s="181"/>
      <c r="E547" s="181"/>
      <c r="F547" s="181"/>
      <c r="G547" s="181"/>
      <c r="H547" s="181"/>
      <c r="I547" s="181"/>
      <c r="J547" s="181"/>
      <c r="K547" s="181"/>
      <c r="L547" s="181"/>
      <c r="M547" s="181"/>
      <c r="N547" s="181"/>
      <c r="O547" s="181"/>
      <c r="P547" s="181"/>
      <c r="Q547" s="181"/>
      <c r="R547" s="181"/>
      <c r="S547" s="181"/>
      <c r="T547" s="181"/>
      <c r="U547" s="181"/>
      <c r="V547" s="181"/>
      <c r="W547" s="181"/>
      <c r="X547" s="181"/>
      <c r="Y547" s="181"/>
      <c r="Z547" s="181"/>
    </row>
    <row r="548" ht="14.25" customHeight="1">
      <c r="A548" s="181"/>
      <c r="B548" s="181"/>
      <c r="C548" s="181"/>
      <c r="D548" s="181"/>
      <c r="E548" s="181"/>
      <c r="F548" s="181"/>
      <c r="G548" s="181"/>
      <c r="H548" s="181"/>
      <c r="I548" s="181"/>
      <c r="J548" s="181"/>
      <c r="K548" s="181"/>
      <c r="L548" s="181"/>
      <c r="M548" s="181"/>
      <c r="N548" s="181"/>
      <c r="O548" s="181"/>
      <c r="P548" s="181"/>
      <c r="Q548" s="181"/>
      <c r="R548" s="181"/>
      <c r="S548" s="181"/>
      <c r="T548" s="181"/>
      <c r="U548" s="181"/>
      <c r="V548" s="181"/>
      <c r="W548" s="181"/>
      <c r="X548" s="181"/>
      <c r="Y548" s="181"/>
      <c r="Z548" s="181"/>
    </row>
    <row r="549" ht="14.25" customHeight="1">
      <c r="A549" s="181"/>
      <c r="B549" s="181"/>
      <c r="C549" s="181"/>
      <c r="D549" s="181"/>
      <c r="E549" s="181"/>
      <c r="F549" s="181"/>
      <c r="G549" s="181"/>
      <c r="H549" s="181"/>
      <c r="I549" s="181"/>
      <c r="J549" s="181"/>
      <c r="K549" s="181"/>
      <c r="L549" s="181"/>
      <c r="M549" s="181"/>
      <c r="N549" s="181"/>
      <c r="O549" s="181"/>
      <c r="P549" s="181"/>
      <c r="Q549" s="181"/>
      <c r="R549" s="181"/>
      <c r="S549" s="181"/>
      <c r="T549" s="181"/>
      <c r="U549" s="181"/>
      <c r="V549" s="181"/>
      <c r="W549" s="181"/>
      <c r="X549" s="181"/>
      <c r="Y549" s="181"/>
      <c r="Z549" s="181"/>
    </row>
    <row r="550" ht="14.25" customHeight="1">
      <c r="A550" s="181"/>
      <c r="B550" s="181"/>
      <c r="C550" s="181"/>
      <c r="D550" s="181"/>
      <c r="E550" s="181"/>
      <c r="F550" s="181"/>
      <c r="G550" s="181"/>
      <c r="H550" s="181"/>
      <c r="I550" s="181"/>
      <c r="J550" s="181"/>
      <c r="K550" s="181"/>
      <c r="L550" s="181"/>
      <c r="M550" s="181"/>
      <c r="N550" s="181"/>
      <c r="O550" s="181"/>
      <c r="P550" s="181"/>
      <c r="Q550" s="181"/>
      <c r="R550" s="181"/>
      <c r="S550" s="181"/>
      <c r="T550" s="181"/>
      <c r="U550" s="181"/>
      <c r="V550" s="181"/>
      <c r="W550" s="181"/>
      <c r="X550" s="181"/>
      <c r="Y550" s="181"/>
      <c r="Z550" s="181"/>
    </row>
    <row r="551" ht="14.25" customHeight="1">
      <c r="A551" s="181"/>
      <c r="B551" s="181"/>
      <c r="C551" s="181"/>
      <c r="D551" s="181"/>
      <c r="E551" s="181"/>
      <c r="F551" s="181"/>
      <c r="G551" s="181"/>
      <c r="H551" s="181"/>
      <c r="I551" s="181"/>
      <c r="J551" s="181"/>
      <c r="K551" s="181"/>
      <c r="L551" s="181"/>
      <c r="M551" s="181"/>
      <c r="N551" s="181"/>
      <c r="O551" s="181"/>
      <c r="P551" s="181"/>
      <c r="Q551" s="181"/>
      <c r="R551" s="181"/>
      <c r="S551" s="181"/>
      <c r="T551" s="181"/>
      <c r="U551" s="181"/>
      <c r="V551" s="181"/>
      <c r="W551" s="181"/>
      <c r="X551" s="181"/>
      <c r="Y551" s="181"/>
      <c r="Z551" s="181"/>
    </row>
    <row r="552" ht="14.25" customHeight="1">
      <c r="A552" s="181"/>
      <c r="B552" s="181"/>
      <c r="C552" s="181"/>
      <c r="D552" s="181"/>
      <c r="E552" s="181"/>
      <c r="F552" s="181"/>
      <c r="G552" s="181"/>
      <c r="H552" s="181"/>
      <c r="I552" s="181"/>
      <c r="J552" s="181"/>
      <c r="K552" s="181"/>
      <c r="L552" s="181"/>
      <c r="M552" s="181"/>
      <c r="N552" s="181"/>
      <c r="O552" s="181"/>
      <c r="P552" s="181"/>
      <c r="Q552" s="181"/>
      <c r="R552" s="181"/>
      <c r="S552" s="181"/>
      <c r="T552" s="181"/>
      <c r="U552" s="181"/>
      <c r="V552" s="181"/>
      <c r="W552" s="181"/>
      <c r="X552" s="181"/>
      <c r="Y552" s="181"/>
      <c r="Z552" s="181"/>
    </row>
    <row r="553" ht="14.25" customHeight="1">
      <c r="A553" s="181"/>
      <c r="B553" s="181"/>
      <c r="C553" s="181"/>
      <c r="D553" s="181"/>
      <c r="E553" s="181"/>
      <c r="F553" s="181"/>
      <c r="G553" s="181"/>
      <c r="H553" s="181"/>
      <c r="I553" s="181"/>
      <c r="J553" s="181"/>
      <c r="K553" s="181"/>
      <c r="L553" s="181"/>
      <c r="M553" s="181"/>
      <c r="N553" s="181"/>
      <c r="O553" s="181"/>
      <c r="P553" s="181"/>
      <c r="Q553" s="181"/>
      <c r="R553" s="181"/>
      <c r="S553" s="181"/>
      <c r="T553" s="181"/>
      <c r="U553" s="181"/>
      <c r="V553" s="181"/>
      <c r="W553" s="181"/>
      <c r="X553" s="181"/>
      <c r="Y553" s="181"/>
      <c r="Z553" s="181"/>
    </row>
    <row r="554" ht="14.25" customHeight="1">
      <c r="A554" s="181"/>
      <c r="B554" s="181"/>
      <c r="C554" s="181"/>
      <c r="D554" s="181"/>
      <c r="E554" s="181"/>
      <c r="F554" s="181"/>
      <c r="G554" s="181"/>
      <c r="H554" s="181"/>
      <c r="I554" s="181"/>
      <c r="J554" s="181"/>
      <c r="K554" s="181"/>
      <c r="L554" s="181"/>
      <c r="M554" s="181"/>
      <c r="N554" s="181"/>
      <c r="O554" s="181"/>
      <c r="P554" s="181"/>
      <c r="Q554" s="181"/>
      <c r="R554" s="181"/>
      <c r="S554" s="181"/>
      <c r="T554" s="181"/>
      <c r="U554" s="181"/>
      <c r="V554" s="181"/>
      <c r="W554" s="181"/>
      <c r="X554" s="181"/>
      <c r="Y554" s="181"/>
      <c r="Z554" s="181"/>
    </row>
    <row r="555" ht="14.25" customHeight="1">
      <c r="A555" s="181"/>
      <c r="B555" s="181"/>
      <c r="C555" s="181"/>
      <c r="D555" s="181"/>
      <c r="E555" s="181"/>
      <c r="F555" s="181"/>
      <c r="G555" s="181"/>
      <c r="H555" s="181"/>
      <c r="I555" s="181"/>
      <c r="J555" s="181"/>
      <c r="K555" s="181"/>
      <c r="L555" s="181"/>
      <c r="M555" s="181"/>
      <c r="N555" s="181"/>
      <c r="O555" s="181"/>
      <c r="P555" s="181"/>
      <c r="Q555" s="181"/>
      <c r="R555" s="181"/>
      <c r="S555" s="181"/>
      <c r="T555" s="181"/>
      <c r="U555" s="181"/>
      <c r="V555" s="181"/>
      <c r="W555" s="181"/>
      <c r="X555" s="181"/>
      <c r="Y555" s="181"/>
      <c r="Z555" s="181"/>
    </row>
    <row r="556" ht="14.25" customHeight="1">
      <c r="A556" s="181"/>
      <c r="B556" s="181"/>
      <c r="C556" s="181"/>
      <c r="D556" s="181"/>
      <c r="E556" s="181"/>
      <c r="F556" s="181"/>
      <c r="G556" s="181"/>
      <c r="H556" s="181"/>
      <c r="I556" s="181"/>
      <c r="J556" s="181"/>
      <c r="K556" s="181"/>
      <c r="L556" s="181"/>
      <c r="M556" s="181"/>
      <c r="N556" s="181"/>
      <c r="O556" s="181"/>
      <c r="P556" s="181"/>
      <c r="Q556" s="181"/>
      <c r="R556" s="181"/>
      <c r="S556" s="181"/>
      <c r="T556" s="181"/>
      <c r="U556" s="181"/>
      <c r="V556" s="181"/>
      <c r="W556" s="181"/>
      <c r="X556" s="181"/>
      <c r="Y556" s="181"/>
      <c r="Z556" s="181"/>
    </row>
    <row r="557" ht="14.25" customHeight="1">
      <c r="A557" s="181"/>
      <c r="B557" s="181"/>
      <c r="C557" s="181"/>
      <c r="D557" s="181"/>
      <c r="E557" s="181"/>
      <c r="F557" s="181"/>
      <c r="G557" s="181"/>
      <c r="H557" s="181"/>
      <c r="I557" s="181"/>
      <c r="J557" s="181"/>
      <c r="K557" s="181"/>
      <c r="L557" s="181"/>
      <c r="M557" s="181"/>
      <c r="N557" s="181"/>
      <c r="O557" s="181"/>
      <c r="P557" s="181"/>
      <c r="Q557" s="181"/>
      <c r="R557" s="181"/>
      <c r="S557" s="181"/>
      <c r="T557" s="181"/>
      <c r="U557" s="181"/>
      <c r="V557" s="181"/>
      <c r="W557" s="181"/>
      <c r="X557" s="181"/>
      <c r="Y557" s="181"/>
      <c r="Z557" s="181"/>
    </row>
    <row r="558" ht="14.25" customHeight="1">
      <c r="A558" s="181"/>
      <c r="B558" s="181"/>
      <c r="C558" s="181"/>
      <c r="D558" s="181"/>
      <c r="E558" s="181"/>
      <c r="F558" s="181"/>
      <c r="G558" s="181"/>
      <c r="H558" s="181"/>
      <c r="I558" s="181"/>
      <c r="J558" s="181"/>
      <c r="K558" s="181"/>
      <c r="L558" s="181"/>
      <c r="M558" s="181"/>
      <c r="N558" s="181"/>
      <c r="O558" s="181"/>
      <c r="P558" s="181"/>
      <c r="Q558" s="181"/>
      <c r="R558" s="181"/>
      <c r="S558" s="181"/>
      <c r="T558" s="181"/>
      <c r="U558" s="181"/>
      <c r="V558" s="181"/>
      <c r="W558" s="181"/>
      <c r="X558" s="181"/>
      <c r="Y558" s="181"/>
      <c r="Z558" s="181"/>
    </row>
    <row r="559" ht="14.25" customHeight="1">
      <c r="A559" s="181"/>
      <c r="B559" s="181"/>
      <c r="C559" s="181"/>
      <c r="D559" s="181"/>
      <c r="E559" s="181"/>
      <c r="F559" s="181"/>
      <c r="G559" s="181"/>
      <c r="H559" s="181"/>
      <c r="I559" s="181"/>
      <c r="J559" s="181"/>
      <c r="K559" s="181"/>
      <c r="L559" s="181"/>
      <c r="M559" s="181"/>
      <c r="N559" s="181"/>
      <c r="O559" s="181"/>
      <c r="P559" s="181"/>
      <c r="Q559" s="181"/>
      <c r="R559" s="181"/>
      <c r="S559" s="181"/>
      <c r="T559" s="181"/>
      <c r="U559" s="181"/>
      <c r="V559" s="181"/>
      <c r="W559" s="181"/>
      <c r="X559" s="181"/>
      <c r="Y559" s="181"/>
      <c r="Z559" s="181"/>
    </row>
    <row r="560" ht="14.25" customHeight="1">
      <c r="A560" s="181"/>
      <c r="B560" s="181"/>
      <c r="C560" s="181"/>
      <c r="D560" s="181"/>
      <c r="E560" s="181"/>
      <c r="F560" s="181"/>
      <c r="G560" s="181"/>
      <c r="H560" s="181"/>
      <c r="I560" s="181"/>
      <c r="J560" s="181"/>
      <c r="K560" s="181"/>
      <c r="L560" s="181"/>
      <c r="M560" s="181"/>
      <c r="N560" s="181"/>
      <c r="O560" s="181"/>
      <c r="P560" s="181"/>
      <c r="Q560" s="181"/>
      <c r="R560" s="181"/>
      <c r="S560" s="181"/>
      <c r="T560" s="181"/>
      <c r="U560" s="181"/>
      <c r="V560" s="181"/>
      <c r="W560" s="181"/>
      <c r="X560" s="181"/>
      <c r="Y560" s="181"/>
      <c r="Z560" s="181"/>
    </row>
    <row r="561" ht="14.25" customHeight="1">
      <c r="A561" s="181"/>
      <c r="B561" s="181"/>
      <c r="C561" s="181"/>
      <c r="D561" s="181"/>
      <c r="E561" s="181"/>
      <c r="F561" s="181"/>
      <c r="G561" s="181"/>
      <c r="H561" s="181"/>
      <c r="I561" s="181"/>
      <c r="J561" s="181"/>
      <c r="K561" s="181"/>
      <c r="L561" s="181"/>
      <c r="M561" s="181"/>
      <c r="N561" s="181"/>
      <c r="O561" s="181"/>
      <c r="P561" s="181"/>
      <c r="Q561" s="181"/>
      <c r="R561" s="181"/>
      <c r="S561" s="181"/>
      <c r="T561" s="181"/>
      <c r="U561" s="181"/>
      <c r="V561" s="181"/>
      <c r="W561" s="181"/>
      <c r="X561" s="181"/>
      <c r="Y561" s="181"/>
      <c r="Z561" s="181"/>
    </row>
    <row r="562" ht="14.25" customHeight="1">
      <c r="A562" s="181"/>
      <c r="B562" s="181"/>
      <c r="C562" s="181"/>
      <c r="D562" s="181"/>
      <c r="E562" s="181"/>
      <c r="F562" s="181"/>
      <c r="G562" s="181"/>
      <c r="H562" s="181"/>
      <c r="I562" s="181"/>
      <c r="J562" s="181"/>
      <c r="K562" s="181"/>
      <c r="L562" s="181"/>
      <c r="M562" s="181"/>
      <c r="N562" s="181"/>
      <c r="O562" s="181"/>
      <c r="P562" s="181"/>
      <c r="Q562" s="181"/>
      <c r="R562" s="181"/>
      <c r="S562" s="181"/>
      <c r="T562" s="181"/>
      <c r="U562" s="181"/>
      <c r="V562" s="181"/>
      <c r="W562" s="181"/>
      <c r="X562" s="181"/>
      <c r="Y562" s="181"/>
      <c r="Z562" s="181"/>
    </row>
    <row r="563" ht="14.25" customHeight="1">
      <c r="A563" s="181"/>
      <c r="B563" s="181"/>
      <c r="C563" s="181"/>
      <c r="D563" s="181"/>
      <c r="E563" s="181"/>
      <c r="F563" s="181"/>
      <c r="G563" s="181"/>
      <c r="H563" s="181"/>
      <c r="I563" s="181"/>
      <c r="J563" s="181"/>
      <c r="K563" s="181"/>
      <c r="L563" s="181"/>
      <c r="M563" s="181"/>
      <c r="N563" s="181"/>
      <c r="O563" s="181"/>
      <c r="P563" s="181"/>
      <c r="Q563" s="181"/>
      <c r="R563" s="181"/>
      <c r="S563" s="181"/>
      <c r="T563" s="181"/>
      <c r="U563" s="181"/>
      <c r="V563" s="181"/>
      <c r="W563" s="181"/>
      <c r="X563" s="181"/>
      <c r="Y563" s="181"/>
      <c r="Z563" s="181"/>
    </row>
    <row r="564" ht="14.25" customHeight="1">
      <c r="A564" s="181"/>
      <c r="B564" s="181"/>
      <c r="C564" s="181"/>
      <c r="D564" s="181"/>
      <c r="E564" s="181"/>
      <c r="F564" s="181"/>
      <c r="G564" s="181"/>
      <c r="H564" s="181"/>
      <c r="I564" s="181"/>
      <c r="J564" s="181"/>
      <c r="K564" s="181"/>
      <c r="L564" s="181"/>
      <c r="M564" s="181"/>
      <c r="N564" s="181"/>
      <c r="O564" s="181"/>
      <c r="P564" s="181"/>
      <c r="Q564" s="181"/>
      <c r="R564" s="181"/>
      <c r="S564" s="181"/>
      <c r="T564" s="181"/>
      <c r="U564" s="181"/>
      <c r="V564" s="181"/>
      <c r="W564" s="181"/>
      <c r="X564" s="181"/>
      <c r="Y564" s="181"/>
      <c r="Z564" s="181"/>
    </row>
    <row r="565" ht="14.25" customHeight="1">
      <c r="A565" s="181"/>
      <c r="B565" s="181"/>
      <c r="C565" s="181"/>
      <c r="D565" s="181"/>
      <c r="E565" s="181"/>
      <c r="F565" s="181"/>
      <c r="G565" s="181"/>
      <c r="H565" s="181"/>
      <c r="I565" s="181"/>
      <c r="J565" s="181"/>
      <c r="K565" s="181"/>
      <c r="L565" s="181"/>
      <c r="M565" s="181"/>
      <c r="N565" s="181"/>
      <c r="O565" s="181"/>
      <c r="P565" s="181"/>
      <c r="Q565" s="181"/>
      <c r="R565" s="181"/>
      <c r="S565" s="181"/>
      <c r="T565" s="181"/>
      <c r="U565" s="181"/>
      <c r="V565" s="181"/>
      <c r="W565" s="181"/>
      <c r="X565" s="181"/>
      <c r="Y565" s="181"/>
      <c r="Z565" s="181"/>
    </row>
    <row r="566" ht="14.25" customHeight="1">
      <c r="A566" s="181"/>
      <c r="B566" s="181"/>
      <c r="C566" s="181"/>
      <c r="D566" s="181"/>
      <c r="E566" s="181"/>
      <c r="F566" s="181"/>
      <c r="G566" s="181"/>
      <c r="H566" s="181"/>
      <c r="I566" s="181"/>
      <c r="J566" s="181"/>
      <c r="K566" s="181"/>
      <c r="L566" s="181"/>
      <c r="M566" s="181"/>
      <c r="N566" s="181"/>
      <c r="O566" s="181"/>
      <c r="P566" s="181"/>
      <c r="Q566" s="181"/>
      <c r="R566" s="181"/>
      <c r="S566" s="181"/>
      <c r="T566" s="181"/>
      <c r="U566" s="181"/>
      <c r="V566" s="181"/>
      <c r="W566" s="181"/>
      <c r="X566" s="181"/>
      <c r="Y566" s="181"/>
      <c r="Z566" s="181"/>
    </row>
    <row r="567" ht="14.25" customHeight="1">
      <c r="A567" s="181"/>
      <c r="B567" s="181"/>
      <c r="C567" s="181"/>
      <c r="D567" s="181"/>
      <c r="E567" s="181"/>
      <c r="F567" s="181"/>
      <c r="G567" s="181"/>
      <c r="H567" s="181"/>
      <c r="I567" s="181"/>
      <c r="J567" s="181"/>
      <c r="K567" s="181"/>
      <c r="L567" s="181"/>
      <c r="M567" s="181"/>
      <c r="N567" s="181"/>
      <c r="O567" s="181"/>
      <c r="P567" s="181"/>
      <c r="Q567" s="181"/>
      <c r="R567" s="181"/>
      <c r="S567" s="181"/>
      <c r="T567" s="181"/>
      <c r="U567" s="181"/>
      <c r="V567" s="181"/>
      <c r="W567" s="181"/>
      <c r="X567" s="181"/>
      <c r="Y567" s="181"/>
      <c r="Z567" s="181"/>
    </row>
    <row r="568" ht="14.25" customHeight="1">
      <c r="A568" s="181"/>
      <c r="B568" s="181"/>
      <c r="C568" s="181"/>
      <c r="D568" s="181"/>
      <c r="E568" s="181"/>
      <c r="F568" s="181"/>
      <c r="G568" s="181"/>
      <c r="H568" s="181"/>
      <c r="I568" s="181"/>
      <c r="J568" s="181"/>
      <c r="K568" s="181"/>
      <c r="L568" s="181"/>
      <c r="M568" s="181"/>
      <c r="N568" s="181"/>
      <c r="O568" s="181"/>
      <c r="P568" s="181"/>
      <c r="Q568" s="181"/>
      <c r="R568" s="181"/>
      <c r="S568" s="181"/>
      <c r="T568" s="181"/>
      <c r="U568" s="181"/>
      <c r="V568" s="181"/>
      <c r="W568" s="181"/>
      <c r="X568" s="181"/>
      <c r="Y568" s="181"/>
      <c r="Z568" s="181"/>
    </row>
    <row r="569" ht="14.25" customHeight="1">
      <c r="A569" s="181"/>
      <c r="B569" s="181"/>
      <c r="C569" s="181"/>
      <c r="D569" s="181"/>
      <c r="E569" s="181"/>
      <c r="F569" s="181"/>
      <c r="G569" s="181"/>
      <c r="H569" s="181"/>
      <c r="I569" s="181"/>
      <c r="J569" s="181"/>
      <c r="K569" s="181"/>
      <c r="L569" s="181"/>
      <c r="M569" s="181"/>
      <c r="N569" s="181"/>
      <c r="O569" s="181"/>
      <c r="P569" s="181"/>
      <c r="Q569" s="181"/>
      <c r="R569" s="181"/>
      <c r="S569" s="181"/>
      <c r="T569" s="181"/>
      <c r="U569" s="181"/>
      <c r="V569" s="181"/>
      <c r="W569" s="181"/>
      <c r="X569" s="181"/>
      <c r="Y569" s="181"/>
      <c r="Z569" s="181"/>
    </row>
    <row r="570" ht="14.25" customHeight="1">
      <c r="A570" s="181"/>
      <c r="B570" s="181"/>
      <c r="C570" s="181"/>
      <c r="D570" s="181"/>
      <c r="E570" s="181"/>
      <c r="F570" s="181"/>
      <c r="G570" s="181"/>
      <c r="H570" s="181"/>
      <c r="I570" s="181"/>
      <c r="J570" s="181"/>
      <c r="K570" s="181"/>
      <c r="L570" s="181"/>
      <c r="M570" s="181"/>
      <c r="N570" s="181"/>
      <c r="O570" s="181"/>
      <c r="P570" s="181"/>
      <c r="Q570" s="181"/>
      <c r="R570" s="181"/>
      <c r="S570" s="181"/>
      <c r="T570" s="181"/>
      <c r="U570" s="181"/>
      <c r="V570" s="181"/>
      <c r="W570" s="181"/>
      <c r="X570" s="181"/>
      <c r="Y570" s="181"/>
      <c r="Z570" s="181"/>
    </row>
    <row r="571" ht="14.25" customHeight="1">
      <c r="A571" s="181"/>
      <c r="B571" s="181"/>
      <c r="C571" s="181"/>
      <c r="D571" s="181"/>
      <c r="E571" s="181"/>
      <c r="F571" s="181"/>
      <c r="G571" s="181"/>
      <c r="H571" s="181"/>
      <c r="I571" s="181"/>
      <c r="J571" s="181"/>
      <c r="K571" s="181"/>
      <c r="L571" s="181"/>
      <c r="M571" s="181"/>
      <c r="N571" s="181"/>
      <c r="O571" s="181"/>
      <c r="P571" s="181"/>
      <c r="Q571" s="181"/>
      <c r="R571" s="181"/>
      <c r="S571" s="181"/>
      <c r="T571" s="181"/>
      <c r="U571" s="181"/>
      <c r="V571" s="181"/>
      <c r="W571" s="181"/>
      <c r="X571" s="181"/>
      <c r="Y571" s="181"/>
      <c r="Z571" s="181"/>
    </row>
    <row r="572" ht="14.25" customHeight="1">
      <c r="A572" s="181"/>
      <c r="B572" s="181"/>
      <c r="C572" s="181"/>
      <c r="D572" s="181"/>
      <c r="E572" s="181"/>
      <c r="F572" s="181"/>
      <c r="G572" s="181"/>
      <c r="H572" s="181"/>
      <c r="I572" s="181"/>
      <c r="J572" s="181"/>
      <c r="K572" s="181"/>
      <c r="L572" s="181"/>
      <c r="M572" s="181"/>
      <c r="N572" s="181"/>
      <c r="O572" s="181"/>
      <c r="P572" s="181"/>
      <c r="Q572" s="181"/>
      <c r="R572" s="181"/>
      <c r="S572" s="181"/>
      <c r="T572" s="181"/>
      <c r="U572" s="181"/>
      <c r="V572" s="181"/>
      <c r="W572" s="181"/>
      <c r="X572" s="181"/>
      <c r="Y572" s="181"/>
      <c r="Z572" s="181"/>
    </row>
    <row r="573" ht="14.25" customHeight="1">
      <c r="A573" s="181"/>
      <c r="B573" s="181"/>
      <c r="C573" s="181"/>
      <c r="D573" s="181"/>
      <c r="E573" s="181"/>
      <c r="F573" s="181"/>
      <c r="G573" s="181"/>
      <c r="H573" s="181"/>
      <c r="I573" s="181"/>
      <c r="J573" s="181"/>
      <c r="K573" s="181"/>
      <c r="L573" s="181"/>
      <c r="M573" s="181"/>
      <c r="N573" s="181"/>
      <c r="O573" s="181"/>
      <c r="P573" s="181"/>
      <c r="Q573" s="181"/>
      <c r="R573" s="181"/>
      <c r="S573" s="181"/>
      <c r="T573" s="181"/>
      <c r="U573" s="181"/>
      <c r="V573" s="181"/>
      <c r="W573" s="181"/>
      <c r="X573" s="181"/>
      <c r="Y573" s="181"/>
      <c r="Z573" s="181"/>
    </row>
    <row r="574" ht="14.25" customHeight="1">
      <c r="A574" s="181"/>
      <c r="B574" s="181"/>
      <c r="C574" s="181"/>
      <c r="D574" s="181"/>
      <c r="E574" s="181"/>
      <c r="F574" s="181"/>
      <c r="G574" s="181"/>
      <c r="H574" s="181"/>
      <c r="I574" s="181"/>
      <c r="J574" s="181"/>
      <c r="K574" s="181"/>
      <c r="L574" s="181"/>
      <c r="M574" s="181"/>
      <c r="N574" s="181"/>
      <c r="O574" s="181"/>
      <c r="P574" s="181"/>
      <c r="Q574" s="181"/>
      <c r="R574" s="181"/>
      <c r="S574" s="181"/>
      <c r="T574" s="181"/>
      <c r="U574" s="181"/>
      <c r="V574" s="181"/>
      <c r="W574" s="181"/>
      <c r="X574" s="181"/>
      <c r="Y574" s="181"/>
      <c r="Z574" s="181"/>
    </row>
    <row r="575" ht="14.25" customHeight="1">
      <c r="A575" s="181"/>
      <c r="B575" s="181"/>
      <c r="C575" s="181"/>
      <c r="D575" s="181"/>
      <c r="E575" s="181"/>
      <c r="F575" s="181"/>
      <c r="G575" s="181"/>
      <c r="H575" s="181"/>
      <c r="I575" s="181"/>
      <c r="J575" s="181"/>
      <c r="K575" s="181"/>
      <c r="L575" s="181"/>
      <c r="M575" s="181"/>
      <c r="N575" s="181"/>
      <c r="O575" s="181"/>
      <c r="P575" s="181"/>
      <c r="Q575" s="181"/>
      <c r="R575" s="181"/>
      <c r="S575" s="181"/>
      <c r="T575" s="181"/>
      <c r="U575" s="181"/>
      <c r="V575" s="181"/>
      <c r="W575" s="181"/>
      <c r="X575" s="181"/>
      <c r="Y575" s="181"/>
      <c r="Z575" s="181"/>
    </row>
    <row r="576" ht="14.25" customHeight="1">
      <c r="A576" s="181"/>
      <c r="B576" s="181"/>
      <c r="C576" s="181"/>
      <c r="D576" s="181"/>
      <c r="E576" s="181"/>
      <c r="F576" s="181"/>
      <c r="G576" s="181"/>
      <c r="H576" s="181"/>
      <c r="I576" s="181"/>
      <c r="J576" s="181"/>
      <c r="K576" s="181"/>
      <c r="L576" s="181"/>
      <c r="M576" s="181"/>
      <c r="N576" s="181"/>
      <c r="O576" s="181"/>
      <c r="P576" s="181"/>
      <c r="Q576" s="181"/>
      <c r="R576" s="181"/>
      <c r="S576" s="181"/>
      <c r="T576" s="181"/>
      <c r="U576" s="181"/>
      <c r="V576" s="181"/>
      <c r="W576" s="181"/>
      <c r="X576" s="181"/>
      <c r="Y576" s="181"/>
      <c r="Z576" s="181"/>
    </row>
    <row r="577" ht="14.25" customHeight="1">
      <c r="A577" s="181"/>
      <c r="B577" s="181"/>
      <c r="C577" s="181"/>
      <c r="D577" s="181"/>
      <c r="E577" s="181"/>
      <c r="F577" s="181"/>
      <c r="G577" s="181"/>
      <c r="H577" s="181"/>
      <c r="I577" s="181"/>
      <c r="J577" s="181"/>
      <c r="K577" s="181"/>
      <c r="L577" s="181"/>
      <c r="M577" s="181"/>
      <c r="N577" s="181"/>
      <c r="O577" s="181"/>
      <c r="P577" s="181"/>
      <c r="Q577" s="181"/>
      <c r="R577" s="181"/>
      <c r="S577" s="181"/>
      <c r="T577" s="181"/>
      <c r="U577" s="181"/>
      <c r="V577" s="181"/>
      <c r="W577" s="181"/>
      <c r="X577" s="181"/>
      <c r="Y577" s="181"/>
      <c r="Z577" s="181"/>
    </row>
    <row r="578" ht="14.25" customHeight="1">
      <c r="A578" s="181"/>
      <c r="B578" s="181"/>
      <c r="C578" s="181"/>
      <c r="D578" s="181"/>
      <c r="E578" s="181"/>
      <c r="F578" s="181"/>
      <c r="G578" s="181"/>
      <c r="H578" s="181"/>
      <c r="I578" s="181"/>
      <c r="J578" s="181"/>
      <c r="K578" s="181"/>
      <c r="L578" s="181"/>
      <c r="M578" s="181"/>
      <c r="N578" s="181"/>
      <c r="O578" s="181"/>
      <c r="P578" s="181"/>
      <c r="Q578" s="181"/>
      <c r="R578" s="181"/>
      <c r="S578" s="181"/>
      <c r="T578" s="181"/>
      <c r="U578" s="181"/>
      <c r="V578" s="181"/>
      <c r="W578" s="181"/>
      <c r="X578" s="181"/>
      <c r="Y578" s="181"/>
      <c r="Z578" s="181"/>
    </row>
    <row r="579" ht="14.25" customHeight="1">
      <c r="A579" s="181"/>
      <c r="B579" s="181"/>
      <c r="C579" s="181"/>
      <c r="D579" s="181"/>
      <c r="E579" s="181"/>
      <c r="F579" s="181"/>
      <c r="G579" s="181"/>
      <c r="H579" s="181"/>
      <c r="I579" s="181"/>
      <c r="J579" s="181"/>
      <c r="K579" s="181"/>
      <c r="L579" s="181"/>
      <c r="M579" s="181"/>
      <c r="N579" s="181"/>
      <c r="O579" s="181"/>
      <c r="P579" s="181"/>
      <c r="Q579" s="181"/>
      <c r="R579" s="181"/>
      <c r="S579" s="181"/>
      <c r="T579" s="181"/>
      <c r="U579" s="181"/>
      <c r="V579" s="181"/>
      <c r="W579" s="181"/>
      <c r="X579" s="181"/>
      <c r="Y579" s="181"/>
      <c r="Z579" s="181"/>
    </row>
    <row r="580" ht="14.25" customHeight="1">
      <c r="A580" s="181"/>
      <c r="B580" s="181"/>
      <c r="C580" s="181"/>
      <c r="D580" s="181"/>
      <c r="E580" s="181"/>
      <c r="F580" s="181"/>
      <c r="G580" s="181"/>
      <c r="H580" s="181"/>
      <c r="I580" s="181"/>
      <c r="J580" s="181"/>
      <c r="K580" s="181"/>
      <c r="L580" s="181"/>
      <c r="M580" s="181"/>
      <c r="N580" s="181"/>
      <c r="O580" s="181"/>
      <c r="P580" s="181"/>
      <c r="Q580" s="181"/>
      <c r="R580" s="181"/>
      <c r="S580" s="181"/>
      <c r="T580" s="181"/>
      <c r="U580" s="181"/>
      <c r="V580" s="181"/>
      <c r="W580" s="181"/>
      <c r="X580" s="181"/>
      <c r="Y580" s="181"/>
      <c r="Z580" s="181"/>
    </row>
    <row r="581" ht="14.25" customHeight="1">
      <c r="A581" s="181"/>
      <c r="B581" s="181"/>
      <c r="C581" s="181"/>
      <c r="D581" s="181"/>
      <c r="E581" s="181"/>
      <c r="F581" s="181"/>
      <c r="G581" s="181"/>
      <c r="H581" s="181"/>
      <c r="I581" s="181"/>
      <c r="J581" s="181"/>
      <c r="K581" s="181"/>
      <c r="L581" s="181"/>
      <c r="M581" s="181"/>
      <c r="N581" s="181"/>
      <c r="O581" s="181"/>
      <c r="P581" s="181"/>
      <c r="Q581" s="181"/>
      <c r="R581" s="181"/>
      <c r="S581" s="181"/>
      <c r="T581" s="181"/>
      <c r="U581" s="181"/>
      <c r="V581" s="181"/>
      <c r="W581" s="181"/>
      <c r="X581" s="181"/>
      <c r="Y581" s="181"/>
      <c r="Z581" s="181"/>
    </row>
    <row r="582" ht="14.25" customHeight="1">
      <c r="A582" s="181"/>
      <c r="B582" s="181"/>
      <c r="C582" s="181"/>
      <c r="D582" s="181"/>
      <c r="E582" s="181"/>
      <c r="F582" s="181"/>
      <c r="G582" s="181"/>
      <c r="H582" s="181"/>
      <c r="I582" s="181"/>
      <c r="J582" s="181"/>
      <c r="K582" s="181"/>
      <c r="L582" s="181"/>
      <c r="M582" s="181"/>
      <c r="N582" s="181"/>
      <c r="O582" s="181"/>
      <c r="P582" s="181"/>
      <c r="Q582" s="181"/>
      <c r="R582" s="181"/>
      <c r="S582" s="181"/>
      <c r="T582" s="181"/>
      <c r="U582" s="181"/>
      <c r="V582" s="181"/>
      <c r="W582" s="181"/>
      <c r="X582" s="181"/>
      <c r="Y582" s="181"/>
      <c r="Z582" s="181"/>
    </row>
    <row r="583" ht="14.25" customHeight="1">
      <c r="A583" s="181"/>
      <c r="B583" s="181"/>
      <c r="C583" s="181"/>
      <c r="D583" s="181"/>
      <c r="E583" s="181"/>
      <c r="F583" s="181"/>
      <c r="G583" s="181"/>
      <c r="H583" s="181"/>
      <c r="I583" s="181"/>
      <c r="J583" s="181"/>
      <c r="K583" s="181"/>
      <c r="L583" s="181"/>
      <c r="M583" s="181"/>
      <c r="N583" s="181"/>
      <c r="O583" s="181"/>
      <c r="P583" s="181"/>
      <c r="Q583" s="181"/>
      <c r="R583" s="181"/>
      <c r="S583" s="181"/>
      <c r="T583" s="181"/>
      <c r="U583" s="181"/>
      <c r="V583" s="181"/>
      <c r="W583" s="181"/>
      <c r="X583" s="181"/>
      <c r="Y583" s="181"/>
      <c r="Z583" s="181"/>
    </row>
    <row r="584" ht="14.25" customHeight="1">
      <c r="A584" s="181"/>
      <c r="B584" s="181"/>
      <c r="C584" s="181"/>
      <c r="D584" s="181"/>
      <c r="E584" s="181"/>
      <c r="F584" s="181"/>
      <c r="G584" s="181"/>
      <c r="H584" s="181"/>
      <c r="I584" s="181"/>
      <c r="J584" s="181"/>
      <c r="K584" s="181"/>
      <c r="L584" s="181"/>
      <c r="M584" s="181"/>
      <c r="N584" s="181"/>
      <c r="O584" s="181"/>
      <c r="P584" s="181"/>
      <c r="Q584" s="181"/>
      <c r="R584" s="181"/>
      <c r="S584" s="181"/>
      <c r="T584" s="181"/>
      <c r="U584" s="181"/>
      <c r="V584" s="181"/>
      <c r="W584" s="181"/>
      <c r="X584" s="181"/>
      <c r="Y584" s="181"/>
      <c r="Z584" s="181"/>
    </row>
    <row r="585" ht="14.25" customHeight="1">
      <c r="A585" s="181"/>
      <c r="B585" s="181"/>
      <c r="C585" s="181"/>
      <c r="D585" s="181"/>
      <c r="E585" s="181"/>
      <c r="F585" s="181"/>
      <c r="G585" s="181"/>
      <c r="H585" s="181"/>
      <c r="I585" s="181"/>
      <c r="J585" s="181"/>
      <c r="K585" s="181"/>
      <c r="L585" s="181"/>
      <c r="M585" s="181"/>
      <c r="N585" s="181"/>
      <c r="O585" s="181"/>
      <c r="P585" s="181"/>
      <c r="Q585" s="181"/>
      <c r="R585" s="181"/>
      <c r="S585" s="181"/>
      <c r="T585" s="181"/>
      <c r="U585" s="181"/>
      <c r="V585" s="181"/>
      <c r="W585" s="181"/>
      <c r="X585" s="181"/>
      <c r="Y585" s="181"/>
      <c r="Z585" s="181"/>
    </row>
    <row r="586" ht="14.25" customHeight="1">
      <c r="A586" s="181"/>
      <c r="B586" s="181"/>
      <c r="C586" s="181"/>
      <c r="D586" s="181"/>
      <c r="E586" s="181"/>
      <c r="F586" s="181"/>
      <c r="G586" s="181"/>
      <c r="H586" s="181"/>
      <c r="I586" s="181"/>
      <c r="J586" s="181"/>
      <c r="K586" s="181"/>
      <c r="L586" s="181"/>
      <c r="M586" s="181"/>
      <c r="N586" s="181"/>
      <c r="O586" s="181"/>
      <c r="P586" s="181"/>
      <c r="Q586" s="181"/>
      <c r="R586" s="181"/>
      <c r="S586" s="181"/>
      <c r="T586" s="181"/>
      <c r="U586" s="181"/>
      <c r="V586" s="181"/>
      <c r="W586" s="181"/>
      <c r="X586" s="181"/>
      <c r="Y586" s="181"/>
      <c r="Z586" s="181"/>
    </row>
    <row r="587" ht="14.25" customHeight="1">
      <c r="A587" s="181"/>
      <c r="B587" s="181"/>
      <c r="C587" s="181"/>
      <c r="D587" s="181"/>
      <c r="E587" s="181"/>
      <c r="F587" s="181"/>
      <c r="G587" s="181"/>
      <c r="H587" s="181"/>
      <c r="I587" s="181"/>
      <c r="J587" s="181"/>
      <c r="K587" s="181"/>
      <c r="L587" s="181"/>
      <c r="M587" s="181"/>
      <c r="N587" s="181"/>
      <c r="O587" s="181"/>
      <c r="P587" s="181"/>
      <c r="Q587" s="181"/>
      <c r="R587" s="181"/>
      <c r="S587" s="181"/>
      <c r="T587" s="181"/>
      <c r="U587" s="181"/>
      <c r="V587" s="181"/>
      <c r="W587" s="181"/>
      <c r="X587" s="181"/>
      <c r="Y587" s="181"/>
      <c r="Z587" s="181"/>
    </row>
    <row r="588" ht="14.25" customHeight="1">
      <c r="A588" s="181"/>
      <c r="B588" s="181"/>
      <c r="C588" s="181"/>
      <c r="D588" s="181"/>
      <c r="E588" s="181"/>
      <c r="F588" s="181"/>
      <c r="G588" s="181"/>
      <c r="H588" s="181"/>
      <c r="I588" s="181"/>
      <c r="J588" s="181"/>
      <c r="K588" s="181"/>
      <c r="L588" s="181"/>
      <c r="M588" s="181"/>
      <c r="N588" s="181"/>
      <c r="O588" s="181"/>
      <c r="P588" s="181"/>
      <c r="Q588" s="181"/>
      <c r="R588" s="181"/>
      <c r="S588" s="181"/>
      <c r="T588" s="181"/>
      <c r="U588" s="181"/>
      <c r="V588" s="181"/>
      <c r="W588" s="181"/>
      <c r="X588" s="181"/>
      <c r="Y588" s="181"/>
      <c r="Z588" s="181"/>
    </row>
    <row r="589" ht="14.25" customHeight="1">
      <c r="A589" s="181"/>
      <c r="B589" s="181"/>
      <c r="C589" s="181"/>
      <c r="D589" s="181"/>
      <c r="E589" s="181"/>
      <c r="F589" s="181"/>
      <c r="G589" s="181"/>
      <c r="H589" s="181"/>
      <c r="I589" s="181"/>
      <c r="J589" s="181"/>
      <c r="K589" s="181"/>
      <c r="L589" s="181"/>
      <c r="M589" s="181"/>
      <c r="N589" s="181"/>
      <c r="O589" s="181"/>
      <c r="P589" s="181"/>
      <c r="Q589" s="181"/>
      <c r="R589" s="181"/>
      <c r="S589" s="181"/>
      <c r="T589" s="181"/>
      <c r="U589" s="181"/>
      <c r="V589" s="181"/>
      <c r="W589" s="181"/>
      <c r="X589" s="181"/>
      <c r="Y589" s="181"/>
      <c r="Z589" s="181"/>
    </row>
    <row r="590" ht="14.25" customHeight="1">
      <c r="A590" s="181"/>
      <c r="B590" s="181"/>
      <c r="C590" s="181"/>
      <c r="D590" s="181"/>
      <c r="E590" s="181"/>
      <c r="F590" s="181"/>
      <c r="G590" s="181"/>
      <c r="H590" s="181"/>
      <c r="I590" s="181"/>
      <c r="J590" s="181"/>
      <c r="K590" s="181"/>
      <c r="L590" s="181"/>
      <c r="M590" s="181"/>
      <c r="N590" s="181"/>
      <c r="O590" s="181"/>
      <c r="P590" s="181"/>
      <c r="Q590" s="181"/>
      <c r="R590" s="181"/>
      <c r="S590" s="181"/>
      <c r="T590" s="181"/>
      <c r="U590" s="181"/>
      <c r="V590" s="181"/>
      <c r="W590" s="181"/>
      <c r="X590" s="181"/>
      <c r="Y590" s="181"/>
      <c r="Z590" s="181"/>
    </row>
    <row r="591" ht="14.25" customHeight="1">
      <c r="A591" s="181"/>
      <c r="B591" s="181"/>
      <c r="C591" s="181"/>
      <c r="D591" s="181"/>
      <c r="E591" s="181"/>
      <c r="F591" s="181"/>
      <c r="G591" s="181"/>
      <c r="H591" s="181"/>
      <c r="I591" s="181"/>
      <c r="J591" s="181"/>
      <c r="K591" s="181"/>
      <c r="L591" s="181"/>
      <c r="M591" s="181"/>
      <c r="N591" s="181"/>
      <c r="O591" s="181"/>
      <c r="P591" s="181"/>
      <c r="Q591" s="181"/>
      <c r="R591" s="181"/>
      <c r="S591" s="181"/>
      <c r="T591" s="181"/>
      <c r="U591" s="181"/>
      <c r="V591" s="181"/>
      <c r="W591" s="181"/>
      <c r="X591" s="181"/>
      <c r="Y591" s="181"/>
      <c r="Z591" s="181"/>
    </row>
    <row r="592" ht="14.25" customHeight="1">
      <c r="A592" s="181"/>
      <c r="B592" s="181"/>
      <c r="C592" s="181"/>
      <c r="D592" s="181"/>
      <c r="E592" s="181"/>
      <c r="F592" s="181"/>
      <c r="G592" s="181"/>
      <c r="H592" s="181"/>
      <c r="I592" s="181"/>
      <c r="J592" s="181"/>
      <c r="K592" s="181"/>
      <c r="L592" s="181"/>
      <c r="M592" s="181"/>
      <c r="N592" s="181"/>
      <c r="O592" s="181"/>
      <c r="P592" s="181"/>
      <c r="Q592" s="181"/>
      <c r="R592" s="181"/>
      <c r="S592" s="181"/>
      <c r="T592" s="181"/>
      <c r="U592" s="181"/>
      <c r="V592" s="181"/>
      <c r="W592" s="181"/>
      <c r="X592" s="181"/>
      <c r="Y592" s="181"/>
      <c r="Z592" s="181"/>
    </row>
    <row r="593" ht="14.25" customHeight="1">
      <c r="A593" s="181"/>
      <c r="B593" s="181"/>
      <c r="C593" s="181"/>
      <c r="D593" s="181"/>
      <c r="E593" s="181"/>
      <c r="F593" s="181"/>
      <c r="G593" s="181"/>
      <c r="H593" s="181"/>
      <c r="I593" s="181"/>
      <c r="J593" s="181"/>
      <c r="K593" s="181"/>
      <c r="L593" s="181"/>
      <c r="M593" s="181"/>
      <c r="N593" s="181"/>
      <c r="O593" s="181"/>
      <c r="P593" s="181"/>
      <c r="Q593" s="181"/>
      <c r="R593" s="181"/>
      <c r="S593" s="181"/>
      <c r="T593" s="181"/>
      <c r="U593" s="181"/>
      <c r="V593" s="181"/>
      <c r="W593" s="181"/>
      <c r="X593" s="181"/>
      <c r="Y593" s="181"/>
      <c r="Z593" s="181"/>
    </row>
    <row r="594" ht="14.25" customHeight="1">
      <c r="A594" s="181"/>
      <c r="B594" s="181"/>
      <c r="C594" s="181"/>
      <c r="D594" s="181"/>
      <c r="E594" s="181"/>
      <c r="F594" s="181"/>
      <c r="G594" s="181"/>
      <c r="H594" s="181"/>
      <c r="I594" s="181"/>
      <c r="J594" s="181"/>
      <c r="K594" s="181"/>
      <c r="L594" s="181"/>
      <c r="M594" s="181"/>
      <c r="N594" s="181"/>
      <c r="O594" s="181"/>
      <c r="P594" s="181"/>
      <c r="Q594" s="181"/>
      <c r="R594" s="181"/>
      <c r="S594" s="181"/>
      <c r="T594" s="181"/>
      <c r="U594" s="181"/>
      <c r="V594" s="181"/>
      <c r="W594" s="181"/>
      <c r="X594" s="181"/>
      <c r="Y594" s="181"/>
      <c r="Z594" s="181"/>
    </row>
    <row r="595" ht="14.25" customHeight="1">
      <c r="A595" s="181"/>
      <c r="B595" s="181"/>
      <c r="C595" s="181"/>
      <c r="D595" s="181"/>
      <c r="E595" s="181"/>
      <c r="F595" s="181"/>
      <c r="G595" s="181"/>
      <c r="H595" s="181"/>
      <c r="I595" s="181"/>
      <c r="J595" s="181"/>
      <c r="K595" s="181"/>
      <c r="L595" s="181"/>
      <c r="M595" s="181"/>
      <c r="N595" s="181"/>
      <c r="O595" s="181"/>
      <c r="P595" s="181"/>
      <c r="Q595" s="181"/>
      <c r="R595" s="181"/>
      <c r="S595" s="181"/>
      <c r="T595" s="181"/>
      <c r="U595" s="181"/>
      <c r="V595" s="181"/>
      <c r="W595" s="181"/>
      <c r="X595" s="181"/>
      <c r="Y595" s="181"/>
      <c r="Z595" s="181"/>
    </row>
    <row r="596" ht="14.25" customHeight="1">
      <c r="A596" s="181"/>
      <c r="B596" s="181"/>
      <c r="C596" s="181"/>
      <c r="D596" s="181"/>
      <c r="E596" s="181"/>
      <c r="F596" s="181"/>
      <c r="G596" s="181"/>
      <c r="H596" s="181"/>
      <c r="I596" s="181"/>
      <c r="J596" s="181"/>
      <c r="K596" s="181"/>
      <c r="L596" s="181"/>
      <c r="M596" s="181"/>
      <c r="N596" s="181"/>
      <c r="O596" s="181"/>
      <c r="P596" s="181"/>
      <c r="Q596" s="181"/>
      <c r="R596" s="181"/>
      <c r="S596" s="181"/>
      <c r="T596" s="181"/>
      <c r="U596" s="181"/>
      <c r="V596" s="181"/>
      <c r="W596" s="181"/>
      <c r="X596" s="181"/>
      <c r="Y596" s="181"/>
      <c r="Z596" s="181"/>
    </row>
    <row r="597" ht="14.25" customHeight="1">
      <c r="A597" s="181"/>
      <c r="B597" s="181"/>
      <c r="C597" s="181"/>
      <c r="D597" s="181"/>
      <c r="E597" s="181"/>
      <c r="F597" s="181"/>
      <c r="G597" s="181"/>
      <c r="H597" s="181"/>
      <c r="I597" s="181"/>
      <c r="J597" s="181"/>
      <c r="K597" s="181"/>
      <c r="L597" s="181"/>
      <c r="M597" s="181"/>
      <c r="N597" s="181"/>
      <c r="O597" s="181"/>
      <c r="P597" s="181"/>
      <c r="Q597" s="181"/>
      <c r="R597" s="181"/>
      <c r="S597" s="181"/>
      <c r="T597" s="181"/>
      <c r="U597" s="181"/>
      <c r="V597" s="181"/>
      <c r="W597" s="181"/>
      <c r="X597" s="181"/>
      <c r="Y597" s="181"/>
      <c r="Z597" s="181"/>
    </row>
    <row r="598" ht="14.25" customHeight="1">
      <c r="A598" s="181"/>
      <c r="B598" s="181"/>
      <c r="C598" s="181"/>
      <c r="D598" s="181"/>
      <c r="E598" s="181"/>
      <c r="F598" s="181"/>
      <c r="G598" s="181"/>
      <c r="H598" s="181"/>
      <c r="I598" s="181"/>
      <c r="J598" s="181"/>
      <c r="K598" s="181"/>
      <c r="L598" s="181"/>
      <c r="M598" s="181"/>
      <c r="N598" s="181"/>
      <c r="O598" s="181"/>
      <c r="P598" s="181"/>
      <c r="Q598" s="181"/>
      <c r="R598" s="181"/>
      <c r="S598" s="181"/>
      <c r="T598" s="181"/>
      <c r="U598" s="181"/>
      <c r="V598" s="181"/>
      <c r="W598" s="181"/>
      <c r="X598" s="181"/>
      <c r="Y598" s="181"/>
      <c r="Z598" s="181"/>
    </row>
    <row r="599" ht="14.25" customHeight="1">
      <c r="A599" s="181"/>
      <c r="B599" s="181"/>
      <c r="C599" s="181"/>
      <c r="D599" s="181"/>
      <c r="E599" s="181"/>
      <c r="F599" s="181"/>
      <c r="G599" s="181"/>
      <c r="H599" s="181"/>
      <c r="I599" s="181"/>
      <c r="J599" s="181"/>
      <c r="K599" s="181"/>
      <c r="L599" s="181"/>
      <c r="M599" s="181"/>
      <c r="N599" s="181"/>
      <c r="O599" s="181"/>
      <c r="P599" s="181"/>
      <c r="Q599" s="181"/>
      <c r="R599" s="181"/>
      <c r="S599" s="181"/>
      <c r="T599" s="181"/>
      <c r="U599" s="181"/>
      <c r="V599" s="181"/>
      <c r="W599" s="181"/>
      <c r="X599" s="181"/>
      <c r="Y599" s="181"/>
      <c r="Z599" s="181"/>
    </row>
    <row r="600" ht="14.25" customHeight="1">
      <c r="A600" s="181"/>
      <c r="B600" s="181"/>
      <c r="C600" s="181"/>
      <c r="D600" s="181"/>
      <c r="E600" s="181"/>
      <c r="F600" s="181"/>
      <c r="G600" s="181"/>
      <c r="H600" s="181"/>
      <c r="I600" s="181"/>
      <c r="J600" s="181"/>
      <c r="K600" s="181"/>
      <c r="L600" s="181"/>
      <c r="M600" s="181"/>
      <c r="N600" s="181"/>
      <c r="O600" s="181"/>
      <c r="P600" s="181"/>
      <c r="Q600" s="181"/>
      <c r="R600" s="181"/>
      <c r="S600" s="181"/>
      <c r="T600" s="181"/>
      <c r="U600" s="181"/>
      <c r="V600" s="181"/>
      <c r="W600" s="181"/>
      <c r="X600" s="181"/>
      <c r="Y600" s="181"/>
      <c r="Z600" s="181"/>
    </row>
    <row r="601" ht="14.25" customHeight="1">
      <c r="A601" s="181"/>
      <c r="B601" s="181"/>
      <c r="C601" s="181"/>
      <c r="D601" s="181"/>
      <c r="E601" s="181"/>
      <c r="F601" s="181"/>
      <c r="G601" s="181"/>
      <c r="H601" s="181"/>
      <c r="I601" s="181"/>
      <c r="J601" s="181"/>
      <c r="K601" s="181"/>
      <c r="L601" s="181"/>
      <c r="M601" s="181"/>
      <c r="N601" s="181"/>
      <c r="O601" s="181"/>
      <c r="P601" s="181"/>
      <c r="Q601" s="181"/>
      <c r="R601" s="181"/>
      <c r="S601" s="181"/>
      <c r="T601" s="181"/>
      <c r="U601" s="181"/>
      <c r="V601" s="181"/>
      <c r="W601" s="181"/>
      <c r="X601" s="181"/>
      <c r="Y601" s="181"/>
      <c r="Z601" s="181"/>
    </row>
    <row r="602" ht="14.25" customHeight="1">
      <c r="A602" s="181"/>
      <c r="B602" s="181"/>
      <c r="C602" s="181"/>
      <c r="D602" s="181"/>
      <c r="E602" s="181"/>
      <c r="F602" s="181"/>
      <c r="G602" s="181"/>
      <c r="H602" s="181"/>
      <c r="I602" s="181"/>
      <c r="J602" s="181"/>
      <c r="K602" s="181"/>
      <c r="L602" s="181"/>
      <c r="M602" s="181"/>
      <c r="N602" s="181"/>
      <c r="O602" s="181"/>
      <c r="P602" s="181"/>
      <c r="Q602" s="181"/>
      <c r="R602" s="181"/>
      <c r="S602" s="181"/>
      <c r="T602" s="181"/>
      <c r="U602" s="181"/>
      <c r="V602" s="181"/>
      <c r="W602" s="181"/>
      <c r="X602" s="181"/>
      <c r="Y602" s="181"/>
      <c r="Z602" s="181"/>
    </row>
    <row r="603" ht="14.25" customHeight="1">
      <c r="A603" s="181"/>
      <c r="B603" s="181"/>
      <c r="C603" s="181"/>
      <c r="D603" s="181"/>
      <c r="E603" s="181"/>
      <c r="F603" s="181"/>
      <c r="G603" s="181"/>
      <c r="H603" s="181"/>
      <c r="I603" s="181"/>
      <c r="J603" s="181"/>
      <c r="K603" s="181"/>
      <c r="L603" s="181"/>
      <c r="M603" s="181"/>
      <c r="N603" s="181"/>
      <c r="O603" s="181"/>
      <c r="P603" s="181"/>
      <c r="Q603" s="181"/>
      <c r="R603" s="181"/>
      <c r="S603" s="181"/>
      <c r="T603" s="181"/>
      <c r="U603" s="181"/>
      <c r="V603" s="181"/>
      <c r="W603" s="181"/>
      <c r="X603" s="181"/>
      <c r="Y603" s="181"/>
      <c r="Z603" s="181"/>
    </row>
    <row r="604" ht="14.25" customHeight="1">
      <c r="A604" s="181"/>
      <c r="B604" s="181"/>
      <c r="C604" s="181"/>
      <c r="D604" s="181"/>
      <c r="E604" s="181"/>
      <c r="F604" s="181"/>
      <c r="G604" s="181"/>
      <c r="H604" s="181"/>
      <c r="I604" s="181"/>
      <c r="J604" s="181"/>
      <c r="K604" s="181"/>
      <c r="L604" s="181"/>
      <c r="M604" s="181"/>
      <c r="N604" s="181"/>
      <c r="O604" s="181"/>
      <c r="P604" s="181"/>
      <c r="Q604" s="181"/>
      <c r="R604" s="181"/>
      <c r="S604" s="181"/>
      <c r="T604" s="181"/>
      <c r="U604" s="181"/>
      <c r="V604" s="181"/>
      <c r="W604" s="181"/>
      <c r="X604" s="181"/>
      <c r="Y604" s="181"/>
      <c r="Z604" s="181"/>
    </row>
    <row r="605" ht="14.25" customHeight="1">
      <c r="A605" s="181"/>
      <c r="B605" s="181"/>
      <c r="C605" s="181"/>
      <c r="D605" s="181"/>
      <c r="E605" s="181"/>
      <c r="F605" s="181"/>
      <c r="G605" s="181"/>
      <c r="H605" s="181"/>
      <c r="I605" s="181"/>
      <c r="J605" s="181"/>
      <c r="K605" s="181"/>
      <c r="L605" s="181"/>
      <c r="M605" s="181"/>
      <c r="N605" s="181"/>
      <c r="O605" s="181"/>
      <c r="P605" s="181"/>
      <c r="Q605" s="181"/>
      <c r="R605" s="181"/>
      <c r="S605" s="181"/>
      <c r="T605" s="181"/>
      <c r="U605" s="181"/>
      <c r="V605" s="181"/>
      <c r="W605" s="181"/>
      <c r="X605" s="181"/>
      <c r="Y605" s="181"/>
      <c r="Z605" s="181"/>
    </row>
    <row r="606" ht="14.25" customHeight="1">
      <c r="A606" s="181"/>
      <c r="B606" s="181"/>
      <c r="C606" s="181"/>
      <c r="D606" s="181"/>
      <c r="E606" s="181"/>
      <c r="F606" s="181"/>
      <c r="G606" s="181"/>
      <c r="H606" s="181"/>
      <c r="I606" s="181"/>
      <c r="J606" s="181"/>
      <c r="K606" s="181"/>
      <c r="L606" s="181"/>
      <c r="M606" s="181"/>
      <c r="N606" s="181"/>
      <c r="O606" s="181"/>
      <c r="P606" s="181"/>
      <c r="Q606" s="181"/>
      <c r="R606" s="181"/>
      <c r="S606" s="181"/>
      <c r="T606" s="181"/>
      <c r="U606" s="181"/>
      <c r="V606" s="181"/>
      <c r="W606" s="181"/>
      <c r="X606" s="181"/>
      <c r="Y606" s="181"/>
      <c r="Z606" s="181"/>
    </row>
    <row r="607" ht="14.25" customHeight="1">
      <c r="A607" s="181"/>
      <c r="B607" s="181"/>
      <c r="C607" s="181"/>
      <c r="D607" s="181"/>
      <c r="E607" s="181"/>
      <c r="F607" s="181"/>
      <c r="G607" s="181"/>
      <c r="H607" s="181"/>
      <c r="I607" s="181"/>
      <c r="J607" s="181"/>
      <c r="K607" s="181"/>
      <c r="L607" s="181"/>
      <c r="M607" s="181"/>
      <c r="N607" s="181"/>
      <c r="O607" s="181"/>
      <c r="P607" s="181"/>
      <c r="Q607" s="181"/>
      <c r="R607" s="181"/>
      <c r="S607" s="181"/>
      <c r="T607" s="181"/>
      <c r="U607" s="181"/>
      <c r="V607" s="181"/>
      <c r="W607" s="181"/>
      <c r="X607" s="181"/>
      <c r="Y607" s="181"/>
      <c r="Z607" s="181"/>
    </row>
    <row r="608" ht="14.25" customHeight="1">
      <c r="A608" s="181"/>
      <c r="B608" s="181"/>
      <c r="C608" s="181"/>
      <c r="D608" s="181"/>
      <c r="E608" s="181"/>
      <c r="F608" s="181"/>
      <c r="G608" s="181"/>
      <c r="H608" s="181"/>
      <c r="I608" s="181"/>
      <c r="J608" s="181"/>
      <c r="K608" s="181"/>
      <c r="L608" s="181"/>
      <c r="M608" s="181"/>
      <c r="N608" s="181"/>
      <c r="O608" s="181"/>
      <c r="P608" s="181"/>
      <c r="Q608" s="181"/>
      <c r="R608" s="181"/>
      <c r="S608" s="181"/>
      <c r="T608" s="181"/>
      <c r="U608" s="181"/>
      <c r="V608" s="181"/>
      <c r="W608" s="181"/>
      <c r="X608" s="181"/>
      <c r="Y608" s="181"/>
      <c r="Z608" s="181"/>
    </row>
    <row r="609" ht="14.25" customHeight="1">
      <c r="A609" s="181"/>
      <c r="B609" s="181"/>
      <c r="C609" s="181"/>
      <c r="D609" s="181"/>
      <c r="E609" s="181"/>
      <c r="F609" s="181"/>
      <c r="G609" s="181"/>
      <c r="H609" s="181"/>
      <c r="I609" s="181"/>
      <c r="J609" s="181"/>
      <c r="K609" s="181"/>
      <c r="L609" s="181"/>
      <c r="M609" s="181"/>
      <c r="N609" s="181"/>
      <c r="O609" s="181"/>
      <c r="P609" s="181"/>
      <c r="Q609" s="181"/>
      <c r="R609" s="181"/>
      <c r="S609" s="181"/>
      <c r="T609" s="181"/>
      <c r="U609" s="181"/>
      <c r="V609" s="181"/>
      <c r="W609" s="181"/>
      <c r="X609" s="181"/>
      <c r="Y609" s="181"/>
      <c r="Z609" s="181"/>
    </row>
    <row r="610" ht="14.25" customHeight="1">
      <c r="A610" s="181"/>
      <c r="B610" s="181"/>
      <c r="C610" s="181"/>
      <c r="D610" s="181"/>
      <c r="E610" s="181"/>
      <c r="F610" s="181"/>
      <c r="G610" s="181"/>
      <c r="H610" s="181"/>
      <c r="I610" s="181"/>
      <c r="J610" s="181"/>
      <c r="K610" s="181"/>
      <c r="L610" s="181"/>
      <c r="M610" s="181"/>
      <c r="N610" s="181"/>
      <c r="O610" s="181"/>
      <c r="P610" s="181"/>
      <c r="Q610" s="181"/>
      <c r="R610" s="181"/>
      <c r="S610" s="181"/>
      <c r="T610" s="181"/>
      <c r="U610" s="181"/>
      <c r="V610" s="181"/>
      <c r="W610" s="181"/>
      <c r="X610" s="181"/>
      <c r="Y610" s="181"/>
      <c r="Z610" s="181"/>
    </row>
    <row r="611" ht="14.25" customHeight="1">
      <c r="A611" s="181"/>
      <c r="B611" s="181"/>
      <c r="C611" s="181"/>
      <c r="D611" s="181"/>
      <c r="E611" s="181"/>
      <c r="F611" s="181"/>
      <c r="G611" s="181"/>
      <c r="H611" s="181"/>
      <c r="I611" s="181"/>
      <c r="J611" s="181"/>
      <c r="K611" s="181"/>
      <c r="L611" s="181"/>
      <c r="M611" s="181"/>
      <c r="N611" s="181"/>
      <c r="O611" s="181"/>
      <c r="P611" s="181"/>
      <c r="Q611" s="181"/>
      <c r="R611" s="181"/>
      <c r="S611" s="181"/>
      <c r="T611" s="181"/>
      <c r="U611" s="181"/>
      <c r="V611" s="181"/>
      <c r="W611" s="181"/>
      <c r="X611" s="181"/>
      <c r="Y611" s="181"/>
      <c r="Z611" s="181"/>
    </row>
    <row r="612" ht="14.25" customHeight="1">
      <c r="A612" s="181"/>
      <c r="B612" s="181"/>
      <c r="C612" s="181"/>
      <c r="D612" s="181"/>
      <c r="E612" s="181"/>
      <c r="F612" s="181"/>
      <c r="G612" s="181"/>
      <c r="H612" s="181"/>
      <c r="I612" s="181"/>
      <c r="J612" s="181"/>
      <c r="K612" s="181"/>
      <c r="L612" s="181"/>
      <c r="M612" s="181"/>
      <c r="N612" s="181"/>
      <c r="O612" s="181"/>
      <c r="P612" s="181"/>
      <c r="Q612" s="181"/>
      <c r="R612" s="181"/>
      <c r="S612" s="181"/>
      <c r="T612" s="181"/>
      <c r="U612" s="181"/>
      <c r="V612" s="181"/>
      <c r="W612" s="181"/>
      <c r="X612" s="181"/>
      <c r="Y612" s="181"/>
      <c r="Z612" s="181"/>
    </row>
    <row r="613" ht="14.25" customHeight="1">
      <c r="A613" s="181"/>
      <c r="B613" s="181"/>
      <c r="C613" s="181"/>
      <c r="D613" s="181"/>
      <c r="E613" s="181"/>
      <c r="F613" s="181"/>
      <c r="G613" s="181"/>
      <c r="H613" s="181"/>
      <c r="I613" s="181"/>
      <c r="J613" s="181"/>
      <c r="K613" s="181"/>
      <c r="L613" s="181"/>
      <c r="M613" s="181"/>
      <c r="N613" s="181"/>
      <c r="O613" s="181"/>
      <c r="P613" s="181"/>
      <c r="Q613" s="181"/>
      <c r="R613" s="181"/>
      <c r="S613" s="181"/>
      <c r="T613" s="181"/>
      <c r="U613" s="181"/>
      <c r="V613" s="181"/>
      <c r="W613" s="181"/>
      <c r="X613" s="181"/>
      <c r="Y613" s="181"/>
      <c r="Z613" s="181"/>
    </row>
    <row r="614" ht="14.25" customHeight="1">
      <c r="A614" s="181"/>
      <c r="B614" s="181"/>
      <c r="C614" s="181"/>
      <c r="D614" s="181"/>
      <c r="E614" s="181"/>
      <c r="F614" s="181"/>
      <c r="G614" s="181"/>
      <c r="H614" s="181"/>
      <c r="I614" s="181"/>
      <c r="J614" s="181"/>
      <c r="K614" s="181"/>
      <c r="L614" s="181"/>
      <c r="M614" s="181"/>
      <c r="N614" s="181"/>
      <c r="O614" s="181"/>
      <c r="P614" s="181"/>
      <c r="Q614" s="181"/>
      <c r="R614" s="181"/>
      <c r="S614" s="181"/>
      <c r="T614" s="181"/>
      <c r="U614" s="181"/>
      <c r="V614" s="181"/>
      <c r="W614" s="181"/>
      <c r="X614" s="181"/>
      <c r="Y614" s="181"/>
      <c r="Z614" s="181"/>
    </row>
    <row r="615" ht="14.25" customHeight="1">
      <c r="A615" s="181"/>
      <c r="B615" s="181"/>
      <c r="C615" s="181"/>
      <c r="D615" s="181"/>
      <c r="E615" s="181"/>
      <c r="F615" s="181"/>
      <c r="G615" s="181"/>
      <c r="H615" s="181"/>
      <c r="I615" s="181"/>
      <c r="J615" s="181"/>
      <c r="K615" s="181"/>
      <c r="L615" s="181"/>
      <c r="M615" s="181"/>
      <c r="N615" s="181"/>
      <c r="O615" s="181"/>
      <c r="P615" s="181"/>
      <c r="Q615" s="181"/>
      <c r="R615" s="181"/>
      <c r="S615" s="181"/>
      <c r="T615" s="181"/>
      <c r="U615" s="181"/>
      <c r="V615" s="181"/>
      <c r="W615" s="181"/>
      <c r="X615" s="181"/>
      <c r="Y615" s="181"/>
      <c r="Z615" s="181"/>
    </row>
    <row r="616" ht="14.25" customHeight="1">
      <c r="A616" s="181"/>
      <c r="B616" s="181"/>
      <c r="C616" s="181"/>
      <c r="D616" s="181"/>
      <c r="E616" s="181"/>
      <c r="F616" s="181"/>
      <c r="G616" s="181"/>
      <c r="H616" s="181"/>
      <c r="I616" s="181"/>
      <c r="J616" s="181"/>
      <c r="K616" s="181"/>
      <c r="L616" s="181"/>
      <c r="M616" s="181"/>
      <c r="N616" s="181"/>
      <c r="O616" s="181"/>
      <c r="P616" s="181"/>
      <c r="Q616" s="181"/>
      <c r="R616" s="181"/>
      <c r="S616" s="181"/>
      <c r="T616" s="181"/>
      <c r="U616" s="181"/>
      <c r="V616" s="181"/>
      <c r="W616" s="181"/>
      <c r="X616" s="181"/>
      <c r="Y616" s="181"/>
      <c r="Z616" s="181"/>
    </row>
    <row r="617" ht="14.25" customHeight="1">
      <c r="A617" s="181"/>
      <c r="B617" s="181"/>
      <c r="C617" s="181"/>
      <c r="D617" s="181"/>
      <c r="E617" s="181"/>
      <c r="F617" s="181"/>
      <c r="G617" s="181"/>
      <c r="H617" s="181"/>
      <c r="I617" s="181"/>
      <c r="J617" s="181"/>
      <c r="K617" s="181"/>
      <c r="L617" s="181"/>
      <c r="M617" s="181"/>
      <c r="N617" s="181"/>
      <c r="O617" s="181"/>
      <c r="P617" s="181"/>
      <c r="Q617" s="181"/>
      <c r="R617" s="181"/>
      <c r="S617" s="181"/>
      <c r="T617" s="181"/>
      <c r="U617" s="181"/>
      <c r="V617" s="181"/>
      <c r="W617" s="181"/>
      <c r="X617" s="181"/>
      <c r="Y617" s="181"/>
      <c r="Z617" s="181"/>
    </row>
    <row r="618" ht="14.25" customHeight="1">
      <c r="A618" s="181"/>
      <c r="B618" s="181"/>
      <c r="C618" s="181"/>
      <c r="D618" s="181"/>
      <c r="E618" s="181"/>
      <c r="F618" s="181"/>
      <c r="G618" s="181"/>
      <c r="H618" s="181"/>
      <c r="I618" s="181"/>
      <c r="J618" s="181"/>
      <c r="K618" s="181"/>
      <c r="L618" s="181"/>
      <c r="M618" s="181"/>
      <c r="N618" s="181"/>
      <c r="O618" s="181"/>
      <c r="P618" s="181"/>
      <c r="Q618" s="181"/>
      <c r="R618" s="181"/>
      <c r="S618" s="181"/>
      <c r="T618" s="181"/>
      <c r="U618" s="181"/>
      <c r="V618" s="181"/>
      <c r="W618" s="181"/>
      <c r="X618" s="181"/>
      <c r="Y618" s="181"/>
      <c r="Z618" s="181"/>
    </row>
    <row r="619" ht="14.25" customHeight="1">
      <c r="A619" s="181"/>
      <c r="B619" s="181"/>
      <c r="C619" s="181"/>
      <c r="D619" s="181"/>
      <c r="E619" s="181"/>
      <c r="F619" s="181"/>
      <c r="G619" s="181"/>
      <c r="H619" s="181"/>
      <c r="I619" s="181"/>
      <c r="J619" s="181"/>
      <c r="K619" s="181"/>
      <c r="L619" s="181"/>
      <c r="M619" s="181"/>
      <c r="N619" s="181"/>
      <c r="O619" s="181"/>
      <c r="P619" s="181"/>
      <c r="Q619" s="181"/>
      <c r="R619" s="181"/>
      <c r="S619" s="181"/>
      <c r="T619" s="181"/>
      <c r="U619" s="181"/>
      <c r="V619" s="181"/>
      <c r="W619" s="181"/>
      <c r="X619" s="181"/>
      <c r="Y619" s="181"/>
      <c r="Z619" s="181"/>
    </row>
    <row r="620" ht="14.25" customHeight="1">
      <c r="A620" s="181"/>
      <c r="B620" s="181"/>
      <c r="C620" s="181"/>
      <c r="D620" s="181"/>
      <c r="E620" s="181"/>
      <c r="F620" s="181"/>
      <c r="G620" s="181"/>
      <c r="H620" s="181"/>
      <c r="I620" s="181"/>
      <c r="J620" s="181"/>
      <c r="K620" s="181"/>
      <c r="L620" s="181"/>
      <c r="M620" s="181"/>
      <c r="N620" s="181"/>
      <c r="O620" s="181"/>
      <c r="P620" s="181"/>
      <c r="Q620" s="181"/>
      <c r="R620" s="181"/>
      <c r="S620" s="181"/>
      <c r="T620" s="181"/>
      <c r="U620" s="181"/>
      <c r="V620" s="181"/>
      <c r="W620" s="181"/>
      <c r="X620" s="181"/>
      <c r="Y620" s="181"/>
      <c r="Z620" s="181"/>
    </row>
    <row r="621" ht="14.25" customHeight="1">
      <c r="A621" s="181"/>
      <c r="B621" s="181"/>
      <c r="C621" s="181"/>
      <c r="D621" s="181"/>
      <c r="E621" s="181"/>
      <c r="F621" s="181"/>
      <c r="G621" s="181"/>
      <c r="H621" s="181"/>
      <c r="I621" s="181"/>
      <c r="J621" s="181"/>
      <c r="K621" s="181"/>
      <c r="L621" s="181"/>
      <c r="M621" s="181"/>
      <c r="N621" s="181"/>
      <c r="O621" s="181"/>
      <c r="P621" s="181"/>
      <c r="Q621" s="181"/>
      <c r="R621" s="181"/>
      <c r="S621" s="181"/>
      <c r="T621" s="181"/>
      <c r="U621" s="181"/>
      <c r="V621" s="181"/>
      <c r="W621" s="181"/>
      <c r="X621" s="181"/>
      <c r="Y621" s="181"/>
      <c r="Z621" s="181"/>
    </row>
    <row r="622" ht="14.25" customHeight="1">
      <c r="A622" s="181"/>
      <c r="B622" s="181"/>
      <c r="C622" s="181"/>
      <c r="D622" s="181"/>
      <c r="E622" s="181"/>
      <c r="F622" s="181"/>
      <c r="G622" s="181"/>
      <c r="H622" s="181"/>
      <c r="I622" s="181"/>
      <c r="J622" s="181"/>
      <c r="K622" s="181"/>
      <c r="L622" s="181"/>
      <c r="M622" s="181"/>
      <c r="N622" s="181"/>
      <c r="O622" s="181"/>
      <c r="P622" s="181"/>
      <c r="Q622" s="181"/>
      <c r="R622" s="181"/>
      <c r="S622" s="181"/>
      <c r="T622" s="181"/>
      <c r="U622" s="181"/>
      <c r="V622" s="181"/>
      <c r="W622" s="181"/>
      <c r="X622" s="181"/>
      <c r="Y622" s="181"/>
      <c r="Z622" s="181"/>
    </row>
    <row r="623" ht="14.25" customHeight="1">
      <c r="A623" s="181"/>
      <c r="B623" s="181"/>
      <c r="C623" s="181"/>
      <c r="D623" s="181"/>
      <c r="E623" s="181"/>
      <c r="F623" s="181"/>
      <c r="G623" s="181"/>
      <c r="H623" s="181"/>
      <c r="I623" s="181"/>
      <c r="J623" s="181"/>
      <c r="K623" s="181"/>
      <c r="L623" s="181"/>
      <c r="M623" s="181"/>
      <c r="N623" s="181"/>
      <c r="O623" s="181"/>
      <c r="P623" s="181"/>
      <c r="Q623" s="181"/>
      <c r="R623" s="181"/>
      <c r="S623" s="181"/>
      <c r="T623" s="181"/>
      <c r="U623" s="181"/>
      <c r="V623" s="181"/>
      <c r="W623" s="181"/>
      <c r="X623" s="181"/>
      <c r="Y623" s="181"/>
      <c r="Z623" s="181"/>
    </row>
    <row r="624" ht="14.25" customHeight="1">
      <c r="A624" s="181"/>
      <c r="B624" s="181"/>
      <c r="C624" s="181"/>
      <c r="D624" s="181"/>
      <c r="E624" s="181"/>
      <c r="F624" s="181"/>
      <c r="G624" s="181"/>
      <c r="H624" s="181"/>
      <c r="I624" s="181"/>
      <c r="J624" s="181"/>
      <c r="K624" s="181"/>
      <c r="L624" s="181"/>
      <c r="M624" s="181"/>
      <c r="N624" s="181"/>
      <c r="O624" s="181"/>
      <c r="P624" s="181"/>
      <c r="Q624" s="181"/>
      <c r="R624" s="181"/>
      <c r="S624" s="181"/>
      <c r="T624" s="181"/>
      <c r="U624" s="181"/>
      <c r="V624" s="181"/>
      <c r="W624" s="181"/>
      <c r="X624" s="181"/>
      <c r="Y624" s="181"/>
      <c r="Z624" s="181"/>
    </row>
    <row r="625" ht="14.25" customHeight="1">
      <c r="A625" s="181"/>
      <c r="B625" s="181"/>
      <c r="C625" s="181"/>
      <c r="D625" s="181"/>
      <c r="E625" s="181"/>
      <c r="F625" s="181"/>
      <c r="G625" s="181"/>
      <c r="H625" s="181"/>
      <c r="I625" s="181"/>
      <c r="J625" s="181"/>
      <c r="K625" s="181"/>
      <c r="L625" s="181"/>
      <c r="M625" s="181"/>
      <c r="N625" s="181"/>
      <c r="O625" s="181"/>
      <c r="P625" s="181"/>
      <c r="Q625" s="181"/>
      <c r="R625" s="181"/>
      <c r="S625" s="181"/>
      <c r="T625" s="181"/>
      <c r="U625" s="181"/>
      <c r="V625" s="181"/>
      <c r="W625" s="181"/>
      <c r="X625" s="181"/>
      <c r="Y625" s="181"/>
      <c r="Z625" s="181"/>
    </row>
    <row r="626" ht="14.25" customHeight="1">
      <c r="A626" s="181"/>
      <c r="B626" s="181"/>
      <c r="C626" s="181"/>
      <c r="D626" s="181"/>
      <c r="E626" s="181"/>
      <c r="F626" s="181"/>
      <c r="G626" s="181"/>
      <c r="H626" s="181"/>
      <c r="I626" s="181"/>
      <c r="J626" s="181"/>
      <c r="K626" s="181"/>
      <c r="L626" s="181"/>
      <c r="M626" s="181"/>
      <c r="N626" s="181"/>
      <c r="O626" s="181"/>
      <c r="P626" s="181"/>
      <c r="Q626" s="181"/>
      <c r="R626" s="181"/>
      <c r="S626" s="181"/>
      <c r="T626" s="181"/>
      <c r="U626" s="181"/>
      <c r="V626" s="181"/>
      <c r="W626" s="181"/>
      <c r="X626" s="181"/>
      <c r="Y626" s="181"/>
      <c r="Z626" s="181"/>
    </row>
    <row r="627" ht="14.25" customHeight="1">
      <c r="A627" s="181"/>
      <c r="B627" s="181"/>
      <c r="C627" s="181"/>
      <c r="D627" s="181"/>
      <c r="E627" s="181"/>
      <c r="F627" s="181"/>
      <c r="G627" s="181"/>
      <c r="H627" s="181"/>
      <c r="I627" s="181"/>
      <c r="J627" s="181"/>
      <c r="K627" s="181"/>
      <c r="L627" s="181"/>
      <c r="M627" s="181"/>
      <c r="N627" s="181"/>
      <c r="O627" s="181"/>
      <c r="P627" s="181"/>
      <c r="Q627" s="181"/>
      <c r="R627" s="181"/>
      <c r="S627" s="181"/>
      <c r="T627" s="181"/>
      <c r="U627" s="181"/>
      <c r="V627" s="181"/>
      <c r="W627" s="181"/>
      <c r="X627" s="181"/>
      <c r="Y627" s="181"/>
      <c r="Z627" s="181"/>
    </row>
    <row r="628" ht="14.25" customHeight="1">
      <c r="A628" s="181"/>
      <c r="B628" s="181"/>
      <c r="C628" s="181"/>
      <c r="D628" s="181"/>
      <c r="E628" s="181"/>
      <c r="F628" s="181"/>
      <c r="G628" s="181"/>
      <c r="H628" s="181"/>
      <c r="I628" s="181"/>
      <c r="J628" s="181"/>
      <c r="K628" s="181"/>
      <c r="L628" s="181"/>
      <c r="M628" s="181"/>
      <c r="N628" s="181"/>
      <c r="O628" s="181"/>
      <c r="P628" s="181"/>
      <c r="Q628" s="181"/>
      <c r="R628" s="181"/>
      <c r="S628" s="181"/>
      <c r="T628" s="181"/>
      <c r="U628" s="181"/>
      <c r="V628" s="181"/>
      <c r="W628" s="181"/>
      <c r="X628" s="181"/>
      <c r="Y628" s="181"/>
      <c r="Z628" s="181"/>
    </row>
    <row r="629" ht="14.25" customHeight="1">
      <c r="A629" s="181"/>
      <c r="B629" s="181"/>
      <c r="C629" s="181"/>
      <c r="D629" s="181"/>
      <c r="E629" s="181"/>
      <c r="F629" s="181"/>
      <c r="G629" s="181"/>
      <c r="H629" s="181"/>
      <c r="I629" s="181"/>
      <c r="J629" s="181"/>
      <c r="K629" s="181"/>
      <c r="L629" s="181"/>
      <c r="M629" s="181"/>
      <c r="N629" s="181"/>
      <c r="O629" s="181"/>
      <c r="P629" s="181"/>
      <c r="Q629" s="181"/>
      <c r="R629" s="181"/>
      <c r="S629" s="181"/>
      <c r="T629" s="181"/>
      <c r="U629" s="181"/>
      <c r="V629" s="181"/>
      <c r="W629" s="181"/>
      <c r="X629" s="181"/>
      <c r="Y629" s="181"/>
      <c r="Z629" s="181"/>
    </row>
    <row r="630" ht="14.25" customHeight="1">
      <c r="A630" s="181"/>
      <c r="B630" s="181"/>
      <c r="C630" s="181"/>
      <c r="D630" s="181"/>
      <c r="E630" s="181"/>
      <c r="F630" s="181"/>
      <c r="G630" s="181"/>
      <c r="H630" s="181"/>
      <c r="I630" s="181"/>
      <c r="J630" s="181"/>
      <c r="K630" s="181"/>
      <c r="L630" s="181"/>
      <c r="M630" s="181"/>
      <c r="N630" s="181"/>
      <c r="O630" s="181"/>
      <c r="P630" s="181"/>
      <c r="Q630" s="181"/>
      <c r="R630" s="181"/>
      <c r="S630" s="181"/>
      <c r="T630" s="181"/>
      <c r="U630" s="181"/>
      <c r="V630" s="181"/>
      <c r="W630" s="181"/>
      <c r="X630" s="181"/>
      <c r="Y630" s="181"/>
      <c r="Z630" s="181"/>
    </row>
    <row r="631" ht="14.25" customHeight="1">
      <c r="A631" s="181"/>
      <c r="B631" s="181"/>
      <c r="C631" s="181"/>
      <c r="D631" s="181"/>
      <c r="E631" s="181"/>
      <c r="F631" s="181"/>
      <c r="G631" s="181"/>
      <c r="H631" s="181"/>
      <c r="I631" s="181"/>
      <c r="J631" s="181"/>
      <c r="K631" s="181"/>
      <c r="L631" s="181"/>
      <c r="M631" s="181"/>
      <c r="N631" s="181"/>
      <c r="O631" s="181"/>
      <c r="P631" s="181"/>
      <c r="Q631" s="181"/>
      <c r="R631" s="181"/>
      <c r="S631" s="181"/>
      <c r="T631" s="181"/>
      <c r="U631" s="181"/>
      <c r="V631" s="181"/>
      <c r="W631" s="181"/>
      <c r="X631" s="181"/>
      <c r="Y631" s="181"/>
      <c r="Z631" s="181"/>
    </row>
    <row r="632" ht="14.25" customHeight="1">
      <c r="A632" s="181"/>
      <c r="B632" s="181"/>
      <c r="C632" s="181"/>
      <c r="D632" s="181"/>
      <c r="E632" s="181"/>
      <c r="F632" s="181"/>
      <c r="G632" s="181"/>
      <c r="H632" s="181"/>
      <c r="I632" s="181"/>
      <c r="J632" s="181"/>
      <c r="K632" s="181"/>
      <c r="L632" s="181"/>
      <c r="M632" s="181"/>
      <c r="N632" s="181"/>
      <c r="O632" s="181"/>
      <c r="P632" s="181"/>
      <c r="Q632" s="181"/>
      <c r="R632" s="181"/>
      <c r="S632" s="181"/>
      <c r="T632" s="181"/>
      <c r="U632" s="181"/>
      <c r="V632" s="181"/>
      <c r="W632" s="181"/>
      <c r="X632" s="181"/>
      <c r="Y632" s="181"/>
      <c r="Z632" s="181"/>
    </row>
    <row r="633" ht="14.25" customHeight="1">
      <c r="A633" s="181"/>
      <c r="B633" s="181"/>
      <c r="C633" s="181"/>
      <c r="D633" s="181"/>
      <c r="E633" s="181"/>
      <c r="F633" s="181"/>
      <c r="G633" s="181"/>
      <c r="H633" s="181"/>
      <c r="I633" s="181"/>
      <c r="J633" s="181"/>
      <c r="K633" s="181"/>
      <c r="L633" s="181"/>
      <c r="M633" s="181"/>
      <c r="N633" s="181"/>
      <c r="O633" s="181"/>
      <c r="P633" s="181"/>
      <c r="Q633" s="181"/>
      <c r="R633" s="181"/>
      <c r="S633" s="181"/>
      <c r="T633" s="181"/>
      <c r="U633" s="181"/>
      <c r="V633" s="181"/>
      <c r="W633" s="181"/>
      <c r="X633" s="181"/>
      <c r="Y633" s="181"/>
      <c r="Z633" s="181"/>
    </row>
    <row r="634" ht="14.25" customHeight="1">
      <c r="A634" s="181"/>
      <c r="B634" s="181"/>
      <c r="C634" s="181"/>
      <c r="D634" s="181"/>
      <c r="E634" s="181"/>
      <c r="F634" s="181"/>
      <c r="G634" s="181"/>
      <c r="H634" s="181"/>
      <c r="I634" s="181"/>
      <c r="J634" s="181"/>
      <c r="K634" s="181"/>
      <c r="L634" s="181"/>
      <c r="M634" s="181"/>
      <c r="N634" s="181"/>
      <c r="O634" s="181"/>
      <c r="P634" s="181"/>
      <c r="Q634" s="181"/>
      <c r="R634" s="181"/>
      <c r="S634" s="181"/>
      <c r="T634" s="181"/>
      <c r="U634" s="181"/>
      <c r="V634" s="181"/>
      <c r="W634" s="181"/>
      <c r="X634" s="181"/>
      <c r="Y634" s="181"/>
      <c r="Z634" s="181"/>
    </row>
    <row r="635" ht="14.25" customHeight="1">
      <c r="A635" s="181"/>
      <c r="B635" s="181"/>
      <c r="C635" s="181"/>
      <c r="D635" s="181"/>
      <c r="E635" s="181"/>
      <c r="F635" s="181"/>
      <c r="G635" s="181"/>
      <c r="H635" s="181"/>
      <c r="I635" s="181"/>
      <c r="J635" s="181"/>
      <c r="K635" s="181"/>
      <c r="L635" s="181"/>
      <c r="M635" s="181"/>
      <c r="N635" s="181"/>
      <c r="O635" s="181"/>
      <c r="P635" s="181"/>
      <c r="Q635" s="181"/>
      <c r="R635" s="181"/>
      <c r="S635" s="181"/>
      <c r="T635" s="181"/>
      <c r="U635" s="181"/>
      <c r="V635" s="181"/>
      <c r="W635" s="181"/>
      <c r="X635" s="181"/>
      <c r="Y635" s="181"/>
      <c r="Z635" s="181"/>
    </row>
    <row r="636" ht="14.25" customHeight="1">
      <c r="A636" s="181"/>
      <c r="B636" s="181"/>
      <c r="C636" s="181"/>
      <c r="D636" s="181"/>
      <c r="E636" s="181"/>
      <c r="F636" s="181"/>
      <c r="G636" s="181"/>
      <c r="H636" s="181"/>
      <c r="I636" s="181"/>
      <c r="J636" s="181"/>
      <c r="K636" s="181"/>
      <c r="L636" s="181"/>
      <c r="M636" s="181"/>
      <c r="N636" s="181"/>
      <c r="O636" s="181"/>
      <c r="P636" s="181"/>
      <c r="Q636" s="181"/>
      <c r="R636" s="181"/>
      <c r="S636" s="181"/>
      <c r="T636" s="181"/>
      <c r="U636" s="181"/>
      <c r="V636" s="181"/>
      <c r="W636" s="181"/>
      <c r="X636" s="181"/>
      <c r="Y636" s="181"/>
      <c r="Z636" s="181"/>
    </row>
    <row r="637" ht="14.25" customHeight="1">
      <c r="A637" s="181"/>
      <c r="B637" s="181"/>
      <c r="C637" s="181"/>
      <c r="D637" s="181"/>
      <c r="E637" s="181"/>
      <c r="F637" s="181"/>
      <c r="G637" s="181"/>
      <c r="H637" s="181"/>
      <c r="I637" s="181"/>
      <c r="J637" s="181"/>
      <c r="K637" s="181"/>
      <c r="L637" s="181"/>
      <c r="M637" s="181"/>
      <c r="N637" s="181"/>
      <c r="O637" s="181"/>
      <c r="P637" s="181"/>
      <c r="Q637" s="181"/>
      <c r="R637" s="181"/>
      <c r="S637" s="181"/>
      <c r="T637" s="181"/>
      <c r="U637" s="181"/>
      <c r="V637" s="181"/>
      <c r="W637" s="181"/>
      <c r="X637" s="181"/>
      <c r="Y637" s="181"/>
      <c r="Z637" s="181"/>
    </row>
    <row r="638" ht="14.25" customHeight="1">
      <c r="A638" s="181"/>
      <c r="B638" s="181"/>
      <c r="C638" s="181"/>
      <c r="D638" s="181"/>
      <c r="E638" s="181"/>
      <c r="F638" s="181"/>
      <c r="G638" s="181"/>
      <c r="H638" s="181"/>
      <c r="I638" s="181"/>
      <c r="J638" s="181"/>
      <c r="K638" s="181"/>
      <c r="L638" s="181"/>
      <c r="M638" s="181"/>
      <c r="N638" s="181"/>
      <c r="O638" s="181"/>
      <c r="P638" s="181"/>
      <c r="Q638" s="181"/>
      <c r="R638" s="181"/>
      <c r="S638" s="181"/>
      <c r="T638" s="181"/>
      <c r="U638" s="181"/>
      <c r="V638" s="181"/>
      <c r="W638" s="181"/>
      <c r="X638" s="181"/>
      <c r="Y638" s="181"/>
      <c r="Z638" s="181"/>
    </row>
    <row r="639" ht="14.25" customHeight="1">
      <c r="A639" s="181"/>
      <c r="B639" s="181"/>
      <c r="C639" s="181"/>
      <c r="D639" s="181"/>
      <c r="E639" s="181"/>
      <c r="F639" s="181"/>
      <c r="G639" s="181"/>
      <c r="H639" s="181"/>
      <c r="I639" s="181"/>
      <c r="J639" s="181"/>
      <c r="K639" s="181"/>
      <c r="L639" s="181"/>
      <c r="M639" s="181"/>
      <c r="N639" s="181"/>
      <c r="O639" s="181"/>
      <c r="P639" s="181"/>
      <c r="Q639" s="181"/>
      <c r="R639" s="181"/>
      <c r="S639" s="181"/>
      <c r="T639" s="181"/>
      <c r="U639" s="181"/>
      <c r="V639" s="181"/>
      <c r="W639" s="181"/>
      <c r="X639" s="181"/>
      <c r="Y639" s="181"/>
      <c r="Z639" s="181"/>
    </row>
    <row r="640" ht="14.25" customHeight="1">
      <c r="A640" s="181"/>
      <c r="B640" s="181"/>
      <c r="C640" s="181"/>
      <c r="D640" s="181"/>
      <c r="E640" s="181"/>
      <c r="F640" s="181"/>
      <c r="G640" s="181"/>
      <c r="H640" s="181"/>
      <c r="I640" s="181"/>
      <c r="J640" s="181"/>
      <c r="K640" s="181"/>
      <c r="L640" s="181"/>
      <c r="M640" s="181"/>
      <c r="N640" s="181"/>
      <c r="O640" s="181"/>
      <c r="P640" s="181"/>
      <c r="Q640" s="181"/>
      <c r="R640" s="181"/>
      <c r="S640" s="181"/>
      <c r="T640" s="181"/>
      <c r="U640" s="181"/>
      <c r="V640" s="181"/>
      <c r="W640" s="181"/>
      <c r="X640" s="181"/>
      <c r="Y640" s="181"/>
      <c r="Z640" s="181"/>
    </row>
    <row r="641" ht="14.25" customHeight="1">
      <c r="A641" s="181"/>
      <c r="B641" s="181"/>
      <c r="C641" s="181"/>
      <c r="D641" s="181"/>
      <c r="E641" s="181"/>
      <c r="F641" s="181"/>
      <c r="G641" s="181"/>
      <c r="H641" s="181"/>
      <c r="I641" s="181"/>
      <c r="J641" s="181"/>
      <c r="K641" s="181"/>
      <c r="L641" s="181"/>
      <c r="M641" s="181"/>
      <c r="N641" s="181"/>
      <c r="O641" s="181"/>
      <c r="P641" s="181"/>
      <c r="Q641" s="181"/>
      <c r="R641" s="181"/>
      <c r="S641" s="181"/>
      <c r="T641" s="181"/>
      <c r="U641" s="181"/>
      <c r="V641" s="181"/>
      <c r="W641" s="181"/>
      <c r="X641" s="181"/>
      <c r="Y641" s="181"/>
      <c r="Z641" s="181"/>
    </row>
    <row r="642" ht="14.25" customHeight="1">
      <c r="A642" s="181"/>
      <c r="B642" s="181"/>
      <c r="C642" s="181"/>
      <c r="D642" s="181"/>
      <c r="E642" s="181"/>
      <c r="F642" s="181"/>
      <c r="G642" s="181"/>
      <c r="H642" s="181"/>
      <c r="I642" s="181"/>
      <c r="J642" s="181"/>
      <c r="K642" s="181"/>
      <c r="L642" s="181"/>
      <c r="M642" s="181"/>
      <c r="N642" s="181"/>
      <c r="O642" s="181"/>
      <c r="P642" s="181"/>
      <c r="Q642" s="181"/>
      <c r="R642" s="181"/>
      <c r="S642" s="181"/>
      <c r="T642" s="181"/>
      <c r="U642" s="181"/>
      <c r="V642" s="181"/>
      <c r="W642" s="181"/>
      <c r="X642" s="181"/>
      <c r="Y642" s="181"/>
      <c r="Z642" s="181"/>
    </row>
    <row r="643" ht="14.25" customHeight="1">
      <c r="A643" s="181"/>
      <c r="B643" s="181"/>
      <c r="C643" s="181"/>
      <c r="D643" s="181"/>
      <c r="E643" s="181"/>
      <c r="F643" s="181"/>
      <c r="G643" s="181"/>
      <c r="H643" s="181"/>
      <c r="I643" s="181"/>
      <c r="J643" s="181"/>
      <c r="K643" s="181"/>
      <c r="L643" s="181"/>
      <c r="M643" s="181"/>
      <c r="N643" s="181"/>
      <c r="O643" s="181"/>
      <c r="P643" s="181"/>
      <c r="Q643" s="181"/>
      <c r="R643" s="181"/>
      <c r="S643" s="181"/>
      <c r="T643" s="181"/>
      <c r="U643" s="181"/>
      <c r="V643" s="181"/>
      <c r="W643" s="181"/>
      <c r="X643" s="181"/>
      <c r="Y643" s="181"/>
      <c r="Z643" s="181"/>
    </row>
    <row r="644" ht="14.25" customHeight="1">
      <c r="A644" s="181"/>
      <c r="B644" s="181"/>
      <c r="C644" s="181"/>
      <c r="D644" s="181"/>
      <c r="E644" s="181"/>
      <c r="F644" s="181"/>
      <c r="G644" s="181"/>
      <c r="H644" s="181"/>
      <c r="I644" s="181"/>
      <c r="J644" s="181"/>
      <c r="K644" s="181"/>
      <c r="L644" s="181"/>
      <c r="M644" s="181"/>
      <c r="N644" s="181"/>
      <c r="O644" s="181"/>
      <c r="P644" s="181"/>
      <c r="Q644" s="181"/>
      <c r="R644" s="181"/>
      <c r="S644" s="181"/>
      <c r="T644" s="181"/>
      <c r="U644" s="181"/>
      <c r="V644" s="181"/>
      <c r="W644" s="181"/>
      <c r="X644" s="181"/>
      <c r="Y644" s="181"/>
      <c r="Z644" s="181"/>
    </row>
    <row r="645" ht="14.25" customHeight="1">
      <c r="A645" s="181"/>
      <c r="B645" s="181"/>
      <c r="C645" s="181"/>
      <c r="D645" s="181"/>
      <c r="E645" s="181"/>
      <c r="F645" s="181"/>
      <c r="G645" s="181"/>
      <c r="H645" s="181"/>
      <c r="I645" s="181"/>
      <c r="J645" s="181"/>
      <c r="K645" s="181"/>
      <c r="L645" s="181"/>
      <c r="M645" s="181"/>
      <c r="N645" s="181"/>
      <c r="O645" s="181"/>
      <c r="P645" s="181"/>
      <c r="Q645" s="181"/>
      <c r="R645" s="181"/>
      <c r="S645" s="181"/>
      <c r="T645" s="181"/>
      <c r="U645" s="181"/>
      <c r="V645" s="181"/>
      <c r="W645" s="181"/>
      <c r="X645" s="181"/>
      <c r="Y645" s="181"/>
      <c r="Z645" s="181"/>
    </row>
    <row r="646" ht="14.25" customHeight="1">
      <c r="A646" s="181"/>
      <c r="B646" s="181"/>
      <c r="C646" s="181"/>
      <c r="D646" s="181"/>
      <c r="E646" s="181"/>
      <c r="F646" s="181"/>
      <c r="G646" s="181"/>
      <c r="H646" s="181"/>
      <c r="I646" s="181"/>
      <c r="J646" s="181"/>
      <c r="K646" s="181"/>
      <c r="L646" s="181"/>
      <c r="M646" s="181"/>
      <c r="N646" s="181"/>
      <c r="O646" s="181"/>
      <c r="P646" s="181"/>
      <c r="Q646" s="181"/>
      <c r="R646" s="181"/>
      <c r="S646" s="181"/>
      <c r="T646" s="181"/>
      <c r="U646" s="181"/>
      <c r="V646" s="181"/>
      <c r="W646" s="181"/>
      <c r="X646" s="181"/>
      <c r="Y646" s="181"/>
      <c r="Z646" s="181"/>
    </row>
    <row r="647" ht="14.25" customHeight="1">
      <c r="A647" s="181"/>
      <c r="B647" s="181"/>
      <c r="C647" s="181"/>
      <c r="D647" s="181"/>
      <c r="E647" s="181"/>
      <c r="F647" s="181"/>
      <c r="G647" s="181"/>
      <c r="H647" s="181"/>
      <c r="I647" s="181"/>
      <c r="J647" s="181"/>
      <c r="K647" s="181"/>
      <c r="L647" s="181"/>
      <c r="M647" s="181"/>
      <c r="N647" s="181"/>
      <c r="O647" s="181"/>
      <c r="P647" s="181"/>
      <c r="Q647" s="181"/>
      <c r="R647" s="181"/>
      <c r="S647" s="181"/>
      <c r="T647" s="181"/>
      <c r="U647" s="181"/>
      <c r="V647" s="181"/>
      <c r="W647" s="181"/>
      <c r="X647" s="181"/>
      <c r="Y647" s="181"/>
      <c r="Z647" s="181"/>
    </row>
    <row r="648" ht="14.25" customHeight="1">
      <c r="A648" s="181"/>
      <c r="B648" s="181"/>
      <c r="C648" s="181"/>
      <c r="D648" s="181"/>
      <c r="E648" s="181"/>
      <c r="F648" s="181"/>
      <c r="G648" s="181"/>
      <c r="H648" s="181"/>
      <c r="I648" s="181"/>
      <c r="J648" s="181"/>
      <c r="K648" s="181"/>
      <c r="L648" s="181"/>
      <c r="M648" s="181"/>
      <c r="N648" s="181"/>
      <c r="O648" s="181"/>
      <c r="P648" s="181"/>
      <c r="Q648" s="181"/>
      <c r="R648" s="181"/>
      <c r="S648" s="181"/>
      <c r="T648" s="181"/>
      <c r="U648" s="181"/>
      <c r="V648" s="181"/>
      <c r="W648" s="181"/>
      <c r="X648" s="181"/>
      <c r="Y648" s="181"/>
      <c r="Z648" s="181"/>
    </row>
    <row r="649" ht="14.25" customHeight="1">
      <c r="A649" s="181"/>
      <c r="B649" s="181"/>
      <c r="C649" s="181"/>
      <c r="D649" s="181"/>
      <c r="E649" s="181"/>
      <c r="F649" s="181"/>
      <c r="G649" s="181"/>
      <c r="H649" s="181"/>
      <c r="I649" s="181"/>
      <c r="J649" s="181"/>
      <c r="K649" s="181"/>
      <c r="L649" s="181"/>
      <c r="M649" s="181"/>
      <c r="N649" s="181"/>
      <c r="O649" s="181"/>
      <c r="P649" s="181"/>
      <c r="Q649" s="181"/>
      <c r="R649" s="181"/>
      <c r="S649" s="181"/>
      <c r="T649" s="181"/>
      <c r="U649" s="181"/>
      <c r="V649" s="181"/>
      <c r="W649" s="181"/>
      <c r="X649" s="181"/>
      <c r="Y649" s="181"/>
      <c r="Z649" s="181"/>
    </row>
    <row r="650" ht="14.25" customHeight="1">
      <c r="A650" s="181"/>
      <c r="B650" s="181"/>
      <c r="C650" s="181"/>
      <c r="D650" s="181"/>
      <c r="E650" s="181"/>
      <c r="F650" s="181"/>
      <c r="G650" s="181"/>
      <c r="H650" s="181"/>
      <c r="I650" s="181"/>
      <c r="J650" s="181"/>
      <c r="K650" s="181"/>
      <c r="L650" s="181"/>
      <c r="M650" s="181"/>
      <c r="N650" s="181"/>
      <c r="O650" s="181"/>
      <c r="P650" s="181"/>
      <c r="Q650" s="181"/>
      <c r="R650" s="181"/>
      <c r="S650" s="181"/>
      <c r="T650" s="181"/>
      <c r="U650" s="181"/>
      <c r="V650" s="181"/>
      <c r="W650" s="181"/>
      <c r="X650" s="181"/>
      <c r="Y650" s="181"/>
      <c r="Z650" s="181"/>
    </row>
    <row r="651" ht="14.25" customHeight="1">
      <c r="A651" s="181"/>
      <c r="B651" s="181"/>
      <c r="C651" s="181"/>
      <c r="D651" s="181"/>
      <c r="E651" s="181"/>
      <c r="F651" s="181"/>
      <c r="G651" s="181"/>
      <c r="H651" s="181"/>
      <c r="I651" s="181"/>
      <c r="J651" s="181"/>
      <c r="K651" s="181"/>
      <c r="L651" s="181"/>
      <c r="M651" s="181"/>
      <c r="N651" s="181"/>
      <c r="O651" s="181"/>
      <c r="P651" s="181"/>
      <c r="Q651" s="181"/>
      <c r="R651" s="181"/>
      <c r="S651" s="181"/>
      <c r="T651" s="181"/>
      <c r="U651" s="181"/>
      <c r="V651" s="181"/>
      <c r="W651" s="181"/>
      <c r="X651" s="181"/>
      <c r="Y651" s="181"/>
      <c r="Z651" s="181"/>
    </row>
    <row r="652" ht="14.25" customHeight="1">
      <c r="A652" s="181"/>
      <c r="B652" s="181"/>
      <c r="C652" s="181"/>
      <c r="D652" s="181"/>
      <c r="E652" s="181"/>
      <c r="F652" s="181"/>
      <c r="G652" s="181"/>
      <c r="H652" s="181"/>
      <c r="I652" s="181"/>
      <c r="J652" s="181"/>
      <c r="K652" s="181"/>
      <c r="L652" s="181"/>
      <c r="M652" s="181"/>
      <c r="N652" s="181"/>
      <c r="O652" s="181"/>
      <c r="P652" s="181"/>
      <c r="Q652" s="181"/>
      <c r="R652" s="181"/>
      <c r="S652" s="181"/>
      <c r="T652" s="181"/>
      <c r="U652" s="181"/>
      <c r="V652" s="181"/>
      <c r="W652" s="181"/>
      <c r="X652" s="181"/>
      <c r="Y652" s="181"/>
      <c r="Z652" s="181"/>
    </row>
    <row r="653" ht="14.25" customHeight="1">
      <c r="A653" s="181"/>
      <c r="B653" s="181"/>
      <c r="C653" s="181"/>
      <c r="D653" s="181"/>
      <c r="E653" s="181"/>
      <c r="F653" s="181"/>
      <c r="G653" s="181"/>
      <c r="H653" s="181"/>
      <c r="I653" s="181"/>
      <c r="J653" s="181"/>
      <c r="K653" s="181"/>
      <c r="L653" s="181"/>
      <c r="M653" s="181"/>
      <c r="N653" s="181"/>
      <c r="O653" s="181"/>
      <c r="P653" s="181"/>
      <c r="Q653" s="181"/>
      <c r="R653" s="181"/>
      <c r="S653" s="181"/>
      <c r="T653" s="181"/>
      <c r="U653" s="181"/>
      <c r="V653" s="181"/>
      <c r="W653" s="181"/>
      <c r="X653" s="181"/>
      <c r="Y653" s="181"/>
      <c r="Z653" s="181"/>
    </row>
    <row r="654" ht="14.25" customHeight="1">
      <c r="A654" s="181"/>
      <c r="B654" s="181"/>
      <c r="C654" s="181"/>
      <c r="D654" s="181"/>
      <c r="E654" s="181"/>
      <c r="F654" s="181"/>
      <c r="G654" s="181"/>
      <c r="H654" s="181"/>
      <c r="I654" s="181"/>
      <c r="J654" s="181"/>
      <c r="K654" s="181"/>
      <c r="L654" s="181"/>
      <c r="M654" s="181"/>
      <c r="N654" s="181"/>
      <c r="O654" s="181"/>
      <c r="P654" s="181"/>
      <c r="Q654" s="181"/>
      <c r="R654" s="181"/>
      <c r="S654" s="181"/>
      <c r="T654" s="181"/>
      <c r="U654" s="181"/>
      <c r="V654" s="181"/>
      <c r="W654" s="181"/>
      <c r="X654" s="181"/>
      <c r="Y654" s="181"/>
      <c r="Z654" s="181"/>
    </row>
    <row r="655" ht="14.25" customHeight="1">
      <c r="A655" s="181"/>
      <c r="B655" s="181"/>
      <c r="C655" s="181"/>
      <c r="D655" s="181"/>
      <c r="E655" s="181"/>
      <c r="F655" s="181"/>
      <c r="G655" s="181"/>
      <c r="H655" s="181"/>
      <c r="I655" s="181"/>
      <c r="J655" s="181"/>
      <c r="K655" s="181"/>
      <c r="L655" s="181"/>
      <c r="M655" s="181"/>
      <c r="N655" s="181"/>
      <c r="O655" s="181"/>
      <c r="P655" s="181"/>
      <c r="Q655" s="181"/>
      <c r="R655" s="181"/>
      <c r="S655" s="181"/>
      <c r="T655" s="181"/>
      <c r="U655" s="181"/>
      <c r="V655" s="181"/>
      <c r="W655" s="181"/>
      <c r="X655" s="181"/>
      <c r="Y655" s="181"/>
      <c r="Z655" s="181"/>
    </row>
    <row r="656" ht="14.25" customHeight="1">
      <c r="A656" s="181"/>
      <c r="B656" s="181"/>
      <c r="C656" s="181"/>
      <c r="D656" s="181"/>
      <c r="E656" s="181"/>
      <c r="F656" s="181"/>
      <c r="G656" s="181"/>
      <c r="H656" s="181"/>
      <c r="I656" s="181"/>
      <c r="J656" s="181"/>
      <c r="K656" s="181"/>
      <c r="L656" s="181"/>
      <c r="M656" s="181"/>
      <c r="N656" s="181"/>
      <c r="O656" s="181"/>
      <c r="P656" s="181"/>
      <c r="Q656" s="181"/>
      <c r="R656" s="181"/>
      <c r="S656" s="181"/>
      <c r="T656" s="181"/>
      <c r="U656" s="181"/>
      <c r="V656" s="181"/>
      <c r="W656" s="181"/>
      <c r="X656" s="181"/>
      <c r="Y656" s="181"/>
      <c r="Z656" s="181"/>
    </row>
    <row r="657" ht="14.25" customHeight="1">
      <c r="A657" s="181"/>
      <c r="B657" s="181"/>
      <c r="C657" s="181"/>
      <c r="D657" s="181"/>
      <c r="E657" s="181"/>
      <c r="F657" s="181"/>
      <c r="G657" s="181"/>
      <c r="H657" s="181"/>
      <c r="I657" s="181"/>
      <c r="J657" s="181"/>
      <c r="K657" s="181"/>
      <c r="L657" s="181"/>
      <c r="M657" s="181"/>
      <c r="N657" s="181"/>
      <c r="O657" s="181"/>
      <c r="P657" s="181"/>
      <c r="Q657" s="181"/>
      <c r="R657" s="181"/>
      <c r="S657" s="181"/>
      <c r="T657" s="181"/>
      <c r="U657" s="181"/>
      <c r="V657" s="181"/>
      <c r="W657" s="181"/>
      <c r="X657" s="181"/>
      <c r="Y657" s="181"/>
      <c r="Z657" s="181"/>
    </row>
    <row r="658" ht="14.25" customHeight="1">
      <c r="A658" s="181"/>
      <c r="B658" s="181"/>
      <c r="C658" s="181"/>
      <c r="D658" s="181"/>
      <c r="E658" s="181"/>
      <c r="F658" s="181"/>
      <c r="G658" s="181"/>
      <c r="H658" s="181"/>
      <c r="I658" s="181"/>
      <c r="J658" s="181"/>
      <c r="K658" s="181"/>
      <c r="L658" s="181"/>
      <c r="M658" s="181"/>
      <c r="N658" s="181"/>
      <c r="O658" s="181"/>
      <c r="P658" s="181"/>
      <c r="Q658" s="181"/>
      <c r="R658" s="181"/>
      <c r="S658" s="181"/>
      <c r="T658" s="181"/>
      <c r="U658" s="181"/>
      <c r="V658" s="181"/>
      <c r="W658" s="181"/>
      <c r="X658" s="181"/>
      <c r="Y658" s="181"/>
      <c r="Z658" s="181"/>
    </row>
    <row r="659" ht="14.25" customHeight="1">
      <c r="A659" s="181"/>
      <c r="B659" s="181"/>
      <c r="C659" s="181"/>
      <c r="D659" s="181"/>
      <c r="E659" s="181"/>
      <c r="F659" s="181"/>
      <c r="G659" s="181"/>
      <c r="H659" s="181"/>
      <c r="I659" s="181"/>
      <c r="J659" s="181"/>
      <c r="K659" s="181"/>
      <c r="L659" s="181"/>
      <c r="M659" s="181"/>
      <c r="N659" s="181"/>
      <c r="O659" s="181"/>
      <c r="P659" s="181"/>
      <c r="Q659" s="181"/>
      <c r="R659" s="181"/>
      <c r="S659" s="181"/>
      <c r="T659" s="181"/>
      <c r="U659" s="181"/>
      <c r="V659" s="181"/>
      <c r="W659" s="181"/>
      <c r="X659" s="181"/>
      <c r="Y659" s="181"/>
      <c r="Z659" s="181"/>
    </row>
    <row r="660" ht="14.25" customHeight="1">
      <c r="A660" s="181"/>
      <c r="B660" s="181"/>
      <c r="C660" s="181"/>
      <c r="D660" s="181"/>
      <c r="E660" s="181"/>
      <c r="F660" s="181"/>
      <c r="G660" s="181"/>
      <c r="H660" s="181"/>
      <c r="I660" s="181"/>
      <c r="J660" s="181"/>
      <c r="K660" s="181"/>
      <c r="L660" s="181"/>
      <c r="M660" s="181"/>
      <c r="N660" s="181"/>
      <c r="O660" s="181"/>
      <c r="P660" s="181"/>
      <c r="Q660" s="181"/>
      <c r="R660" s="181"/>
      <c r="S660" s="181"/>
      <c r="T660" s="181"/>
      <c r="U660" s="181"/>
      <c r="V660" s="181"/>
      <c r="W660" s="181"/>
      <c r="X660" s="181"/>
      <c r="Y660" s="181"/>
      <c r="Z660" s="181"/>
    </row>
    <row r="661" ht="14.25" customHeight="1">
      <c r="A661" s="181"/>
      <c r="B661" s="181"/>
      <c r="C661" s="181"/>
      <c r="D661" s="181"/>
      <c r="E661" s="181"/>
      <c r="F661" s="181"/>
      <c r="G661" s="181"/>
      <c r="H661" s="181"/>
      <c r="I661" s="181"/>
      <c r="J661" s="181"/>
      <c r="K661" s="181"/>
      <c r="L661" s="181"/>
      <c r="M661" s="181"/>
      <c r="N661" s="181"/>
      <c r="O661" s="181"/>
      <c r="P661" s="181"/>
      <c r="Q661" s="181"/>
      <c r="R661" s="181"/>
      <c r="S661" s="181"/>
      <c r="T661" s="181"/>
      <c r="U661" s="181"/>
      <c r="V661" s="181"/>
      <c r="W661" s="181"/>
      <c r="X661" s="181"/>
      <c r="Y661" s="181"/>
      <c r="Z661" s="181"/>
    </row>
    <row r="662" ht="14.25" customHeight="1">
      <c r="A662" s="181"/>
      <c r="B662" s="181"/>
      <c r="C662" s="181"/>
      <c r="D662" s="181"/>
      <c r="E662" s="181"/>
      <c r="F662" s="181"/>
      <c r="G662" s="181"/>
      <c r="H662" s="181"/>
      <c r="I662" s="181"/>
      <c r="J662" s="181"/>
      <c r="K662" s="181"/>
      <c r="L662" s="181"/>
      <c r="M662" s="181"/>
      <c r="N662" s="181"/>
      <c r="O662" s="181"/>
      <c r="P662" s="181"/>
      <c r="Q662" s="181"/>
      <c r="R662" s="181"/>
      <c r="S662" s="181"/>
      <c r="T662" s="181"/>
      <c r="U662" s="181"/>
      <c r="V662" s="181"/>
      <c r="W662" s="181"/>
      <c r="X662" s="181"/>
      <c r="Y662" s="181"/>
      <c r="Z662" s="181"/>
    </row>
    <row r="663" ht="14.25" customHeight="1">
      <c r="A663" s="181"/>
      <c r="B663" s="181"/>
      <c r="C663" s="181"/>
      <c r="D663" s="181"/>
      <c r="E663" s="181"/>
      <c r="F663" s="181"/>
      <c r="G663" s="181"/>
      <c r="H663" s="181"/>
      <c r="I663" s="181"/>
      <c r="J663" s="181"/>
      <c r="K663" s="181"/>
      <c r="L663" s="181"/>
      <c r="M663" s="181"/>
      <c r="N663" s="181"/>
      <c r="O663" s="181"/>
      <c r="P663" s="181"/>
      <c r="Q663" s="181"/>
      <c r="R663" s="181"/>
      <c r="S663" s="181"/>
      <c r="T663" s="181"/>
      <c r="U663" s="181"/>
      <c r="V663" s="181"/>
      <c r="W663" s="181"/>
      <c r="X663" s="181"/>
      <c r="Y663" s="181"/>
      <c r="Z663" s="181"/>
    </row>
    <row r="664" ht="14.25" customHeight="1">
      <c r="A664" s="181"/>
      <c r="B664" s="181"/>
      <c r="C664" s="181"/>
      <c r="D664" s="181"/>
      <c r="E664" s="181"/>
      <c r="F664" s="181"/>
      <c r="G664" s="181"/>
      <c r="H664" s="181"/>
      <c r="I664" s="181"/>
      <c r="J664" s="181"/>
      <c r="K664" s="181"/>
      <c r="L664" s="181"/>
      <c r="M664" s="181"/>
      <c r="N664" s="181"/>
      <c r="O664" s="181"/>
      <c r="P664" s="181"/>
      <c r="Q664" s="181"/>
      <c r="R664" s="181"/>
      <c r="S664" s="181"/>
      <c r="T664" s="181"/>
      <c r="U664" s="181"/>
      <c r="V664" s="181"/>
      <c r="W664" s="181"/>
      <c r="X664" s="181"/>
      <c r="Y664" s="181"/>
      <c r="Z664" s="181"/>
    </row>
    <row r="665" ht="14.25" customHeight="1">
      <c r="A665" s="181"/>
      <c r="B665" s="181"/>
      <c r="C665" s="181"/>
      <c r="D665" s="181"/>
      <c r="E665" s="181"/>
      <c r="F665" s="181"/>
      <c r="G665" s="181"/>
      <c r="H665" s="181"/>
      <c r="I665" s="181"/>
      <c r="J665" s="181"/>
      <c r="K665" s="181"/>
      <c r="L665" s="181"/>
      <c r="M665" s="181"/>
      <c r="N665" s="181"/>
      <c r="O665" s="181"/>
      <c r="P665" s="181"/>
      <c r="Q665" s="181"/>
      <c r="R665" s="181"/>
      <c r="S665" s="181"/>
      <c r="T665" s="181"/>
      <c r="U665" s="181"/>
      <c r="V665" s="181"/>
      <c r="W665" s="181"/>
      <c r="X665" s="181"/>
      <c r="Y665" s="181"/>
      <c r="Z665" s="181"/>
    </row>
    <row r="666" ht="14.25" customHeight="1">
      <c r="A666" s="181"/>
      <c r="B666" s="181"/>
      <c r="C666" s="181"/>
      <c r="D666" s="181"/>
      <c r="E666" s="181"/>
      <c r="F666" s="181"/>
      <c r="G666" s="181"/>
      <c r="H666" s="181"/>
      <c r="I666" s="181"/>
      <c r="J666" s="181"/>
      <c r="K666" s="181"/>
      <c r="L666" s="181"/>
      <c r="M666" s="181"/>
      <c r="N666" s="181"/>
      <c r="O666" s="181"/>
      <c r="P666" s="181"/>
      <c r="Q666" s="181"/>
      <c r="R666" s="181"/>
      <c r="S666" s="181"/>
      <c r="T666" s="181"/>
      <c r="U666" s="181"/>
      <c r="V666" s="181"/>
      <c r="W666" s="181"/>
      <c r="X666" s="181"/>
      <c r="Y666" s="181"/>
      <c r="Z666" s="181"/>
    </row>
    <row r="667" ht="14.25" customHeight="1">
      <c r="A667" s="181"/>
      <c r="B667" s="181"/>
      <c r="C667" s="181"/>
      <c r="D667" s="181"/>
      <c r="E667" s="181"/>
      <c r="F667" s="181"/>
      <c r="G667" s="181"/>
      <c r="H667" s="181"/>
      <c r="I667" s="181"/>
      <c r="J667" s="181"/>
      <c r="K667" s="181"/>
      <c r="L667" s="181"/>
      <c r="M667" s="181"/>
      <c r="N667" s="181"/>
      <c r="O667" s="181"/>
      <c r="P667" s="181"/>
      <c r="Q667" s="181"/>
      <c r="R667" s="181"/>
      <c r="S667" s="181"/>
      <c r="T667" s="181"/>
      <c r="U667" s="181"/>
      <c r="V667" s="181"/>
      <c r="W667" s="181"/>
      <c r="X667" s="181"/>
      <c r="Y667" s="181"/>
      <c r="Z667" s="181"/>
    </row>
    <row r="668" ht="14.25" customHeight="1">
      <c r="A668" s="181"/>
      <c r="B668" s="181"/>
      <c r="C668" s="181"/>
      <c r="D668" s="181"/>
      <c r="E668" s="181"/>
      <c r="F668" s="181"/>
      <c r="G668" s="181"/>
      <c r="H668" s="181"/>
      <c r="I668" s="181"/>
      <c r="J668" s="181"/>
      <c r="K668" s="181"/>
      <c r="L668" s="181"/>
      <c r="M668" s="181"/>
      <c r="N668" s="181"/>
      <c r="O668" s="181"/>
      <c r="P668" s="181"/>
      <c r="Q668" s="181"/>
      <c r="R668" s="181"/>
      <c r="S668" s="181"/>
      <c r="T668" s="181"/>
      <c r="U668" s="181"/>
      <c r="V668" s="181"/>
      <c r="W668" s="181"/>
      <c r="X668" s="181"/>
      <c r="Y668" s="181"/>
      <c r="Z668" s="181"/>
    </row>
    <row r="669" ht="14.25" customHeight="1">
      <c r="A669" s="181"/>
      <c r="B669" s="181"/>
      <c r="C669" s="181"/>
      <c r="D669" s="181"/>
      <c r="E669" s="181"/>
      <c r="F669" s="181"/>
      <c r="G669" s="181"/>
      <c r="H669" s="181"/>
      <c r="I669" s="181"/>
      <c r="J669" s="181"/>
      <c r="K669" s="181"/>
      <c r="L669" s="181"/>
      <c r="M669" s="181"/>
      <c r="N669" s="181"/>
      <c r="O669" s="181"/>
      <c r="P669" s="181"/>
      <c r="Q669" s="181"/>
      <c r="R669" s="181"/>
      <c r="S669" s="181"/>
      <c r="T669" s="181"/>
      <c r="U669" s="181"/>
      <c r="V669" s="181"/>
      <c r="W669" s="181"/>
      <c r="X669" s="181"/>
      <c r="Y669" s="181"/>
      <c r="Z669" s="181"/>
    </row>
    <row r="670" ht="14.25" customHeight="1">
      <c r="A670" s="181"/>
      <c r="B670" s="181"/>
      <c r="C670" s="181"/>
      <c r="D670" s="181"/>
      <c r="E670" s="181"/>
      <c r="F670" s="181"/>
      <c r="G670" s="181"/>
      <c r="H670" s="181"/>
      <c r="I670" s="181"/>
      <c r="J670" s="181"/>
      <c r="K670" s="181"/>
      <c r="L670" s="181"/>
      <c r="M670" s="181"/>
      <c r="N670" s="181"/>
      <c r="O670" s="181"/>
      <c r="P670" s="181"/>
      <c r="Q670" s="181"/>
      <c r="R670" s="181"/>
      <c r="S670" s="181"/>
      <c r="T670" s="181"/>
      <c r="U670" s="181"/>
      <c r="V670" s="181"/>
      <c r="W670" s="181"/>
      <c r="X670" s="181"/>
      <c r="Y670" s="181"/>
      <c r="Z670" s="181"/>
    </row>
    <row r="671" ht="14.25" customHeight="1">
      <c r="A671" s="181"/>
      <c r="B671" s="181"/>
      <c r="C671" s="181"/>
      <c r="D671" s="181"/>
      <c r="E671" s="181"/>
      <c r="F671" s="181"/>
      <c r="G671" s="181"/>
      <c r="H671" s="181"/>
      <c r="I671" s="181"/>
      <c r="J671" s="181"/>
      <c r="K671" s="181"/>
      <c r="L671" s="181"/>
      <c r="M671" s="181"/>
      <c r="N671" s="181"/>
      <c r="O671" s="181"/>
      <c r="P671" s="181"/>
      <c r="Q671" s="181"/>
      <c r="R671" s="181"/>
      <c r="S671" s="181"/>
      <c r="T671" s="181"/>
      <c r="U671" s="181"/>
      <c r="V671" s="181"/>
      <c r="W671" s="181"/>
      <c r="X671" s="181"/>
      <c r="Y671" s="181"/>
      <c r="Z671" s="181"/>
    </row>
    <row r="672" ht="14.25" customHeight="1">
      <c r="A672" s="181"/>
      <c r="B672" s="181"/>
      <c r="C672" s="181"/>
      <c r="D672" s="181"/>
      <c r="E672" s="181"/>
      <c r="F672" s="181"/>
      <c r="G672" s="181"/>
      <c r="H672" s="181"/>
      <c r="I672" s="181"/>
      <c r="J672" s="181"/>
      <c r="K672" s="181"/>
      <c r="L672" s="181"/>
      <c r="M672" s="181"/>
      <c r="N672" s="181"/>
      <c r="O672" s="181"/>
      <c r="P672" s="181"/>
      <c r="Q672" s="181"/>
      <c r="R672" s="181"/>
      <c r="S672" s="181"/>
      <c r="T672" s="181"/>
      <c r="U672" s="181"/>
      <c r="V672" s="181"/>
      <c r="W672" s="181"/>
      <c r="X672" s="181"/>
      <c r="Y672" s="181"/>
      <c r="Z672" s="181"/>
    </row>
    <row r="673" ht="14.25" customHeight="1">
      <c r="A673" s="181"/>
      <c r="B673" s="181"/>
      <c r="C673" s="181"/>
      <c r="D673" s="181"/>
      <c r="E673" s="181"/>
      <c r="F673" s="181"/>
      <c r="G673" s="181"/>
      <c r="H673" s="181"/>
      <c r="I673" s="181"/>
      <c r="J673" s="181"/>
      <c r="K673" s="181"/>
      <c r="L673" s="181"/>
      <c r="M673" s="181"/>
      <c r="N673" s="181"/>
      <c r="O673" s="181"/>
      <c r="P673" s="181"/>
      <c r="Q673" s="181"/>
      <c r="R673" s="181"/>
      <c r="S673" s="181"/>
      <c r="T673" s="181"/>
      <c r="U673" s="181"/>
      <c r="V673" s="181"/>
      <c r="W673" s="181"/>
      <c r="X673" s="181"/>
      <c r="Y673" s="181"/>
      <c r="Z673" s="181"/>
    </row>
    <row r="674" ht="14.25" customHeight="1">
      <c r="A674" s="181"/>
      <c r="B674" s="181"/>
      <c r="C674" s="181"/>
      <c r="D674" s="181"/>
      <c r="E674" s="181"/>
      <c r="F674" s="181"/>
      <c r="G674" s="181"/>
      <c r="H674" s="181"/>
      <c r="I674" s="181"/>
      <c r="J674" s="181"/>
      <c r="K674" s="181"/>
      <c r="L674" s="181"/>
      <c r="M674" s="181"/>
      <c r="N674" s="181"/>
      <c r="O674" s="181"/>
      <c r="P674" s="181"/>
      <c r="Q674" s="181"/>
      <c r="R674" s="181"/>
      <c r="S674" s="181"/>
      <c r="T674" s="181"/>
      <c r="U674" s="181"/>
      <c r="V674" s="181"/>
      <c r="W674" s="181"/>
      <c r="X674" s="181"/>
      <c r="Y674" s="181"/>
      <c r="Z674" s="181"/>
    </row>
    <row r="675" ht="14.25" customHeight="1">
      <c r="A675" s="181"/>
      <c r="B675" s="181"/>
      <c r="C675" s="181"/>
      <c r="D675" s="181"/>
      <c r="E675" s="181"/>
      <c r="F675" s="181"/>
      <c r="G675" s="181"/>
      <c r="H675" s="181"/>
      <c r="I675" s="181"/>
      <c r="J675" s="181"/>
      <c r="K675" s="181"/>
      <c r="L675" s="181"/>
      <c r="M675" s="181"/>
      <c r="N675" s="181"/>
      <c r="O675" s="181"/>
      <c r="P675" s="181"/>
      <c r="Q675" s="181"/>
      <c r="R675" s="181"/>
      <c r="S675" s="181"/>
      <c r="T675" s="181"/>
      <c r="U675" s="181"/>
      <c r="V675" s="181"/>
      <c r="W675" s="181"/>
      <c r="X675" s="181"/>
      <c r="Y675" s="181"/>
      <c r="Z675" s="181"/>
    </row>
    <row r="676" ht="14.25" customHeight="1">
      <c r="A676" s="181"/>
      <c r="B676" s="181"/>
      <c r="C676" s="181"/>
      <c r="D676" s="181"/>
      <c r="E676" s="181"/>
      <c r="F676" s="181"/>
      <c r="G676" s="181"/>
      <c r="H676" s="181"/>
      <c r="I676" s="181"/>
      <c r="J676" s="181"/>
      <c r="K676" s="181"/>
      <c r="L676" s="181"/>
      <c r="M676" s="181"/>
      <c r="N676" s="181"/>
      <c r="O676" s="181"/>
      <c r="P676" s="181"/>
      <c r="Q676" s="181"/>
      <c r="R676" s="181"/>
      <c r="S676" s="181"/>
      <c r="T676" s="181"/>
      <c r="U676" s="181"/>
      <c r="V676" s="181"/>
      <c r="W676" s="181"/>
      <c r="X676" s="181"/>
      <c r="Y676" s="181"/>
      <c r="Z676" s="181"/>
    </row>
    <row r="677" ht="14.25" customHeight="1">
      <c r="A677" s="181"/>
      <c r="B677" s="181"/>
      <c r="C677" s="181"/>
      <c r="D677" s="181"/>
      <c r="E677" s="181"/>
      <c r="F677" s="181"/>
      <c r="G677" s="181"/>
      <c r="H677" s="181"/>
      <c r="I677" s="181"/>
      <c r="J677" s="181"/>
      <c r="K677" s="181"/>
      <c r="L677" s="181"/>
      <c r="M677" s="181"/>
      <c r="N677" s="181"/>
      <c r="O677" s="181"/>
      <c r="P677" s="181"/>
      <c r="Q677" s="181"/>
      <c r="R677" s="181"/>
      <c r="S677" s="181"/>
      <c r="T677" s="181"/>
      <c r="U677" s="181"/>
      <c r="V677" s="181"/>
      <c r="W677" s="181"/>
      <c r="X677" s="181"/>
      <c r="Y677" s="181"/>
      <c r="Z677" s="181"/>
    </row>
    <row r="678" ht="14.25" customHeight="1">
      <c r="A678" s="181"/>
      <c r="B678" s="181"/>
      <c r="C678" s="181"/>
      <c r="D678" s="181"/>
      <c r="E678" s="181"/>
      <c r="F678" s="181"/>
      <c r="G678" s="181"/>
      <c r="H678" s="181"/>
      <c r="I678" s="181"/>
      <c r="J678" s="181"/>
      <c r="K678" s="181"/>
      <c r="L678" s="181"/>
      <c r="M678" s="181"/>
      <c r="N678" s="181"/>
      <c r="O678" s="181"/>
      <c r="P678" s="181"/>
      <c r="Q678" s="181"/>
      <c r="R678" s="181"/>
      <c r="S678" s="181"/>
      <c r="T678" s="181"/>
      <c r="U678" s="181"/>
      <c r="V678" s="181"/>
      <c r="W678" s="181"/>
      <c r="X678" s="181"/>
      <c r="Y678" s="181"/>
      <c r="Z678" s="181"/>
    </row>
    <row r="679" ht="14.25" customHeight="1">
      <c r="A679" s="181"/>
      <c r="B679" s="181"/>
      <c r="C679" s="181"/>
      <c r="D679" s="181"/>
      <c r="E679" s="181"/>
      <c r="F679" s="181"/>
      <c r="G679" s="181"/>
      <c r="H679" s="181"/>
      <c r="I679" s="181"/>
      <c r="J679" s="181"/>
      <c r="K679" s="181"/>
      <c r="L679" s="181"/>
      <c r="M679" s="181"/>
      <c r="N679" s="181"/>
      <c r="O679" s="181"/>
      <c r="P679" s="181"/>
      <c r="Q679" s="181"/>
      <c r="R679" s="181"/>
      <c r="S679" s="181"/>
      <c r="T679" s="181"/>
      <c r="U679" s="181"/>
      <c r="V679" s="181"/>
      <c r="W679" s="181"/>
      <c r="X679" s="181"/>
      <c r="Y679" s="181"/>
      <c r="Z679" s="181"/>
    </row>
    <row r="680" ht="14.25" customHeight="1">
      <c r="A680" s="181"/>
      <c r="B680" s="181"/>
      <c r="C680" s="181"/>
      <c r="D680" s="181"/>
      <c r="E680" s="181"/>
      <c r="F680" s="181"/>
      <c r="G680" s="181"/>
      <c r="H680" s="181"/>
      <c r="I680" s="181"/>
      <c r="J680" s="181"/>
      <c r="K680" s="181"/>
      <c r="L680" s="181"/>
      <c r="M680" s="181"/>
      <c r="N680" s="181"/>
      <c r="O680" s="181"/>
      <c r="P680" s="181"/>
      <c r="Q680" s="181"/>
      <c r="R680" s="181"/>
      <c r="S680" s="181"/>
      <c r="T680" s="181"/>
      <c r="U680" s="181"/>
      <c r="V680" s="181"/>
      <c r="W680" s="181"/>
      <c r="X680" s="181"/>
      <c r="Y680" s="181"/>
      <c r="Z680" s="181"/>
    </row>
    <row r="681" ht="14.25" customHeight="1">
      <c r="A681" s="181"/>
      <c r="B681" s="181"/>
      <c r="C681" s="181"/>
      <c r="D681" s="181"/>
      <c r="E681" s="181"/>
      <c r="F681" s="181"/>
      <c r="G681" s="181"/>
      <c r="H681" s="181"/>
      <c r="I681" s="181"/>
      <c r="J681" s="181"/>
      <c r="K681" s="181"/>
      <c r="L681" s="181"/>
      <c r="M681" s="181"/>
      <c r="N681" s="181"/>
      <c r="O681" s="181"/>
      <c r="P681" s="181"/>
      <c r="Q681" s="181"/>
      <c r="R681" s="181"/>
      <c r="S681" s="181"/>
      <c r="T681" s="181"/>
      <c r="U681" s="181"/>
      <c r="V681" s="181"/>
      <c r="W681" s="181"/>
      <c r="X681" s="181"/>
      <c r="Y681" s="181"/>
      <c r="Z681" s="181"/>
    </row>
    <row r="682" ht="14.25" customHeight="1">
      <c r="A682" s="181"/>
      <c r="B682" s="181"/>
      <c r="C682" s="181"/>
      <c r="D682" s="181"/>
      <c r="E682" s="181"/>
      <c r="F682" s="181"/>
      <c r="G682" s="181"/>
      <c r="H682" s="181"/>
      <c r="I682" s="181"/>
      <c r="J682" s="181"/>
      <c r="K682" s="181"/>
      <c r="L682" s="181"/>
      <c r="M682" s="181"/>
      <c r="N682" s="181"/>
      <c r="O682" s="181"/>
      <c r="P682" s="181"/>
      <c r="Q682" s="181"/>
      <c r="R682" s="181"/>
      <c r="S682" s="181"/>
      <c r="T682" s="181"/>
      <c r="U682" s="181"/>
      <c r="V682" s="181"/>
      <c r="W682" s="181"/>
      <c r="X682" s="181"/>
      <c r="Y682" s="181"/>
      <c r="Z682" s="181"/>
    </row>
    <row r="683" ht="14.25" customHeight="1">
      <c r="A683" s="181"/>
      <c r="B683" s="181"/>
      <c r="C683" s="181"/>
      <c r="D683" s="181"/>
      <c r="E683" s="181"/>
      <c r="F683" s="181"/>
      <c r="G683" s="181"/>
      <c r="H683" s="181"/>
      <c r="I683" s="181"/>
      <c r="J683" s="181"/>
      <c r="K683" s="181"/>
      <c r="L683" s="181"/>
      <c r="M683" s="181"/>
      <c r="N683" s="181"/>
      <c r="O683" s="181"/>
      <c r="P683" s="181"/>
      <c r="Q683" s="181"/>
      <c r="R683" s="181"/>
      <c r="S683" s="181"/>
      <c r="T683" s="181"/>
      <c r="U683" s="181"/>
      <c r="V683" s="181"/>
      <c r="W683" s="181"/>
      <c r="X683" s="181"/>
      <c r="Y683" s="181"/>
      <c r="Z683" s="181"/>
    </row>
    <row r="684" ht="14.25" customHeight="1">
      <c r="A684" s="181"/>
      <c r="B684" s="181"/>
      <c r="C684" s="181"/>
      <c r="D684" s="181"/>
      <c r="E684" s="181"/>
      <c r="F684" s="181"/>
      <c r="G684" s="181"/>
      <c r="H684" s="181"/>
      <c r="I684" s="181"/>
      <c r="J684" s="181"/>
      <c r="K684" s="181"/>
      <c r="L684" s="181"/>
      <c r="M684" s="181"/>
      <c r="N684" s="181"/>
      <c r="O684" s="181"/>
      <c r="P684" s="181"/>
      <c r="Q684" s="181"/>
      <c r="R684" s="181"/>
      <c r="S684" s="181"/>
      <c r="T684" s="181"/>
      <c r="U684" s="181"/>
      <c r="V684" s="181"/>
      <c r="W684" s="181"/>
      <c r="X684" s="181"/>
      <c r="Y684" s="181"/>
      <c r="Z684" s="181"/>
    </row>
    <row r="685" ht="14.25" customHeight="1">
      <c r="A685" s="181"/>
      <c r="B685" s="181"/>
      <c r="C685" s="181"/>
      <c r="D685" s="181"/>
      <c r="E685" s="181"/>
      <c r="F685" s="181"/>
      <c r="G685" s="181"/>
      <c r="H685" s="181"/>
      <c r="I685" s="181"/>
      <c r="J685" s="181"/>
      <c r="K685" s="181"/>
      <c r="L685" s="181"/>
      <c r="M685" s="181"/>
      <c r="N685" s="181"/>
      <c r="O685" s="181"/>
      <c r="P685" s="181"/>
      <c r="Q685" s="181"/>
      <c r="R685" s="181"/>
      <c r="S685" s="181"/>
      <c r="T685" s="181"/>
      <c r="U685" s="181"/>
      <c r="V685" s="181"/>
      <c r="W685" s="181"/>
      <c r="X685" s="181"/>
      <c r="Y685" s="181"/>
      <c r="Z685" s="181"/>
    </row>
    <row r="686" ht="14.25" customHeight="1">
      <c r="A686" s="181"/>
      <c r="B686" s="181"/>
      <c r="C686" s="181"/>
      <c r="D686" s="181"/>
      <c r="E686" s="181"/>
      <c r="F686" s="181"/>
      <c r="G686" s="181"/>
      <c r="H686" s="181"/>
      <c r="I686" s="181"/>
      <c r="J686" s="181"/>
      <c r="K686" s="181"/>
      <c r="L686" s="181"/>
      <c r="M686" s="181"/>
      <c r="N686" s="181"/>
      <c r="O686" s="181"/>
      <c r="P686" s="181"/>
      <c r="Q686" s="181"/>
      <c r="R686" s="181"/>
      <c r="S686" s="181"/>
      <c r="T686" s="181"/>
      <c r="U686" s="181"/>
      <c r="V686" s="181"/>
      <c r="W686" s="181"/>
      <c r="X686" s="181"/>
      <c r="Y686" s="181"/>
      <c r="Z686" s="181"/>
    </row>
    <row r="687" ht="14.25" customHeight="1">
      <c r="A687" s="181"/>
      <c r="B687" s="181"/>
      <c r="C687" s="181"/>
      <c r="D687" s="181"/>
      <c r="E687" s="181"/>
      <c r="F687" s="181"/>
      <c r="G687" s="181"/>
      <c r="H687" s="181"/>
      <c r="I687" s="181"/>
      <c r="J687" s="181"/>
      <c r="K687" s="181"/>
      <c r="L687" s="181"/>
      <c r="M687" s="181"/>
      <c r="N687" s="181"/>
      <c r="O687" s="181"/>
      <c r="P687" s="181"/>
      <c r="Q687" s="181"/>
      <c r="R687" s="181"/>
      <c r="S687" s="181"/>
      <c r="T687" s="181"/>
      <c r="U687" s="181"/>
      <c r="V687" s="181"/>
      <c r="W687" s="181"/>
      <c r="X687" s="181"/>
      <c r="Y687" s="181"/>
      <c r="Z687" s="181"/>
    </row>
    <row r="688" ht="14.25" customHeight="1">
      <c r="A688" s="181"/>
      <c r="B688" s="181"/>
      <c r="C688" s="181"/>
      <c r="D688" s="181"/>
      <c r="E688" s="181"/>
      <c r="F688" s="181"/>
      <c r="G688" s="181"/>
      <c r="H688" s="181"/>
      <c r="I688" s="181"/>
      <c r="J688" s="181"/>
      <c r="K688" s="181"/>
      <c r="L688" s="181"/>
      <c r="M688" s="181"/>
      <c r="N688" s="181"/>
      <c r="O688" s="181"/>
      <c r="P688" s="181"/>
      <c r="Q688" s="181"/>
      <c r="R688" s="181"/>
      <c r="S688" s="181"/>
      <c r="T688" s="181"/>
      <c r="U688" s="181"/>
      <c r="V688" s="181"/>
      <c r="W688" s="181"/>
      <c r="X688" s="181"/>
      <c r="Y688" s="181"/>
      <c r="Z688" s="181"/>
    </row>
    <row r="689" ht="14.25" customHeight="1">
      <c r="A689" s="181"/>
      <c r="B689" s="181"/>
      <c r="C689" s="181"/>
      <c r="D689" s="181"/>
      <c r="E689" s="181"/>
      <c r="F689" s="181"/>
      <c r="G689" s="181"/>
      <c r="H689" s="181"/>
      <c r="I689" s="181"/>
      <c r="J689" s="181"/>
      <c r="K689" s="181"/>
      <c r="L689" s="181"/>
      <c r="M689" s="181"/>
      <c r="N689" s="181"/>
      <c r="O689" s="181"/>
      <c r="P689" s="181"/>
      <c r="Q689" s="181"/>
      <c r="R689" s="181"/>
      <c r="S689" s="181"/>
      <c r="T689" s="181"/>
      <c r="U689" s="181"/>
      <c r="V689" s="181"/>
      <c r="W689" s="181"/>
      <c r="X689" s="181"/>
      <c r="Y689" s="181"/>
      <c r="Z689" s="181"/>
    </row>
    <row r="690" ht="14.25" customHeight="1">
      <c r="A690" s="181"/>
      <c r="B690" s="181"/>
      <c r="C690" s="181"/>
      <c r="D690" s="181"/>
      <c r="E690" s="181"/>
      <c r="F690" s="181"/>
      <c r="G690" s="181"/>
      <c r="H690" s="181"/>
      <c r="I690" s="181"/>
      <c r="J690" s="181"/>
      <c r="K690" s="181"/>
      <c r="L690" s="181"/>
      <c r="M690" s="181"/>
      <c r="N690" s="181"/>
      <c r="O690" s="181"/>
      <c r="P690" s="181"/>
      <c r="Q690" s="181"/>
      <c r="R690" s="181"/>
      <c r="S690" s="181"/>
      <c r="T690" s="181"/>
      <c r="U690" s="181"/>
      <c r="V690" s="181"/>
      <c r="W690" s="181"/>
      <c r="X690" s="181"/>
      <c r="Y690" s="181"/>
      <c r="Z690" s="181"/>
    </row>
    <row r="691" ht="14.25" customHeight="1">
      <c r="A691" s="181"/>
      <c r="B691" s="181"/>
      <c r="C691" s="181"/>
      <c r="D691" s="181"/>
      <c r="E691" s="181"/>
      <c r="F691" s="181"/>
      <c r="G691" s="181"/>
      <c r="H691" s="181"/>
      <c r="I691" s="181"/>
      <c r="J691" s="181"/>
      <c r="K691" s="181"/>
      <c r="L691" s="181"/>
      <c r="M691" s="181"/>
      <c r="N691" s="181"/>
      <c r="O691" s="181"/>
      <c r="P691" s="181"/>
      <c r="Q691" s="181"/>
      <c r="R691" s="181"/>
      <c r="S691" s="181"/>
      <c r="T691" s="181"/>
      <c r="U691" s="181"/>
      <c r="V691" s="181"/>
      <c r="W691" s="181"/>
      <c r="X691" s="181"/>
      <c r="Y691" s="181"/>
      <c r="Z691" s="181"/>
    </row>
    <row r="692" ht="14.25" customHeight="1">
      <c r="A692" s="181"/>
      <c r="B692" s="181"/>
      <c r="C692" s="181"/>
      <c r="D692" s="181"/>
      <c r="E692" s="181"/>
      <c r="F692" s="181"/>
      <c r="G692" s="181"/>
      <c r="H692" s="181"/>
      <c r="I692" s="181"/>
      <c r="J692" s="181"/>
      <c r="K692" s="181"/>
      <c r="L692" s="181"/>
      <c r="M692" s="181"/>
      <c r="N692" s="181"/>
      <c r="O692" s="181"/>
      <c r="P692" s="181"/>
      <c r="Q692" s="181"/>
      <c r="R692" s="181"/>
      <c r="S692" s="181"/>
      <c r="T692" s="181"/>
      <c r="U692" s="181"/>
      <c r="V692" s="181"/>
      <c r="W692" s="181"/>
      <c r="X692" s="181"/>
      <c r="Y692" s="181"/>
      <c r="Z692" s="181"/>
    </row>
    <row r="693" ht="14.25" customHeight="1">
      <c r="A693" s="181"/>
      <c r="B693" s="181"/>
      <c r="C693" s="181"/>
      <c r="D693" s="181"/>
      <c r="E693" s="181"/>
      <c r="F693" s="181"/>
      <c r="G693" s="181"/>
      <c r="H693" s="181"/>
      <c r="I693" s="181"/>
      <c r="J693" s="181"/>
      <c r="K693" s="181"/>
      <c r="L693" s="181"/>
      <c r="M693" s="181"/>
      <c r="N693" s="181"/>
      <c r="O693" s="181"/>
      <c r="P693" s="181"/>
      <c r="Q693" s="181"/>
      <c r="R693" s="181"/>
      <c r="S693" s="181"/>
      <c r="T693" s="181"/>
      <c r="U693" s="181"/>
      <c r="V693" s="181"/>
      <c r="W693" s="181"/>
      <c r="X693" s="181"/>
      <c r="Y693" s="181"/>
      <c r="Z693" s="181"/>
    </row>
    <row r="694" ht="14.25" customHeight="1">
      <c r="A694" s="181"/>
      <c r="B694" s="181"/>
      <c r="C694" s="181"/>
      <c r="D694" s="181"/>
      <c r="E694" s="181"/>
      <c r="F694" s="181"/>
      <c r="G694" s="181"/>
      <c r="H694" s="181"/>
      <c r="I694" s="181"/>
      <c r="J694" s="181"/>
      <c r="K694" s="181"/>
      <c r="L694" s="181"/>
      <c r="M694" s="181"/>
      <c r="N694" s="181"/>
      <c r="O694" s="181"/>
      <c r="P694" s="181"/>
      <c r="Q694" s="181"/>
      <c r="R694" s="181"/>
      <c r="S694" s="181"/>
      <c r="T694" s="181"/>
      <c r="U694" s="181"/>
      <c r="V694" s="181"/>
      <c r="W694" s="181"/>
      <c r="X694" s="181"/>
      <c r="Y694" s="181"/>
      <c r="Z694" s="181"/>
    </row>
    <row r="695" ht="14.25" customHeight="1">
      <c r="A695" s="181"/>
      <c r="B695" s="181"/>
      <c r="C695" s="181"/>
      <c r="D695" s="181"/>
      <c r="E695" s="181"/>
      <c r="F695" s="181"/>
      <c r="G695" s="181"/>
      <c r="H695" s="181"/>
      <c r="I695" s="181"/>
      <c r="J695" s="181"/>
      <c r="K695" s="181"/>
      <c r="L695" s="181"/>
      <c r="M695" s="181"/>
      <c r="N695" s="181"/>
      <c r="O695" s="181"/>
      <c r="P695" s="181"/>
      <c r="Q695" s="181"/>
      <c r="R695" s="181"/>
      <c r="S695" s="181"/>
      <c r="T695" s="181"/>
      <c r="U695" s="181"/>
      <c r="V695" s="181"/>
      <c r="W695" s="181"/>
      <c r="X695" s="181"/>
      <c r="Y695" s="181"/>
      <c r="Z695" s="181"/>
    </row>
    <row r="696" ht="14.25" customHeight="1">
      <c r="A696" s="181"/>
      <c r="B696" s="181"/>
      <c r="C696" s="181"/>
      <c r="D696" s="181"/>
      <c r="E696" s="181"/>
      <c r="F696" s="181"/>
      <c r="G696" s="181"/>
      <c r="H696" s="181"/>
      <c r="I696" s="181"/>
      <c r="J696" s="181"/>
      <c r="K696" s="181"/>
      <c r="L696" s="181"/>
      <c r="M696" s="181"/>
      <c r="N696" s="181"/>
      <c r="O696" s="181"/>
      <c r="P696" s="181"/>
      <c r="Q696" s="181"/>
      <c r="R696" s="181"/>
      <c r="S696" s="181"/>
      <c r="T696" s="181"/>
      <c r="U696" s="181"/>
      <c r="V696" s="181"/>
      <c r="W696" s="181"/>
      <c r="X696" s="181"/>
      <c r="Y696" s="181"/>
      <c r="Z696" s="181"/>
    </row>
    <row r="697" ht="14.25" customHeight="1">
      <c r="A697" s="181"/>
      <c r="B697" s="181"/>
      <c r="C697" s="181"/>
      <c r="D697" s="181"/>
      <c r="E697" s="181"/>
      <c r="F697" s="181"/>
      <c r="G697" s="181"/>
      <c r="H697" s="181"/>
      <c r="I697" s="181"/>
      <c r="J697" s="181"/>
      <c r="K697" s="181"/>
      <c r="L697" s="181"/>
      <c r="M697" s="181"/>
      <c r="N697" s="181"/>
      <c r="O697" s="181"/>
      <c r="P697" s="181"/>
      <c r="Q697" s="181"/>
      <c r="R697" s="181"/>
      <c r="S697" s="181"/>
      <c r="T697" s="181"/>
      <c r="U697" s="181"/>
      <c r="V697" s="181"/>
      <c r="W697" s="181"/>
      <c r="X697" s="181"/>
      <c r="Y697" s="181"/>
      <c r="Z697" s="181"/>
    </row>
    <row r="698" ht="14.25" customHeight="1">
      <c r="A698" s="181"/>
      <c r="B698" s="181"/>
      <c r="C698" s="181"/>
      <c r="D698" s="181"/>
      <c r="E698" s="181"/>
      <c r="F698" s="181"/>
      <c r="G698" s="181"/>
      <c r="H698" s="181"/>
      <c r="I698" s="181"/>
      <c r="J698" s="181"/>
      <c r="K698" s="181"/>
      <c r="L698" s="181"/>
      <c r="M698" s="181"/>
      <c r="N698" s="181"/>
      <c r="O698" s="181"/>
      <c r="P698" s="181"/>
      <c r="Q698" s="181"/>
      <c r="R698" s="181"/>
      <c r="S698" s="181"/>
      <c r="T698" s="181"/>
      <c r="U698" s="181"/>
      <c r="V698" s="181"/>
      <c r="W698" s="181"/>
      <c r="X698" s="181"/>
      <c r="Y698" s="181"/>
      <c r="Z698" s="181"/>
    </row>
    <row r="699" ht="14.25" customHeight="1">
      <c r="A699" s="181"/>
      <c r="B699" s="181"/>
      <c r="C699" s="181"/>
      <c r="D699" s="181"/>
      <c r="E699" s="181"/>
      <c r="F699" s="181"/>
      <c r="G699" s="181"/>
      <c r="H699" s="181"/>
      <c r="I699" s="181"/>
      <c r="J699" s="181"/>
      <c r="K699" s="181"/>
      <c r="L699" s="181"/>
      <c r="M699" s="181"/>
      <c r="N699" s="181"/>
      <c r="O699" s="181"/>
      <c r="P699" s="181"/>
      <c r="Q699" s="181"/>
      <c r="R699" s="181"/>
      <c r="S699" s="181"/>
      <c r="T699" s="181"/>
      <c r="U699" s="181"/>
      <c r="V699" s="181"/>
      <c r="W699" s="181"/>
      <c r="X699" s="181"/>
      <c r="Y699" s="181"/>
      <c r="Z699" s="181"/>
    </row>
    <row r="700" ht="14.25" customHeight="1">
      <c r="A700" s="181"/>
      <c r="B700" s="181"/>
      <c r="C700" s="181"/>
      <c r="D700" s="181"/>
      <c r="E700" s="181"/>
      <c r="F700" s="181"/>
      <c r="G700" s="181"/>
      <c r="H700" s="181"/>
      <c r="I700" s="181"/>
      <c r="J700" s="181"/>
      <c r="K700" s="181"/>
      <c r="L700" s="181"/>
      <c r="M700" s="181"/>
      <c r="N700" s="181"/>
      <c r="O700" s="181"/>
      <c r="P700" s="181"/>
      <c r="Q700" s="181"/>
      <c r="R700" s="181"/>
      <c r="S700" s="181"/>
      <c r="T700" s="181"/>
      <c r="U700" s="181"/>
      <c r="V700" s="181"/>
      <c r="W700" s="181"/>
      <c r="X700" s="181"/>
      <c r="Y700" s="181"/>
      <c r="Z700" s="181"/>
    </row>
    <row r="701" ht="14.25" customHeight="1">
      <c r="A701" s="181"/>
      <c r="B701" s="181"/>
      <c r="C701" s="181"/>
      <c r="D701" s="181"/>
      <c r="E701" s="181"/>
      <c r="F701" s="181"/>
      <c r="G701" s="181"/>
      <c r="H701" s="181"/>
      <c r="I701" s="181"/>
      <c r="J701" s="181"/>
      <c r="K701" s="181"/>
      <c r="L701" s="181"/>
      <c r="M701" s="181"/>
      <c r="N701" s="181"/>
      <c r="O701" s="181"/>
      <c r="P701" s="181"/>
      <c r="Q701" s="181"/>
      <c r="R701" s="181"/>
      <c r="S701" s="181"/>
      <c r="T701" s="181"/>
      <c r="U701" s="181"/>
      <c r="V701" s="181"/>
      <c r="W701" s="181"/>
      <c r="X701" s="181"/>
      <c r="Y701" s="181"/>
      <c r="Z701" s="181"/>
    </row>
    <row r="702" ht="14.25" customHeight="1">
      <c r="A702" s="181"/>
      <c r="B702" s="181"/>
      <c r="C702" s="181"/>
      <c r="D702" s="181"/>
      <c r="E702" s="181"/>
      <c r="F702" s="181"/>
      <c r="G702" s="181"/>
      <c r="H702" s="181"/>
      <c r="I702" s="181"/>
      <c r="J702" s="181"/>
      <c r="K702" s="181"/>
      <c r="L702" s="181"/>
      <c r="M702" s="181"/>
      <c r="N702" s="181"/>
      <c r="O702" s="181"/>
      <c r="P702" s="181"/>
      <c r="Q702" s="181"/>
      <c r="R702" s="181"/>
      <c r="S702" s="181"/>
      <c r="T702" s="181"/>
      <c r="U702" s="181"/>
      <c r="V702" s="181"/>
      <c r="W702" s="181"/>
      <c r="X702" s="181"/>
      <c r="Y702" s="181"/>
      <c r="Z702" s="181"/>
    </row>
    <row r="703" ht="14.25" customHeight="1">
      <c r="A703" s="181"/>
      <c r="B703" s="181"/>
      <c r="C703" s="181"/>
      <c r="D703" s="181"/>
      <c r="E703" s="181"/>
      <c r="F703" s="181"/>
      <c r="G703" s="181"/>
      <c r="H703" s="181"/>
      <c r="I703" s="181"/>
      <c r="J703" s="181"/>
      <c r="K703" s="181"/>
      <c r="L703" s="181"/>
      <c r="M703" s="181"/>
      <c r="N703" s="181"/>
      <c r="O703" s="181"/>
      <c r="P703" s="181"/>
      <c r="Q703" s="181"/>
      <c r="R703" s="181"/>
      <c r="S703" s="181"/>
      <c r="T703" s="181"/>
      <c r="U703" s="181"/>
      <c r="V703" s="181"/>
      <c r="W703" s="181"/>
      <c r="X703" s="181"/>
      <c r="Y703" s="181"/>
      <c r="Z703" s="181"/>
    </row>
    <row r="704" ht="14.25" customHeight="1">
      <c r="A704" s="181"/>
      <c r="B704" s="181"/>
      <c r="C704" s="181"/>
      <c r="D704" s="181"/>
      <c r="E704" s="181"/>
      <c r="F704" s="181"/>
      <c r="G704" s="181"/>
      <c r="H704" s="181"/>
      <c r="I704" s="181"/>
      <c r="J704" s="181"/>
      <c r="K704" s="181"/>
      <c r="L704" s="181"/>
      <c r="M704" s="181"/>
      <c r="N704" s="181"/>
      <c r="O704" s="181"/>
      <c r="P704" s="181"/>
      <c r="Q704" s="181"/>
      <c r="R704" s="181"/>
      <c r="S704" s="181"/>
      <c r="T704" s="181"/>
      <c r="U704" s="181"/>
      <c r="V704" s="181"/>
      <c r="W704" s="181"/>
      <c r="X704" s="181"/>
      <c r="Y704" s="181"/>
      <c r="Z704" s="181"/>
    </row>
    <row r="705" ht="14.25" customHeight="1">
      <c r="A705" s="181"/>
      <c r="B705" s="181"/>
      <c r="C705" s="181"/>
      <c r="D705" s="181"/>
      <c r="E705" s="181"/>
      <c r="F705" s="181"/>
      <c r="G705" s="181"/>
      <c r="H705" s="181"/>
      <c r="I705" s="181"/>
      <c r="J705" s="181"/>
      <c r="K705" s="181"/>
      <c r="L705" s="181"/>
      <c r="M705" s="181"/>
      <c r="N705" s="181"/>
      <c r="O705" s="181"/>
      <c r="P705" s="181"/>
      <c r="Q705" s="181"/>
      <c r="R705" s="181"/>
      <c r="S705" s="181"/>
      <c r="T705" s="181"/>
      <c r="U705" s="181"/>
      <c r="V705" s="181"/>
      <c r="W705" s="181"/>
      <c r="X705" s="181"/>
      <c r="Y705" s="181"/>
      <c r="Z705" s="181"/>
    </row>
    <row r="706" ht="14.25" customHeight="1">
      <c r="A706" s="181"/>
      <c r="B706" s="181"/>
      <c r="C706" s="181"/>
      <c r="D706" s="181"/>
      <c r="E706" s="181"/>
      <c r="F706" s="181"/>
      <c r="G706" s="181"/>
      <c r="H706" s="181"/>
      <c r="I706" s="181"/>
      <c r="J706" s="181"/>
      <c r="K706" s="181"/>
      <c r="L706" s="181"/>
      <c r="M706" s="181"/>
      <c r="N706" s="181"/>
      <c r="O706" s="181"/>
      <c r="P706" s="181"/>
      <c r="Q706" s="181"/>
      <c r="R706" s="181"/>
      <c r="S706" s="181"/>
      <c r="T706" s="181"/>
      <c r="U706" s="181"/>
      <c r="V706" s="181"/>
      <c r="W706" s="181"/>
      <c r="X706" s="181"/>
      <c r="Y706" s="181"/>
      <c r="Z706" s="181"/>
    </row>
    <row r="707" ht="14.25" customHeight="1">
      <c r="A707" s="181"/>
      <c r="B707" s="181"/>
      <c r="C707" s="181"/>
      <c r="D707" s="181"/>
      <c r="E707" s="181"/>
      <c r="F707" s="181"/>
      <c r="G707" s="181"/>
      <c r="H707" s="181"/>
      <c r="I707" s="181"/>
      <c r="J707" s="181"/>
      <c r="K707" s="181"/>
      <c r="L707" s="181"/>
      <c r="M707" s="181"/>
      <c r="N707" s="181"/>
      <c r="O707" s="181"/>
      <c r="P707" s="181"/>
      <c r="Q707" s="181"/>
      <c r="R707" s="181"/>
      <c r="S707" s="181"/>
      <c r="T707" s="181"/>
      <c r="U707" s="181"/>
      <c r="V707" s="181"/>
      <c r="W707" s="181"/>
      <c r="X707" s="181"/>
      <c r="Y707" s="181"/>
      <c r="Z707" s="181"/>
    </row>
    <row r="708" ht="14.25" customHeight="1">
      <c r="A708" s="181"/>
      <c r="B708" s="181"/>
      <c r="C708" s="181"/>
      <c r="D708" s="181"/>
      <c r="E708" s="181"/>
      <c r="F708" s="181"/>
      <c r="G708" s="181"/>
      <c r="H708" s="181"/>
      <c r="I708" s="181"/>
      <c r="J708" s="181"/>
      <c r="K708" s="181"/>
      <c r="L708" s="181"/>
      <c r="M708" s="181"/>
      <c r="N708" s="181"/>
      <c r="O708" s="181"/>
      <c r="P708" s="181"/>
      <c r="Q708" s="181"/>
      <c r="R708" s="181"/>
      <c r="S708" s="181"/>
      <c r="T708" s="181"/>
      <c r="U708" s="181"/>
      <c r="V708" s="181"/>
      <c r="W708" s="181"/>
      <c r="X708" s="181"/>
      <c r="Y708" s="181"/>
      <c r="Z708" s="181"/>
    </row>
    <row r="709" ht="14.25" customHeight="1">
      <c r="A709" s="181"/>
      <c r="B709" s="181"/>
      <c r="C709" s="181"/>
      <c r="D709" s="181"/>
      <c r="E709" s="181"/>
      <c r="F709" s="181"/>
      <c r="G709" s="181"/>
      <c r="H709" s="181"/>
      <c r="I709" s="181"/>
      <c r="J709" s="181"/>
      <c r="K709" s="181"/>
      <c r="L709" s="181"/>
      <c r="M709" s="181"/>
      <c r="N709" s="181"/>
      <c r="O709" s="181"/>
      <c r="P709" s="181"/>
      <c r="Q709" s="181"/>
      <c r="R709" s="181"/>
      <c r="S709" s="181"/>
      <c r="T709" s="181"/>
      <c r="U709" s="181"/>
      <c r="V709" s="181"/>
      <c r="W709" s="181"/>
      <c r="X709" s="181"/>
      <c r="Y709" s="181"/>
      <c r="Z709" s="181"/>
    </row>
    <row r="710" ht="14.25" customHeight="1">
      <c r="A710" s="181"/>
      <c r="B710" s="181"/>
      <c r="C710" s="181"/>
      <c r="D710" s="181"/>
      <c r="E710" s="181"/>
      <c r="F710" s="181"/>
      <c r="G710" s="181"/>
      <c r="H710" s="181"/>
      <c r="I710" s="181"/>
      <c r="J710" s="181"/>
      <c r="K710" s="181"/>
      <c r="L710" s="181"/>
      <c r="M710" s="181"/>
      <c r="N710" s="181"/>
      <c r="O710" s="181"/>
      <c r="P710" s="181"/>
      <c r="Q710" s="181"/>
      <c r="R710" s="181"/>
      <c r="S710" s="181"/>
      <c r="T710" s="181"/>
      <c r="U710" s="181"/>
      <c r="V710" s="181"/>
      <c r="W710" s="181"/>
      <c r="X710" s="181"/>
      <c r="Y710" s="181"/>
      <c r="Z710" s="181"/>
    </row>
    <row r="711" ht="14.25" customHeight="1">
      <c r="A711" s="181"/>
      <c r="B711" s="181"/>
      <c r="C711" s="181"/>
      <c r="D711" s="181"/>
      <c r="E711" s="181"/>
      <c r="F711" s="181"/>
      <c r="G711" s="181"/>
      <c r="H711" s="181"/>
      <c r="I711" s="181"/>
      <c r="J711" s="181"/>
      <c r="K711" s="181"/>
      <c r="L711" s="181"/>
      <c r="M711" s="181"/>
      <c r="N711" s="181"/>
      <c r="O711" s="181"/>
      <c r="P711" s="181"/>
      <c r="Q711" s="181"/>
      <c r="R711" s="181"/>
      <c r="S711" s="181"/>
      <c r="T711" s="181"/>
      <c r="U711" s="181"/>
      <c r="V711" s="181"/>
      <c r="W711" s="181"/>
      <c r="X711" s="181"/>
      <c r="Y711" s="181"/>
      <c r="Z711" s="181"/>
    </row>
    <row r="712" ht="14.25" customHeight="1">
      <c r="A712" s="181"/>
      <c r="B712" s="181"/>
      <c r="C712" s="181"/>
      <c r="D712" s="181"/>
      <c r="E712" s="181"/>
      <c r="F712" s="181"/>
      <c r="G712" s="181"/>
      <c r="H712" s="181"/>
      <c r="I712" s="181"/>
      <c r="J712" s="181"/>
      <c r="K712" s="181"/>
      <c r="L712" s="181"/>
      <c r="M712" s="181"/>
      <c r="N712" s="181"/>
      <c r="O712" s="181"/>
      <c r="P712" s="181"/>
      <c r="Q712" s="181"/>
      <c r="R712" s="181"/>
      <c r="S712" s="181"/>
      <c r="T712" s="181"/>
      <c r="U712" s="181"/>
      <c r="V712" s="181"/>
      <c r="W712" s="181"/>
      <c r="X712" s="181"/>
      <c r="Y712" s="181"/>
      <c r="Z712" s="181"/>
    </row>
    <row r="713" ht="14.25" customHeight="1">
      <c r="A713" s="181"/>
      <c r="B713" s="181"/>
      <c r="C713" s="181"/>
      <c r="D713" s="181"/>
      <c r="E713" s="181"/>
      <c r="F713" s="181"/>
      <c r="G713" s="181"/>
      <c r="H713" s="181"/>
      <c r="I713" s="181"/>
      <c r="J713" s="181"/>
      <c r="K713" s="181"/>
      <c r="L713" s="181"/>
      <c r="M713" s="181"/>
      <c r="N713" s="181"/>
      <c r="O713" s="181"/>
      <c r="P713" s="181"/>
      <c r="Q713" s="181"/>
      <c r="R713" s="181"/>
      <c r="S713" s="181"/>
      <c r="T713" s="181"/>
      <c r="U713" s="181"/>
      <c r="V713" s="181"/>
      <c r="W713" s="181"/>
      <c r="X713" s="181"/>
      <c r="Y713" s="181"/>
      <c r="Z713" s="181"/>
    </row>
    <row r="714" ht="14.25" customHeight="1">
      <c r="A714" s="181"/>
      <c r="B714" s="181"/>
      <c r="C714" s="181"/>
      <c r="D714" s="181"/>
      <c r="E714" s="181"/>
      <c r="F714" s="181"/>
      <c r="G714" s="181"/>
      <c r="H714" s="181"/>
      <c r="I714" s="181"/>
      <c r="J714" s="181"/>
      <c r="K714" s="181"/>
      <c r="L714" s="181"/>
      <c r="M714" s="181"/>
      <c r="N714" s="181"/>
      <c r="O714" s="181"/>
      <c r="P714" s="181"/>
      <c r="Q714" s="181"/>
      <c r="R714" s="181"/>
      <c r="S714" s="181"/>
      <c r="T714" s="181"/>
      <c r="U714" s="181"/>
      <c r="V714" s="181"/>
      <c r="W714" s="181"/>
      <c r="X714" s="181"/>
      <c r="Y714" s="181"/>
      <c r="Z714" s="181"/>
    </row>
    <row r="715" ht="14.25" customHeight="1">
      <c r="A715" s="181"/>
      <c r="B715" s="181"/>
      <c r="C715" s="181"/>
      <c r="D715" s="181"/>
      <c r="E715" s="181"/>
      <c r="F715" s="181"/>
      <c r="G715" s="181"/>
      <c r="H715" s="181"/>
      <c r="I715" s="181"/>
      <c r="J715" s="181"/>
      <c r="K715" s="181"/>
      <c r="L715" s="181"/>
      <c r="M715" s="181"/>
      <c r="N715" s="181"/>
      <c r="O715" s="181"/>
      <c r="P715" s="181"/>
      <c r="Q715" s="181"/>
      <c r="R715" s="181"/>
      <c r="S715" s="181"/>
      <c r="T715" s="181"/>
      <c r="U715" s="181"/>
      <c r="V715" s="181"/>
      <c r="W715" s="181"/>
      <c r="X715" s="181"/>
      <c r="Y715" s="181"/>
      <c r="Z715" s="181"/>
    </row>
    <row r="716" ht="14.25" customHeight="1">
      <c r="A716" s="181"/>
      <c r="B716" s="181"/>
      <c r="C716" s="181"/>
      <c r="D716" s="181"/>
      <c r="E716" s="181"/>
      <c r="F716" s="181"/>
      <c r="G716" s="181"/>
      <c r="H716" s="181"/>
      <c r="I716" s="181"/>
      <c r="J716" s="181"/>
      <c r="K716" s="181"/>
      <c r="L716" s="181"/>
      <c r="M716" s="181"/>
      <c r="N716" s="181"/>
      <c r="O716" s="181"/>
      <c r="P716" s="181"/>
      <c r="Q716" s="181"/>
      <c r="R716" s="181"/>
      <c r="S716" s="181"/>
      <c r="T716" s="181"/>
      <c r="U716" s="181"/>
      <c r="V716" s="181"/>
      <c r="W716" s="181"/>
      <c r="X716" s="181"/>
      <c r="Y716" s="181"/>
      <c r="Z716" s="181"/>
    </row>
    <row r="717" ht="14.25" customHeight="1">
      <c r="A717" s="181"/>
      <c r="B717" s="181"/>
      <c r="C717" s="181"/>
      <c r="D717" s="181"/>
      <c r="E717" s="181"/>
      <c r="F717" s="181"/>
      <c r="G717" s="181"/>
      <c r="H717" s="181"/>
      <c r="I717" s="181"/>
      <c r="J717" s="181"/>
      <c r="K717" s="181"/>
      <c r="L717" s="181"/>
      <c r="M717" s="181"/>
      <c r="N717" s="181"/>
      <c r="O717" s="181"/>
      <c r="P717" s="181"/>
      <c r="Q717" s="181"/>
      <c r="R717" s="181"/>
      <c r="S717" s="181"/>
      <c r="T717" s="181"/>
      <c r="U717" s="181"/>
      <c r="V717" s="181"/>
      <c r="W717" s="181"/>
      <c r="X717" s="181"/>
      <c r="Y717" s="181"/>
      <c r="Z717" s="181"/>
    </row>
    <row r="718" ht="14.25" customHeight="1">
      <c r="A718" s="181"/>
      <c r="B718" s="181"/>
      <c r="C718" s="181"/>
      <c r="D718" s="181"/>
      <c r="E718" s="181"/>
      <c r="F718" s="181"/>
      <c r="G718" s="181"/>
      <c r="H718" s="181"/>
      <c r="I718" s="181"/>
      <c r="J718" s="181"/>
      <c r="K718" s="181"/>
      <c r="L718" s="181"/>
      <c r="M718" s="181"/>
      <c r="N718" s="181"/>
      <c r="O718" s="181"/>
      <c r="P718" s="181"/>
      <c r="Q718" s="181"/>
      <c r="R718" s="181"/>
      <c r="S718" s="181"/>
      <c r="T718" s="181"/>
      <c r="U718" s="181"/>
      <c r="V718" s="181"/>
      <c r="W718" s="181"/>
      <c r="X718" s="181"/>
      <c r="Y718" s="181"/>
      <c r="Z718" s="181"/>
    </row>
    <row r="719" ht="14.25" customHeight="1">
      <c r="A719" s="181"/>
      <c r="B719" s="181"/>
      <c r="C719" s="181"/>
      <c r="D719" s="181"/>
      <c r="E719" s="181"/>
      <c r="F719" s="181"/>
      <c r="G719" s="181"/>
      <c r="H719" s="181"/>
      <c r="I719" s="181"/>
      <c r="J719" s="181"/>
      <c r="K719" s="181"/>
      <c r="L719" s="181"/>
      <c r="M719" s="181"/>
      <c r="N719" s="181"/>
      <c r="O719" s="181"/>
      <c r="P719" s="181"/>
      <c r="Q719" s="181"/>
      <c r="R719" s="181"/>
      <c r="S719" s="181"/>
      <c r="T719" s="181"/>
      <c r="U719" s="181"/>
      <c r="V719" s="181"/>
      <c r="W719" s="181"/>
      <c r="X719" s="181"/>
      <c r="Y719" s="181"/>
      <c r="Z719" s="181"/>
    </row>
    <row r="720" ht="14.25" customHeight="1">
      <c r="A720" s="181"/>
      <c r="B720" s="181"/>
      <c r="C720" s="181"/>
      <c r="D720" s="181"/>
      <c r="E720" s="181"/>
      <c r="F720" s="181"/>
      <c r="G720" s="181"/>
      <c r="H720" s="181"/>
      <c r="I720" s="181"/>
      <c r="J720" s="181"/>
      <c r="K720" s="181"/>
      <c r="L720" s="181"/>
      <c r="M720" s="181"/>
      <c r="N720" s="181"/>
      <c r="O720" s="181"/>
      <c r="P720" s="181"/>
      <c r="Q720" s="181"/>
      <c r="R720" s="181"/>
      <c r="S720" s="181"/>
      <c r="T720" s="181"/>
      <c r="U720" s="181"/>
      <c r="V720" s="181"/>
      <c r="W720" s="181"/>
      <c r="X720" s="181"/>
      <c r="Y720" s="181"/>
      <c r="Z720" s="181"/>
    </row>
    <row r="721" ht="14.25" customHeight="1">
      <c r="A721" s="181"/>
      <c r="B721" s="181"/>
      <c r="C721" s="181"/>
      <c r="D721" s="181"/>
      <c r="E721" s="181"/>
      <c r="F721" s="181"/>
      <c r="G721" s="181"/>
      <c r="H721" s="181"/>
      <c r="I721" s="181"/>
      <c r="J721" s="181"/>
      <c r="K721" s="181"/>
      <c r="L721" s="181"/>
      <c r="M721" s="181"/>
      <c r="N721" s="181"/>
      <c r="O721" s="181"/>
      <c r="P721" s="181"/>
      <c r="Q721" s="181"/>
      <c r="R721" s="181"/>
      <c r="S721" s="181"/>
      <c r="T721" s="181"/>
      <c r="U721" s="181"/>
      <c r="V721" s="181"/>
      <c r="W721" s="181"/>
      <c r="X721" s="181"/>
      <c r="Y721" s="181"/>
      <c r="Z721" s="181"/>
    </row>
    <row r="722" ht="14.25" customHeight="1">
      <c r="A722" s="181"/>
      <c r="B722" s="181"/>
      <c r="C722" s="181"/>
      <c r="D722" s="181"/>
      <c r="E722" s="181"/>
      <c r="F722" s="181"/>
      <c r="G722" s="181"/>
      <c r="H722" s="181"/>
      <c r="I722" s="181"/>
      <c r="J722" s="181"/>
      <c r="K722" s="181"/>
      <c r="L722" s="181"/>
      <c r="M722" s="181"/>
      <c r="N722" s="181"/>
      <c r="O722" s="181"/>
      <c r="P722" s="181"/>
      <c r="Q722" s="181"/>
      <c r="R722" s="181"/>
      <c r="S722" s="181"/>
      <c r="T722" s="181"/>
      <c r="U722" s="181"/>
      <c r="V722" s="181"/>
      <c r="W722" s="181"/>
      <c r="X722" s="181"/>
      <c r="Y722" s="181"/>
      <c r="Z722" s="181"/>
    </row>
    <row r="723" ht="14.25" customHeight="1">
      <c r="A723" s="181"/>
      <c r="B723" s="181"/>
      <c r="C723" s="181"/>
      <c r="D723" s="181"/>
      <c r="E723" s="181"/>
      <c r="F723" s="181"/>
      <c r="G723" s="181"/>
      <c r="H723" s="181"/>
      <c r="I723" s="181"/>
      <c r="J723" s="181"/>
      <c r="K723" s="181"/>
      <c r="L723" s="181"/>
      <c r="M723" s="181"/>
      <c r="N723" s="181"/>
      <c r="O723" s="181"/>
      <c r="P723" s="181"/>
      <c r="Q723" s="181"/>
      <c r="R723" s="181"/>
      <c r="S723" s="181"/>
      <c r="T723" s="181"/>
      <c r="U723" s="181"/>
      <c r="V723" s="181"/>
      <c r="W723" s="181"/>
      <c r="X723" s="181"/>
      <c r="Y723" s="181"/>
      <c r="Z723" s="181"/>
    </row>
    <row r="724" ht="14.25" customHeight="1">
      <c r="A724" s="181"/>
      <c r="B724" s="181"/>
      <c r="C724" s="181"/>
      <c r="D724" s="181"/>
      <c r="E724" s="181"/>
      <c r="F724" s="181"/>
      <c r="G724" s="181"/>
      <c r="H724" s="181"/>
      <c r="I724" s="181"/>
      <c r="J724" s="181"/>
      <c r="K724" s="181"/>
      <c r="L724" s="181"/>
      <c r="M724" s="181"/>
      <c r="N724" s="181"/>
      <c r="O724" s="181"/>
      <c r="P724" s="181"/>
      <c r="Q724" s="181"/>
      <c r="R724" s="181"/>
      <c r="S724" s="181"/>
      <c r="T724" s="181"/>
      <c r="U724" s="181"/>
      <c r="V724" s="181"/>
      <c r="W724" s="181"/>
      <c r="X724" s="181"/>
      <c r="Y724" s="181"/>
      <c r="Z724" s="181"/>
    </row>
    <row r="725" ht="14.25" customHeight="1">
      <c r="A725" s="181"/>
      <c r="B725" s="181"/>
      <c r="C725" s="181"/>
      <c r="D725" s="181"/>
      <c r="E725" s="181"/>
      <c r="F725" s="181"/>
      <c r="G725" s="181"/>
      <c r="H725" s="181"/>
      <c r="I725" s="181"/>
      <c r="J725" s="181"/>
      <c r="K725" s="181"/>
      <c r="L725" s="181"/>
      <c r="M725" s="181"/>
      <c r="N725" s="181"/>
      <c r="O725" s="181"/>
      <c r="P725" s="181"/>
      <c r="Q725" s="181"/>
      <c r="R725" s="181"/>
      <c r="S725" s="181"/>
      <c r="T725" s="181"/>
      <c r="U725" s="181"/>
      <c r="V725" s="181"/>
      <c r="W725" s="181"/>
      <c r="X725" s="181"/>
      <c r="Y725" s="181"/>
      <c r="Z725" s="181"/>
    </row>
    <row r="726" ht="14.25" customHeight="1">
      <c r="A726" s="181"/>
      <c r="B726" s="181"/>
      <c r="C726" s="181"/>
      <c r="D726" s="181"/>
      <c r="E726" s="181"/>
      <c r="F726" s="181"/>
      <c r="G726" s="181"/>
      <c r="H726" s="181"/>
      <c r="I726" s="181"/>
      <c r="J726" s="181"/>
      <c r="K726" s="181"/>
      <c r="L726" s="181"/>
      <c r="M726" s="181"/>
      <c r="N726" s="181"/>
      <c r="O726" s="181"/>
      <c r="P726" s="181"/>
      <c r="Q726" s="181"/>
      <c r="R726" s="181"/>
      <c r="S726" s="181"/>
      <c r="T726" s="181"/>
      <c r="U726" s="181"/>
      <c r="V726" s="181"/>
      <c r="W726" s="181"/>
      <c r="X726" s="181"/>
      <c r="Y726" s="181"/>
      <c r="Z726" s="181"/>
    </row>
    <row r="727" ht="14.25" customHeight="1">
      <c r="A727" s="181"/>
      <c r="B727" s="181"/>
      <c r="C727" s="181"/>
      <c r="D727" s="181"/>
      <c r="E727" s="181"/>
      <c r="F727" s="181"/>
      <c r="G727" s="181"/>
      <c r="H727" s="181"/>
      <c r="I727" s="181"/>
      <c r="J727" s="181"/>
      <c r="K727" s="181"/>
      <c r="L727" s="181"/>
      <c r="M727" s="181"/>
      <c r="N727" s="181"/>
      <c r="O727" s="181"/>
      <c r="P727" s="181"/>
      <c r="Q727" s="181"/>
      <c r="R727" s="181"/>
      <c r="S727" s="181"/>
      <c r="T727" s="181"/>
      <c r="U727" s="181"/>
      <c r="V727" s="181"/>
      <c r="W727" s="181"/>
      <c r="X727" s="181"/>
      <c r="Y727" s="181"/>
      <c r="Z727" s="181"/>
    </row>
    <row r="728" ht="14.25" customHeight="1">
      <c r="A728" s="181"/>
      <c r="B728" s="181"/>
      <c r="C728" s="181"/>
      <c r="D728" s="181"/>
      <c r="E728" s="181"/>
      <c r="F728" s="181"/>
      <c r="G728" s="181"/>
      <c r="H728" s="181"/>
      <c r="I728" s="181"/>
      <c r="J728" s="181"/>
      <c r="K728" s="181"/>
      <c r="L728" s="181"/>
      <c r="M728" s="181"/>
      <c r="N728" s="181"/>
      <c r="O728" s="181"/>
      <c r="P728" s="181"/>
      <c r="Q728" s="181"/>
      <c r="R728" s="181"/>
      <c r="S728" s="181"/>
      <c r="T728" s="181"/>
      <c r="U728" s="181"/>
      <c r="V728" s="181"/>
      <c r="W728" s="181"/>
      <c r="X728" s="181"/>
      <c r="Y728" s="181"/>
      <c r="Z728" s="181"/>
    </row>
    <row r="729" ht="14.25" customHeight="1">
      <c r="A729" s="181"/>
      <c r="B729" s="181"/>
      <c r="C729" s="181"/>
      <c r="D729" s="181"/>
      <c r="E729" s="181"/>
      <c r="F729" s="181"/>
      <c r="G729" s="181"/>
      <c r="H729" s="181"/>
      <c r="I729" s="181"/>
      <c r="J729" s="181"/>
      <c r="K729" s="181"/>
      <c r="L729" s="181"/>
      <c r="M729" s="181"/>
      <c r="N729" s="181"/>
      <c r="O729" s="181"/>
      <c r="P729" s="181"/>
      <c r="Q729" s="181"/>
      <c r="R729" s="181"/>
      <c r="S729" s="181"/>
      <c r="T729" s="181"/>
      <c r="U729" s="181"/>
      <c r="V729" s="181"/>
      <c r="W729" s="181"/>
      <c r="X729" s="181"/>
      <c r="Y729" s="181"/>
      <c r="Z729" s="181"/>
    </row>
    <row r="730" ht="14.25" customHeight="1">
      <c r="A730" s="181"/>
      <c r="B730" s="181"/>
      <c r="C730" s="181"/>
      <c r="D730" s="181"/>
      <c r="E730" s="181"/>
      <c r="F730" s="181"/>
      <c r="G730" s="181"/>
      <c r="H730" s="181"/>
      <c r="I730" s="181"/>
      <c r="J730" s="181"/>
      <c r="K730" s="181"/>
      <c r="L730" s="181"/>
      <c r="M730" s="181"/>
      <c r="N730" s="181"/>
      <c r="O730" s="181"/>
      <c r="P730" s="181"/>
      <c r="Q730" s="181"/>
      <c r="R730" s="181"/>
      <c r="S730" s="181"/>
      <c r="T730" s="181"/>
      <c r="U730" s="181"/>
      <c r="V730" s="181"/>
      <c r="W730" s="181"/>
      <c r="X730" s="181"/>
      <c r="Y730" s="181"/>
      <c r="Z730" s="181"/>
    </row>
    <row r="731" ht="14.25" customHeight="1">
      <c r="A731" s="181"/>
      <c r="B731" s="181"/>
      <c r="C731" s="181"/>
      <c r="D731" s="181"/>
      <c r="E731" s="181"/>
      <c r="F731" s="181"/>
      <c r="G731" s="181"/>
      <c r="H731" s="181"/>
      <c r="I731" s="181"/>
      <c r="J731" s="181"/>
      <c r="K731" s="181"/>
      <c r="L731" s="181"/>
      <c r="M731" s="181"/>
      <c r="N731" s="181"/>
      <c r="O731" s="181"/>
      <c r="P731" s="181"/>
      <c r="Q731" s="181"/>
      <c r="R731" s="181"/>
      <c r="S731" s="181"/>
      <c r="T731" s="181"/>
      <c r="U731" s="181"/>
      <c r="V731" s="181"/>
      <c r="W731" s="181"/>
      <c r="X731" s="181"/>
      <c r="Y731" s="181"/>
      <c r="Z731" s="181"/>
    </row>
    <row r="732" ht="14.25" customHeight="1">
      <c r="A732" s="181"/>
      <c r="B732" s="181"/>
      <c r="C732" s="181"/>
      <c r="D732" s="181"/>
      <c r="E732" s="181"/>
      <c r="F732" s="181"/>
      <c r="G732" s="181"/>
      <c r="H732" s="181"/>
      <c r="I732" s="181"/>
      <c r="J732" s="181"/>
      <c r="K732" s="181"/>
      <c r="L732" s="181"/>
      <c r="M732" s="181"/>
      <c r="N732" s="181"/>
      <c r="O732" s="181"/>
      <c r="P732" s="181"/>
      <c r="Q732" s="181"/>
      <c r="R732" s="181"/>
      <c r="S732" s="181"/>
      <c r="T732" s="181"/>
      <c r="U732" s="181"/>
      <c r="V732" s="181"/>
      <c r="W732" s="181"/>
      <c r="X732" s="181"/>
      <c r="Y732" s="181"/>
      <c r="Z732" s="181"/>
    </row>
    <row r="733" ht="14.25" customHeight="1">
      <c r="A733" s="181"/>
      <c r="B733" s="181"/>
      <c r="C733" s="181"/>
      <c r="D733" s="181"/>
      <c r="E733" s="181"/>
      <c r="F733" s="181"/>
      <c r="G733" s="181"/>
      <c r="H733" s="181"/>
      <c r="I733" s="181"/>
      <c r="J733" s="181"/>
      <c r="K733" s="181"/>
      <c r="L733" s="181"/>
      <c r="M733" s="181"/>
      <c r="N733" s="181"/>
      <c r="O733" s="181"/>
      <c r="P733" s="181"/>
      <c r="Q733" s="181"/>
      <c r="R733" s="181"/>
      <c r="S733" s="181"/>
      <c r="T733" s="181"/>
      <c r="U733" s="181"/>
      <c r="V733" s="181"/>
      <c r="W733" s="181"/>
      <c r="X733" s="181"/>
      <c r="Y733" s="181"/>
      <c r="Z733" s="181"/>
    </row>
    <row r="734" ht="14.25" customHeight="1">
      <c r="A734" s="181"/>
      <c r="B734" s="181"/>
      <c r="C734" s="181"/>
      <c r="D734" s="181"/>
      <c r="E734" s="181"/>
      <c r="F734" s="181"/>
      <c r="G734" s="181"/>
      <c r="H734" s="181"/>
      <c r="I734" s="181"/>
      <c r="J734" s="181"/>
      <c r="K734" s="181"/>
      <c r="L734" s="181"/>
      <c r="M734" s="181"/>
      <c r="N734" s="181"/>
      <c r="O734" s="181"/>
      <c r="P734" s="181"/>
      <c r="Q734" s="181"/>
      <c r="R734" s="181"/>
      <c r="S734" s="181"/>
      <c r="T734" s="181"/>
      <c r="U734" s="181"/>
      <c r="V734" s="181"/>
      <c r="W734" s="181"/>
      <c r="X734" s="181"/>
      <c r="Y734" s="181"/>
      <c r="Z734" s="181"/>
    </row>
    <row r="735" ht="14.25" customHeight="1">
      <c r="A735" s="181"/>
      <c r="B735" s="181"/>
      <c r="C735" s="181"/>
      <c r="D735" s="181"/>
      <c r="E735" s="181"/>
      <c r="F735" s="181"/>
      <c r="G735" s="181"/>
      <c r="H735" s="181"/>
      <c r="I735" s="181"/>
      <c r="J735" s="181"/>
      <c r="K735" s="181"/>
      <c r="L735" s="181"/>
      <c r="M735" s="181"/>
      <c r="N735" s="181"/>
      <c r="O735" s="181"/>
      <c r="P735" s="181"/>
      <c r="Q735" s="181"/>
      <c r="R735" s="181"/>
      <c r="S735" s="181"/>
      <c r="T735" s="181"/>
      <c r="U735" s="181"/>
      <c r="V735" s="181"/>
      <c r="W735" s="181"/>
      <c r="X735" s="181"/>
      <c r="Y735" s="181"/>
      <c r="Z735" s="181"/>
    </row>
    <row r="736" ht="14.25" customHeight="1">
      <c r="A736" s="181"/>
      <c r="B736" s="181"/>
      <c r="C736" s="181"/>
      <c r="D736" s="181"/>
      <c r="E736" s="181"/>
      <c r="F736" s="181"/>
      <c r="G736" s="181"/>
      <c r="H736" s="181"/>
      <c r="I736" s="181"/>
      <c r="J736" s="181"/>
      <c r="K736" s="181"/>
      <c r="L736" s="181"/>
      <c r="M736" s="181"/>
      <c r="N736" s="181"/>
      <c r="O736" s="181"/>
      <c r="P736" s="181"/>
      <c r="Q736" s="181"/>
      <c r="R736" s="181"/>
      <c r="S736" s="181"/>
      <c r="T736" s="181"/>
      <c r="U736" s="181"/>
      <c r="V736" s="181"/>
      <c r="W736" s="181"/>
      <c r="X736" s="181"/>
      <c r="Y736" s="181"/>
      <c r="Z736" s="181"/>
    </row>
    <row r="737" ht="14.25" customHeight="1">
      <c r="A737" s="181"/>
      <c r="B737" s="181"/>
      <c r="C737" s="181"/>
      <c r="D737" s="181"/>
      <c r="E737" s="181"/>
      <c r="F737" s="181"/>
      <c r="G737" s="181"/>
      <c r="H737" s="181"/>
      <c r="I737" s="181"/>
      <c r="J737" s="181"/>
      <c r="K737" s="181"/>
      <c r="L737" s="181"/>
      <c r="M737" s="181"/>
      <c r="N737" s="181"/>
      <c r="O737" s="181"/>
      <c r="P737" s="181"/>
      <c r="Q737" s="181"/>
      <c r="R737" s="181"/>
      <c r="S737" s="181"/>
      <c r="T737" s="181"/>
      <c r="U737" s="181"/>
      <c r="V737" s="181"/>
      <c r="W737" s="181"/>
      <c r="X737" s="181"/>
      <c r="Y737" s="181"/>
      <c r="Z737" s="181"/>
    </row>
    <row r="738" ht="14.25" customHeight="1">
      <c r="A738" s="181"/>
      <c r="B738" s="181"/>
      <c r="C738" s="181"/>
      <c r="D738" s="181"/>
      <c r="E738" s="181"/>
      <c r="F738" s="181"/>
      <c r="G738" s="181"/>
      <c r="H738" s="181"/>
      <c r="I738" s="181"/>
      <c r="J738" s="181"/>
      <c r="K738" s="181"/>
      <c r="L738" s="181"/>
      <c r="M738" s="181"/>
      <c r="N738" s="181"/>
      <c r="O738" s="181"/>
      <c r="P738" s="181"/>
      <c r="Q738" s="181"/>
      <c r="R738" s="181"/>
      <c r="S738" s="181"/>
      <c r="T738" s="181"/>
      <c r="U738" s="181"/>
      <c r="V738" s="181"/>
      <c r="W738" s="181"/>
      <c r="X738" s="181"/>
      <c r="Y738" s="181"/>
      <c r="Z738" s="181"/>
    </row>
    <row r="739" ht="14.25" customHeight="1">
      <c r="A739" s="181"/>
      <c r="B739" s="181"/>
      <c r="C739" s="181"/>
      <c r="D739" s="181"/>
      <c r="E739" s="181"/>
      <c r="F739" s="181"/>
      <c r="G739" s="181"/>
      <c r="H739" s="181"/>
      <c r="I739" s="181"/>
      <c r="J739" s="181"/>
      <c r="K739" s="181"/>
      <c r="L739" s="181"/>
      <c r="M739" s="181"/>
      <c r="N739" s="181"/>
      <c r="O739" s="181"/>
      <c r="P739" s="181"/>
      <c r="Q739" s="181"/>
      <c r="R739" s="181"/>
      <c r="S739" s="181"/>
      <c r="T739" s="181"/>
      <c r="U739" s="181"/>
      <c r="V739" s="181"/>
      <c r="W739" s="181"/>
      <c r="X739" s="181"/>
      <c r="Y739" s="181"/>
      <c r="Z739" s="181"/>
    </row>
    <row r="740" ht="14.25" customHeight="1">
      <c r="A740" s="181"/>
      <c r="B740" s="181"/>
      <c r="C740" s="181"/>
      <c r="D740" s="181"/>
      <c r="E740" s="181"/>
      <c r="F740" s="181"/>
      <c r="G740" s="181"/>
      <c r="H740" s="181"/>
      <c r="I740" s="181"/>
      <c r="J740" s="181"/>
      <c r="K740" s="181"/>
      <c r="L740" s="181"/>
      <c r="M740" s="181"/>
      <c r="N740" s="181"/>
      <c r="O740" s="181"/>
      <c r="P740" s="181"/>
      <c r="Q740" s="181"/>
      <c r="R740" s="181"/>
      <c r="S740" s="181"/>
      <c r="T740" s="181"/>
      <c r="U740" s="181"/>
      <c r="V740" s="181"/>
      <c r="W740" s="181"/>
      <c r="X740" s="181"/>
      <c r="Y740" s="181"/>
      <c r="Z740" s="181"/>
    </row>
    <row r="741" ht="14.25" customHeight="1">
      <c r="A741" s="181"/>
      <c r="B741" s="181"/>
      <c r="C741" s="181"/>
      <c r="D741" s="181"/>
      <c r="E741" s="181"/>
      <c r="F741" s="181"/>
      <c r="G741" s="181"/>
      <c r="H741" s="181"/>
      <c r="I741" s="181"/>
      <c r="J741" s="181"/>
      <c r="K741" s="181"/>
      <c r="L741" s="181"/>
      <c r="M741" s="181"/>
      <c r="N741" s="181"/>
      <c r="O741" s="181"/>
      <c r="P741" s="181"/>
      <c r="Q741" s="181"/>
      <c r="R741" s="181"/>
      <c r="S741" s="181"/>
      <c r="T741" s="181"/>
      <c r="U741" s="181"/>
      <c r="V741" s="181"/>
      <c r="W741" s="181"/>
      <c r="X741" s="181"/>
      <c r="Y741" s="181"/>
      <c r="Z741" s="181"/>
    </row>
    <row r="742" ht="14.25" customHeight="1">
      <c r="A742" s="181"/>
      <c r="B742" s="181"/>
      <c r="C742" s="181"/>
      <c r="D742" s="181"/>
      <c r="E742" s="181"/>
      <c r="F742" s="181"/>
      <c r="G742" s="181"/>
      <c r="H742" s="181"/>
      <c r="I742" s="181"/>
      <c r="J742" s="181"/>
      <c r="K742" s="181"/>
      <c r="L742" s="181"/>
      <c r="M742" s="181"/>
      <c r="N742" s="181"/>
      <c r="O742" s="181"/>
      <c r="P742" s="181"/>
      <c r="Q742" s="181"/>
      <c r="R742" s="181"/>
      <c r="S742" s="181"/>
      <c r="T742" s="181"/>
      <c r="U742" s="181"/>
      <c r="V742" s="181"/>
      <c r="W742" s="181"/>
      <c r="X742" s="181"/>
      <c r="Y742" s="181"/>
      <c r="Z742" s="181"/>
    </row>
    <row r="743" ht="14.25" customHeight="1">
      <c r="A743" s="181"/>
      <c r="B743" s="181"/>
      <c r="C743" s="181"/>
      <c r="D743" s="181"/>
      <c r="E743" s="181"/>
      <c r="F743" s="181"/>
      <c r="G743" s="181"/>
      <c r="H743" s="181"/>
      <c r="I743" s="181"/>
      <c r="J743" s="181"/>
      <c r="K743" s="181"/>
      <c r="L743" s="181"/>
      <c r="M743" s="181"/>
      <c r="N743" s="181"/>
      <c r="O743" s="181"/>
      <c r="P743" s="181"/>
      <c r="Q743" s="181"/>
      <c r="R743" s="181"/>
      <c r="S743" s="181"/>
      <c r="T743" s="181"/>
      <c r="U743" s="181"/>
      <c r="V743" s="181"/>
      <c r="W743" s="181"/>
      <c r="X743" s="181"/>
      <c r="Y743" s="181"/>
      <c r="Z743" s="181"/>
    </row>
    <row r="744" ht="14.25" customHeight="1">
      <c r="A744" s="181"/>
      <c r="B744" s="181"/>
      <c r="C744" s="181"/>
      <c r="D744" s="181"/>
      <c r="E744" s="181"/>
      <c r="F744" s="181"/>
      <c r="G744" s="181"/>
      <c r="H744" s="181"/>
      <c r="I744" s="181"/>
      <c r="J744" s="181"/>
      <c r="K744" s="181"/>
      <c r="L744" s="181"/>
      <c r="M744" s="181"/>
      <c r="N744" s="181"/>
      <c r="O744" s="181"/>
      <c r="P744" s="181"/>
      <c r="Q744" s="181"/>
      <c r="R744" s="181"/>
      <c r="S744" s="181"/>
      <c r="T744" s="181"/>
      <c r="U744" s="181"/>
      <c r="V744" s="181"/>
      <c r="W744" s="181"/>
      <c r="X744" s="181"/>
      <c r="Y744" s="181"/>
      <c r="Z744" s="181"/>
    </row>
    <row r="745" ht="14.25" customHeight="1">
      <c r="A745" s="181"/>
      <c r="B745" s="181"/>
      <c r="C745" s="181"/>
      <c r="D745" s="181"/>
      <c r="E745" s="181"/>
      <c r="F745" s="181"/>
      <c r="G745" s="181"/>
      <c r="H745" s="181"/>
      <c r="I745" s="181"/>
      <c r="J745" s="181"/>
      <c r="K745" s="181"/>
      <c r="L745" s="181"/>
      <c r="M745" s="181"/>
      <c r="N745" s="181"/>
      <c r="O745" s="181"/>
      <c r="P745" s="181"/>
      <c r="Q745" s="181"/>
      <c r="R745" s="181"/>
      <c r="S745" s="181"/>
      <c r="T745" s="181"/>
      <c r="U745" s="181"/>
      <c r="V745" s="181"/>
      <c r="W745" s="181"/>
      <c r="X745" s="181"/>
      <c r="Y745" s="181"/>
      <c r="Z745" s="181"/>
    </row>
    <row r="746" ht="14.25" customHeight="1">
      <c r="A746" s="181"/>
      <c r="B746" s="181"/>
      <c r="C746" s="181"/>
      <c r="D746" s="181"/>
      <c r="E746" s="181"/>
      <c r="F746" s="181"/>
      <c r="G746" s="181"/>
      <c r="H746" s="181"/>
      <c r="I746" s="181"/>
      <c r="J746" s="181"/>
      <c r="K746" s="181"/>
      <c r="L746" s="181"/>
      <c r="M746" s="181"/>
      <c r="N746" s="181"/>
      <c r="O746" s="181"/>
      <c r="P746" s="181"/>
      <c r="Q746" s="181"/>
      <c r="R746" s="181"/>
      <c r="S746" s="181"/>
      <c r="T746" s="181"/>
      <c r="U746" s="181"/>
      <c r="V746" s="181"/>
      <c r="W746" s="181"/>
      <c r="X746" s="181"/>
      <c r="Y746" s="181"/>
      <c r="Z746" s="181"/>
    </row>
    <row r="747" ht="14.25" customHeight="1">
      <c r="A747" s="181"/>
      <c r="B747" s="181"/>
      <c r="C747" s="181"/>
      <c r="D747" s="181"/>
      <c r="E747" s="181"/>
      <c r="F747" s="181"/>
      <c r="G747" s="181"/>
      <c r="H747" s="181"/>
      <c r="I747" s="181"/>
      <c r="J747" s="181"/>
      <c r="K747" s="181"/>
      <c r="L747" s="181"/>
      <c r="M747" s="181"/>
      <c r="N747" s="181"/>
      <c r="O747" s="181"/>
      <c r="P747" s="181"/>
      <c r="Q747" s="181"/>
      <c r="R747" s="181"/>
      <c r="S747" s="181"/>
      <c r="T747" s="181"/>
      <c r="U747" s="181"/>
      <c r="V747" s="181"/>
      <c r="W747" s="181"/>
      <c r="X747" s="181"/>
      <c r="Y747" s="181"/>
      <c r="Z747" s="181"/>
    </row>
    <row r="748" ht="14.25" customHeight="1">
      <c r="A748" s="181"/>
      <c r="B748" s="181"/>
      <c r="C748" s="181"/>
      <c r="D748" s="181"/>
      <c r="E748" s="181"/>
      <c r="F748" s="181"/>
      <c r="G748" s="181"/>
      <c r="H748" s="181"/>
      <c r="I748" s="181"/>
      <c r="J748" s="181"/>
      <c r="K748" s="181"/>
      <c r="L748" s="181"/>
      <c r="M748" s="181"/>
      <c r="N748" s="181"/>
      <c r="O748" s="181"/>
      <c r="P748" s="181"/>
      <c r="Q748" s="181"/>
      <c r="R748" s="181"/>
      <c r="S748" s="181"/>
      <c r="T748" s="181"/>
      <c r="U748" s="181"/>
      <c r="V748" s="181"/>
      <c r="W748" s="181"/>
      <c r="X748" s="181"/>
      <c r="Y748" s="181"/>
      <c r="Z748" s="181"/>
    </row>
    <row r="749" ht="14.25" customHeight="1">
      <c r="A749" s="181"/>
      <c r="B749" s="181"/>
      <c r="C749" s="181"/>
      <c r="D749" s="181"/>
      <c r="E749" s="181"/>
      <c r="F749" s="181"/>
      <c r="G749" s="181"/>
      <c r="H749" s="181"/>
      <c r="I749" s="181"/>
      <c r="J749" s="181"/>
      <c r="K749" s="181"/>
      <c r="L749" s="181"/>
      <c r="M749" s="181"/>
      <c r="N749" s="181"/>
      <c r="O749" s="181"/>
      <c r="P749" s="181"/>
      <c r="Q749" s="181"/>
      <c r="R749" s="181"/>
      <c r="S749" s="181"/>
      <c r="T749" s="181"/>
      <c r="U749" s="181"/>
      <c r="V749" s="181"/>
      <c r="W749" s="181"/>
      <c r="X749" s="181"/>
      <c r="Y749" s="181"/>
      <c r="Z749" s="181"/>
    </row>
    <row r="750" ht="14.25" customHeight="1">
      <c r="A750" s="181"/>
      <c r="B750" s="181"/>
      <c r="C750" s="181"/>
      <c r="D750" s="181"/>
      <c r="E750" s="181"/>
      <c r="F750" s="181"/>
      <c r="G750" s="181"/>
      <c r="H750" s="181"/>
      <c r="I750" s="181"/>
      <c r="J750" s="181"/>
      <c r="K750" s="181"/>
      <c r="L750" s="181"/>
      <c r="M750" s="181"/>
      <c r="N750" s="181"/>
      <c r="O750" s="181"/>
      <c r="P750" s="181"/>
      <c r="Q750" s="181"/>
      <c r="R750" s="181"/>
      <c r="S750" s="181"/>
      <c r="T750" s="181"/>
      <c r="U750" s="181"/>
      <c r="V750" s="181"/>
      <c r="W750" s="181"/>
      <c r="X750" s="181"/>
      <c r="Y750" s="181"/>
      <c r="Z750" s="181"/>
    </row>
    <row r="751" ht="14.25" customHeight="1">
      <c r="A751" s="181"/>
      <c r="B751" s="181"/>
      <c r="C751" s="181"/>
      <c r="D751" s="181"/>
      <c r="E751" s="181"/>
      <c r="F751" s="181"/>
      <c r="G751" s="181"/>
      <c r="H751" s="181"/>
      <c r="I751" s="181"/>
      <c r="J751" s="181"/>
      <c r="K751" s="181"/>
      <c r="L751" s="181"/>
      <c r="M751" s="181"/>
      <c r="N751" s="181"/>
      <c r="O751" s="181"/>
      <c r="P751" s="181"/>
      <c r="Q751" s="181"/>
      <c r="R751" s="181"/>
      <c r="S751" s="181"/>
      <c r="T751" s="181"/>
      <c r="U751" s="181"/>
      <c r="V751" s="181"/>
      <c r="W751" s="181"/>
      <c r="X751" s="181"/>
      <c r="Y751" s="181"/>
      <c r="Z751" s="181"/>
    </row>
    <row r="752" ht="14.25" customHeight="1">
      <c r="A752" s="181"/>
      <c r="B752" s="181"/>
      <c r="C752" s="181"/>
      <c r="D752" s="181"/>
      <c r="E752" s="181"/>
      <c r="F752" s="181"/>
      <c r="G752" s="181"/>
      <c r="H752" s="181"/>
      <c r="I752" s="181"/>
      <c r="J752" s="181"/>
      <c r="K752" s="181"/>
      <c r="L752" s="181"/>
      <c r="M752" s="181"/>
      <c r="N752" s="181"/>
      <c r="O752" s="181"/>
      <c r="P752" s="181"/>
      <c r="Q752" s="181"/>
      <c r="R752" s="181"/>
      <c r="S752" s="181"/>
      <c r="T752" s="181"/>
      <c r="U752" s="181"/>
      <c r="V752" s="181"/>
      <c r="W752" s="181"/>
      <c r="X752" s="181"/>
      <c r="Y752" s="181"/>
      <c r="Z752" s="181"/>
    </row>
    <row r="753" ht="14.25" customHeight="1">
      <c r="A753" s="181"/>
      <c r="B753" s="181"/>
      <c r="C753" s="181"/>
      <c r="D753" s="181"/>
      <c r="E753" s="181"/>
      <c r="F753" s="181"/>
      <c r="G753" s="181"/>
      <c r="H753" s="181"/>
      <c r="I753" s="181"/>
      <c r="J753" s="181"/>
      <c r="K753" s="181"/>
      <c r="L753" s="181"/>
      <c r="M753" s="181"/>
      <c r="N753" s="181"/>
      <c r="O753" s="181"/>
      <c r="P753" s="181"/>
      <c r="Q753" s="181"/>
      <c r="R753" s="181"/>
      <c r="S753" s="181"/>
      <c r="T753" s="181"/>
      <c r="U753" s="181"/>
      <c r="V753" s="181"/>
      <c r="W753" s="181"/>
      <c r="X753" s="181"/>
      <c r="Y753" s="181"/>
      <c r="Z753" s="181"/>
    </row>
    <row r="754" ht="14.25" customHeight="1">
      <c r="A754" s="181"/>
      <c r="B754" s="181"/>
      <c r="C754" s="181"/>
      <c r="D754" s="181"/>
      <c r="E754" s="181"/>
      <c r="F754" s="181"/>
      <c r="G754" s="181"/>
      <c r="H754" s="181"/>
      <c r="I754" s="181"/>
      <c r="J754" s="181"/>
      <c r="K754" s="181"/>
      <c r="L754" s="181"/>
      <c r="M754" s="181"/>
      <c r="N754" s="181"/>
      <c r="O754" s="181"/>
      <c r="P754" s="181"/>
      <c r="Q754" s="181"/>
      <c r="R754" s="181"/>
      <c r="S754" s="181"/>
      <c r="T754" s="181"/>
      <c r="U754" s="181"/>
      <c r="V754" s="181"/>
      <c r="W754" s="181"/>
      <c r="X754" s="181"/>
      <c r="Y754" s="181"/>
      <c r="Z754" s="181"/>
    </row>
    <row r="755" ht="14.25" customHeight="1">
      <c r="A755" s="181"/>
      <c r="B755" s="181"/>
      <c r="C755" s="181"/>
      <c r="D755" s="181"/>
      <c r="E755" s="181"/>
      <c r="F755" s="181"/>
      <c r="G755" s="181"/>
      <c r="H755" s="181"/>
      <c r="I755" s="181"/>
      <c r="J755" s="181"/>
      <c r="K755" s="181"/>
      <c r="L755" s="181"/>
      <c r="M755" s="181"/>
      <c r="N755" s="181"/>
      <c r="O755" s="181"/>
      <c r="P755" s="181"/>
      <c r="Q755" s="181"/>
      <c r="R755" s="181"/>
      <c r="S755" s="181"/>
      <c r="T755" s="181"/>
      <c r="U755" s="181"/>
      <c r="V755" s="181"/>
      <c r="W755" s="181"/>
      <c r="X755" s="181"/>
      <c r="Y755" s="181"/>
      <c r="Z755" s="181"/>
    </row>
    <row r="756" ht="14.25" customHeight="1">
      <c r="A756" s="181"/>
      <c r="B756" s="181"/>
      <c r="C756" s="181"/>
      <c r="D756" s="181"/>
      <c r="E756" s="181"/>
      <c r="F756" s="181"/>
      <c r="G756" s="181"/>
      <c r="H756" s="181"/>
      <c r="I756" s="181"/>
      <c r="J756" s="181"/>
      <c r="K756" s="181"/>
      <c r="L756" s="181"/>
      <c r="M756" s="181"/>
      <c r="N756" s="181"/>
      <c r="O756" s="181"/>
      <c r="P756" s="181"/>
      <c r="Q756" s="181"/>
      <c r="R756" s="181"/>
      <c r="S756" s="181"/>
      <c r="T756" s="181"/>
      <c r="U756" s="181"/>
      <c r="V756" s="181"/>
      <c r="W756" s="181"/>
      <c r="X756" s="181"/>
      <c r="Y756" s="181"/>
      <c r="Z756" s="181"/>
    </row>
    <row r="757" ht="14.25" customHeight="1">
      <c r="A757" s="181"/>
      <c r="B757" s="181"/>
      <c r="C757" s="181"/>
      <c r="D757" s="181"/>
      <c r="E757" s="181"/>
      <c r="F757" s="181"/>
      <c r="G757" s="181"/>
      <c r="H757" s="181"/>
      <c r="I757" s="181"/>
      <c r="J757" s="181"/>
      <c r="K757" s="181"/>
      <c r="L757" s="181"/>
      <c r="M757" s="181"/>
      <c r="N757" s="181"/>
      <c r="O757" s="181"/>
      <c r="P757" s="181"/>
      <c r="Q757" s="181"/>
      <c r="R757" s="181"/>
      <c r="S757" s="181"/>
      <c r="T757" s="181"/>
      <c r="U757" s="181"/>
      <c r="V757" s="181"/>
      <c r="W757" s="181"/>
      <c r="X757" s="181"/>
      <c r="Y757" s="181"/>
      <c r="Z757" s="181"/>
    </row>
    <row r="758" ht="14.25" customHeight="1">
      <c r="A758" s="181"/>
      <c r="B758" s="181"/>
      <c r="C758" s="181"/>
      <c r="D758" s="181"/>
      <c r="E758" s="181"/>
      <c r="F758" s="181"/>
      <c r="G758" s="181"/>
      <c r="H758" s="181"/>
      <c r="I758" s="181"/>
      <c r="J758" s="181"/>
      <c r="K758" s="181"/>
      <c r="L758" s="181"/>
      <c r="M758" s="181"/>
      <c r="N758" s="181"/>
      <c r="O758" s="181"/>
      <c r="P758" s="181"/>
      <c r="Q758" s="181"/>
      <c r="R758" s="181"/>
      <c r="S758" s="181"/>
      <c r="T758" s="181"/>
      <c r="U758" s="181"/>
      <c r="V758" s="181"/>
      <c r="W758" s="181"/>
      <c r="X758" s="181"/>
      <c r="Y758" s="181"/>
      <c r="Z758" s="181"/>
    </row>
    <row r="759" ht="14.25" customHeight="1">
      <c r="A759" s="181"/>
      <c r="B759" s="181"/>
      <c r="C759" s="181"/>
      <c r="D759" s="181"/>
      <c r="E759" s="181"/>
      <c r="F759" s="181"/>
      <c r="G759" s="181"/>
      <c r="H759" s="181"/>
      <c r="I759" s="181"/>
      <c r="J759" s="181"/>
      <c r="K759" s="181"/>
      <c r="L759" s="181"/>
      <c r="M759" s="181"/>
      <c r="N759" s="181"/>
      <c r="O759" s="181"/>
      <c r="P759" s="181"/>
      <c r="Q759" s="181"/>
      <c r="R759" s="181"/>
      <c r="S759" s="181"/>
      <c r="T759" s="181"/>
      <c r="U759" s="181"/>
      <c r="V759" s="181"/>
      <c r="W759" s="181"/>
      <c r="X759" s="181"/>
      <c r="Y759" s="181"/>
      <c r="Z759" s="181"/>
    </row>
    <row r="760" ht="14.25" customHeight="1">
      <c r="A760" s="181"/>
      <c r="B760" s="181"/>
      <c r="C760" s="181"/>
      <c r="D760" s="181"/>
      <c r="E760" s="181"/>
      <c r="F760" s="181"/>
      <c r="G760" s="181"/>
      <c r="H760" s="181"/>
      <c r="I760" s="181"/>
      <c r="J760" s="181"/>
      <c r="K760" s="181"/>
      <c r="L760" s="181"/>
      <c r="M760" s="181"/>
      <c r="N760" s="181"/>
      <c r="O760" s="181"/>
      <c r="P760" s="181"/>
      <c r="Q760" s="181"/>
      <c r="R760" s="181"/>
      <c r="S760" s="181"/>
      <c r="T760" s="181"/>
      <c r="U760" s="181"/>
      <c r="V760" s="181"/>
      <c r="W760" s="181"/>
      <c r="X760" s="181"/>
      <c r="Y760" s="181"/>
      <c r="Z760" s="181"/>
    </row>
    <row r="761" ht="14.25" customHeight="1">
      <c r="A761" s="181"/>
      <c r="B761" s="181"/>
      <c r="C761" s="181"/>
      <c r="D761" s="181"/>
      <c r="E761" s="181"/>
      <c r="F761" s="181"/>
      <c r="G761" s="181"/>
      <c r="H761" s="181"/>
      <c r="I761" s="181"/>
      <c r="J761" s="181"/>
      <c r="K761" s="181"/>
      <c r="L761" s="181"/>
      <c r="M761" s="181"/>
      <c r="N761" s="181"/>
      <c r="O761" s="181"/>
      <c r="P761" s="181"/>
      <c r="Q761" s="181"/>
      <c r="R761" s="181"/>
      <c r="S761" s="181"/>
      <c r="T761" s="181"/>
      <c r="U761" s="181"/>
      <c r="V761" s="181"/>
      <c r="W761" s="181"/>
      <c r="X761" s="181"/>
      <c r="Y761" s="181"/>
      <c r="Z761" s="181"/>
    </row>
    <row r="762" ht="14.25" customHeight="1">
      <c r="A762" s="181"/>
      <c r="B762" s="181"/>
      <c r="C762" s="181"/>
      <c r="D762" s="181"/>
      <c r="E762" s="181"/>
      <c r="F762" s="181"/>
      <c r="G762" s="181"/>
      <c r="H762" s="181"/>
      <c r="I762" s="181"/>
      <c r="J762" s="181"/>
      <c r="K762" s="181"/>
      <c r="L762" s="181"/>
      <c r="M762" s="181"/>
      <c r="N762" s="181"/>
      <c r="O762" s="181"/>
      <c r="P762" s="181"/>
      <c r="Q762" s="181"/>
      <c r="R762" s="181"/>
      <c r="S762" s="181"/>
      <c r="T762" s="181"/>
      <c r="U762" s="181"/>
      <c r="V762" s="181"/>
      <c r="W762" s="181"/>
      <c r="X762" s="181"/>
      <c r="Y762" s="181"/>
      <c r="Z762" s="181"/>
    </row>
    <row r="763" ht="14.25" customHeight="1">
      <c r="A763" s="181"/>
      <c r="B763" s="181"/>
      <c r="C763" s="181"/>
      <c r="D763" s="181"/>
      <c r="E763" s="181"/>
      <c r="F763" s="181"/>
      <c r="G763" s="181"/>
      <c r="H763" s="181"/>
      <c r="I763" s="181"/>
      <c r="J763" s="181"/>
      <c r="K763" s="181"/>
      <c r="L763" s="181"/>
      <c r="M763" s="181"/>
      <c r="N763" s="181"/>
      <c r="O763" s="181"/>
      <c r="P763" s="181"/>
      <c r="Q763" s="181"/>
      <c r="R763" s="181"/>
      <c r="S763" s="181"/>
      <c r="T763" s="181"/>
      <c r="U763" s="181"/>
      <c r="V763" s="181"/>
      <c r="W763" s="181"/>
      <c r="X763" s="181"/>
      <c r="Y763" s="181"/>
      <c r="Z763" s="181"/>
    </row>
    <row r="764" ht="14.25" customHeight="1">
      <c r="A764" s="181"/>
      <c r="B764" s="181"/>
      <c r="C764" s="181"/>
      <c r="D764" s="181"/>
      <c r="E764" s="181"/>
      <c r="F764" s="181"/>
      <c r="G764" s="181"/>
      <c r="H764" s="181"/>
      <c r="I764" s="181"/>
      <c r="J764" s="181"/>
      <c r="K764" s="181"/>
      <c r="L764" s="181"/>
      <c r="M764" s="181"/>
      <c r="N764" s="181"/>
      <c r="O764" s="181"/>
      <c r="P764" s="181"/>
      <c r="Q764" s="181"/>
      <c r="R764" s="181"/>
      <c r="S764" s="181"/>
      <c r="T764" s="181"/>
      <c r="U764" s="181"/>
      <c r="V764" s="181"/>
      <c r="W764" s="181"/>
      <c r="X764" s="181"/>
      <c r="Y764" s="181"/>
      <c r="Z764" s="181"/>
    </row>
    <row r="765" ht="14.25" customHeight="1">
      <c r="A765" s="181"/>
      <c r="B765" s="181"/>
      <c r="C765" s="181"/>
      <c r="D765" s="181"/>
      <c r="E765" s="181"/>
      <c r="F765" s="181"/>
      <c r="G765" s="181"/>
      <c r="H765" s="181"/>
      <c r="I765" s="181"/>
      <c r="J765" s="181"/>
      <c r="K765" s="181"/>
      <c r="L765" s="181"/>
      <c r="M765" s="181"/>
      <c r="N765" s="181"/>
      <c r="O765" s="181"/>
      <c r="P765" s="181"/>
      <c r="Q765" s="181"/>
      <c r="R765" s="181"/>
      <c r="S765" s="181"/>
      <c r="T765" s="181"/>
      <c r="U765" s="181"/>
      <c r="V765" s="181"/>
      <c r="W765" s="181"/>
      <c r="X765" s="181"/>
      <c r="Y765" s="181"/>
      <c r="Z765" s="181"/>
    </row>
    <row r="766" ht="14.25" customHeight="1">
      <c r="A766" s="181"/>
      <c r="B766" s="181"/>
      <c r="C766" s="181"/>
      <c r="D766" s="181"/>
      <c r="E766" s="181"/>
      <c r="F766" s="181"/>
      <c r="G766" s="181"/>
      <c r="H766" s="181"/>
      <c r="I766" s="181"/>
      <c r="J766" s="181"/>
      <c r="K766" s="181"/>
      <c r="L766" s="181"/>
      <c r="M766" s="181"/>
      <c r="N766" s="181"/>
      <c r="O766" s="181"/>
      <c r="P766" s="181"/>
      <c r="Q766" s="181"/>
      <c r="R766" s="181"/>
      <c r="S766" s="181"/>
      <c r="T766" s="181"/>
      <c r="U766" s="181"/>
      <c r="V766" s="181"/>
      <c r="W766" s="181"/>
      <c r="X766" s="181"/>
      <c r="Y766" s="181"/>
      <c r="Z766" s="181"/>
    </row>
    <row r="767" ht="14.25" customHeight="1">
      <c r="A767" s="181"/>
      <c r="B767" s="181"/>
      <c r="C767" s="181"/>
      <c r="D767" s="181"/>
      <c r="E767" s="181"/>
      <c r="F767" s="181"/>
      <c r="G767" s="181"/>
      <c r="H767" s="181"/>
      <c r="I767" s="181"/>
      <c r="J767" s="181"/>
      <c r="K767" s="181"/>
      <c r="L767" s="181"/>
      <c r="M767" s="181"/>
      <c r="N767" s="181"/>
      <c r="O767" s="181"/>
      <c r="P767" s="181"/>
      <c r="Q767" s="181"/>
      <c r="R767" s="181"/>
      <c r="S767" s="181"/>
      <c r="T767" s="181"/>
      <c r="U767" s="181"/>
      <c r="V767" s="181"/>
      <c r="W767" s="181"/>
      <c r="X767" s="181"/>
      <c r="Y767" s="181"/>
      <c r="Z767" s="181"/>
    </row>
    <row r="768" ht="14.25" customHeight="1">
      <c r="A768" s="181"/>
      <c r="B768" s="181"/>
      <c r="C768" s="181"/>
      <c r="D768" s="181"/>
      <c r="E768" s="181"/>
      <c r="F768" s="181"/>
      <c r="G768" s="181"/>
      <c r="H768" s="181"/>
      <c r="I768" s="181"/>
      <c r="J768" s="181"/>
      <c r="K768" s="181"/>
      <c r="L768" s="181"/>
      <c r="M768" s="181"/>
      <c r="N768" s="181"/>
      <c r="O768" s="181"/>
      <c r="P768" s="181"/>
      <c r="Q768" s="181"/>
      <c r="R768" s="181"/>
      <c r="S768" s="181"/>
      <c r="T768" s="181"/>
      <c r="U768" s="181"/>
      <c r="V768" s="181"/>
      <c r="W768" s="181"/>
      <c r="X768" s="181"/>
      <c r="Y768" s="181"/>
      <c r="Z768" s="181"/>
    </row>
    <row r="769" ht="14.25" customHeight="1">
      <c r="A769" s="181"/>
      <c r="B769" s="181"/>
      <c r="C769" s="181"/>
      <c r="D769" s="181"/>
      <c r="E769" s="181"/>
      <c r="F769" s="181"/>
      <c r="G769" s="181"/>
      <c r="H769" s="181"/>
      <c r="I769" s="181"/>
      <c r="J769" s="181"/>
      <c r="K769" s="181"/>
      <c r="L769" s="181"/>
      <c r="M769" s="181"/>
      <c r="N769" s="181"/>
      <c r="O769" s="181"/>
      <c r="P769" s="181"/>
      <c r="Q769" s="181"/>
      <c r="R769" s="181"/>
      <c r="S769" s="181"/>
      <c r="T769" s="181"/>
      <c r="U769" s="181"/>
      <c r="V769" s="181"/>
      <c r="W769" s="181"/>
      <c r="X769" s="181"/>
      <c r="Y769" s="181"/>
      <c r="Z769" s="181"/>
    </row>
    <row r="770" ht="14.25" customHeight="1">
      <c r="A770" s="181"/>
      <c r="B770" s="181"/>
      <c r="C770" s="181"/>
      <c r="D770" s="181"/>
      <c r="E770" s="181"/>
      <c r="F770" s="181"/>
      <c r="G770" s="181"/>
      <c r="H770" s="181"/>
      <c r="I770" s="181"/>
      <c r="J770" s="181"/>
      <c r="K770" s="181"/>
      <c r="L770" s="181"/>
      <c r="M770" s="181"/>
      <c r="N770" s="181"/>
      <c r="O770" s="181"/>
      <c r="P770" s="181"/>
      <c r="Q770" s="181"/>
      <c r="R770" s="181"/>
      <c r="S770" s="181"/>
      <c r="T770" s="181"/>
      <c r="U770" s="181"/>
      <c r="V770" s="181"/>
      <c r="W770" s="181"/>
      <c r="X770" s="181"/>
      <c r="Y770" s="181"/>
      <c r="Z770" s="181"/>
    </row>
    <row r="771" ht="14.25" customHeight="1">
      <c r="A771" s="181"/>
      <c r="B771" s="181"/>
      <c r="C771" s="181"/>
      <c r="D771" s="181"/>
      <c r="E771" s="181"/>
      <c r="F771" s="181"/>
      <c r="G771" s="181"/>
      <c r="H771" s="181"/>
      <c r="I771" s="181"/>
      <c r="J771" s="181"/>
      <c r="K771" s="181"/>
      <c r="L771" s="181"/>
      <c r="M771" s="181"/>
      <c r="N771" s="181"/>
      <c r="O771" s="181"/>
      <c r="P771" s="181"/>
      <c r="Q771" s="181"/>
      <c r="R771" s="181"/>
      <c r="S771" s="181"/>
      <c r="T771" s="181"/>
      <c r="U771" s="181"/>
      <c r="V771" s="181"/>
      <c r="W771" s="181"/>
      <c r="X771" s="181"/>
      <c r="Y771" s="181"/>
      <c r="Z771" s="181"/>
    </row>
    <row r="772" ht="14.25" customHeight="1">
      <c r="A772" s="181"/>
      <c r="B772" s="181"/>
      <c r="C772" s="181"/>
      <c r="D772" s="181"/>
      <c r="E772" s="181"/>
      <c r="F772" s="181"/>
      <c r="G772" s="181"/>
      <c r="H772" s="181"/>
      <c r="I772" s="181"/>
      <c r="J772" s="181"/>
      <c r="K772" s="181"/>
      <c r="L772" s="181"/>
      <c r="M772" s="181"/>
      <c r="N772" s="181"/>
      <c r="O772" s="181"/>
      <c r="P772" s="181"/>
      <c r="Q772" s="181"/>
      <c r="R772" s="181"/>
      <c r="S772" s="181"/>
      <c r="T772" s="181"/>
      <c r="U772" s="181"/>
      <c r="V772" s="181"/>
      <c r="W772" s="181"/>
      <c r="X772" s="181"/>
      <c r="Y772" s="181"/>
      <c r="Z772" s="181"/>
    </row>
    <row r="773" ht="14.25" customHeight="1">
      <c r="A773" s="181"/>
      <c r="B773" s="181"/>
      <c r="C773" s="181"/>
      <c r="D773" s="181"/>
      <c r="E773" s="181"/>
      <c r="F773" s="181"/>
      <c r="G773" s="181"/>
      <c r="H773" s="181"/>
      <c r="I773" s="181"/>
      <c r="J773" s="181"/>
      <c r="K773" s="181"/>
      <c r="L773" s="181"/>
      <c r="M773" s="181"/>
      <c r="N773" s="181"/>
      <c r="O773" s="181"/>
      <c r="P773" s="181"/>
      <c r="Q773" s="181"/>
      <c r="R773" s="181"/>
      <c r="S773" s="181"/>
      <c r="T773" s="181"/>
      <c r="U773" s="181"/>
      <c r="V773" s="181"/>
      <c r="W773" s="181"/>
      <c r="X773" s="181"/>
      <c r="Y773" s="181"/>
      <c r="Z773" s="181"/>
    </row>
    <row r="774" ht="14.25" customHeight="1">
      <c r="A774" s="181"/>
      <c r="B774" s="181"/>
      <c r="C774" s="181"/>
      <c r="D774" s="181"/>
      <c r="E774" s="181"/>
      <c r="F774" s="181"/>
      <c r="G774" s="181"/>
      <c r="H774" s="181"/>
      <c r="I774" s="181"/>
      <c r="J774" s="181"/>
      <c r="K774" s="181"/>
      <c r="L774" s="181"/>
      <c r="M774" s="181"/>
      <c r="N774" s="181"/>
      <c r="O774" s="181"/>
      <c r="P774" s="181"/>
      <c r="Q774" s="181"/>
      <c r="R774" s="181"/>
      <c r="S774" s="181"/>
      <c r="T774" s="181"/>
      <c r="U774" s="181"/>
      <c r="V774" s="181"/>
      <c r="W774" s="181"/>
      <c r="X774" s="181"/>
      <c r="Y774" s="181"/>
      <c r="Z774" s="181"/>
    </row>
    <row r="775" ht="14.25" customHeight="1">
      <c r="A775" s="181"/>
      <c r="B775" s="181"/>
      <c r="C775" s="181"/>
      <c r="D775" s="181"/>
      <c r="E775" s="181"/>
      <c r="F775" s="181"/>
      <c r="G775" s="181"/>
      <c r="H775" s="181"/>
      <c r="I775" s="181"/>
      <c r="J775" s="181"/>
      <c r="K775" s="181"/>
      <c r="L775" s="181"/>
      <c r="M775" s="181"/>
      <c r="N775" s="181"/>
      <c r="O775" s="181"/>
      <c r="P775" s="181"/>
      <c r="Q775" s="181"/>
      <c r="R775" s="181"/>
      <c r="S775" s="181"/>
      <c r="T775" s="181"/>
      <c r="U775" s="181"/>
      <c r="V775" s="181"/>
      <c r="W775" s="181"/>
      <c r="X775" s="181"/>
      <c r="Y775" s="181"/>
      <c r="Z775" s="181"/>
    </row>
    <row r="776" ht="14.25" customHeight="1">
      <c r="A776" s="181"/>
      <c r="B776" s="181"/>
      <c r="C776" s="181"/>
      <c r="D776" s="181"/>
      <c r="E776" s="181"/>
      <c r="F776" s="181"/>
      <c r="G776" s="181"/>
      <c r="H776" s="181"/>
      <c r="I776" s="181"/>
      <c r="J776" s="181"/>
      <c r="K776" s="181"/>
      <c r="L776" s="181"/>
      <c r="M776" s="181"/>
      <c r="N776" s="181"/>
      <c r="O776" s="181"/>
      <c r="P776" s="181"/>
      <c r="Q776" s="181"/>
      <c r="R776" s="181"/>
      <c r="S776" s="181"/>
      <c r="T776" s="181"/>
      <c r="U776" s="181"/>
      <c r="V776" s="181"/>
      <c r="W776" s="181"/>
      <c r="X776" s="181"/>
      <c r="Y776" s="181"/>
      <c r="Z776" s="181"/>
    </row>
    <row r="777" ht="14.25" customHeight="1">
      <c r="A777" s="181"/>
      <c r="B777" s="181"/>
      <c r="C777" s="181"/>
      <c r="D777" s="181"/>
      <c r="E777" s="181"/>
      <c r="F777" s="181"/>
      <c r="G777" s="181"/>
      <c r="H777" s="181"/>
      <c r="I777" s="181"/>
      <c r="J777" s="181"/>
      <c r="K777" s="181"/>
      <c r="L777" s="181"/>
      <c r="M777" s="181"/>
      <c r="N777" s="181"/>
      <c r="O777" s="181"/>
      <c r="P777" s="181"/>
      <c r="Q777" s="181"/>
      <c r="R777" s="181"/>
      <c r="S777" s="181"/>
      <c r="T777" s="181"/>
      <c r="U777" s="181"/>
      <c r="V777" s="181"/>
      <c r="W777" s="181"/>
      <c r="X777" s="181"/>
      <c r="Y777" s="181"/>
      <c r="Z777" s="181"/>
    </row>
    <row r="778" ht="14.25" customHeight="1">
      <c r="A778" s="181"/>
      <c r="B778" s="181"/>
      <c r="C778" s="181"/>
      <c r="D778" s="181"/>
      <c r="E778" s="181"/>
      <c r="F778" s="181"/>
      <c r="G778" s="181"/>
      <c r="H778" s="181"/>
      <c r="I778" s="181"/>
      <c r="J778" s="181"/>
      <c r="K778" s="181"/>
      <c r="L778" s="181"/>
      <c r="M778" s="181"/>
      <c r="N778" s="181"/>
      <c r="O778" s="181"/>
      <c r="P778" s="181"/>
      <c r="Q778" s="181"/>
      <c r="R778" s="181"/>
      <c r="S778" s="181"/>
      <c r="T778" s="181"/>
      <c r="U778" s="181"/>
      <c r="V778" s="181"/>
      <c r="W778" s="181"/>
      <c r="X778" s="181"/>
      <c r="Y778" s="181"/>
      <c r="Z778" s="181"/>
    </row>
    <row r="779" ht="14.25" customHeight="1">
      <c r="A779" s="181"/>
      <c r="B779" s="181"/>
      <c r="C779" s="181"/>
      <c r="D779" s="181"/>
      <c r="E779" s="181"/>
      <c r="F779" s="181"/>
      <c r="G779" s="181"/>
      <c r="H779" s="181"/>
      <c r="I779" s="181"/>
      <c r="J779" s="181"/>
      <c r="K779" s="181"/>
      <c r="L779" s="181"/>
      <c r="M779" s="181"/>
      <c r="N779" s="181"/>
      <c r="O779" s="181"/>
      <c r="P779" s="181"/>
      <c r="Q779" s="181"/>
      <c r="R779" s="181"/>
      <c r="S779" s="181"/>
      <c r="T779" s="181"/>
      <c r="U779" s="181"/>
      <c r="V779" s="181"/>
      <c r="W779" s="181"/>
      <c r="X779" s="181"/>
      <c r="Y779" s="181"/>
      <c r="Z779" s="181"/>
    </row>
    <row r="780" ht="14.25" customHeight="1">
      <c r="A780" s="181"/>
      <c r="B780" s="181"/>
      <c r="C780" s="181"/>
      <c r="D780" s="181"/>
      <c r="E780" s="181"/>
      <c r="F780" s="181"/>
      <c r="G780" s="181"/>
      <c r="H780" s="181"/>
      <c r="I780" s="181"/>
      <c r="J780" s="181"/>
      <c r="K780" s="181"/>
      <c r="L780" s="181"/>
      <c r="M780" s="181"/>
      <c r="N780" s="181"/>
      <c r="O780" s="181"/>
      <c r="P780" s="181"/>
      <c r="Q780" s="181"/>
      <c r="R780" s="181"/>
      <c r="S780" s="181"/>
      <c r="T780" s="181"/>
      <c r="U780" s="181"/>
      <c r="V780" s="181"/>
      <c r="W780" s="181"/>
      <c r="X780" s="181"/>
      <c r="Y780" s="181"/>
      <c r="Z780" s="181"/>
    </row>
    <row r="781" ht="14.25" customHeight="1">
      <c r="A781" s="181"/>
      <c r="B781" s="181"/>
      <c r="C781" s="181"/>
      <c r="D781" s="181"/>
      <c r="E781" s="181"/>
      <c r="F781" s="181"/>
      <c r="G781" s="181"/>
      <c r="H781" s="181"/>
      <c r="I781" s="181"/>
      <c r="J781" s="181"/>
      <c r="K781" s="181"/>
      <c r="L781" s="181"/>
      <c r="M781" s="181"/>
      <c r="N781" s="181"/>
      <c r="O781" s="181"/>
      <c r="P781" s="181"/>
      <c r="Q781" s="181"/>
      <c r="R781" s="181"/>
      <c r="S781" s="181"/>
      <c r="T781" s="181"/>
      <c r="U781" s="181"/>
      <c r="V781" s="181"/>
      <c r="W781" s="181"/>
      <c r="X781" s="181"/>
      <c r="Y781" s="181"/>
      <c r="Z781" s="181"/>
    </row>
    <row r="782" ht="14.25" customHeight="1">
      <c r="A782" s="181"/>
      <c r="B782" s="181"/>
      <c r="C782" s="181"/>
      <c r="D782" s="181"/>
      <c r="E782" s="181"/>
      <c r="F782" s="181"/>
      <c r="G782" s="181"/>
      <c r="H782" s="181"/>
      <c r="I782" s="181"/>
      <c r="J782" s="181"/>
      <c r="K782" s="181"/>
      <c r="L782" s="181"/>
      <c r="M782" s="181"/>
      <c r="N782" s="181"/>
      <c r="O782" s="181"/>
      <c r="P782" s="181"/>
      <c r="Q782" s="181"/>
      <c r="R782" s="181"/>
      <c r="S782" s="181"/>
      <c r="T782" s="181"/>
      <c r="U782" s="181"/>
      <c r="V782" s="181"/>
      <c r="W782" s="181"/>
      <c r="X782" s="181"/>
      <c r="Y782" s="181"/>
      <c r="Z782" s="181"/>
    </row>
    <row r="783" ht="14.25" customHeight="1">
      <c r="A783" s="181"/>
      <c r="B783" s="181"/>
      <c r="C783" s="181"/>
      <c r="D783" s="181"/>
      <c r="E783" s="181"/>
      <c r="F783" s="181"/>
      <c r="G783" s="181"/>
      <c r="H783" s="181"/>
      <c r="I783" s="181"/>
      <c r="J783" s="181"/>
      <c r="K783" s="181"/>
      <c r="L783" s="181"/>
      <c r="M783" s="181"/>
      <c r="N783" s="181"/>
      <c r="O783" s="181"/>
      <c r="P783" s="181"/>
      <c r="Q783" s="181"/>
      <c r="R783" s="181"/>
      <c r="S783" s="181"/>
      <c r="T783" s="181"/>
      <c r="U783" s="181"/>
      <c r="V783" s="181"/>
      <c r="W783" s="181"/>
      <c r="X783" s="181"/>
      <c r="Y783" s="181"/>
      <c r="Z783" s="181"/>
    </row>
    <row r="784" ht="14.25" customHeight="1">
      <c r="A784" s="181"/>
      <c r="B784" s="181"/>
      <c r="C784" s="181"/>
      <c r="D784" s="181"/>
      <c r="E784" s="181"/>
      <c r="F784" s="181"/>
      <c r="G784" s="181"/>
      <c r="H784" s="181"/>
      <c r="I784" s="181"/>
      <c r="J784" s="181"/>
      <c r="K784" s="181"/>
      <c r="L784" s="181"/>
      <c r="M784" s="181"/>
      <c r="N784" s="181"/>
      <c r="O784" s="181"/>
      <c r="P784" s="181"/>
      <c r="Q784" s="181"/>
      <c r="R784" s="181"/>
      <c r="S784" s="181"/>
      <c r="T784" s="181"/>
      <c r="U784" s="181"/>
      <c r="V784" s="181"/>
      <c r="W784" s="181"/>
      <c r="X784" s="181"/>
      <c r="Y784" s="181"/>
      <c r="Z784" s="181"/>
    </row>
    <row r="785" ht="14.25" customHeight="1">
      <c r="A785" s="181"/>
      <c r="B785" s="181"/>
      <c r="C785" s="181"/>
      <c r="D785" s="181"/>
      <c r="E785" s="181"/>
      <c r="F785" s="181"/>
      <c r="G785" s="181"/>
      <c r="H785" s="181"/>
      <c r="I785" s="181"/>
      <c r="J785" s="181"/>
      <c r="K785" s="181"/>
      <c r="L785" s="181"/>
      <c r="M785" s="181"/>
      <c r="N785" s="181"/>
      <c r="O785" s="181"/>
      <c r="P785" s="181"/>
      <c r="Q785" s="181"/>
      <c r="R785" s="181"/>
      <c r="S785" s="181"/>
      <c r="T785" s="181"/>
      <c r="U785" s="181"/>
      <c r="V785" s="181"/>
      <c r="W785" s="181"/>
      <c r="X785" s="181"/>
      <c r="Y785" s="181"/>
      <c r="Z785" s="181"/>
    </row>
    <row r="786" ht="14.25" customHeight="1">
      <c r="A786" s="181"/>
      <c r="B786" s="181"/>
      <c r="C786" s="181"/>
      <c r="D786" s="181"/>
      <c r="E786" s="181"/>
      <c r="F786" s="181"/>
      <c r="G786" s="181"/>
      <c r="H786" s="181"/>
      <c r="I786" s="181"/>
      <c r="J786" s="181"/>
      <c r="K786" s="181"/>
      <c r="L786" s="181"/>
      <c r="M786" s="181"/>
      <c r="N786" s="181"/>
      <c r="O786" s="181"/>
      <c r="P786" s="181"/>
      <c r="Q786" s="181"/>
      <c r="R786" s="181"/>
      <c r="S786" s="181"/>
      <c r="T786" s="181"/>
      <c r="U786" s="181"/>
      <c r="V786" s="181"/>
      <c r="W786" s="181"/>
      <c r="X786" s="181"/>
      <c r="Y786" s="181"/>
      <c r="Z786" s="181"/>
    </row>
    <row r="787" ht="14.25" customHeight="1">
      <c r="A787" s="181"/>
      <c r="B787" s="181"/>
      <c r="C787" s="181"/>
      <c r="D787" s="181"/>
      <c r="E787" s="181"/>
      <c r="F787" s="181"/>
      <c r="G787" s="181"/>
      <c r="H787" s="181"/>
      <c r="I787" s="181"/>
      <c r="J787" s="181"/>
      <c r="K787" s="181"/>
      <c r="L787" s="181"/>
      <c r="M787" s="181"/>
      <c r="N787" s="181"/>
      <c r="O787" s="181"/>
      <c r="P787" s="181"/>
      <c r="Q787" s="181"/>
      <c r="R787" s="181"/>
      <c r="S787" s="181"/>
      <c r="T787" s="181"/>
      <c r="U787" s="181"/>
      <c r="V787" s="181"/>
      <c r="W787" s="181"/>
      <c r="X787" s="181"/>
      <c r="Y787" s="181"/>
      <c r="Z787" s="181"/>
    </row>
    <row r="788" ht="14.25" customHeight="1">
      <c r="A788" s="181"/>
      <c r="B788" s="181"/>
      <c r="C788" s="181"/>
      <c r="D788" s="181"/>
      <c r="E788" s="181"/>
      <c r="F788" s="181"/>
      <c r="G788" s="181"/>
      <c r="H788" s="181"/>
      <c r="I788" s="181"/>
      <c r="J788" s="181"/>
      <c r="K788" s="181"/>
      <c r="L788" s="181"/>
      <c r="M788" s="181"/>
      <c r="N788" s="181"/>
      <c r="O788" s="181"/>
      <c r="P788" s="181"/>
      <c r="Q788" s="181"/>
      <c r="R788" s="181"/>
      <c r="S788" s="181"/>
      <c r="T788" s="181"/>
      <c r="U788" s="181"/>
      <c r="V788" s="181"/>
      <c r="W788" s="181"/>
      <c r="X788" s="181"/>
      <c r="Y788" s="181"/>
      <c r="Z788" s="181"/>
    </row>
    <row r="789" ht="14.25" customHeight="1">
      <c r="A789" s="181"/>
      <c r="B789" s="181"/>
      <c r="C789" s="181"/>
      <c r="D789" s="181"/>
      <c r="E789" s="181"/>
      <c r="F789" s="181"/>
      <c r="G789" s="181"/>
      <c r="H789" s="181"/>
      <c r="I789" s="181"/>
      <c r="J789" s="181"/>
      <c r="K789" s="181"/>
      <c r="L789" s="181"/>
      <c r="M789" s="181"/>
      <c r="N789" s="181"/>
      <c r="O789" s="181"/>
      <c r="P789" s="181"/>
      <c r="Q789" s="181"/>
      <c r="R789" s="181"/>
      <c r="S789" s="181"/>
      <c r="T789" s="181"/>
      <c r="U789" s="181"/>
      <c r="V789" s="181"/>
      <c r="W789" s="181"/>
      <c r="X789" s="181"/>
      <c r="Y789" s="181"/>
      <c r="Z789" s="181"/>
    </row>
    <row r="790" ht="14.25" customHeight="1">
      <c r="A790" s="181"/>
      <c r="B790" s="181"/>
      <c r="C790" s="181"/>
      <c r="D790" s="181"/>
      <c r="E790" s="181"/>
      <c r="F790" s="181"/>
      <c r="G790" s="181"/>
      <c r="H790" s="181"/>
      <c r="I790" s="181"/>
      <c r="J790" s="181"/>
      <c r="K790" s="181"/>
      <c r="L790" s="181"/>
      <c r="M790" s="181"/>
      <c r="N790" s="181"/>
      <c r="O790" s="181"/>
      <c r="P790" s="181"/>
      <c r="Q790" s="181"/>
      <c r="R790" s="181"/>
      <c r="S790" s="181"/>
      <c r="T790" s="181"/>
      <c r="U790" s="181"/>
      <c r="V790" s="181"/>
      <c r="W790" s="181"/>
      <c r="X790" s="181"/>
      <c r="Y790" s="181"/>
      <c r="Z790" s="181"/>
    </row>
    <row r="791" ht="14.25" customHeight="1">
      <c r="A791" s="181"/>
      <c r="B791" s="181"/>
      <c r="C791" s="181"/>
      <c r="D791" s="181"/>
      <c r="E791" s="181"/>
      <c r="F791" s="181"/>
      <c r="G791" s="181"/>
      <c r="H791" s="181"/>
      <c r="I791" s="181"/>
      <c r="J791" s="181"/>
      <c r="K791" s="181"/>
      <c r="L791" s="181"/>
      <c r="M791" s="181"/>
      <c r="N791" s="181"/>
      <c r="O791" s="181"/>
      <c r="P791" s="181"/>
      <c r="Q791" s="181"/>
      <c r="R791" s="181"/>
      <c r="S791" s="181"/>
      <c r="T791" s="181"/>
      <c r="U791" s="181"/>
      <c r="V791" s="181"/>
      <c r="W791" s="181"/>
      <c r="X791" s="181"/>
      <c r="Y791" s="181"/>
      <c r="Z791" s="181"/>
    </row>
    <row r="792" ht="14.25" customHeight="1">
      <c r="A792" s="181"/>
      <c r="B792" s="181"/>
      <c r="C792" s="181"/>
      <c r="D792" s="181"/>
      <c r="E792" s="181"/>
      <c r="F792" s="181"/>
      <c r="G792" s="181"/>
      <c r="H792" s="181"/>
      <c r="I792" s="181"/>
      <c r="J792" s="181"/>
      <c r="K792" s="181"/>
      <c r="L792" s="181"/>
      <c r="M792" s="181"/>
      <c r="N792" s="181"/>
      <c r="O792" s="181"/>
      <c r="P792" s="181"/>
      <c r="Q792" s="181"/>
      <c r="R792" s="181"/>
      <c r="S792" s="181"/>
      <c r="T792" s="181"/>
      <c r="U792" s="181"/>
      <c r="V792" s="181"/>
      <c r="W792" s="181"/>
      <c r="X792" s="181"/>
      <c r="Y792" s="181"/>
      <c r="Z792" s="181"/>
    </row>
    <row r="793" ht="14.25" customHeight="1">
      <c r="A793" s="181"/>
      <c r="B793" s="181"/>
      <c r="C793" s="181"/>
      <c r="D793" s="181"/>
      <c r="E793" s="181"/>
      <c r="F793" s="181"/>
      <c r="G793" s="181"/>
      <c r="H793" s="181"/>
      <c r="I793" s="181"/>
      <c r="J793" s="181"/>
      <c r="K793" s="181"/>
      <c r="L793" s="181"/>
      <c r="M793" s="181"/>
      <c r="N793" s="181"/>
      <c r="O793" s="181"/>
      <c r="P793" s="181"/>
      <c r="Q793" s="181"/>
      <c r="R793" s="181"/>
      <c r="S793" s="181"/>
      <c r="T793" s="181"/>
      <c r="U793" s="181"/>
      <c r="V793" s="181"/>
      <c r="W793" s="181"/>
      <c r="X793" s="181"/>
      <c r="Y793" s="181"/>
      <c r="Z793" s="181"/>
    </row>
    <row r="794" ht="14.25" customHeight="1">
      <c r="A794" s="181"/>
      <c r="B794" s="181"/>
      <c r="C794" s="181"/>
      <c r="D794" s="181"/>
      <c r="E794" s="181"/>
      <c r="F794" s="181"/>
      <c r="G794" s="181"/>
      <c r="H794" s="181"/>
      <c r="I794" s="181"/>
      <c r="J794" s="181"/>
      <c r="K794" s="181"/>
      <c r="L794" s="181"/>
      <c r="M794" s="181"/>
      <c r="N794" s="181"/>
      <c r="O794" s="181"/>
      <c r="P794" s="181"/>
      <c r="Q794" s="181"/>
      <c r="R794" s="181"/>
      <c r="S794" s="181"/>
      <c r="T794" s="181"/>
      <c r="U794" s="181"/>
      <c r="V794" s="181"/>
      <c r="W794" s="181"/>
      <c r="X794" s="181"/>
      <c r="Y794" s="181"/>
      <c r="Z794" s="181"/>
    </row>
    <row r="795" ht="14.25" customHeight="1">
      <c r="A795" s="181"/>
      <c r="B795" s="181"/>
      <c r="C795" s="181"/>
      <c r="D795" s="181"/>
      <c r="E795" s="181"/>
      <c r="F795" s="181"/>
      <c r="G795" s="181"/>
      <c r="H795" s="181"/>
      <c r="I795" s="181"/>
      <c r="J795" s="181"/>
      <c r="K795" s="181"/>
      <c r="L795" s="181"/>
      <c r="M795" s="181"/>
      <c r="N795" s="181"/>
      <c r="O795" s="181"/>
      <c r="P795" s="181"/>
      <c r="Q795" s="181"/>
      <c r="R795" s="181"/>
      <c r="S795" s="181"/>
      <c r="T795" s="181"/>
      <c r="U795" s="181"/>
      <c r="V795" s="181"/>
      <c r="W795" s="181"/>
      <c r="X795" s="181"/>
      <c r="Y795" s="181"/>
      <c r="Z795" s="181"/>
    </row>
    <row r="796" ht="14.25" customHeight="1">
      <c r="A796" s="181"/>
      <c r="B796" s="181"/>
      <c r="C796" s="181"/>
      <c r="D796" s="181"/>
      <c r="E796" s="181"/>
      <c r="F796" s="181"/>
      <c r="G796" s="181"/>
      <c r="H796" s="181"/>
      <c r="I796" s="181"/>
      <c r="J796" s="181"/>
      <c r="K796" s="181"/>
      <c r="L796" s="181"/>
      <c r="M796" s="181"/>
      <c r="N796" s="181"/>
      <c r="O796" s="181"/>
      <c r="P796" s="181"/>
      <c r="Q796" s="181"/>
      <c r="R796" s="181"/>
      <c r="S796" s="181"/>
      <c r="T796" s="181"/>
      <c r="U796" s="181"/>
      <c r="V796" s="181"/>
      <c r="W796" s="181"/>
      <c r="X796" s="181"/>
      <c r="Y796" s="181"/>
      <c r="Z796" s="181"/>
    </row>
    <row r="797" ht="14.25" customHeight="1">
      <c r="A797" s="181"/>
      <c r="B797" s="181"/>
      <c r="C797" s="181"/>
      <c r="D797" s="181"/>
      <c r="E797" s="181"/>
      <c r="F797" s="181"/>
      <c r="G797" s="181"/>
      <c r="H797" s="181"/>
      <c r="I797" s="181"/>
      <c r="J797" s="181"/>
      <c r="K797" s="181"/>
      <c r="L797" s="181"/>
      <c r="M797" s="181"/>
      <c r="N797" s="181"/>
      <c r="O797" s="181"/>
      <c r="P797" s="181"/>
      <c r="Q797" s="181"/>
      <c r="R797" s="181"/>
      <c r="S797" s="181"/>
      <c r="T797" s="181"/>
      <c r="U797" s="181"/>
      <c r="V797" s="181"/>
      <c r="W797" s="181"/>
      <c r="X797" s="181"/>
      <c r="Y797" s="181"/>
      <c r="Z797" s="181"/>
    </row>
    <row r="798" ht="14.25" customHeight="1">
      <c r="A798" s="181"/>
      <c r="B798" s="181"/>
      <c r="C798" s="181"/>
      <c r="D798" s="181"/>
      <c r="E798" s="181"/>
      <c r="F798" s="181"/>
      <c r="G798" s="181"/>
      <c r="H798" s="181"/>
      <c r="I798" s="181"/>
      <c r="J798" s="181"/>
      <c r="K798" s="181"/>
      <c r="L798" s="181"/>
      <c r="M798" s="181"/>
      <c r="N798" s="181"/>
      <c r="O798" s="181"/>
      <c r="P798" s="181"/>
      <c r="Q798" s="181"/>
      <c r="R798" s="181"/>
      <c r="S798" s="181"/>
      <c r="T798" s="181"/>
      <c r="U798" s="181"/>
      <c r="V798" s="181"/>
      <c r="W798" s="181"/>
      <c r="X798" s="181"/>
      <c r="Y798" s="181"/>
      <c r="Z798" s="181"/>
    </row>
    <row r="799" ht="14.25" customHeight="1">
      <c r="A799" s="181"/>
      <c r="B799" s="181"/>
      <c r="C799" s="181"/>
      <c r="D799" s="181"/>
      <c r="E799" s="181"/>
      <c r="F799" s="181"/>
      <c r="G799" s="181"/>
      <c r="H799" s="181"/>
      <c r="I799" s="181"/>
      <c r="J799" s="181"/>
      <c r="K799" s="181"/>
      <c r="L799" s="181"/>
      <c r="M799" s="181"/>
      <c r="N799" s="181"/>
      <c r="O799" s="181"/>
      <c r="P799" s="181"/>
      <c r="Q799" s="181"/>
      <c r="R799" s="181"/>
      <c r="S799" s="181"/>
      <c r="T799" s="181"/>
      <c r="U799" s="181"/>
      <c r="V799" s="181"/>
      <c r="W799" s="181"/>
      <c r="X799" s="181"/>
      <c r="Y799" s="181"/>
      <c r="Z799" s="181"/>
    </row>
    <row r="800" ht="14.25" customHeight="1">
      <c r="A800" s="181"/>
      <c r="B800" s="181"/>
      <c r="C800" s="181"/>
      <c r="D800" s="181"/>
      <c r="E800" s="181"/>
      <c r="F800" s="181"/>
      <c r="G800" s="181"/>
      <c r="H800" s="181"/>
      <c r="I800" s="181"/>
      <c r="J800" s="181"/>
      <c r="K800" s="181"/>
      <c r="L800" s="181"/>
      <c r="M800" s="181"/>
      <c r="N800" s="181"/>
      <c r="O800" s="181"/>
      <c r="P800" s="181"/>
      <c r="Q800" s="181"/>
      <c r="R800" s="181"/>
      <c r="S800" s="181"/>
      <c r="T800" s="181"/>
      <c r="U800" s="181"/>
      <c r="V800" s="181"/>
      <c r="W800" s="181"/>
      <c r="X800" s="181"/>
      <c r="Y800" s="181"/>
      <c r="Z800" s="181"/>
    </row>
    <row r="801" ht="14.25" customHeight="1">
      <c r="A801" s="181"/>
      <c r="B801" s="181"/>
      <c r="C801" s="181"/>
      <c r="D801" s="181"/>
      <c r="E801" s="181"/>
      <c r="F801" s="181"/>
      <c r="G801" s="181"/>
      <c r="H801" s="181"/>
      <c r="I801" s="181"/>
      <c r="J801" s="181"/>
      <c r="K801" s="181"/>
      <c r="L801" s="181"/>
      <c r="M801" s="181"/>
      <c r="N801" s="181"/>
      <c r="O801" s="181"/>
      <c r="P801" s="181"/>
      <c r="Q801" s="181"/>
      <c r="R801" s="181"/>
      <c r="S801" s="181"/>
      <c r="T801" s="181"/>
      <c r="U801" s="181"/>
      <c r="V801" s="181"/>
      <c r="W801" s="181"/>
      <c r="X801" s="181"/>
      <c r="Y801" s="181"/>
      <c r="Z801" s="181"/>
    </row>
    <row r="802" ht="14.25" customHeight="1">
      <c r="A802" s="181"/>
      <c r="B802" s="181"/>
      <c r="C802" s="181"/>
      <c r="D802" s="181"/>
      <c r="E802" s="181"/>
      <c r="F802" s="181"/>
      <c r="G802" s="181"/>
      <c r="H802" s="181"/>
      <c r="I802" s="181"/>
      <c r="J802" s="181"/>
      <c r="K802" s="181"/>
      <c r="L802" s="181"/>
      <c r="M802" s="181"/>
      <c r="N802" s="181"/>
      <c r="O802" s="181"/>
      <c r="P802" s="181"/>
      <c r="Q802" s="181"/>
      <c r="R802" s="181"/>
      <c r="S802" s="181"/>
      <c r="T802" s="181"/>
      <c r="U802" s="181"/>
      <c r="V802" s="181"/>
      <c r="W802" s="181"/>
      <c r="X802" s="181"/>
      <c r="Y802" s="181"/>
      <c r="Z802" s="181"/>
    </row>
    <row r="803" ht="14.25" customHeight="1">
      <c r="A803" s="181"/>
      <c r="B803" s="181"/>
      <c r="C803" s="181"/>
      <c r="D803" s="181"/>
      <c r="E803" s="181"/>
      <c r="F803" s="181"/>
      <c r="G803" s="181"/>
      <c r="H803" s="181"/>
      <c r="I803" s="181"/>
      <c r="J803" s="181"/>
      <c r="K803" s="181"/>
      <c r="L803" s="181"/>
      <c r="M803" s="181"/>
      <c r="N803" s="181"/>
      <c r="O803" s="181"/>
      <c r="P803" s="181"/>
      <c r="Q803" s="181"/>
      <c r="R803" s="181"/>
      <c r="S803" s="181"/>
      <c r="T803" s="181"/>
      <c r="U803" s="181"/>
      <c r="V803" s="181"/>
      <c r="W803" s="181"/>
      <c r="X803" s="181"/>
      <c r="Y803" s="181"/>
      <c r="Z803" s="181"/>
    </row>
    <row r="804" ht="14.25" customHeight="1">
      <c r="A804" s="181"/>
      <c r="B804" s="181"/>
      <c r="C804" s="181"/>
      <c r="D804" s="181"/>
      <c r="E804" s="181"/>
      <c r="F804" s="181"/>
      <c r="G804" s="181"/>
      <c r="H804" s="181"/>
      <c r="I804" s="181"/>
      <c r="J804" s="181"/>
      <c r="K804" s="181"/>
      <c r="L804" s="181"/>
      <c r="M804" s="181"/>
      <c r="N804" s="181"/>
      <c r="O804" s="181"/>
      <c r="P804" s="181"/>
      <c r="Q804" s="181"/>
      <c r="R804" s="181"/>
      <c r="S804" s="181"/>
      <c r="T804" s="181"/>
      <c r="U804" s="181"/>
      <c r="V804" s="181"/>
      <c r="W804" s="181"/>
      <c r="X804" s="181"/>
      <c r="Y804" s="181"/>
      <c r="Z804" s="181"/>
    </row>
    <row r="805" ht="14.25" customHeight="1">
      <c r="A805" s="181"/>
      <c r="B805" s="181"/>
      <c r="C805" s="181"/>
      <c r="D805" s="181"/>
      <c r="E805" s="181"/>
      <c r="F805" s="181"/>
      <c r="G805" s="181"/>
      <c r="H805" s="181"/>
      <c r="I805" s="181"/>
      <c r="J805" s="181"/>
      <c r="K805" s="181"/>
      <c r="L805" s="181"/>
      <c r="M805" s="181"/>
      <c r="N805" s="181"/>
      <c r="O805" s="181"/>
      <c r="P805" s="181"/>
      <c r="Q805" s="181"/>
      <c r="R805" s="181"/>
      <c r="S805" s="181"/>
      <c r="T805" s="181"/>
      <c r="U805" s="181"/>
      <c r="V805" s="181"/>
      <c r="W805" s="181"/>
      <c r="X805" s="181"/>
      <c r="Y805" s="181"/>
      <c r="Z805" s="181"/>
    </row>
    <row r="806" ht="14.25" customHeight="1">
      <c r="A806" s="181"/>
      <c r="B806" s="181"/>
      <c r="C806" s="181"/>
      <c r="D806" s="181"/>
      <c r="E806" s="181"/>
      <c r="F806" s="181"/>
      <c r="G806" s="181"/>
      <c r="H806" s="181"/>
      <c r="I806" s="181"/>
      <c r="J806" s="181"/>
      <c r="K806" s="181"/>
      <c r="L806" s="181"/>
      <c r="M806" s="181"/>
      <c r="N806" s="181"/>
      <c r="O806" s="181"/>
      <c r="P806" s="181"/>
      <c r="Q806" s="181"/>
      <c r="R806" s="181"/>
      <c r="S806" s="181"/>
      <c r="T806" s="181"/>
      <c r="U806" s="181"/>
      <c r="V806" s="181"/>
      <c r="W806" s="181"/>
      <c r="X806" s="181"/>
      <c r="Y806" s="181"/>
      <c r="Z806" s="181"/>
    </row>
    <row r="807" ht="14.25" customHeight="1">
      <c r="A807" s="181"/>
      <c r="B807" s="181"/>
      <c r="C807" s="181"/>
      <c r="D807" s="181"/>
      <c r="E807" s="181"/>
      <c r="F807" s="181"/>
      <c r="G807" s="181"/>
      <c r="H807" s="181"/>
      <c r="I807" s="181"/>
      <c r="J807" s="181"/>
      <c r="K807" s="181"/>
      <c r="L807" s="181"/>
      <c r="M807" s="181"/>
      <c r="N807" s="181"/>
      <c r="O807" s="181"/>
      <c r="P807" s="181"/>
      <c r="Q807" s="181"/>
      <c r="R807" s="181"/>
      <c r="S807" s="181"/>
      <c r="T807" s="181"/>
      <c r="U807" s="181"/>
      <c r="V807" s="181"/>
      <c r="W807" s="181"/>
      <c r="X807" s="181"/>
      <c r="Y807" s="181"/>
      <c r="Z807" s="181"/>
    </row>
    <row r="808" ht="14.25" customHeight="1">
      <c r="A808" s="181"/>
      <c r="B808" s="181"/>
      <c r="C808" s="181"/>
      <c r="D808" s="181"/>
      <c r="E808" s="181"/>
      <c r="F808" s="181"/>
      <c r="G808" s="181"/>
      <c r="H808" s="181"/>
      <c r="I808" s="181"/>
      <c r="J808" s="181"/>
      <c r="K808" s="181"/>
      <c r="L808" s="181"/>
      <c r="M808" s="181"/>
      <c r="N808" s="181"/>
      <c r="O808" s="181"/>
      <c r="P808" s="181"/>
      <c r="Q808" s="181"/>
      <c r="R808" s="181"/>
      <c r="S808" s="181"/>
      <c r="T808" s="181"/>
      <c r="U808" s="181"/>
      <c r="V808" s="181"/>
      <c r="W808" s="181"/>
      <c r="X808" s="181"/>
      <c r="Y808" s="181"/>
      <c r="Z808" s="181"/>
    </row>
    <row r="809" ht="14.25" customHeight="1">
      <c r="A809" s="181"/>
      <c r="B809" s="181"/>
      <c r="C809" s="181"/>
      <c r="D809" s="181"/>
      <c r="E809" s="181"/>
      <c r="F809" s="181"/>
      <c r="G809" s="181"/>
      <c r="H809" s="181"/>
      <c r="I809" s="181"/>
      <c r="J809" s="181"/>
      <c r="K809" s="181"/>
      <c r="L809" s="181"/>
      <c r="M809" s="181"/>
      <c r="N809" s="181"/>
      <c r="O809" s="181"/>
      <c r="P809" s="181"/>
      <c r="Q809" s="181"/>
      <c r="R809" s="181"/>
      <c r="S809" s="181"/>
      <c r="T809" s="181"/>
      <c r="U809" s="181"/>
      <c r="V809" s="181"/>
      <c r="W809" s="181"/>
      <c r="X809" s="181"/>
      <c r="Y809" s="181"/>
      <c r="Z809" s="181"/>
    </row>
    <row r="810" ht="14.25" customHeight="1">
      <c r="A810" s="181"/>
      <c r="B810" s="181"/>
      <c r="C810" s="181"/>
      <c r="D810" s="181"/>
      <c r="E810" s="181"/>
      <c r="F810" s="181"/>
      <c r="G810" s="181"/>
      <c r="H810" s="181"/>
      <c r="I810" s="181"/>
      <c r="J810" s="181"/>
      <c r="K810" s="181"/>
      <c r="L810" s="181"/>
      <c r="M810" s="181"/>
      <c r="N810" s="181"/>
      <c r="O810" s="181"/>
      <c r="P810" s="181"/>
      <c r="Q810" s="181"/>
      <c r="R810" s="181"/>
      <c r="S810" s="181"/>
      <c r="T810" s="181"/>
      <c r="U810" s="181"/>
      <c r="V810" s="181"/>
      <c r="W810" s="181"/>
      <c r="X810" s="181"/>
      <c r="Y810" s="181"/>
      <c r="Z810" s="181"/>
    </row>
    <row r="811" ht="14.25" customHeight="1">
      <c r="A811" s="181"/>
      <c r="B811" s="181"/>
      <c r="C811" s="181"/>
      <c r="D811" s="181"/>
      <c r="E811" s="181"/>
      <c r="F811" s="181"/>
      <c r="G811" s="181"/>
      <c r="H811" s="181"/>
      <c r="I811" s="181"/>
      <c r="J811" s="181"/>
      <c r="K811" s="181"/>
      <c r="L811" s="181"/>
      <c r="M811" s="181"/>
      <c r="N811" s="181"/>
      <c r="O811" s="181"/>
      <c r="P811" s="181"/>
      <c r="Q811" s="181"/>
      <c r="R811" s="181"/>
      <c r="S811" s="181"/>
      <c r="T811" s="181"/>
      <c r="U811" s="181"/>
      <c r="V811" s="181"/>
      <c r="W811" s="181"/>
      <c r="X811" s="181"/>
      <c r="Y811" s="181"/>
      <c r="Z811" s="181"/>
    </row>
    <row r="812" ht="14.25" customHeight="1">
      <c r="A812" s="181"/>
      <c r="B812" s="181"/>
      <c r="C812" s="181"/>
      <c r="D812" s="181"/>
      <c r="E812" s="181"/>
      <c r="F812" s="181"/>
      <c r="G812" s="181"/>
      <c r="H812" s="181"/>
      <c r="I812" s="181"/>
      <c r="J812" s="181"/>
      <c r="K812" s="181"/>
      <c r="L812" s="181"/>
      <c r="M812" s="181"/>
      <c r="N812" s="181"/>
      <c r="O812" s="181"/>
      <c r="P812" s="181"/>
      <c r="Q812" s="181"/>
      <c r="R812" s="181"/>
      <c r="S812" s="181"/>
      <c r="T812" s="181"/>
      <c r="U812" s="181"/>
      <c r="V812" s="181"/>
      <c r="W812" s="181"/>
      <c r="X812" s="181"/>
      <c r="Y812" s="181"/>
      <c r="Z812" s="181"/>
    </row>
    <row r="813" ht="14.25" customHeight="1">
      <c r="A813" s="181"/>
      <c r="B813" s="181"/>
      <c r="C813" s="181"/>
      <c r="D813" s="181"/>
      <c r="E813" s="181"/>
      <c r="F813" s="181"/>
      <c r="G813" s="181"/>
      <c r="H813" s="181"/>
      <c r="I813" s="181"/>
      <c r="J813" s="181"/>
      <c r="K813" s="181"/>
      <c r="L813" s="181"/>
      <c r="M813" s="181"/>
      <c r="N813" s="181"/>
      <c r="O813" s="181"/>
      <c r="P813" s="181"/>
      <c r="Q813" s="181"/>
      <c r="R813" s="181"/>
      <c r="S813" s="181"/>
      <c r="T813" s="181"/>
      <c r="U813" s="181"/>
      <c r="V813" s="181"/>
      <c r="W813" s="181"/>
      <c r="X813" s="181"/>
      <c r="Y813" s="181"/>
      <c r="Z813" s="181"/>
    </row>
    <row r="814" ht="14.25" customHeight="1">
      <c r="A814" s="181"/>
      <c r="B814" s="181"/>
      <c r="C814" s="181"/>
      <c r="D814" s="181"/>
      <c r="E814" s="181"/>
      <c r="F814" s="181"/>
      <c r="G814" s="181"/>
      <c r="H814" s="181"/>
      <c r="I814" s="181"/>
      <c r="J814" s="181"/>
      <c r="K814" s="181"/>
      <c r="L814" s="181"/>
      <c r="M814" s="181"/>
      <c r="N814" s="181"/>
      <c r="O814" s="181"/>
      <c r="P814" s="181"/>
      <c r="Q814" s="181"/>
      <c r="R814" s="181"/>
      <c r="S814" s="181"/>
      <c r="T814" s="181"/>
      <c r="U814" s="181"/>
      <c r="V814" s="181"/>
      <c r="W814" s="181"/>
      <c r="X814" s="181"/>
      <c r="Y814" s="181"/>
      <c r="Z814" s="181"/>
    </row>
    <row r="815" ht="14.25" customHeight="1">
      <c r="A815" s="181"/>
      <c r="B815" s="181"/>
      <c r="C815" s="181"/>
      <c r="D815" s="181"/>
      <c r="E815" s="181"/>
      <c r="F815" s="181"/>
      <c r="G815" s="181"/>
      <c r="H815" s="181"/>
      <c r="I815" s="181"/>
      <c r="J815" s="181"/>
      <c r="K815" s="181"/>
      <c r="L815" s="181"/>
      <c r="M815" s="181"/>
      <c r="N815" s="181"/>
      <c r="O815" s="181"/>
      <c r="P815" s="181"/>
      <c r="Q815" s="181"/>
      <c r="R815" s="181"/>
      <c r="S815" s="181"/>
      <c r="T815" s="181"/>
      <c r="U815" s="181"/>
      <c r="V815" s="181"/>
      <c r="W815" s="181"/>
      <c r="X815" s="181"/>
      <c r="Y815" s="181"/>
      <c r="Z815" s="181"/>
    </row>
    <row r="816" ht="14.25" customHeight="1">
      <c r="A816" s="181"/>
      <c r="B816" s="181"/>
      <c r="C816" s="181"/>
      <c r="D816" s="181"/>
      <c r="E816" s="181"/>
      <c r="F816" s="181"/>
      <c r="G816" s="181"/>
      <c r="H816" s="181"/>
      <c r="I816" s="181"/>
      <c r="J816" s="181"/>
      <c r="K816" s="181"/>
      <c r="L816" s="181"/>
      <c r="M816" s="181"/>
      <c r="N816" s="181"/>
      <c r="O816" s="181"/>
      <c r="P816" s="181"/>
      <c r="Q816" s="181"/>
      <c r="R816" s="181"/>
      <c r="S816" s="181"/>
      <c r="T816" s="181"/>
      <c r="U816" s="181"/>
      <c r="V816" s="181"/>
      <c r="W816" s="181"/>
      <c r="X816" s="181"/>
      <c r="Y816" s="181"/>
      <c r="Z816" s="181"/>
    </row>
    <row r="817" ht="14.25" customHeight="1">
      <c r="A817" s="181"/>
      <c r="B817" s="181"/>
      <c r="C817" s="181"/>
      <c r="D817" s="181"/>
      <c r="E817" s="181"/>
      <c r="F817" s="181"/>
      <c r="G817" s="181"/>
      <c r="H817" s="181"/>
      <c r="I817" s="181"/>
      <c r="J817" s="181"/>
      <c r="K817" s="181"/>
      <c r="L817" s="181"/>
      <c r="M817" s="181"/>
      <c r="N817" s="181"/>
      <c r="O817" s="181"/>
      <c r="P817" s="181"/>
      <c r="Q817" s="181"/>
      <c r="R817" s="181"/>
      <c r="S817" s="181"/>
      <c r="T817" s="181"/>
      <c r="U817" s="181"/>
      <c r="V817" s="181"/>
      <c r="W817" s="181"/>
      <c r="X817" s="181"/>
      <c r="Y817" s="181"/>
      <c r="Z817" s="181"/>
    </row>
    <row r="818" ht="14.25" customHeight="1">
      <c r="A818" s="181"/>
      <c r="B818" s="181"/>
      <c r="C818" s="181"/>
      <c r="D818" s="181"/>
      <c r="E818" s="181"/>
      <c r="F818" s="181"/>
      <c r="G818" s="181"/>
      <c r="H818" s="181"/>
      <c r="I818" s="181"/>
      <c r="J818" s="181"/>
      <c r="K818" s="181"/>
      <c r="L818" s="181"/>
      <c r="M818" s="181"/>
      <c r="N818" s="181"/>
      <c r="O818" s="181"/>
      <c r="P818" s="181"/>
      <c r="Q818" s="181"/>
      <c r="R818" s="181"/>
      <c r="S818" s="181"/>
      <c r="T818" s="181"/>
      <c r="U818" s="181"/>
      <c r="V818" s="181"/>
      <c r="W818" s="181"/>
      <c r="X818" s="181"/>
      <c r="Y818" s="181"/>
      <c r="Z818" s="181"/>
    </row>
    <row r="819" ht="14.25" customHeight="1">
      <c r="A819" s="181"/>
      <c r="B819" s="181"/>
      <c r="C819" s="181"/>
      <c r="D819" s="181"/>
      <c r="E819" s="181"/>
      <c r="F819" s="181"/>
      <c r="G819" s="181"/>
      <c r="H819" s="181"/>
      <c r="I819" s="181"/>
      <c r="J819" s="181"/>
      <c r="K819" s="181"/>
      <c r="L819" s="181"/>
      <c r="M819" s="181"/>
      <c r="N819" s="181"/>
      <c r="O819" s="181"/>
      <c r="P819" s="181"/>
      <c r="Q819" s="181"/>
      <c r="R819" s="181"/>
      <c r="S819" s="181"/>
      <c r="T819" s="181"/>
      <c r="U819" s="181"/>
      <c r="V819" s="181"/>
      <c r="W819" s="181"/>
      <c r="X819" s="181"/>
      <c r="Y819" s="181"/>
      <c r="Z819" s="181"/>
    </row>
    <row r="820" ht="14.25" customHeight="1">
      <c r="A820" s="181"/>
      <c r="B820" s="181"/>
      <c r="C820" s="181"/>
      <c r="D820" s="181"/>
      <c r="E820" s="181"/>
      <c r="F820" s="181"/>
      <c r="G820" s="181"/>
      <c r="H820" s="181"/>
      <c r="I820" s="181"/>
      <c r="J820" s="181"/>
      <c r="K820" s="181"/>
      <c r="L820" s="181"/>
      <c r="M820" s="181"/>
      <c r="N820" s="181"/>
      <c r="O820" s="181"/>
      <c r="P820" s="181"/>
      <c r="Q820" s="181"/>
      <c r="R820" s="181"/>
      <c r="S820" s="181"/>
      <c r="T820" s="181"/>
      <c r="U820" s="181"/>
      <c r="V820" s="181"/>
      <c r="W820" s="181"/>
      <c r="X820" s="181"/>
      <c r="Y820" s="181"/>
      <c r="Z820" s="181"/>
    </row>
    <row r="821" ht="14.25" customHeight="1">
      <c r="A821" s="181"/>
      <c r="B821" s="181"/>
      <c r="C821" s="181"/>
      <c r="D821" s="181"/>
      <c r="E821" s="181"/>
      <c r="F821" s="181"/>
      <c r="G821" s="181"/>
      <c r="H821" s="181"/>
      <c r="I821" s="181"/>
      <c r="J821" s="181"/>
      <c r="K821" s="181"/>
      <c r="L821" s="181"/>
      <c r="M821" s="181"/>
      <c r="N821" s="181"/>
      <c r="O821" s="181"/>
      <c r="P821" s="181"/>
      <c r="Q821" s="181"/>
      <c r="R821" s="181"/>
      <c r="S821" s="181"/>
      <c r="T821" s="181"/>
      <c r="U821" s="181"/>
      <c r="V821" s="181"/>
      <c r="W821" s="181"/>
      <c r="X821" s="181"/>
      <c r="Y821" s="181"/>
      <c r="Z821" s="181"/>
    </row>
    <row r="822" ht="14.25" customHeight="1">
      <c r="A822" s="181"/>
      <c r="B822" s="181"/>
      <c r="C822" s="181"/>
      <c r="D822" s="181"/>
      <c r="E822" s="181"/>
      <c r="F822" s="181"/>
      <c r="G822" s="181"/>
      <c r="H822" s="181"/>
      <c r="I822" s="181"/>
      <c r="J822" s="181"/>
      <c r="K822" s="181"/>
      <c r="L822" s="181"/>
      <c r="M822" s="181"/>
      <c r="N822" s="181"/>
      <c r="O822" s="181"/>
      <c r="P822" s="181"/>
      <c r="Q822" s="181"/>
      <c r="R822" s="181"/>
      <c r="S822" s="181"/>
      <c r="T822" s="181"/>
      <c r="U822" s="181"/>
      <c r="V822" s="181"/>
      <c r="W822" s="181"/>
      <c r="X822" s="181"/>
      <c r="Y822" s="181"/>
      <c r="Z822" s="181"/>
    </row>
    <row r="823" ht="14.25" customHeight="1">
      <c r="A823" s="181"/>
      <c r="B823" s="181"/>
      <c r="C823" s="181"/>
      <c r="D823" s="181"/>
      <c r="E823" s="181"/>
      <c r="F823" s="181"/>
      <c r="G823" s="181"/>
      <c r="H823" s="181"/>
      <c r="I823" s="181"/>
      <c r="J823" s="181"/>
      <c r="K823" s="181"/>
      <c r="L823" s="181"/>
      <c r="M823" s="181"/>
      <c r="N823" s="181"/>
      <c r="O823" s="181"/>
      <c r="P823" s="181"/>
      <c r="Q823" s="181"/>
      <c r="R823" s="181"/>
      <c r="S823" s="181"/>
      <c r="T823" s="181"/>
      <c r="U823" s="181"/>
      <c r="V823" s="181"/>
      <c r="W823" s="181"/>
      <c r="X823" s="181"/>
      <c r="Y823" s="181"/>
      <c r="Z823" s="181"/>
    </row>
    <row r="824" ht="14.25" customHeight="1">
      <c r="A824" s="181"/>
      <c r="B824" s="181"/>
      <c r="C824" s="181"/>
      <c r="D824" s="181"/>
      <c r="E824" s="181"/>
      <c r="F824" s="181"/>
      <c r="G824" s="181"/>
      <c r="H824" s="181"/>
      <c r="I824" s="181"/>
      <c r="J824" s="181"/>
      <c r="K824" s="181"/>
      <c r="L824" s="181"/>
      <c r="M824" s="181"/>
      <c r="N824" s="181"/>
      <c r="O824" s="181"/>
      <c r="P824" s="181"/>
      <c r="Q824" s="181"/>
      <c r="R824" s="181"/>
      <c r="S824" s="181"/>
      <c r="T824" s="181"/>
      <c r="U824" s="181"/>
      <c r="V824" s="181"/>
      <c r="W824" s="181"/>
      <c r="X824" s="181"/>
      <c r="Y824" s="181"/>
      <c r="Z824" s="181"/>
    </row>
    <row r="825" ht="14.25" customHeight="1">
      <c r="A825" s="181"/>
      <c r="B825" s="181"/>
      <c r="C825" s="181"/>
      <c r="D825" s="181"/>
      <c r="E825" s="181"/>
      <c r="F825" s="181"/>
      <c r="G825" s="181"/>
      <c r="H825" s="181"/>
      <c r="I825" s="181"/>
      <c r="J825" s="181"/>
      <c r="K825" s="181"/>
      <c r="L825" s="181"/>
      <c r="M825" s="181"/>
      <c r="N825" s="181"/>
      <c r="O825" s="181"/>
      <c r="P825" s="181"/>
      <c r="Q825" s="181"/>
      <c r="R825" s="181"/>
      <c r="S825" s="181"/>
      <c r="T825" s="181"/>
      <c r="U825" s="181"/>
      <c r="V825" s="181"/>
      <c r="W825" s="181"/>
      <c r="X825" s="181"/>
      <c r="Y825" s="181"/>
      <c r="Z825" s="181"/>
    </row>
    <row r="826" ht="14.25" customHeight="1">
      <c r="A826" s="181"/>
      <c r="B826" s="181"/>
      <c r="C826" s="181"/>
      <c r="D826" s="181"/>
      <c r="E826" s="181"/>
      <c r="F826" s="181"/>
      <c r="G826" s="181"/>
      <c r="H826" s="181"/>
      <c r="I826" s="181"/>
      <c r="J826" s="181"/>
      <c r="K826" s="181"/>
      <c r="L826" s="181"/>
      <c r="M826" s="181"/>
      <c r="N826" s="181"/>
      <c r="O826" s="181"/>
      <c r="P826" s="181"/>
      <c r="Q826" s="181"/>
      <c r="R826" s="181"/>
      <c r="S826" s="181"/>
      <c r="T826" s="181"/>
      <c r="U826" s="181"/>
      <c r="V826" s="181"/>
      <c r="W826" s="181"/>
      <c r="X826" s="181"/>
      <c r="Y826" s="181"/>
      <c r="Z826" s="181"/>
    </row>
    <row r="827" ht="14.25" customHeight="1">
      <c r="A827" s="181"/>
      <c r="B827" s="181"/>
      <c r="C827" s="181"/>
      <c r="D827" s="181"/>
      <c r="E827" s="181"/>
      <c r="F827" s="181"/>
      <c r="G827" s="181"/>
      <c r="H827" s="181"/>
      <c r="I827" s="181"/>
      <c r="J827" s="181"/>
      <c r="K827" s="181"/>
      <c r="L827" s="181"/>
      <c r="M827" s="181"/>
      <c r="N827" s="181"/>
      <c r="O827" s="181"/>
      <c r="P827" s="181"/>
      <c r="Q827" s="181"/>
      <c r="R827" s="181"/>
      <c r="S827" s="181"/>
      <c r="T827" s="181"/>
      <c r="U827" s="181"/>
      <c r="V827" s="181"/>
      <c r="W827" s="181"/>
      <c r="X827" s="181"/>
      <c r="Y827" s="181"/>
      <c r="Z827" s="181"/>
    </row>
    <row r="828" ht="14.25" customHeight="1">
      <c r="A828" s="181"/>
      <c r="B828" s="181"/>
      <c r="C828" s="181"/>
      <c r="D828" s="181"/>
      <c r="E828" s="181"/>
      <c r="F828" s="181"/>
      <c r="G828" s="181"/>
      <c r="H828" s="181"/>
      <c r="I828" s="181"/>
      <c r="J828" s="181"/>
      <c r="K828" s="181"/>
      <c r="L828" s="181"/>
      <c r="M828" s="181"/>
      <c r="N828" s="181"/>
      <c r="O828" s="181"/>
      <c r="P828" s="181"/>
      <c r="Q828" s="181"/>
      <c r="R828" s="181"/>
      <c r="S828" s="181"/>
      <c r="T828" s="181"/>
      <c r="U828" s="181"/>
      <c r="V828" s="181"/>
      <c r="W828" s="181"/>
      <c r="X828" s="181"/>
      <c r="Y828" s="181"/>
      <c r="Z828" s="181"/>
    </row>
    <row r="829" ht="14.25" customHeight="1">
      <c r="A829" s="181"/>
      <c r="B829" s="181"/>
      <c r="C829" s="181"/>
      <c r="D829" s="181"/>
      <c r="E829" s="181"/>
      <c r="F829" s="181"/>
      <c r="G829" s="181"/>
      <c r="H829" s="181"/>
      <c r="I829" s="181"/>
      <c r="J829" s="181"/>
      <c r="K829" s="181"/>
      <c r="L829" s="181"/>
      <c r="M829" s="181"/>
      <c r="N829" s="181"/>
      <c r="O829" s="181"/>
      <c r="P829" s="181"/>
      <c r="Q829" s="181"/>
      <c r="R829" s="181"/>
      <c r="S829" s="181"/>
      <c r="T829" s="181"/>
      <c r="U829" s="181"/>
      <c r="V829" s="181"/>
      <c r="W829" s="181"/>
      <c r="X829" s="181"/>
      <c r="Y829" s="181"/>
      <c r="Z829" s="181"/>
    </row>
    <row r="830" ht="14.25" customHeight="1">
      <c r="A830" s="181"/>
      <c r="B830" s="181"/>
      <c r="C830" s="181"/>
      <c r="D830" s="181"/>
      <c r="E830" s="181"/>
      <c r="F830" s="181"/>
      <c r="G830" s="181"/>
      <c r="H830" s="181"/>
      <c r="I830" s="181"/>
      <c r="J830" s="181"/>
      <c r="K830" s="181"/>
      <c r="L830" s="181"/>
      <c r="M830" s="181"/>
      <c r="N830" s="181"/>
      <c r="O830" s="181"/>
      <c r="P830" s="181"/>
      <c r="Q830" s="181"/>
      <c r="R830" s="181"/>
      <c r="S830" s="181"/>
      <c r="T830" s="181"/>
      <c r="U830" s="181"/>
      <c r="V830" s="181"/>
      <c r="W830" s="181"/>
      <c r="X830" s="181"/>
      <c r="Y830" s="181"/>
      <c r="Z830" s="181"/>
    </row>
    <row r="831" ht="14.25" customHeight="1">
      <c r="A831" s="181"/>
      <c r="B831" s="181"/>
      <c r="C831" s="181"/>
      <c r="D831" s="181"/>
      <c r="E831" s="181"/>
      <c r="F831" s="181"/>
      <c r="G831" s="181"/>
      <c r="H831" s="181"/>
      <c r="I831" s="181"/>
      <c r="J831" s="181"/>
      <c r="K831" s="181"/>
      <c r="L831" s="181"/>
      <c r="M831" s="181"/>
      <c r="N831" s="181"/>
      <c r="O831" s="181"/>
      <c r="P831" s="181"/>
      <c r="Q831" s="181"/>
      <c r="R831" s="181"/>
      <c r="S831" s="181"/>
      <c r="T831" s="181"/>
      <c r="U831" s="181"/>
      <c r="V831" s="181"/>
      <c r="W831" s="181"/>
      <c r="X831" s="181"/>
      <c r="Y831" s="181"/>
      <c r="Z831" s="181"/>
    </row>
    <row r="832" ht="14.25" customHeight="1">
      <c r="A832" s="181"/>
      <c r="B832" s="181"/>
      <c r="C832" s="181"/>
      <c r="D832" s="181"/>
      <c r="E832" s="181"/>
      <c r="F832" s="181"/>
      <c r="G832" s="181"/>
      <c r="H832" s="181"/>
      <c r="I832" s="181"/>
      <c r="J832" s="181"/>
      <c r="K832" s="181"/>
      <c r="L832" s="181"/>
      <c r="M832" s="181"/>
      <c r="N832" s="181"/>
      <c r="O832" s="181"/>
      <c r="P832" s="181"/>
      <c r="Q832" s="181"/>
      <c r="R832" s="181"/>
      <c r="S832" s="181"/>
      <c r="T832" s="181"/>
      <c r="U832" s="181"/>
      <c r="V832" s="181"/>
      <c r="W832" s="181"/>
      <c r="X832" s="181"/>
      <c r="Y832" s="181"/>
      <c r="Z832" s="181"/>
    </row>
    <row r="833" ht="14.25" customHeight="1">
      <c r="A833" s="181"/>
      <c r="B833" s="181"/>
      <c r="C833" s="181"/>
      <c r="D833" s="181"/>
      <c r="E833" s="181"/>
      <c r="F833" s="181"/>
      <c r="G833" s="181"/>
      <c r="H833" s="181"/>
      <c r="I833" s="181"/>
      <c r="J833" s="181"/>
      <c r="K833" s="181"/>
      <c r="L833" s="181"/>
      <c r="M833" s="181"/>
      <c r="N833" s="181"/>
      <c r="O833" s="181"/>
      <c r="P833" s="181"/>
      <c r="Q833" s="181"/>
      <c r="R833" s="181"/>
      <c r="S833" s="181"/>
      <c r="T833" s="181"/>
      <c r="U833" s="181"/>
      <c r="V833" s="181"/>
      <c r="W833" s="181"/>
      <c r="X833" s="181"/>
      <c r="Y833" s="181"/>
      <c r="Z833" s="181"/>
    </row>
    <row r="834" ht="14.25" customHeight="1">
      <c r="A834" s="181"/>
      <c r="B834" s="181"/>
      <c r="C834" s="181"/>
      <c r="D834" s="181"/>
      <c r="E834" s="181"/>
      <c r="F834" s="181"/>
      <c r="G834" s="181"/>
      <c r="H834" s="181"/>
      <c r="I834" s="181"/>
      <c r="J834" s="181"/>
      <c r="K834" s="181"/>
      <c r="L834" s="181"/>
      <c r="M834" s="181"/>
      <c r="N834" s="181"/>
      <c r="O834" s="181"/>
      <c r="P834" s="181"/>
      <c r="Q834" s="181"/>
      <c r="R834" s="181"/>
      <c r="S834" s="181"/>
      <c r="T834" s="181"/>
      <c r="U834" s="181"/>
      <c r="V834" s="181"/>
      <c r="W834" s="181"/>
      <c r="X834" s="181"/>
      <c r="Y834" s="181"/>
      <c r="Z834" s="181"/>
    </row>
    <row r="835" ht="14.25" customHeight="1">
      <c r="A835" s="181"/>
      <c r="B835" s="181"/>
      <c r="C835" s="181"/>
      <c r="D835" s="181"/>
      <c r="E835" s="181"/>
      <c r="F835" s="181"/>
      <c r="G835" s="181"/>
      <c r="H835" s="181"/>
      <c r="I835" s="181"/>
      <c r="J835" s="181"/>
      <c r="K835" s="181"/>
      <c r="L835" s="181"/>
      <c r="M835" s="181"/>
      <c r="N835" s="181"/>
      <c r="O835" s="181"/>
      <c r="P835" s="181"/>
      <c r="Q835" s="181"/>
      <c r="R835" s="181"/>
      <c r="S835" s="181"/>
      <c r="T835" s="181"/>
      <c r="U835" s="181"/>
      <c r="V835" s="181"/>
      <c r="W835" s="181"/>
      <c r="X835" s="181"/>
      <c r="Y835" s="181"/>
      <c r="Z835" s="181"/>
    </row>
    <row r="836" ht="14.25" customHeight="1">
      <c r="A836" s="181"/>
      <c r="B836" s="181"/>
      <c r="C836" s="181"/>
      <c r="D836" s="181"/>
      <c r="E836" s="181"/>
      <c r="F836" s="181"/>
      <c r="G836" s="181"/>
      <c r="H836" s="181"/>
      <c r="I836" s="181"/>
      <c r="J836" s="181"/>
      <c r="K836" s="181"/>
      <c r="L836" s="181"/>
      <c r="M836" s="181"/>
      <c r="N836" s="181"/>
      <c r="O836" s="181"/>
      <c r="P836" s="181"/>
      <c r="Q836" s="181"/>
      <c r="R836" s="181"/>
      <c r="S836" s="181"/>
      <c r="T836" s="181"/>
      <c r="U836" s="181"/>
      <c r="V836" s="181"/>
      <c r="W836" s="181"/>
      <c r="X836" s="181"/>
      <c r="Y836" s="181"/>
      <c r="Z836" s="181"/>
    </row>
    <row r="837" ht="14.25" customHeight="1">
      <c r="A837" s="181"/>
      <c r="B837" s="181"/>
      <c r="C837" s="181"/>
      <c r="D837" s="181"/>
      <c r="E837" s="181"/>
      <c r="F837" s="181"/>
      <c r="G837" s="181"/>
      <c r="H837" s="181"/>
      <c r="I837" s="181"/>
      <c r="J837" s="181"/>
      <c r="K837" s="181"/>
      <c r="L837" s="181"/>
      <c r="M837" s="181"/>
      <c r="N837" s="181"/>
      <c r="O837" s="181"/>
      <c r="P837" s="181"/>
      <c r="Q837" s="181"/>
      <c r="R837" s="181"/>
      <c r="S837" s="181"/>
      <c r="T837" s="181"/>
      <c r="U837" s="181"/>
      <c r="V837" s="181"/>
      <c r="W837" s="181"/>
      <c r="X837" s="181"/>
      <c r="Y837" s="181"/>
      <c r="Z837" s="181"/>
    </row>
    <row r="838" ht="14.25" customHeight="1">
      <c r="A838" s="181"/>
      <c r="B838" s="181"/>
      <c r="C838" s="181"/>
      <c r="D838" s="181"/>
      <c r="E838" s="181"/>
      <c r="F838" s="181"/>
      <c r="G838" s="181"/>
      <c r="H838" s="181"/>
      <c r="I838" s="181"/>
      <c r="J838" s="181"/>
      <c r="K838" s="181"/>
      <c r="L838" s="181"/>
      <c r="M838" s="181"/>
      <c r="N838" s="181"/>
      <c r="O838" s="181"/>
      <c r="P838" s="181"/>
      <c r="Q838" s="181"/>
      <c r="R838" s="181"/>
      <c r="S838" s="181"/>
      <c r="T838" s="181"/>
      <c r="U838" s="181"/>
      <c r="V838" s="181"/>
      <c r="W838" s="181"/>
      <c r="X838" s="181"/>
      <c r="Y838" s="181"/>
      <c r="Z838" s="181"/>
    </row>
    <row r="839" ht="14.25" customHeight="1">
      <c r="A839" s="181"/>
      <c r="B839" s="181"/>
      <c r="C839" s="181"/>
      <c r="D839" s="181"/>
      <c r="E839" s="181"/>
      <c r="F839" s="181"/>
      <c r="G839" s="181"/>
      <c r="H839" s="181"/>
      <c r="I839" s="181"/>
      <c r="J839" s="181"/>
      <c r="K839" s="181"/>
      <c r="L839" s="181"/>
      <c r="M839" s="181"/>
      <c r="N839" s="181"/>
      <c r="O839" s="181"/>
      <c r="P839" s="181"/>
      <c r="Q839" s="181"/>
      <c r="R839" s="181"/>
      <c r="S839" s="181"/>
      <c r="T839" s="181"/>
      <c r="U839" s="181"/>
      <c r="V839" s="181"/>
      <c r="W839" s="181"/>
      <c r="X839" s="181"/>
      <c r="Y839" s="181"/>
      <c r="Z839" s="181"/>
    </row>
    <row r="840" ht="14.25" customHeight="1">
      <c r="A840" s="181"/>
      <c r="B840" s="181"/>
      <c r="C840" s="181"/>
      <c r="D840" s="181"/>
      <c r="E840" s="181"/>
      <c r="F840" s="181"/>
      <c r="G840" s="181"/>
      <c r="H840" s="181"/>
      <c r="I840" s="181"/>
      <c r="J840" s="181"/>
      <c r="K840" s="181"/>
      <c r="L840" s="181"/>
      <c r="M840" s="181"/>
      <c r="N840" s="181"/>
      <c r="O840" s="181"/>
      <c r="P840" s="181"/>
      <c r="Q840" s="181"/>
      <c r="R840" s="181"/>
      <c r="S840" s="181"/>
      <c r="T840" s="181"/>
      <c r="U840" s="181"/>
      <c r="V840" s="181"/>
      <c r="W840" s="181"/>
      <c r="X840" s="181"/>
      <c r="Y840" s="181"/>
      <c r="Z840" s="181"/>
    </row>
    <row r="841" ht="14.25" customHeight="1">
      <c r="A841" s="181"/>
      <c r="B841" s="181"/>
      <c r="C841" s="181"/>
      <c r="D841" s="181"/>
      <c r="E841" s="181"/>
      <c r="F841" s="181"/>
      <c r="G841" s="181"/>
      <c r="H841" s="181"/>
      <c r="I841" s="181"/>
      <c r="J841" s="181"/>
      <c r="K841" s="181"/>
      <c r="L841" s="181"/>
      <c r="M841" s="181"/>
      <c r="N841" s="181"/>
      <c r="O841" s="181"/>
      <c r="P841" s="181"/>
      <c r="Q841" s="181"/>
      <c r="R841" s="181"/>
      <c r="S841" s="181"/>
      <c r="T841" s="181"/>
      <c r="U841" s="181"/>
      <c r="V841" s="181"/>
      <c r="W841" s="181"/>
      <c r="X841" s="181"/>
      <c r="Y841" s="181"/>
      <c r="Z841" s="181"/>
    </row>
    <row r="842" ht="14.25" customHeight="1">
      <c r="A842" s="181"/>
      <c r="B842" s="181"/>
      <c r="C842" s="181"/>
      <c r="D842" s="181"/>
      <c r="E842" s="181"/>
      <c r="F842" s="181"/>
      <c r="G842" s="181"/>
      <c r="H842" s="181"/>
      <c r="I842" s="181"/>
      <c r="J842" s="181"/>
      <c r="K842" s="181"/>
      <c r="L842" s="181"/>
      <c r="M842" s="181"/>
      <c r="N842" s="181"/>
      <c r="O842" s="181"/>
      <c r="P842" s="181"/>
      <c r="Q842" s="181"/>
      <c r="R842" s="181"/>
      <c r="S842" s="181"/>
      <c r="T842" s="181"/>
      <c r="U842" s="181"/>
      <c r="V842" s="181"/>
      <c r="W842" s="181"/>
      <c r="X842" s="181"/>
      <c r="Y842" s="181"/>
      <c r="Z842" s="181"/>
    </row>
    <row r="843" ht="14.25" customHeight="1">
      <c r="A843" s="181"/>
      <c r="B843" s="181"/>
      <c r="C843" s="181"/>
      <c r="D843" s="181"/>
      <c r="E843" s="181"/>
      <c r="F843" s="181"/>
      <c r="G843" s="181"/>
      <c r="H843" s="181"/>
      <c r="I843" s="181"/>
      <c r="J843" s="181"/>
      <c r="K843" s="181"/>
      <c r="L843" s="181"/>
      <c r="M843" s="181"/>
      <c r="N843" s="181"/>
      <c r="O843" s="181"/>
      <c r="P843" s="181"/>
      <c r="Q843" s="181"/>
      <c r="R843" s="181"/>
      <c r="S843" s="181"/>
      <c r="T843" s="181"/>
      <c r="U843" s="181"/>
      <c r="V843" s="181"/>
      <c r="W843" s="181"/>
      <c r="X843" s="181"/>
      <c r="Y843" s="181"/>
      <c r="Z843" s="181"/>
    </row>
    <row r="844" ht="14.25" customHeight="1">
      <c r="A844" s="181"/>
      <c r="B844" s="181"/>
      <c r="C844" s="181"/>
      <c r="D844" s="181"/>
      <c r="E844" s="181"/>
      <c r="F844" s="181"/>
      <c r="G844" s="181"/>
      <c r="H844" s="181"/>
      <c r="I844" s="181"/>
      <c r="J844" s="181"/>
      <c r="K844" s="181"/>
      <c r="L844" s="181"/>
      <c r="M844" s="181"/>
      <c r="N844" s="181"/>
      <c r="O844" s="181"/>
      <c r="P844" s="181"/>
      <c r="Q844" s="181"/>
      <c r="R844" s="181"/>
      <c r="S844" s="181"/>
      <c r="T844" s="181"/>
      <c r="U844" s="181"/>
      <c r="V844" s="181"/>
      <c r="W844" s="181"/>
      <c r="X844" s="181"/>
      <c r="Y844" s="181"/>
      <c r="Z844" s="181"/>
    </row>
    <row r="845" ht="14.25" customHeight="1">
      <c r="A845" s="181"/>
      <c r="B845" s="181"/>
      <c r="C845" s="181"/>
      <c r="D845" s="181"/>
      <c r="E845" s="181"/>
      <c r="F845" s="181"/>
      <c r="G845" s="181"/>
      <c r="H845" s="181"/>
      <c r="I845" s="181"/>
      <c r="J845" s="181"/>
      <c r="K845" s="181"/>
      <c r="L845" s="181"/>
      <c r="M845" s="181"/>
      <c r="N845" s="181"/>
      <c r="O845" s="181"/>
      <c r="P845" s="181"/>
      <c r="Q845" s="181"/>
      <c r="R845" s="181"/>
      <c r="S845" s="181"/>
      <c r="T845" s="181"/>
      <c r="U845" s="181"/>
      <c r="V845" s="181"/>
      <c r="W845" s="181"/>
      <c r="X845" s="181"/>
      <c r="Y845" s="181"/>
      <c r="Z845" s="181"/>
    </row>
    <row r="846" ht="14.25" customHeight="1">
      <c r="A846" s="181"/>
      <c r="B846" s="181"/>
      <c r="C846" s="181"/>
      <c r="D846" s="181"/>
      <c r="E846" s="181"/>
      <c r="F846" s="181"/>
      <c r="G846" s="181"/>
      <c r="H846" s="181"/>
      <c r="I846" s="181"/>
      <c r="J846" s="181"/>
      <c r="K846" s="181"/>
      <c r="L846" s="181"/>
      <c r="M846" s="181"/>
      <c r="N846" s="181"/>
      <c r="O846" s="181"/>
      <c r="P846" s="181"/>
      <c r="Q846" s="181"/>
      <c r="R846" s="181"/>
      <c r="S846" s="181"/>
      <c r="T846" s="181"/>
      <c r="U846" s="181"/>
      <c r="V846" s="181"/>
      <c r="W846" s="181"/>
      <c r="X846" s="181"/>
      <c r="Y846" s="181"/>
      <c r="Z846" s="181"/>
    </row>
    <row r="847" ht="14.25" customHeight="1">
      <c r="A847" s="181"/>
      <c r="B847" s="181"/>
      <c r="C847" s="181"/>
      <c r="D847" s="181"/>
      <c r="E847" s="181"/>
      <c r="F847" s="181"/>
      <c r="G847" s="181"/>
      <c r="H847" s="181"/>
      <c r="I847" s="181"/>
      <c r="J847" s="181"/>
      <c r="K847" s="181"/>
      <c r="L847" s="181"/>
      <c r="M847" s="181"/>
      <c r="N847" s="181"/>
      <c r="O847" s="181"/>
      <c r="P847" s="181"/>
      <c r="Q847" s="181"/>
      <c r="R847" s="181"/>
      <c r="S847" s="181"/>
      <c r="T847" s="181"/>
      <c r="U847" s="181"/>
      <c r="V847" s="181"/>
      <c r="W847" s="181"/>
      <c r="X847" s="181"/>
      <c r="Y847" s="181"/>
      <c r="Z847" s="181"/>
    </row>
    <row r="848" ht="14.25" customHeight="1">
      <c r="A848" s="181"/>
      <c r="B848" s="181"/>
      <c r="C848" s="181"/>
      <c r="D848" s="181"/>
      <c r="E848" s="181"/>
      <c r="F848" s="181"/>
      <c r="G848" s="181"/>
      <c r="H848" s="181"/>
      <c r="I848" s="181"/>
      <c r="J848" s="181"/>
      <c r="K848" s="181"/>
      <c r="L848" s="181"/>
      <c r="M848" s="181"/>
      <c r="N848" s="181"/>
      <c r="O848" s="181"/>
      <c r="P848" s="181"/>
      <c r="Q848" s="181"/>
      <c r="R848" s="181"/>
      <c r="S848" s="181"/>
      <c r="T848" s="181"/>
      <c r="U848" s="181"/>
      <c r="V848" s="181"/>
      <c r="W848" s="181"/>
      <c r="X848" s="181"/>
      <c r="Y848" s="181"/>
      <c r="Z848" s="181"/>
    </row>
    <row r="849" ht="14.25" customHeight="1">
      <c r="A849" s="181"/>
      <c r="B849" s="181"/>
      <c r="C849" s="181"/>
      <c r="D849" s="181"/>
      <c r="E849" s="181"/>
      <c r="F849" s="181"/>
      <c r="G849" s="181"/>
      <c r="H849" s="181"/>
      <c r="I849" s="181"/>
      <c r="J849" s="181"/>
      <c r="K849" s="181"/>
      <c r="L849" s="181"/>
      <c r="M849" s="181"/>
      <c r="N849" s="181"/>
      <c r="O849" s="181"/>
      <c r="P849" s="181"/>
      <c r="Q849" s="181"/>
      <c r="R849" s="181"/>
      <c r="S849" s="181"/>
      <c r="T849" s="181"/>
      <c r="U849" s="181"/>
      <c r="V849" s="181"/>
      <c r="W849" s="181"/>
      <c r="X849" s="181"/>
      <c r="Y849" s="181"/>
      <c r="Z849" s="181"/>
    </row>
    <row r="850" ht="14.25" customHeight="1">
      <c r="A850" s="181"/>
      <c r="B850" s="181"/>
      <c r="C850" s="181"/>
      <c r="D850" s="181"/>
      <c r="E850" s="181"/>
      <c r="F850" s="181"/>
      <c r="G850" s="181"/>
      <c r="H850" s="181"/>
      <c r="I850" s="181"/>
      <c r="J850" s="181"/>
      <c r="K850" s="181"/>
      <c r="L850" s="181"/>
      <c r="M850" s="181"/>
      <c r="N850" s="181"/>
      <c r="O850" s="181"/>
      <c r="P850" s="181"/>
      <c r="Q850" s="181"/>
      <c r="R850" s="181"/>
      <c r="S850" s="181"/>
      <c r="T850" s="181"/>
      <c r="U850" s="181"/>
      <c r="V850" s="181"/>
      <c r="W850" s="181"/>
      <c r="X850" s="181"/>
      <c r="Y850" s="181"/>
      <c r="Z850" s="181"/>
    </row>
    <row r="851" ht="14.25" customHeight="1">
      <c r="A851" s="181"/>
      <c r="B851" s="181"/>
      <c r="C851" s="181"/>
      <c r="D851" s="181"/>
      <c r="E851" s="181"/>
      <c r="F851" s="181"/>
      <c r="G851" s="181"/>
      <c r="H851" s="181"/>
      <c r="I851" s="181"/>
      <c r="J851" s="181"/>
      <c r="K851" s="181"/>
      <c r="L851" s="181"/>
      <c r="M851" s="181"/>
      <c r="N851" s="181"/>
      <c r="O851" s="181"/>
      <c r="P851" s="181"/>
      <c r="Q851" s="181"/>
      <c r="R851" s="181"/>
      <c r="S851" s="181"/>
      <c r="T851" s="181"/>
      <c r="U851" s="181"/>
      <c r="V851" s="181"/>
      <c r="W851" s="181"/>
      <c r="X851" s="181"/>
      <c r="Y851" s="181"/>
      <c r="Z851" s="181"/>
    </row>
    <row r="852" ht="14.25" customHeight="1">
      <c r="A852" s="181"/>
      <c r="B852" s="181"/>
      <c r="C852" s="181"/>
      <c r="D852" s="181"/>
      <c r="E852" s="181"/>
      <c r="F852" s="181"/>
      <c r="G852" s="181"/>
      <c r="H852" s="181"/>
      <c r="I852" s="181"/>
      <c r="J852" s="181"/>
      <c r="K852" s="181"/>
      <c r="L852" s="181"/>
      <c r="M852" s="181"/>
      <c r="N852" s="181"/>
      <c r="O852" s="181"/>
      <c r="P852" s="181"/>
      <c r="Q852" s="181"/>
      <c r="R852" s="181"/>
      <c r="S852" s="181"/>
      <c r="T852" s="181"/>
      <c r="U852" s="181"/>
      <c r="V852" s="181"/>
      <c r="W852" s="181"/>
      <c r="X852" s="181"/>
      <c r="Y852" s="181"/>
      <c r="Z852" s="181"/>
    </row>
    <row r="853" ht="14.25" customHeight="1">
      <c r="A853" s="181"/>
      <c r="B853" s="181"/>
      <c r="C853" s="181"/>
      <c r="D853" s="181"/>
      <c r="E853" s="181"/>
      <c r="F853" s="181"/>
      <c r="G853" s="181"/>
      <c r="H853" s="181"/>
      <c r="I853" s="181"/>
      <c r="J853" s="181"/>
      <c r="K853" s="181"/>
      <c r="L853" s="181"/>
      <c r="M853" s="181"/>
      <c r="N853" s="181"/>
      <c r="O853" s="181"/>
      <c r="P853" s="181"/>
      <c r="Q853" s="181"/>
      <c r="R853" s="181"/>
      <c r="S853" s="181"/>
      <c r="T853" s="181"/>
      <c r="U853" s="181"/>
      <c r="V853" s="181"/>
      <c r="W853" s="181"/>
      <c r="X853" s="181"/>
      <c r="Y853" s="181"/>
      <c r="Z853" s="181"/>
    </row>
    <row r="854" ht="14.25" customHeight="1">
      <c r="A854" s="181"/>
      <c r="B854" s="181"/>
      <c r="C854" s="181"/>
      <c r="D854" s="181"/>
      <c r="E854" s="181"/>
      <c r="F854" s="181"/>
      <c r="G854" s="181"/>
      <c r="H854" s="181"/>
      <c r="I854" s="181"/>
      <c r="J854" s="181"/>
      <c r="K854" s="181"/>
      <c r="L854" s="181"/>
      <c r="M854" s="181"/>
      <c r="N854" s="181"/>
      <c r="O854" s="181"/>
      <c r="P854" s="181"/>
      <c r="Q854" s="181"/>
      <c r="R854" s="181"/>
      <c r="S854" s="181"/>
      <c r="T854" s="181"/>
      <c r="U854" s="181"/>
      <c r="V854" s="181"/>
      <c r="W854" s="181"/>
      <c r="X854" s="181"/>
      <c r="Y854" s="181"/>
      <c r="Z854" s="181"/>
    </row>
    <row r="855" ht="14.25" customHeight="1">
      <c r="A855" s="181"/>
      <c r="B855" s="181"/>
      <c r="C855" s="181"/>
      <c r="D855" s="181"/>
      <c r="E855" s="181"/>
      <c r="F855" s="181"/>
      <c r="G855" s="181"/>
      <c r="H855" s="181"/>
      <c r="I855" s="181"/>
      <c r="J855" s="181"/>
      <c r="K855" s="181"/>
      <c r="L855" s="181"/>
      <c r="M855" s="181"/>
      <c r="N855" s="181"/>
      <c r="O855" s="181"/>
      <c r="P855" s="181"/>
      <c r="Q855" s="181"/>
      <c r="R855" s="181"/>
      <c r="S855" s="181"/>
      <c r="T855" s="181"/>
      <c r="U855" s="181"/>
      <c r="V855" s="181"/>
      <c r="W855" s="181"/>
      <c r="X855" s="181"/>
      <c r="Y855" s="181"/>
      <c r="Z855" s="181"/>
    </row>
    <row r="856" ht="14.25" customHeight="1">
      <c r="A856" s="181"/>
      <c r="B856" s="181"/>
      <c r="C856" s="181"/>
      <c r="D856" s="181"/>
      <c r="E856" s="181"/>
      <c r="F856" s="181"/>
      <c r="G856" s="181"/>
      <c r="H856" s="181"/>
      <c r="I856" s="181"/>
      <c r="J856" s="181"/>
      <c r="K856" s="181"/>
      <c r="L856" s="181"/>
      <c r="M856" s="181"/>
      <c r="N856" s="181"/>
      <c r="O856" s="181"/>
      <c r="P856" s="181"/>
      <c r="Q856" s="181"/>
      <c r="R856" s="181"/>
      <c r="S856" s="181"/>
      <c r="T856" s="181"/>
      <c r="U856" s="181"/>
      <c r="V856" s="181"/>
      <c r="W856" s="181"/>
      <c r="X856" s="181"/>
      <c r="Y856" s="181"/>
      <c r="Z856" s="181"/>
    </row>
    <row r="857" ht="14.25" customHeight="1">
      <c r="A857" s="181"/>
      <c r="B857" s="181"/>
      <c r="C857" s="181"/>
      <c r="D857" s="181"/>
      <c r="E857" s="181"/>
      <c r="F857" s="181"/>
      <c r="G857" s="181"/>
      <c r="H857" s="181"/>
      <c r="I857" s="181"/>
      <c r="J857" s="181"/>
      <c r="K857" s="181"/>
      <c r="L857" s="181"/>
      <c r="M857" s="181"/>
      <c r="N857" s="181"/>
      <c r="O857" s="181"/>
      <c r="P857" s="181"/>
      <c r="Q857" s="181"/>
      <c r="R857" s="181"/>
      <c r="S857" s="181"/>
      <c r="T857" s="181"/>
      <c r="U857" s="181"/>
      <c r="V857" s="181"/>
      <c r="W857" s="181"/>
      <c r="X857" s="181"/>
      <c r="Y857" s="181"/>
      <c r="Z857" s="181"/>
    </row>
    <row r="858" ht="14.25" customHeight="1">
      <c r="A858" s="181"/>
      <c r="B858" s="181"/>
      <c r="C858" s="181"/>
      <c r="D858" s="181"/>
      <c r="E858" s="181"/>
      <c r="F858" s="181"/>
      <c r="G858" s="181"/>
      <c r="H858" s="181"/>
      <c r="I858" s="181"/>
      <c r="J858" s="181"/>
      <c r="K858" s="181"/>
      <c r="L858" s="181"/>
      <c r="M858" s="181"/>
      <c r="N858" s="181"/>
      <c r="O858" s="181"/>
      <c r="P858" s="181"/>
      <c r="Q858" s="181"/>
      <c r="R858" s="181"/>
      <c r="S858" s="181"/>
      <c r="T858" s="181"/>
      <c r="U858" s="181"/>
      <c r="V858" s="181"/>
      <c r="W858" s="181"/>
      <c r="X858" s="181"/>
      <c r="Y858" s="181"/>
      <c r="Z858" s="181"/>
    </row>
    <row r="859" ht="14.25" customHeight="1">
      <c r="A859" s="181"/>
      <c r="B859" s="181"/>
      <c r="C859" s="181"/>
      <c r="D859" s="181"/>
      <c r="E859" s="181"/>
      <c r="F859" s="181"/>
      <c r="G859" s="181"/>
      <c r="H859" s="181"/>
      <c r="I859" s="181"/>
      <c r="J859" s="181"/>
      <c r="K859" s="181"/>
      <c r="L859" s="181"/>
      <c r="M859" s="181"/>
      <c r="N859" s="181"/>
      <c r="O859" s="181"/>
      <c r="P859" s="181"/>
      <c r="Q859" s="181"/>
      <c r="R859" s="181"/>
      <c r="S859" s="181"/>
      <c r="T859" s="181"/>
      <c r="U859" s="181"/>
      <c r="V859" s="181"/>
      <c r="W859" s="181"/>
      <c r="X859" s="181"/>
      <c r="Y859" s="181"/>
      <c r="Z859" s="181"/>
    </row>
    <row r="860" ht="14.25" customHeight="1">
      <c r="A860" s="181"/>
      <c r="B860" s="181"/>
      <c r="C860" s="181"/>
      <c r="D860" s="181"/>
      <c r="E860" s="181"/>
      <c r="F860" s="181"/>
      <c r="G860" s="181"/>
      <c r="H860" s="181"/>
      <c r="I860" s="181"/>
      <c r="J860" s="181"/>
      <c r="K860" s="181"/>
      <c r="L860" s="181"/>
      <c r="M860" s="181"/>
      <c r="N860" s="181"/>
      <c r="O860" s="181"/>
      <c r="P860" s="181"/>
      <c r="Q860" s="181"/>
      <c r="R860" s="181"/>
      <c r="S860" s="181"/>
      <c r="T860" s="181"/>
      <c r="U860" s="181"/>
      <c r="V860" s="181"/>
      <c r="W860" s="181"/>
      <c r="X860" s="181"/>
      <c r="Y860" s="181"/>
      <c r="Z860" s="181"/>
    </row>
    <row r="861" ht="14.25" customHeight="1">
      <c r="A861" s="181"/>
      <c r="B861" s="181"/>
      <c r="C861" s="181"/>
      <c r="D861" s="181"/>
      <c r="E861" s="181"/>
      <c r="F861" s="181"/>
      <c r="G861" s="181"/>
      <c r="H861" s="181"/>
      <c r="I861" s="181"/>
      <c r="J861" s="181"/>
      <c r="K861" s="181"/>
      <c r="L861" s="181"/>
      <c r="M861" s="181"/>
      <c r="N861" s="181"/>
      <c r="O861" s="181"/>
      <c r="P861" s="181"/>
      <c r="Q861" s="181"/>
      <c r="R861" s="181"/>
      <c r="S861" s="181"/>
      <c r="T861" s="181"/>
      <c r="U861" s="181"/>
      <c r="V861" s="181"/>
      <c r="W861" s="181"/>
      <c r="X861" s="181"/>
      <c r="Y861" s="181"/>
      <c r="Z861" s="181"/>
    </row>
    <row r="862" ht="14.25" customHeight="1">
      <c r="A862" s="181"/>
      <c r="B862" s="181"/>
      <c r="C862" s="181"/>
      <c r="D862" s="181"/>
      <c r="E862" s="181"/>
      <c r="F862" s="181"/>
      <c r="G862" s="181"/>
      <c r="H862" s="181"/>
      <c r="I862" s="181"/>
      <c r="J862" s="181"/>
      <c r="K862" s="181"/>
      <c r="L862" s="181"/>
      <c r="M862" s="181"/>
      <c r="N862" s="181"/>
      <c r="O862" s="181"/>
      <c r="P862" s="181"/>
      <c r="Q862" s="181"/>
      <c r="R862" s="181"/>
      <c r="S862" s="181"/>
      <c r="T862" s="181"/>
      <c r="U862" s="181"/>
      <c r="V862" s="181"/>
      <c r="W862" s="181"/>
      <c r="X862" s="181"/>
      <c r="Y862" s="181"/>
      <c r="Z862" s="181"/>
    </row>
    <row r="863" ht="14.25" customHeight="1">
      <c r="A863" s="181"/>
      <c r="B863" s="181"/>
      <c r="C863" s="181"/>
      <c r="D863" s="181"/>
      <c r="E863" s="181"/>
      <c r="F863" s="181"/>
      <c r="G863" s="181"/>
      <c r="H863" s="181"/>
      <c r="I863" s="181"/>
      <c r="J863" s="181"/>
      <c r="K863" s="181"/>
      <c r="L863" s="181"/>
      <c r="M863" s="181"/>
      <c r="N863" s="181"/>
      <c r="O863" s="181"/>
      <c r="P863" s="181"/>
      <c r="Q863" s="181"/>
      <c r="R863" s="181"/>
      <c r="S863" s="181"/>
      <c r="T863" s="181"/>
      <c r="U863" s="181"/>
      <c r="V863" s="181"/>
      <c r="W863" s="181"/>
      <c r="X863" s="181"/>
      <c r="Y863" s="181"/>
      <c r="Z863" s="181"/>
    </row>
    <row r="864" ht="14.25" customHeight="1">
      <c r="A864" s="181"/>
      <c r="B864" s="181"/>
      <c r="C864" s="181"/>
      <c r="D864" s="181"/>
      <c r="E864" s="181"/>
      <c r="F864" s="181"/>
      <c r="G864" s="181"/>
      <c r="H864" s="181"/>
      <c r="I864" s="181"/>
      <c r="J864" s="181"/>
      <c r="K864" s="181"/>
      <c r="L864" s="181"/>
      <c r="M864" s="181"/>
      <c r="N864" s="181"/>
      <c r="O864" s="181"/>
      <c r="P864" s="181"/>
      <c r="Q864" s="181"/>
      <c r="R864" s="181"/>
      <c r="S864" s="181"/>
      <c r="T864" s="181"/>
      <c r="U864" s="181"/>
      <c r="V864" s="181"/>
      <c r="W864" s="181"/>
      <c r="X864" s="181"/>
      <c r="Y864" s="181"/>
      <c r="Z864" s="181"/>
    </row>
    <row r="865" ht="14.25" customHeight="1">
      <c r="A865" s="181"/>
      <c r="B865" s="181"/>
      <c r="C865" s="181"/>
      <c r="D865" s="181"/>
      <c r="E865" s="181"/>
      <c r="F865" s="181"/>
      <c r="G865" s="181"/>
      <c r="H865" s="181"/>
      <c r="I865" s="181"/>
      <c r="J865" s="181"/>
      <c r="K865" s="181"/>
      <c r="L865" s="181"/>
      <c r="M865" s="181"/>
      <c r="N865" s="181"/>
      <c r="O865" s="181"/>
      <c r="P865" s="181"/>
      <c r="Q865" s="181"/>
      <c r="R865" s="181"/>
      <c r="S865" s="181"/>
      <c r="T865" s="181"/>
      <c r="U865" s="181"/>
      <c r="V865" s="181"/>
      <c r="W865" s="181"/>
      <c r="X865" s="181"/>
      <c r="Y865" s="181"/>
      <c r="Z865" s="181"/>
    </row>
    <row r="866" ht="14.25" customHeight="1">
      <c r="A866" s="181"/>
      <c r="B866" s="181"/>
      <c r="C866" s="181"/>
      <c r="D866" s="181"/>
      <c r="E866" s="181"/>
      <c r="F866" s="181"/>
      <c r="G866" s="181"/>
      <c r="H866" s="181"/>
      <c r="I866" s="181"/>
      <c r="J866" s="181"/>
      <c r="K866" s="181"/>
      <c r="L866" s="181"/>
      <c r="M866" s="181"/>
      <c r="N866" s="181"/>
      <c r="O866" s="181"/>
      <c r="P866" s="181"/>
      <c r="Q866" s="181"/>
      <c r="R866" s="181"/>
      <c r="S866" s="181"/>
      <c r="T866" s="181"/>
      <c r="U866" s="181"/>
      <c r="V866" s="181"/>
      <c r="W866" s="181"/>
      <c r="X866" s="181"/>
      <c r="Y866" s="181"/>
      <c r="Z866" s="181"/>
    </row>
    <row r="867" ht="14.25" customHeight="1">
      <c r="A867" s="181"/>
      <c r="B867" s="181"/>
      <c r="C867" s="181"/>
      <c r="D867" s="181"/>
      <c r="E867" s="181"/>
      <c r="F867" s="181"/>
      <c r="G867" s="181"/>
      <c r="H867" s="181"/>
      <c r="I867" s="181"/>
      <c r="J867" s="181"/>
      <c r="K867" s="181"/>
      <c r="L867" s="181"/>
      <c r="M867" s="181"/>
      <c r="N867" s="181"/>
      <c r="O867" s="181"/>
      <c r="P867" s="181"/>
      <c r="Q867" s="181"/>
      <c r="R867" s="181"/>
      <c r="S867" s="181"/>
      <c r="T867" s="181"/>
      <c r="U867" s="181"/>
      <c r="V867" s="181"/>
      <c r="W867" s="181"/>
      <c r="X867" s="181"/>
      <c r="Y867" s="181"/>
      <c r="Z867" s="181"/>
    </row>
    <row r="868" ht="14.25" customHeight="1">
      <c r="A868" s="181"/>
      <c r="B868" s="181"/>
      <c r="C868" s="181"/>
      <c r="D868" s="181"/>
      <c r="E868" s="181"/>
      <c r="F868" s="181"/>
      <c r="G868" s="181"/>
      <c r="H868" s="181"/>
      <c r="I868" s="181"/>
      <c r="J868" s="181"/>
      <c r="K868" s="181"/>
      <c r="L868" s="181"/>
      <c r="M868" s="181"/>
      <c r="N868" s="181"/>
      <c r="O868" s="181"/>
      <c r="P868" s="181"/>
      <c r="Q868" s="181"/>
      <c r="R868" s="181"/>
      <c r="S868" s="181"/>
      <c r="T868" s="181"/>
      <c r="U868" s="181"/>
      <c r="V868" s="181"/>
      <c r="W868" s="181"/>
      <c r="X868" s="181"/>
      <c r="Y868" s="181"/>
      <c r="Z868" s="181"/>
    </row>
    <row r="869" ht="14.25" customHeight="1">
      <c r="A869" s="181"/>
      <c r="B869" s="181"/>
      <c r="C869" s="181"/>
      <c r="D869" s="181"/>
      <c r="E869" s="181"/>
      <c r="F869" s="181"/>
      <c r="G869" s="181"/>
      <c r="H869" s="181"/>
      <c r="I869" s="181"/>
      <c r="J869" s="181"/>
      <c r="K869" s="181"/>
      <c r="L869" s="181"/>
      <c r="M869" s="181"/>
      <c r="N869" s="181"/>
      <c r="O869" s="181"/>
      <c r="P869" s="181"/>
      <c r="Q869" s="181"/>
      <c r="R869" s="181"/>
      <c r="S869" s="181"/>
      <c r="T869" s="181"/>
      <c r="U869" s="181"/>
      <c r="V869" s="181"/>
      <c r="W869" s="181"/>
      <c r="X869" s="181"/>
      <c r="Y869" s="181"/>
      <c r="Z869" s="181"/>
    </row>
    <row r="870" ht="14.25" customHeight="1">
      <c r="A870" s="181"/>
      <c r="B870" s="181"/>
      <c r="C870" s="181"/>
      <c r="D870" s="181"/>
      <c r="E870" s="181"/>
      <c r="F870" s="181"/>
      <c r="G870" s="181"/>
      <c r="H870" s="181"/>
      <c r="I870" s="181"/>
      <c r="J870" s="181"/>
      <c r="K870" s="181"/>
      <c r="L870" s="181"/>
      <c r="M870" s="181"/>
      <c r="N870" s="181"/>
      <c r="O870" s="181"/>
      <c r="P870" s="181"/>
      <c r="Q870" s="181"/>
      <c r="R870" s="181"/>
      <c r="S870" s="181"/>
      <c r="T870" s="181"/>
      <c r="U870" s="181"/>
      <c r="V870" s="181"/>
      <c r="W870" s="181"/>
      <c r="X870" s="181"/>
      <c r="Y870" s="181"/>
      <c r="Z870" s="181"/>
    </row>
    <row r="871" ht="14.25" customHeight="1">
      <c r="A871" s="181"/>
      <c r="B871" s="181"/>
      <c r="C871" s="181"/>
      <c r="D871" s="181"/>
      <c r="E871" s="181"/>
      <c r="F871" s="181"/>
      <c r="G871" s="181"/>
      <c r="H871" s="181"/>
      <c r="I871" s="181"/>
      <c r="J871" s="181"/>
      <c r="K871" s="181"/>
      <c r="L871" s="181"/>
      <c r="M871" s="181"/>
      <c r="N871" s="181"/>
      <c r="O871" s="181"/>
      <c r="P871" s="181"/>
      <c r="Q871" s="181"/>
      <c r="R871" s="181"/>
      <c r="S871" s="181"/>
      <c r="T871" s="181"/>
      <c r="U871" s="181"/>
      <c r="V871" s="181"/>
      <c r="W871" s="181"/>
      <c r="X871" s="181"/>
      <c r="Y871" s="181"/>
      <c r="Z871" s="181"/>
    </row>
    <row r="872" ht="14.25" customHeight="1">
      <c r="A872" s="181"/>
      <c r="B872" s="181"/>
      <c r="C872" s="181"/>
      <c r="D872" s="181"/>
      <c r="E872" s="181"/>
      <c r="F872" s="181"/>
      <c r="G872" s="181"/>
      <c r="H872" s="181"/>
      <c r="I872" s="181"/>
      <c r="J872" s="181"/>
      <c r="K872" s="181"/>
      <c r="L872" s="181"/>
      <c r="M872" s="181"/>
      <c r="N872" s="181"/>
      <c r="O872" s="181"/>
      <c r="P872" s="181"/>
      <c r="Q872" s="181"/>
      <c r="R872" s="181"/>
      <c r="S872" s="181"/>
      <c r="T872" s="181"/>
      <c r="U872" s="181"/>
      <c r="V872" s="181"/>
      <c r="W872" s="181"/>
      <c r="X872" s="181"/>
      <c r="Y872" s="181"/>
      <c r="Z872" s="181"/>
    </row>
    <row r="873" ht="14.25" customHeight="1">
      <c r="A873" s="181"/>
      <c r="B873" s="181"/>
      <c r="C873" s="181"/>
      <c r="D873" s="181"/>
      <c r="E873" s="181"/>
      <c r="F873" s="181"/>
      <c r="G873" s="181"/>
      <c r="H873" s="181"/>
      <c r="I873" s="181"/>
      <c r="J873" s="181"/>
      <c r="K873" s="181"/>
      <c r="L873" s="181"/>
      <c r="M873" s="181"/>
      <c r="N873" s="181"/>
      <c r="O873" s="181"/>
      <c r="P873" s="181"/>
      <c r="Q873" s="181"/>
      <c r="R873" s="181"/>
      <c r="S873" s="181"/>
      <c r="T873" s="181"/>
      <c r="U873" s="181"/>
      <c r="V873" s="181"/>
      <c r="W873" s="181"/>
      <c r="X873" s="181"/>
      <c r="Y873" s="181"/>
      <c r="Z873" s="181"/>
    </row>
    <row r="874" ht="14.25" customHeight="1">
      <c r="A874" s="181"/>
      <c r="B874" s="181"/>
      <c r="C874" s="181"/>
      <c r="D874" s="181"/>
      <c r="E874" s="181"/>
      <c r="F874" s="181"/>
      <c r="G874" s="181"/>
      <c r="H874" s="181"/>
      <c r="I874" s="181"/>
      <c r="J874" s="181"/>
      <c r="K874" s="181"/>
      <c r="L874" s="181"/>
      <c r="M874" s="181"/>
      <c r="N874" s="181"/>
      <c r="O874" s="181"/>
      <c r="P874" s="181"/>
      <c r="Q874" s="181"/>
      <c r="R874" s="181"/>
      <c r="S874" s="181"/>
      <c r="T874" s="181"/>
      <c r="U874" s="181"/>
      <c r="V874" s="181"/>
      <c r="W874" s="181"/>
      <c r="X874" s="181"/>
      <c r="Y874" s="181"/>
      <c r="Z874" s="181"/>
    </row>
    <row r="875" ht="14.25" customHeight="1">
      <c r="A875" s="181"/>
      <c r="B875" s="181"/>
      <c r="C875" s="181"/>
      <c r="D875" s="181"/>
      <c r="E875" s="181"/>
      <c r="F875" s="181"/>
      <c r="G875" s="181"/>
      <c r="H875" s="181"/>
      <c r="I875" s="181"/>
      <c r="J875" s="181"/>
      <c r="K875" s="181"/>
      <c r="L875" s="181"/>
      <c r="M875" s="181"/>
      <c r="N875" s="181"/>
      <c r="O875" s="181"/>
      <c r="P875" s="181"/>
      <c r="Q875" s="181"/>
      <c r="R875" s="181"/>
      <c r="S875" s="181"/>
      <c r="T875" s="181"/>
      <c r="U875" s="181"/>
      <c r="V875" s="181"/>
      <c r="W875" s="181"/>
      <c r="X875" s="181"/>
      <c r="Y875" s="181"/>
      <c r="Z875" s="181"/>
    </row>
    <row r="876" ht="14.25" customHeight="1">
      <c r="A876" s="181"/>
      <c r="B876" s="181"/>
      <c r="C876" s="181"/>
      <c r="D876" s="181"/>
      <c r="E876" s="181"/>
      <c r="F876" s="181"/>
      <c r="G876" s="181"/>
      <c r="H876" s="181"/>
      <c r="I876" s="181"/>
      <c r="J876" s="181"/>
      <c r="K876" s="181"/>
      <c r="L876" s="181"/>
      <c r="M876" s="181"/>
      <c r="N876" s="181"/>
      <c r="O876" s="181"/>
      <c r="P876" s="181"/>
      <c r="Q876" s="181"/>
      <c r="R876" s="181"/>
      <c r="S876" s="181"/>
      <c r="T876" s="181"/>
      <c r="U876" s="181"/>
      <c r="V876" s="181"/>
      <c r="W876" s="181"/>
      <c r="X876" s="181"/>
      <c r="Y876" s="181"/>
      <c r="Z876" s="181"/>
    </row>
    <row r="877" ht="14.25" customHeight="1">
      <c r="A877" s="181"/>
      <c r="B877" s="181"/>
      <c r="C877" s="181"/>
      <c r="D877" s="181"/>
      <c r="E877" s="181"/>
      <c r="F877" s="181"/>
      <c r="G877" s="181"/>
      <c r="H877" s="181"/>
      <c r="I877" s="181"/>
      <c r="J877" s="181"/>
      <c r="K877" s="181"/>
      <c r="L877" s="181"/>
      <c r="M877" s="181"/>
      <c r="N877" s="181"/>
      <c r="O877" s="181"/>
      <c r="P877" s="181"/>
      <c r="Q877" s="181"/>
      <c r="R877" s="181"/>
      <c r="S877" s="181"/>
      <c r="T877" s="181"/>
      <c r="U877" s="181"/>
      <c r="V877" s="181"/>
      <c r="W877" s="181"/>
      <c r="X877" s="181"/>
      <c r="Y877" s="181"/>
      <c r="Z877" s="181"/>
    </row>
    <row r="878" ht="14.25" customHeight="1">
      <c r="A878" s="181"/>
      <c r="B878" s="181"/>
      <c r="C878" s="181"/>
      <c r="D878" s="181"/>
      <c r="E878" s="181"/>
      <c r="F878" s="181"/>
      <c r="G878" s="181"/>
      <c r="H878" s="181"/>
      <c r="I878" s="181"/>
      <c r="J878" s="181"/>
      <c r="K878" s="181"/>
      <c r="L878" s="181"/>
      <c r="M878" s="181"/>
      <c r="N878" s="181"/>
      <c r="O878" s="181"/>
      <c r="P878" s="181"/>
      <c r="Q878" s="181"/>
      <c r="R878" s="181"/>
      <c r="S878" s="181"/>
      <c r="T878" s="181"/>
      <c r="U878" s="181"/>
      <c r="V878" s="181"/>
      <c r="W878" s="181"/>
      <c r="X878" s="181"/>
      <c r="Y878" s="181"/>
      <c r="Z878" s="181"/>
    </row>
    <row r="879" ht="14.25" customHeight="1">
      <c r="A879" s="181"/>
      <c r="B879" s="181"/>
      <c r="C879" s="181"/>
      <c r="D879" s="181"/>
      <c r="E879" s="181"/>
      <c r="F879" s="181"/>
      <c r="G879" s="181"/>
      <c r="H879" s="181"/>
      <c r="I879" s="181"/>
      <c r="J879" s="181"/>
      <c r="K879" s="181"/>
      <c r="L879" s="181"/>
      <c r="M879" s="181"/>
      <c r="N879" s="181"/>
      <c r="O879" s="181"/>
      <c r="P879" s="181"/>
      <c r="Q879" s="181"/>
      <c r="R879" s="181"/>
      <c r="S879" s="181"/>
      <c r="T879" s="181"/>
      <c r="U879" s="181"/>
      <c r="V879" s="181"/>
      <c r="W879" s="181"/>
      <c r="X879" s="181"/>
      <c r="Y879" s="181"/>
      <c r="Z879" s="181"/>
    </row>
    <row r="880" ht="14.25" customHeight="1">
      <c r="A880" s="181"/>
      <c r="B880" s="181"/>
      <c r="C880" s="181"/>
      <c r="D880" s="181"/>
      <c r="E880" s="181"/>
      <c r="F880" s="181"/>
      <c r="G880" s="181"/>
      <c r="H880" s="181"/>
      <c r="I880" s="181"/>
      <c r="J880" s="181"/>
      <c r="K880" s="181"/>
      <c r="L880" s="181"/>
      <c r="M880" s="181"/>
      <c r="N880" s="181"/>
      <c r="O880" s="181"/>
      <c r="P880" s="181"/>
      <c r="Q880" s="181"/>
      <c r="R880" s="181"/>
      <c r="S880" s="181"/>
      <c r="T880" s="181"/>
      <c r="U880" s="181"/>
      <c r="V880" s="181"/>
      <c r="W880" s="181"/>
      <c r="X880" s="181"/>
      <c r="Y880" s="181"/>
      <c r="Z880" s="181"/>
    </row>
    <row r="881" ht="14.25" customHeight="1">
      <c r="A881" s="181"/>
      <c r="B881" s="181"/>
      <c r="C881" s="181"/>
      <c r="D881" s="181"/>
      <c r="E881" s="181"/>
      <c r="F881" s="181"/>
      <c r="G881" s="181"/>
      <c r="H881" s="181"/>
      <c r="I881" s="181"/>
      <c r="J881" s="181"/>
      <c r="K881" s="181"/>
      <c r="L881" s="181"/>
      <c r="M881" s="181"/>
      <c r="N881" s="181"/>
      <c r="O881" s="181"/>
      <c r="P881" s="181"/>
      <c r="Q881" s="181"/>
      <c r="R881" s="181"/>
      <c r="S881" s="181"/>
      <c r="T881" s="181"/>
      <c r="U881" s="181"/>
      <c r="V881" s="181"/>
      <c r="W881" s="181"/>
      <c r="X881" s="181"/>
      <c r="Y881" s="181"/>
      <c r="Z881" s="181"/>
    </row>
    <row r="882" ht="14.25" customHeight="1">
      <c r="A882" s="181"/>
      <c r="B882" s="181"/>
      <c r="C882" s="181"/>
      <c r="D882" s="181"/>
      <c r="E882" s="181"/>
      <c r="F882" s="181"/>
      <c r="G882" s="181"/>
      <c r="H882" s="181"/>
      <c r="I882" s="181"/>
      <c r="J882" s="181"/>
      <c r="K882" s="181"/>
      <c r="L882" s="181"/>
      <c r="M882" s="181"/>
      <c r="N882" s="181"/>
      <c r="O882" s="181"/>
      <c r="P882" s="181"/>
      <c r="Q882" s="181"/>
      <c r="R882" s="181"/>
      <c r="S882" s="181"/>
      <c r="T882" s="181"/>
      <c r="U882" s="181"/>
      <c r="V882" s="181"/>
      <c r="W882" s="181"/>
      <c r="X882" s="181"/>
      <c r="Y882" s="181"/>
      <c r="Z882" s="181"/>
    </row>
    <row r="883" ht="14.25" customHeight="1">
      <c r="A883" s="181"/>
      <c r="B883" s="181"/>
      <c r="C883" s="181"/>
      <c r="D883" s="181"/>
      <c r="E883" s="181"/>
      <c r="F883" s="181"/>
      <c r="G883" s="181"/>
      <c r="H883" s="181"/>
      <c r="I883" s="181"/>
      <c r="J883" s="181"/>
      <c r="K883" s="181"/>
      <c r="L883" s="181"/>
      <c r="M883" s="181"/>
      <c r="N883" s="181"/>
      <c r="O883" s="181"/>
      <c r="P883" s="181"/>
      <c r="Q883" s="181"/>
      <c r="R883" s="181"/>
      <c r="S883" s="181"/>
      <c r="T883" s="181"/>
      <c r="U883" s="181"/>
      <c r="V883" s="181"/>
      <c r="W883" s="181"/>
      <c r="X883" s="181"/>
      <c r="Y883" s="181"/>
      <c r="Z883" s="181"/>
    </row>
    <row r="884" ht="14.25" customHeight="1">
      <c r="A884" s="181"/>
      <c r="B884" s="181"/>
      <c r="C884" s="181"/>
      <c r="D884" s="181"/>
      <c r="E884" s="181"/>
      <c r="F884" s="181"/>
      <c r="G884" s="181"/>
      <c r="H884" s="181"/>
      <c r="I884" s="181"/>
      <c r="J884" s="181"/>
      <c r="K884" s="181"/>
      <c r="L884" s="181"/>
      <c r="M884" s="181"/>
      <c r="N884" s="181"/>
      <c r="O884" s="181"/>
      <c r="P884" s="181"/>
      <c r="Q884" s="181"/>
      <c r="R884" s="181"/>
      <c r="S884" s="181"/>
      <c r="T884" s="181"/>
      <c r="U884" s="181"/>
      <c r="V884" s="181"/>
      <c r="W884" s="181"/>
      <c r="X884" s="181"/>
      <c r="Y884" s="181"/>
      <c r="Z884" s="181"/>
    </row>
    <row r="885" ht="14.25" customHeight="1">
      <c r="A885" s="181"/>
      <c r="B885" s="181"/>
      <c r="C885" s="181"/>
      <c r="D885" s="181"/>
      <c r="E885" s="181"/>
      <c r="F885" s="181"/>
      <c r="G885" s="181"/>
      <c r="H885" s="181"/>
      <c r="I885" s="181"/>
      <c r="J885" s="181"/>
      <c r="K885" s="181"/>
      <c r="L885" s="181"/>
      <c r="M885" s="181"/>
      <c r="N885" s="181"/>
      <c r="O885" s="181"/>
      <c r="P885" s="181"/>
      <c r="Q885" s="181"/>
      <c r="R885" s="181"/>
      <c r="S885" s="181"/>
      <c r="T885" s="181"/>
      <c r="U885" s="181"/>
      <c r="V885" s="181"/>
      <c r="W885" s="181"/>
      <c r="X885" s="181"/>
      <c r="Y885" s="181"/>
      <c r="Z885" s="181"/>
    </row>
    <row r="886" ht="14.25" customHeight="1">
      <c r="A886" s="181"/>
      <c r="B886" s="181"/>
      <c r="C886" s="181"/>
      <c r="D886" s="181"/>
      <c r="E886" s="181"/>
      <c r="F886" s="181"/>
      <c r="G886" s="181"/>
      <c r="H886" s="181"/>
      <c r="I886" s="181"/>
      <c r="J886" s="181"/>
      <c r="K886" s="181"/>
      <c r="L886" s="181"/>
      <c r="M886" s="181"/>
      <c r="N886" s="181"/>
      <c r="O886" s="181"/>
      <c r="P886" s="181"/>
      <c r="Q886" s="181"/>
      <c r="R886" s="181"/>
      <c r="S886" s="181"/>
      <c r="T886" s="181"/>
      <c r="U886" s="181"/>
      <c r="V886" s="181"/>
      <c r="W886" s="181"/>
      <c r="X886" s="181"/>
      <c r="Y886" s="181"/>
      <c r="Z886" s="181"/>
    </row>
    <row r="887" ht="14.25" customHeight="1">
      <c r="A887" s="181"/>
      <c r="B887" s="181"/>
      <c r="C887" s="181"/>
      <c r="D887" s="181"/>
      <c r="E887" s="181"/>
      <c r="F887" s="181"/>
      <c r="G887" s="181"/>
      <c r="H887" s="181"/>
      <c r="I887" s="181"/>
      <c r="J887" s="181"/>
      <c r="K887" s="181"/>
      <c r="L887" s="181"/>
      <c r="M887" s="181"/>
      <c r="N887" s="181"/>
      <c r="O887" s="181"/>
      <c r="P887" s="181"/>
      <c r="Q887" s="181"/>
      <c r="R887" s="181"/>
      <c r="S887" s="181"/>
      <c r="T887" s="181"/>
      <c r="U887" s="181"/>
      <c r="V887" s="181"/>
      <c r="W887" s="181"/>
      <c r="X887" s="181"/>
      <c r="Y887" s="181"/>
      <c r="Z887" s="181"/>
    </row>
    <row r="888" ht="14.25" customHeight="1">
      <c r="A888" s="181"/>
      <c r="B888" s="181"/>
      <c r="C888" s="181"/>
      <c r="D888" s="181"/>
      <c r="E888" s="181"/>
      <c r="F888" s="181"/>
      <c r="G888" s="181"/>
      <c r="H888" s="181"/>
      <c r="I888" s="181"/>
      <c r="J888" s="181"/>
      <c r="K888" s="181"/>
      <c r="L888" s="181"/>
      <c r="M888" s="181"/>
      <c r="N888" s="181"/>
      <c r="O888" s="181"/>
      <c r="P888" s="181"/>
      <c r="Q888" s="181"/>
      <c r="R888" s="181"/>
      <c r="S888" s="181"/>
      <c r="T888" s="181"/>
      <c r="U888" s="181"/>
      <c r="V888" s="181"/>
      <c r="W888" s="181"/>
      <c r="X888" s="181"/>
      <c r="Y888" s="181"/>
      <c r="Z888" s="181"/>
    </row>
    <row r="889" ht="14.25" customHeight="1">
      <c r="A889" s="181"/>
      <c r="B889" s="181"/>
      <c r="C889" s="181"/>
      <c r="D889" s="181"/>
      <c r="E889" s="181"/>
      <c r="F889" s="181"/>
      <c r="G889" s="181"/>
      <c r="H889" s="181"/>
      <c r="I889" s="181"/>
      <c r="J889" s="181"/>
      <c r="K889" s="181"/>
      <c r="L889" s="181"/>
      <c r="M889" s="181"/>
      <c r="N889" s="181"/>
      <c r="O889" s="181"/>
      <c r="P889" s="181"/>
      <c r="Q889" s="181"/>
      <c r="R889" s="181"/>
      <c r="S889" s="181"/>
      <c r="T889" s="181"/>
      <c r="U889" s="181"/>
      <c r="V889" s="181"/>
      <c r="W889" s="181"/>
      <c r="X889" s="181"/>
      <c r="Y889" s="181"/>
      <c r="Z889" s="181"/>
    </row>
    <row r="890" ht="14.25" customHeight="1">
      <c r="A890" s="181"/>
      <c r="B890" s="181"/>
      <c r="C890" s="181"/>
      <c r="D890" s="181"/>
      <c r="E890" s="181"/>
      <c r="F890" s="181"/>
      <c r="G890" s="181"/>
      <c r="H890" s="181"/>
      <c r="I890" s="181"/>
      <c r="J890" s="181"/>
      <c r="K890" s="181"/>
      <c r="L890" s="181"/>
      <c r="M890" s="181"/>
      <c r="N890" s="181"/>
      <c r="O890" s="181"/>
      <c r="P890" s="181"/>
      <c r="Q890" s="181"/>
      <c r="R890" s="181"/>
      <c r="S890" s="181"/>
      <c r="T890" s="181"/>
      <c r="U890" s="181"/>
      <c r="V890" s="181"/>
      <c r="W890" s="181"/>
      <c r="X890" s="181"/>
      <c r="Y890" s="181"/>
      <c r="Z890" s="181"/>
    </row>
    <row r="891" ht="14.25" customHeight="1">
      <c r="A891" s="181"/>
      <c r="B891" s="181"/>
      <c r="C891" s="181"/>
      <c r="D891" s="181"/>
      <c r="E891" s="181"/>
      <c r="F891" s="181"/>
      <c r="G891" s="181"/>
      <c r="H891" s="181"/>
      <c r="I891" s="181"/>
      <c r="J891" s="181"/>
      <c r="K891" s="181"/>
      <c r="L891" s="181"/>
      <c r="M891" s="181"/>
      <c r="N891" s="181"/>
      <c r="O891" s="181"/>
      <c r="P891" s="181"/>
      <c r="Q891" s="181"/>
      <c r="R891" s="181"/>
      <c r="S891" s="181"/>
      <c r="T891" s="181"/>
      <c r="U891" s="181"/>
      <c r="V891" s="181"/>
      <c r="W891" s="181"/>
      <c r="X891" s="181"/>
      <c r="Y891" s="181"/>
      <c r="Z891" s="181"/>
    </row>
    <row r="892" ht="14.25" customHeight="1">
      <c r="A892" s="181"/>
      <c r="B892" s="181"/>
      <c r="C892" s="181"/>
      <c r="D892" s="181"/>
      <c r="E892" s="181"/>
      <c r="F892" s="181"/>
      <c r="G892" s="181"/>
      <c r="H892" s="181"/>
      <c r="I892" s="181"/>
      <c r="J892" s="181"/>
      <c r="K892" s="181"/>
      <c r="L892" s="181"/>
      <c r="M892" s="181"/>
      <c r="N892" s="181"/>
      <c r="O892" s="181"/>
      <c r="P892" s="181"/>
      <c r="Q892" s="181"/>
      <c r="R892" s="181"/>
      <c r="S892" s="181"/>
      <c r="T892" s="181"/>
      <c r="U892" s="181"/>
      <c r="V892" s="181"/>
      <c r="W892" s="181"/>
      <c r="X892" s="181"/>
      <c r="Y892" s="181"/>
      <c r="Z892" s="181"/>
    </row>
    <row r="893" ht="14.25" customHeight="1">
      <c r="A893" s="181"/>
      <c r="B893" s="181"/>
      <c r="C893" s="181"/>
      <c r="D893" s="181"/>
      <c r="E893" s="181"/>
      <c r="F893" s="181"/>
      <c r="G893" s="181"/>
      <c r="H893" s="181"/>
      <c r="I893" s="181"/>
      <c r="J893" s="181"/>
      <c r="K893" s="181"/>
      <c r="L893" s="181"/>
      <c r="M893" s="181"/>
      <c r="N893" s="181"/>
      <c r="O893" s="181"/>
      <c r="P893" s="181"/>
      <c r="Q893" s="181"/>
      <c r="R893" s="181"/>
      <c r="S893" s="181"/>
      <c r="T893" s="181"/>
      <c r="U893" s="181"/>
      <c r="V893" s="181"/>
      <c r="W893" s="181"/>
      <c r="X893" s="181"/>
      <c r="Y893" s="181"/>
      <c r="Z893" s="181"/>
    </row>
    <row r="894" ht="14.25" customHeight="1">
      <c r="A894" s="181"/>
      <c r="B894" s="181"/>
      <c r="C894" s="181"/>
      <c r="D894" s="181"/>
      <c r="E894" s="181"/>
      <c r="F894" s="181"/>
      <c r="G894" s="181"/>
      <c r="H894" s="181"/>
      <c r="I894" s="181"/>
      <c r="J894" s="181"/>
      <c r="K894" s="181"/>
      <c r="L894" s="181"/>
      <c r="M894" s="181"/>
      <c r="N894" s="181"/>
      <c r="O894" s="181"/>
      <c r="P894" s="181"/>
      <c r="Q894" s="181"/>
      <c r="R894" s="181"/>
      <c r="S894" s="181"/>
      <c r="T894" s="181"/>
      <c r="U894" s="181"/>
      <c r="V894" s="181"/>
      <c r="W894" s="181"/>
      <c r="X894" s="181"/>
      <c r="Y894" s="181"/>
      <c r="Z894" s="181"/>
    </row>
    <row r="895" ht="14.25" customHeight="1">
      <c r="A895" s="181"/>
      <c r="B895" s="181"/>
      <c r="C895" s="181"/>
      <c r="D895" s="181"/>
      <c r="E895" s="181"/>
      <c r="F895" s="181"/>
      <c r="G895" s="181"/>
      <c r="H895" s="181"/>
      <c r="I895" s="181"/>
      <c r="J895" s="181"/>
      <c r="K895" s="181"/>
      <c r="L895" s="181"/>
      <c r="M895" s="181"/>
      <c r="N895" s="181"/>
      <c r="O895" s="181"/>
      <c r="P895" s="181"/>
      <c r="Q895" s="181"/>
      <c r="R895" s="181"/>
      <c r="S895" s="181"/>
      <c r="T895" s="181"/>
      <c r="U895" s="181"/>
      <c r="V895" s="181"/>
      <c r="W895" s="181"/>
      <c r="X895" s="181"/>
      <c r="Y895" s="181"/>
      <c r="Z895" s="181"/>
    </row>
    <row r="896" ht="14.25" customHeight="1">
      <c r="A896" s="181"/>
      <c r="B896" s="181"/>
      <c r="C896" s="181"/>
      <c r="D896" s="181"/>
      <c r="E896" s="181"/>
      <c r="F896" s="181"/>
      <c r="G896" s="181"/>
      <c r="H896" s="181"/>
      <c r="I896" s="181"/>
      <c r="J896" s="181"/>
      <c r="K896" s="181"/>
      <c r="L896" s="181"/>
      <c r="M896" s="181"/>
      <c r="N896" s="181"/>
      <c r="O896" s="181"/>
      <c r="P896" s="181"/>
      <c r="Q896" s="181"/>
      <c r="R896" s="181"/>
      <c r="S896" s="181"/>
      <c r="T896" s="181"/>
      <c r="U896" s="181"/>
      <c r="V896" s="181"/>
      <c r="W896" s="181"/>
      <c r="X896" s="181"/>
      <c r="Y896" s="181"/>
      <c r="Z896" s="181"/>
    </row>
    <row r="897" ht="14.25" customHeight="1">
      <c r="A897" s="181"/>
      <c r="B897" s="181"/>
      <c r="C897" s="181"/>
      <c r="D897" s="181"/>
      <c r="E897" s="181"/>
      <c r="F897" s="181"/>
      <c r="G897" s="181"/>
      <c r="H897" s="181"/>
      <c r="I897" s="181"/>
      <c r="J897" s="181"/>
      <c r="K897" s="181"/>
      <c r="L897" s="181"/>
      <c r="M897" s="181"/>
      <c r="N897" s="181"/>
      <c r="O897" s="181"/>
      <c r="P897" s="181"/>
      <c r="Q897" s="181"/>
      <c r="R897" s="181"/>
      <c r="S897" s="181"/>
      <c r="T897" s="181"/>
      <c r="U897" s="181"/>
      <c r="V897" s="181"/>
      <c r="W897" s="181"/>
      <c r="X897" s="181"/>
      <c r="Y897" s="181"/>
      <c r="Z897" s="181"/>
    </row>
    <row r="898" ht="14.25" customHeight="1">
      <c r="A898" s="181"/>
      <c r="B898" s="181"/>
      <c r="C898" s="181"/>
      <c r="D898" s="181"/>
      <c r="E898" s="181"/>
      <c r="F898" s="181"/>
      <c r="G898" s="181"/>
      <c r="H898" s="181"/>
      <c r="I898" s="181"/>
      <c r="J898" s="181"/>
      <c r="K898" s="181"/>
      <c r="L898" s="181"/>
      <c r="M898" s="181"/>
      <c r="N898" s="181"/>
      <c r="O898" s="181"/>
      <c r="P898" s="181"/>
      <c r="Q898" s="181"/>
      <c r="R898" s="181"/>
      <c r="S898" s="181"/>
      <c r="T898" s="181"/>
      <c r="U898" s="181"/>
      <c r="V898" s="181"/>
      <c r="W898" s="181"/>
      <c r="X898" s="181"/>
      <c r="Y898" s="181"/>
      <c r="Z898" s="181"/>
    </row>
    <row r="899" ht="14.25" customHeight="1">
      <c r="A899" s="181"/>
      <c r="B899" s="181"/>
      <c r="C899" s="181"/>
      <c r="D899" s="181"/>
      <c r="E899" s="181"/>
      <c r="F899" s="181"/>
      <c r="G899" s="181"/>
      <c r="H899" s="181"/>
      <c r="I899" s="181"/>
      <c r="J899" s="181"/>
      <c r="K899" s="181"/>
      <c r="L899" s="181"/>
      <c r="M899" s="181"/>
      <c r="N899" s="181"/>
      <c r="O899" s="181"/>
      <c r="P899" s="181"/>
      <c r="Q899" s="181"/>
      <c r="R899" s="181"/>
      <c r="S899" s="181"/>
      <c r="T899" s="181"/>
      <c r="U899" s="181"/>
      <c r="V899" s="181"/>
      <c r="W899" s="181"/>
      <c r="X899" s="181"/>
      <c r="Y899" s="181"/>
      <c r="Z899" s="181"/>
    </row>
    <row r="900" ht="14.25" customHeight="1">
      <c r="A900" s="181"/>
      <c r="B900" s="181"/>
      <c r="C900" s="181"/>
      <c r="D900" s="181"/>
      <c r="E900" s="181"/>
      <c r="F900" s="181"/>
      <c r="G900" s="181"/>
      <c r="H900" s="181"/>
      <c r="I900" s="181"/>
      <c r="J900" s="181"/>
      <c r="K900" s="181"/>
      <c r="L900" s="181"/>
      <c r="M900" s="181"/>
      <c r="N900" s="181"/>
      <c r="O900" s="181"/>
      <c r="P900" s="181"/>
      <c r="Q900" s="181"/>
      <c r="R900" s="181"/>
      <c r="S900" s="181"/>
      <c r="T900" s="181"/>
      <c r="U900" s="181"/>
      <c r="V900" s="181"/>
      <c r="W900" s="181"/>
      <c r="X900" s="181"/>
      <c r="Y900" s="181"/>
      <c r="Z900" s="181"/>
    </row>
    <row r="901" ht="14.25" customHeight="1">
      <c r="A901" s="181"/>
      <c r="B901" s="181"/>
      <c r="C901" s="181"/>
      <c r="D901" s="181"/>
      <c r="E901" s="181"/>
      <c r="F901" s="181"/>
      <c r="G901" s="181"/>
      <c r="H901" s="181"/>
      <c r="I901" s="181"/>
      <c r="J901" s="181"/>
      <c r="K901" s="181"/>
      <c r="L901" s="181"/>
      <c r="M901" s="181"/>
      <c r="N901" s="181"/>
      <c r="O901" s="181"/>
      <c r="P901" s="181"/>
      <c r="Q901" s="181"/>
      <c r="R901" s="181"/>
      <c r="S901" s="181"/>
      <c r="T901" s="181"/>
      <c r="U901" s="181"/>
      <c r="V901" s="181"/>
      <c r="W901" s="181"/>
      <c r="X901" s="181"/>
      <c r="Y901" s="181"/>
      <c r="Z901" s="181"/>
    </row>
    <row r="902" ht="14.25" customHeight="1">
      <c r="A902" s="181"/>
      <c r="B902" s="181"/>
      <c r="C902" s="181"/>
      <c r="D902" s="181"/>
      <c r="E902" s="181"/>
      <c r="F902" s="181"/>
      <c r="G902" s="181"/>
      <c r="H902" s="181"/>
      <c r="I902" s="181"/>
      <c r="J902" s="181"/>
      <c r="K902" s="181"/>
      <c r="L902" s="181"/>
      <c r="M902" s="181"/>
      <c r="N902" s="181"/>
      <c r="O902" s="181"/>
      <c r="P902" s="181"/>
      <c r="Q902" s="181"/>
      <c r="R902" s="181"/>
      <c r="S902" s="181"/>
      <c r="T902" s="181"/>
      <c r="U902" s="181"/>
      <c r="V902" s="181"/>
      <c r="W902" s="181"/>
      <c r="X902" s="181"/>
      <c r="Y902" s="181"/>
      <c r="Z902" s="181"/>
    </row>
    <row r="903" ht="14.25" customHeight="1">
      <c r="A903" s="181"/>
      <c r="B903" s="181"/>
      <c r="C903" s="181"/>
      <c r="D903" s="181"/>
      <c r="E903" s="181"/>
      <c r="F903" s="181"/>
      <c r="G903" s="181"/>
      <c r="H903" s="181"/>
      <c r="I903" s="181"/>
      <c r="J903" s="181"/>
      <c r="K903" s="181"/>
      <c r="L903" s="181"/>
      <c r="M903" s="181"/>
      <c r="N903" s="181"/>
      <c r="O903" s="181"/>
      <c r="P903" s="181"/>
      <c r="Q903" s="181"/>
      <c r="R903" s="181"/>
      <c r="S903" s="181"/>
      <c r="T903" s="181"/>
      <c r="U903" s="181"/>
      <c r="V903" s="181"/>
      <c r="W903" s="181"/>
      <c r="X903" s="181"/>
      <c r="Y903" s="181"/>
      <c r="Z903" s="181"/>
    </row>
    <row r="904" ht="14.25" customHeight="1">
      <c r="A904" s="181"/>
      <c r="B904" s="181"/>
      <c r="C904" s="181"/>
      <c r="D904" s="181"/>
      <c r="E904" s="181"/>
      <c r="F904" s="181"/>
      <c r="G904" s="181"/>
      <c r="H904" s="181"/>
      <c r="I904" s="181"/>
      <c r="J904" s="181"/>
      <c r="K904" s="181"/>
      <c r="L904" s="181"/>
      <c r="M904" s="181"/>
      <c r="N904" s="181"/>
      <c r="O904" s="181"/>
      <c r="P904" s="181"/>
      <c r="Q904" s="181"/>
      <c r="R904" s="181"/>
      <c r="S904" s="181"/>
      <c r="T904" s="181"/>
      <c r="U904" s="181"/>
      <c r="V904" s="181"/>
      <c r="W904" s="181"/>
      <c r="X904" s="181"/>
      <c r="Y904" s="181"/>
      <c r="Z904" s="181"/>
    </row>
    <row r="905" ht="14.25" customHeight="1">
      <c r="A905" s="181"/>
      <c r="B905" s="181"/>
      <c r="C905" s="181"/>
      <c r="D905" s="181"/>
      <c r="E905" s="181"/>
      <c r="F905" s="181"/>
      <c r="G905" s="181"/>
      <c r="H905" s="181"/>
      <c r="I905" s="181"/>
      <c r="J905" s="181"/>
      <c r="K905" s="181"/>
      <c r="L905" s="181"/>
      <c r="M905" s="181"/>
      <c r="N905" s="181"/>
      <c r="O905" s="181"/>
      <c r="P905" s="181"/>
      <c r="Q905" s="181"/>
      <c r="R905" s="181"/>
      <c r="S905" s="181"/>
      <c r="T905" s="181"/>
      <c r="U905" s="181"/>
      <c r="V905" s="181"/>
      <c r="W905" s="181"/>
      <c r="X905" s="181"/>
      <c r="Y905" s="181"/>
      <c r="Z905" s="181"/>
    </row>
    <row r="906" ht="14.25" customHeight="1">
      <c r="A906" s="181"/>
      <c r="B906" s="181"/>
      <c r="C906" s="181"/>
      <c r="D906" s="181"/>
      <c r="E906" s="181"/>
      <c r="F906" s="181"/>
      <c r="G906" s="181"/>
      <c r="H906" s="181"/>
      <c r="I906" s="181"/>
      <c r="J906" s="181"/>
      <c r="K906" s="181"/>
      <c r="L906" s="181"/>
      <c r="M906" s="181"/>
      <c r="N906" s="181"/>
      <c r="O906" s="181"/>
      <c r="P906" s="181"/>
      <c r="Q906" s="181"/>
      <c r="R906" s="181"/>
      <c r="S906" s="181"/>
      <c r="T906" s="181"/>
      <c r="U906" s="181"/>
      <c r="V906" s="181"/>
      <c r="W906" s="181"/>
      <c r="X906" s="181"/>
      <c r="Y906" s="181"/>
      <c r="Z906" s="181"/>
    </row>
    <row r="907" ht="14.25" customHeight="1">
      <c r="A907" s="181"/>
      <c r="B907" s="181"/>
      <c r="C907" s="181"/>
      <c r="D907" s="181"/>
      <c r="E907" s="181"/>
      <c r="F907" s="181"/>
      <c r="G907" s="181"/>
      <c r="H907" s="181"/>
      <c r="I907" s="181"/>
      <c r="J907" s="181"/>
      <c r="K907" s="181"/>
      <c r="L907" s="181"/>
      <c r="M907" s="181"/>
      <c r="N907" s="181"/>
      <c r="O907" s="181"/>
      <c r="P907" s="181"/>
      <c r="Q907" s="181"/>
      <c r="R907" s="181"/>
      <c r="S907" s="181"/>
      <c r="T907" s="181"/>
      <c r="U907" s="181"/>
      <c r="V907" s="181"/>
      <c r="W907" s="181"/>
      <c r="X907" s="181"/>
      <c r="Y907" s="181"/>
      <c r="Z907" s="181"/>
    </row>
    <row r="908" ht="14.25" customHeight="1">
      <c r="A908" s="181"/>
      <c r="B908" s="181"/>
      <c r="C908" s="181"/>
      <c r="D908" s="181"/>
      <c r="E908" s="181"/>
      <c r="F908" s="181"/>
      <c r="G908" s="181"/>
      <c r="H908" s="181"/>
      <c r="I908" s="181"/>
      <c r="J908" s="181"/>
      <c r="K908" s="181"/>
      <c r="L908" s="181"/>
      <c r="M908" s="181"/>
      <c r="N908" s="181"/>
      <c r="O908" s="181"/>
      <c r="P908" s="181"/>
      <c r="Q908" s="181"/>
      <c r="R908" s="181"/>
      <c r="S908" s="181"/>
      <c r="T908" s="181"/>
      <c r="U908" s="181"/>
      <c r="V908" s="181"/>
      <c r="W908" s="181"/>
      <c r="X908" s="181"/>
      <c r="Y908" s="181"/>
      <c r="Z908" s="181"/>
    </row>
    <row r="909" ht="14.25" customHeight="1">
      <c r="A909" s="181"/>
      <c r="B909" s="181"/>
      <c r="C909" s="181"/>
      <c r="D909" s="181"/>
      <c r="E909" s="181"/>
      <c r="F909" s="181"/>
      <c r="G909" s="181"/>
      <c r="H909" s="181"/>
      <c r="I909" s="181"/>
      <c r="J909" s="181"/>
      <c r="K909" s="181"/>
      <c r="L909" s="181"/>
      <c r="M909" s="181"/>
      <c r="N909" s="181"/>
      <c r="O909" s="181"/>
      <c r="P909" s="181"/>
      <c r="Q909" s="181"/>
      <c r="R909" s="181"/>
      <c r="S909" s="181"/>
      <c r="T909" s="181"/>
      <c r="U909" s="181"/>
      <c r="V909" s="181"/>
      <c r="W909" s="181"/>
      <c r="X909" s="181"/>
      <c r="Y909" s="181"/>
      <c r="Z909" s="181"/>
    </row>
    <row r="910" ht="14.25" customHeight="1">
      <c r="A910" s="181"/>
      <c r="B910" s="181"/>
      <c r="C910" s="181"/>
      <c r="D910" s="181"/>
      <c r="E910" s="181"/>
      <c r="F910" s="181"/>
      <c r="G910" s="181"/>
      <c r="H910" s="181"/>
      <c r="I910" s="181"/>
      <c r="J910" s="181"/>
      <c r="K910" s="181"/>
      <c r="L910" s="181"/>
      <c r="M910" s="181"/>
      <c r="N910" s="181"/>
      <c r="O910" s="181"/>
      <c r="P910" s="181"/>
      <c r="Q910" s="181"/>
      <c r="R910" s="181"/>
      <c r="S910" s="181"/>
      <c r="T910" s="181"/>
      <c r="U910" s="181"/>
      <c r="V910" s="181"/>
      <c r="W910" s="181"/>
      <c r="X910" s="181"/>
      <c r="Y910" s="181"/>
      <c r="Z910" s="181"/>
    </row>
    <row r="911" ht="14.25" customHeight="1">
      <c r="A911" s="181"/>
      <c r="B911" s="181"/>
      <c r="C911" s="181"/>
      <c r="D911" s="181"/>
      <c r="E911" s="181"/>
      <c r="F911" s="181"/>
      <c r="G911" s="181"/>
      <c r="H911" s="181"/>
      <c r="I911" s="181"/>
      <c r="J911" s="181"/>
      <c r="K911" s="181"/>
      <c r="L911" s="181"/>
      <c r="M911" s="181"/>
      <c r="N911" s="181"/>
      <c r="O911" s="181"/>
      <c r="P911" s="181"/>
      <c r="Q911" s="181"/>
      <c r="R911" s="181"/>
      <c r="S911" s="181"/>
      <c r="T911" s="181"/>
      <c r="U911" s="181"/>
      <c r="V911" s="181"/>
      <c r="W911" s="181"/>
      <c r="X911" s="181"/>
      <c r="Y911" s="181"/>
      <c r="Z911" s="181"/>
    </row>
    <row r="912" ht="14.25" customHeight="1">
      <c r="A912" s="181"/>
      <c r="B912" s="181"/>
      <c r="C912" s="181"/>
      <c r="D912" s="181"/>
      <c r="E912" s="181"/>
      <c r="F912" s="181"/>
      <c r="G912" s="181"/>
      <c r="H912" s="181"/>
      <c r="I912" s="181"/>
      <c r="J912" s="181"/>
      <c r="K912" s="181"/>
      <c r="L912" s="181"/>
      <c r="M912" s="181"/>
      <c r="N912" s="181"/>
      <c r="O912" s="181"/>
      <c r="P912" s="181"/>
      <c r="Q912" s="181"/>
      <c r="R912" s="181"/>
      <c r="S912" s="181"/>
      <c r="T912" s="181"/>
      <c r="U912" s="181"/>
      <c r="V912" s="181"/>
      <c r="W912" s="181"/>
      <c r="X912" s="181"/>
      <c r="Y912" s="181"/>
      <c r="Z912" s="181"/>
    </row>
    <row r="913" ht="14.25" customHeight="1">
      <c r="A913" s="181"/>
      <c r="B913" s="181"/>
      <c r="C913" s="181"/>
      <c r="D913" s="181"/>
      <c r="E913" s="181"/>
      <c r="F913" s="181"/>
      <c r="G913" s="181"/>
      <c r="H913" s="181"/>
      <c r="I913" s="181"/>
      <c r="J913" s="181"/>
      <c r="K913" s="181"/>
      <c r="L913" s="181"/>
      <c r="M913" s="181"/>
      <c r="N913" s="181"/>
      <c r="O913" s="181"/>
      <c r="P913" s="181"/>
      <c r="Q913" s="181"/>
      <c r="R913" s="181"/>
      <c r="S913" s="181"/>
      <c r="T913" s="181"/>
      <c r="U913" s="181"/>
      <c r="V913" s="181"/>
      <c r="W913" s="181"/>
      <c r="X913" s="181"/>
      <c r="Y913" s="181"/>
      <c r="Z913" s="181"/>
    </row>
    <row r="914" ht="14.25" customHeight="1">
      <c r="A914" s="181"/>
      <c r="B914" s="181"/>
      <c r="C914" s="181"/>
      <c r="D914" s="181"/>
      <c r="E914" s="181"/>
      <c r="F914" s="181"/>
      <c r="G914" s="181"/>
      <c r="H914" s="181"/>
      <c r="I914" s="181"/>
      <c r="J914" s="181"/>
      <c r="K914" s="181"/>
      <c r="L914" s="181"/>
      <c r="M914" s="181"/>
      <c r="N914" s="181"/>
      <c r="O914" s="181"/>
      <c r="P914" s="181"/>
      <c r="Q914" s="181"/>
      <c r="R914" s="181"/>
      <c r="S914" s="181"/>
      <c r="T914" s="181"/>
      <c r="U914" s="181"/>
      <c r="V914" s="181"/>
      <c r="W914" s="181"/>
      <c r="X914" s="181"/>
      <c r="Y914" s="181"/>
      <c r="Z914" s="181"/>
    </row>
    <row r="915" ht="14.25" customHeight="1">
      <c r="A915" s="181"/>
      <c r="B915" s="181"/>
      <c r="C915" s="181"/>
      <c r="D915" s="181"/>
      <c r="E915" s="181"/>
      <c r="F915" s="181"/>
      <c r="G915" s="181"/>
      <c r="H915" s="181"/>
      <c r="I915" s="181"/>
      <c r="J915" s="181"/>
      <c r="K915" s="181"/>
      <c r="L915" s="181"/>
      <c r="M915" s="181"/>
      <c r="N915" s="181"/>
      <c r="O915" s="181"/>
      <c r="P915" s="181"/>
      <c r="Q915" s="181"/>
      <c r="R915" s="181"/>
      <c r="S915" s="181"/>
      <c r="T915" s="181"/>
      <c r="U915" s="181"/>
      <c r="V915" s="181"/>
      <c r="W915" s="181"/>
      <c r="X915" s="181"/>
      <c r="Y915" s="181"/>
      <c r="Z915" s="181"/>
    </row>
    <row r="916" ht="14.25" customHeight="1">
      <c r="A916" s="181"/>
      <c r="B916" s="181"/>
      <c r="C916" s="181"/>
      <c r="D916" s="181"/>
      <c r="E916" s="181"/>
      <c r="F916" s="181"/>
      <c r="G916" s="181"/>
      <c r="H916" s="181"/>
      <c r="I916" s="181"/>
      <c r="J916" s="181"/>
      <c r="K916" s="181"/>
      <c r="L916" s="181"/>
      <c r="M916" s="181"/>
      <c r="N916" s="181"/>
      <c r="O916" s="181"/>
      <c r="P916" s="181"/>
      <c r="Q916" s="181"/>
      <c r="R916" s="181"/>
      <c r="S916" s="181"/>
      <c r="T916" s="181"/>
      <c r="U916" s="181"/>
      <c r="V916" s="181"/>
      <c r="W916" s="181"/>
      <c r="X916" s="181"/>
      <c r="Y916" s="181"/>
      <c r="Z916" s="181"/>
    </row>
    <row r="917" ht="14.25" customHeight="1">
      <c r="A917" s="181"/>
      <c r="B917" s="181"/>
      <c r="C917" s="181"/>
      <c r="D917" s="181"/>
      <c r="E917" s="181"/>
      <c r="F917" s="181"/>
      <c r="G917" s="181"/>
      <c r="H917" s="181"/>
      <c r="I917" s="181"/>
      <c r="J917" s="181"/>
      <c r="K917" s="181"/>
      <c r="L917" s="181"/>
      <c r="M917" s="181"/>
      <c r="N917" s="181"/>
      <c r="O917" s="181"/>
      <c r="P917" s="181"/>
      <c r="Q917" s="181"/>
      <c r="R917" s="181"/>
      <c r="S917" s="181"/>
      <c r="T917" s="181"/>
      <c r="U917" s="181"/>
      <c r="V917" s="181"/>
      <c r="W917" s="181"/>
      <c r="X917" s="181"/>
      <c r="Y917" s="181"/>
      <c r="Z917" s="181"/>
    </row>
    <row r="918" ht="14.25" customHeight="1">
      <c r="A918" s="181"/>
      <c r="B918" s="181"/>
      <c r="C918" s="181"/>
      <c r="D918" s="181"/>
      <c r="E918" s="181"/>
      <c r="F918" s="181"/>
      <c r="G918" s="181"/>
      <c r="H918" s="181"/>
      <c r="I918" s="181"/>
      <c r="J918" s="181"/>
      <c r="K918" s="181"/>
      <c r="L918" s="181"/>
      <c r="M918" s="181"/>
      <c r="N918" s="181"/>
      <c r="O918" s="181"/>
      <c r="P918" s="181"/>
      <c r="Q918" s="181"/>
      <c r="R918" s="181"/>
      <c r="S918" s="181"/>
      <c r="T918" s="181"/>
      <c r="U918" s="181"/>
      <c r="V918" s="181"/>
      <c r="W918" s="181"/>
      <c r="X918" s="181"/>
      <c r="Y918" s="181"/>
      <c r="Z918" s="181"/>
    </row>
    <row r="919" ht="14.25" customHeight="1">
      <c r="A919" s="181"/>
      <c r="B919" s="181"/>
      <c r="C919" s="181"/>
      <c r="D919" s="181"/>
      <c r="E919" s="181"/>
      <c r="F919" s="181"/>
      <c r="G919" s="181"/>
      <c r="H919" s="181"/>
      <c r="I919" s="181"/>
      <c r="J919" s="181"/>
      <c r="K919" s="181"/>
      <c r="L919" s="181"/>
      <c r="M919" s="181"/>
      <c r="N919" s="181"/>
      <c r="O919" s="181"/>
      <c r="P919" s="181"/>
      <c r="Q919" s="181"/>
      <c r="R919" s="181"/>
      <c r="S919" s="181"/>
      <c r="T919" s="181"/>
      <c r="U919" s="181"/>
      <c r="V919" s="181"/>
      <c r="W919" s="181"/>
      <c r="X919" s="181"/>
      <c r="Y919" s="181"/>
      <c r="Z919" s="181"/>
    </row>
    <row r="920" ht="14.25" customHeight="1">
      <c r="A920" s="181"/>
      <c r="B920" s="181"/>
      <c r="C920" s="181"/>
      <c r="D920" s="181"/>
      <c r="E920" s="181"/>
      <c r="F920" s="181"/>
      <c r="G920" s="181"/>
      <c r="H920" s="181"/>
      <c r="I920" s="181"/>
      <c r="J920" s="181"/>
      <c r="K920" s="181"/>
      <c r="L920" s="181"/>
      <c r="M920" s="181"/>
      <c r="N920" s="181"/>
      <c r="O920" s="181"/>
      <c r="P920" s="181"/>
      <c r="Q920" s="181"/>
      <c r="R920" s="181"/>
      <c r="S920" s="181"/>
      <c r="T920" s="181"/>
      <c r="U920" s="181"/>
      <c r="V920" s="181"/>
      <c r="W920" s="181"/>
      <c r="X920" s="181"/>
      <c r="Y920" s="181"/>
      <c r="Z920" s="181"/>
    </row>
    <row r="921" ht="14.25" customHeight="1">
      <c r="A921" s="181"/>
      <c r="B921" s="181"/>
      <c r="C921" s="181"/>
      <c r="D921" s="181"/>
      <c r="E921" s="181"/>
      <c r="F921" s="181"/>
      <c r="G921" s="181"/>
      <c r="H921" s="181"/>
      <c r="I921" s="181"/>
      <c r="J921" s="181"/>
      <c r="K921" s="181"/>
      <c r="L921" s="181"/>
      <c r="M921" s="181"/>
      <c r="N921" s="181"/>
      <c r="O921" s="181"/>
      <c r="P921" s="181"/>
      <c r="Q921" s="181"/>
      <c r="R921" s="181"/>
      <c r="S921" s="181"/>
      <c r="T921" s="181"/>
      <c r="U921" s="181"/>
      <c r="V921" s="181"/>
      <c r="W921" s="181"/>
      <c r="X921" s="181"/>
      <c r="Y921" s="181"/>
      <c r="Z921" s="181"/>
    </row>
    <row r="922" ht="14.25" customHeight="1">
      <c r="A922" s="181"/>
      <c r="B922" s="181"/>
      <c r="C922" s="181"/>
      <c r="D922" s="181"/>
      <c r="E922" s="181"/>
      <c r="F922" s="181"/>
      <c r="G922" s="181"/>
      <c r="H922" s="181"/>
      <c r="I922" s="181"/>
      <c r="J922" s="181"/>
      <c r="K922" s="181"/>
      <c r="L922" s="181"/>
      <c r="M922" s="181"/>
      <c r="N922" s="181"/>
      <c r="O922" s="181"/>
      <c r="P922" s="181"/>
      <c r="Q922" s="181"/>
      <c r="R922" s="181"/>
      <c r="S922" s="181"/>
      <c r="T922" s="181"/>
      <c r="U922" s="181"/>
      <c r="V922" s="181"/>
      <c r="W922" s="181"/>
      <c r="X922" s="181"/>
      <c r="Y922" s="181"/>
      <c r="Z922" s="181"/>
    </row>
    <row r="923" ht="14.25" customHeight="1">
      <c r="A923" s="181"/>
      <c r="B923" s="181"/>
      <c r="C923" s="181"/>
      <c r="D923" s="181"/>
      <c r="E923" s="181"/>
      <c r="F923" s="181"/>
      <c r="G923" s="181"/>
      <c r="H923" s="181"/>
      <c r="I923" s="181"/>
      <c r="J923" s="181"/>
      <c r="K923" s="181"/>
      <c r="L923" s="181"/>
      <c r="M923" s="181"/>
      <c r="N923" s="181"/>
      <c r="O923" s="181"/>
      <c r="P923" s="181"/>
      <c r="Q923" s="181"/>
      <c r="R923" s="181"/>
      <c r="S923" s="181"/>
      <c r="T923" s="181"/>
      <c r="U923" s="181"/>
      <c r="V923" s="181"/>
      <c r="W923" s="181"/>
      <c r="X923" s="181"/>
      <c r="Y923" s="181"/>
      <c r="Z923" s="181"/>
    </row>
    <row r="924" ht="14.25" customHeight="1">
      <c r="A924" s="181"/>
      <c r="B924" s="181"/>
      <c r="C924" s="181"/>
      <c r="D924" s="181"/>
      <c r="E924" s="181"/>
      <c r="F924" s="181"/>
      <c r="G924" s="181"/>
      <c r="H924" s="181"/>
      <c r="I924" s="181"/>
      <c r="J924" s="181"/>
      <c r="K924" s="181"/>
      <c r="L924" s="181"/>
      <c r="M924" s="181"/>
      <c r="N924" s="181"/>
      <c r="O924" s="181"/>
      <c r="P924" s="181"/>
      <c r="Q924" s="181"/>
      <c r="R924" s="181"/>
      <c r="S924" s="181"/>
      <c r="T924" s="181"/>
      <c r="U924" s="181"/>
      <c r="V924" s="181"/>
      <c r="W924" s="181"/>
      <c r="X924" s="181"/>
      <c r="Y924" s="181"/>
      <c r="Z924" s="181"/>
    </row>
    <row r="925" ht="14.25" customHeight="1">
      <c r="A925" s="181"/>
      <c r="B925" s="181"/>
      <c r="C925" s="181"/>
      <c r="D925" s="181"/>
      <c r="E925" s="181"/>
      <c r="F925" s="181"/>
      <c r="G925" s="181"/>
      <c r="H925" s="181"/>
      <c r="I925" s="181"/>
      <c r="J925" s="181"/>
      <c r="K925" s="181"/>
      <c r="L925" s="181"/>
      <c r="M925" s="181"/>
      <c r="N925" s="181"/>
      <c r="O925" s="181"/>
      <c r="P925" s="181"/>
      <c r="Q925" s="181"/>
      <c r="R925" s="181"/>
      <c r="S925" s="181"/>
      <c r="T925" s="181"/>
      <c r="U925" s="181"/>
      <c r="V925" s="181"/>
      <c r="W925" s="181"/>
      <c r="X925" s="181"/>
      <c r="Y925" s="181"/>
      <c r="Z925" s="181"/>
    </row>
    <row r="926" ht="14.25" customHeight="1">
      <c r="A926" s="181"/>
      <c r="B926" s="181"/>
      <c r="C926" s="181"/>
      <c r="D926" s="181"/>
      <c r="E926" s="181"/>
      <c r="F926" s="181"/>
      <c r="G926" s="181"/>
      <c r="H926" s="181"/>
      <c r="I926" s="181"/>
      <c r="J926" s="181"/>
      <c r="K926" s="181"/>
      <c r="L926" s="181"/>
      <c r="M926" s="181"/>
      <c r="N926" s="181"/>
      <c r="O926" s="181"/>
      <c r="P926" s="181"/>
      <c r="Q926" s="181"/>
      <c r="R926" s="181"/>
      <c r="S926" s="181"/>
      <c r="T926" s="181"/>
      <c r="U926" s="181"/>
      <c r="V926" s="181"/>
      <c r="W926" s="181"/>
      <c r="X926" s="181"/>
      <c r="Y926" s="181"/>
      <c r="Z926" s="181"/>
    </row>
    <row r="927" ht="14.25" customHeight="1">
      <c r="A927" s="181"/>
      <c r="B927" s="181"/>
      <c r="C927" s="181"/>
      <c r="D927" s="181"/>
      <c r="E927" s="181"/>
      <c r="F927" s="181"/>
      <c r="G927" s="181"/>
      <c r="H927" s="181"/>
      <c r="I927" s="181"/>
      <c r="J927" s="181"/>
      <c r="K927" s="181"/>
      <c r="L927" s="181"/>
      <c r="M927" s="181"/>
      <c r="N927" s="181"/>
      <c r="O927" s="181"/>
      <c r="P927" s="181"/>
      <c r="Q927" s="181"/>
      <c r="R927" s="181"/>
      <c r="S927" s="181"/>
      <c r="T927" s="181"/>
      <c r="U927" s="181"/>
      <c r="V927" s="181"/>
      <c r="W927" s="181"/>
      <c r="X927" s="181"/>
      <c r="Y927" s="181"/>
      <c r="Z927" s="181"/>
    </row>
    <row r="928" ht="14.25" customHeight="1">
      <c r="A928" s="181"/>
      <c r="B928" s="181"/>
      <c r="C928" s="181"/>
      <c r="D928" s="181"/>
      <c r="E928" s="181"/>
      <c r="F928" s="181"/>
      <c r="G928" s="181"/>
      <c r="H928" s="181"/>
      <c r="I928" s="181"/>
      <c r="J928" s="181"/>
      <c r="K928" s="181"/>
      <c r="L928" s="181"/>
      <c r="M928" s="181"/>
      <c r="N928" s="181"/>
      <c r="O928" s="181"/>
      <c r="P928" s="181"/>
      <c r="Q928" s="181"/>
      <c r="R928" s="181"/>
      <c r="S928" s="181"/>
      <c r="T928" s="181"/>
      <c r="U928" s="181"/>
      <c r="V928" s="181"/>
      <c r="W928" s="181"/>
      <c r="X928" s="181"/>
      <c r="Y928" s="181"/>
      <c r="Z928" s="181"/>
    </row>
    <row r="929" ht="14.25" customHeight="1">
      <c r="A929" s="181"/>
      <c r="B929" s="181"/>
      <c r="C929" s="181"/>
      <c r="D929" s="181"/>
      <c r="E929" s="181"/>
      <c r="F929" s="181"/>
      <c r="G929" s="181"/>
      <c r="H929" s="181"/>
      <c r="I929" s="181"/>
      <c r="J929" s="181"/>
      <c r="K929" s="181"/>
      <c r="L929" s="181"/>
      <c r="M929" s="181"/>
      <c r="N929" s="181"/>
      <c r="O929" s="181"/>
      <c r="P929" s="181"/>
      <c r="Q929" s="181"/>
      <c r="R929" s="181"/>
      <c r="S929" s="181"/>
      <c r="T929" s="181"/>
      <c r="U929" s="181"/>
      <c r="V929" s="181"/>
      <c r="W929" s="181"/>
      <c r="X929" s="181"/>
      <c r="Y929" s="181"/>
      <c r="Z929" s="181"/>
    </row>
    <row r="930" ht="14.25" customHeight="1">
      <c r="A930" s="181"/>
      <c r="B930" s="181"/>
      <c r="C930" s="181"/>
      <c r="D930" s="181"/>
      <c r="E930" s="181"/>
      <c r="F930" s="181"/>
      <c r="G930" s="181"/>
      <c r="H930" s="181"/>
      <c r="I930" s="181"/>
      <c r="J930" s="181"/>
      <c r="K930" s="181"/>
      <c r="L930" s="181"/>
      <c r="M930" s="181"/>
      <c r="N930" s="181"/>
      <c r="O930" s="181"/>
      <c r="P930" s="181"/>
      <c r="Q930" s="181"/>
      <c r="R930" s="181"/>
      <c r="S930" s="181"/>
      <c r="T930" s="181"/>
      <c r="U930" s="181"/>
      <c r="V930" s="181"/>
      <c r="W930" s="181"/>
      <c r="X930" s="181"/>
      <c r="Y930" s="181"/>
      <c r="Z930" s="181"/>
    </row>
    <row r="931" ht="14.25" customHeight="1">
      <c r="A931" s="181"/>
      <c r="B931" s="181"/>
      <c r="C931" s="181"/>
      <c r="D931" s="181"/>
      <c r="E931" s="181"/>
      <c r="F931" s="181"/>
      <c r="G931" s="181"/>
      <c r="H931" s="181"/>
      <c r="I931" s="181"/>
      <c r="J931" s="181"/>
      <c r="K931" s="181"/>
      <c r="L931" s="181"/>
      <c r="M931" s="181"/>
      <c r="N931" s="181"/>
      <c r="O931" s="181"/>
      <c r="P931" s="181"/>
      <c r="Q931" s="181"/>
      <c r="R931" s="181"/>
      <c r="S931" s="181"/>
      <c r="T931" s="181"/>
      <c r="U931" s="181"/>
      <c r="V931" s="181"/>
      <c r="W931" s="181"/>
      <c r="X931" s="181"/>
      <c r="Y931" s="181"/>
      <c r="Z931" s="181"/>
    </row>
    <row r="932" ht="14.25" customHeight="1">
      <c r="A932" s="181"/>
      <c r="B932" s="181"/>
      <c r="C932" s="181"/>
      <c r="D932" s="181"/>
      <c r="E932" s="181"/>
      <c r="F932" s="181"/>
      <c r="G932" s="181"/>
      <c r="H932" s="181"/>
      <c r="I932" s="181"/>
      <c r="J932" s="181"/>
      <c r="K932" s="181"/>
      <c r="L932" s="181"/>
      <c r="M932" s="181"/>
      <c r="N932" s="181"/>
      <c r="O932" s="181"/>
      <c r="P932" s="181"/>
      <c r="Q932" s="181"/>
      <c r="R932" s="181"/>
      <c r="S932" s="181"/>
      <c r="T932" s="181"/>
      <c r="U932" s="181"/>
      <c r="V932" s="181"/>
      <c r="W932" s="181"/>
      <c r="X932" s="181"/>
      <c r="Y932" s="181"/>
      <c r="Z932" s="181"/>
    </row>
    <row r="933" ht="14.25" customHeight="1">
      <c r="A933" s="181"/>
      <c r="B933" s="181"/>
      <c r="C933" s="181"/>
      <c r="D933" s="181"/>
      <c r="E933" s="181"/>
      <c r="F933" s="181"/>
      <c r="G933" s="181"/>
      <c r="H933" s="181"/>
      <c r="I933" s="181"/>
      <c r="J933" s="181"/>
      <c r="K933" s="181"/>
      <c r="L933" s="181"/>
      <c r="M933" s="181"/>
      <c r="N933" s="181"/>
      <c r="O933" s="181"/>
      <c r="P933" s="181"/>
      <c r="Q933" s="181"/>
      <c r="R933" s="181"/>
      <c r="S933" s="181"/>
      <c r="T933" s="181"/>
      <c r="U933" s="181"/>
      <c r="V933" s="181"/>
      <c r="W933" s="181"/>
      <c r="X933" s="181"/>
      <c r="Y933" s="181"/>
      <c r="Z933" s="181"/>
    </row>
    <row r="934" ht="14.25" customHeight="1">
      <c r="A934" s="181"/>
      <c r="B934" s="181"/>
      <c r="C934" s="181"/>
      <c r="D934" s="181"/>
      <c r="E934" s="181"/>
      <c r="F934" s="181"/>
      <c r="G934" s="181"/>
      <c r="H934" s="181"/>
      <c r="I934" s="181"/>
      <c r="J934" s="181"/>
      <c r="K934" s="181"/>
      <c r="L934" s="181"/>
      <c r="M934" s="181"/>
      <c r="N934" s="181"/>
      <c r="O934" s="181"/>
      <c r="P934" s="181"/>
      <c r="Q934" s="181"/>
      <c r="R934" s="181"/>
      <c r="S934" s="181"/>
      <c r="T934" s="181"/>
      <c r="U934" s="181"/>
      <c r="V934" s="181"/>
      <c r="W934" s="181"/>
      <c r="X934" s="181"/>
      <c r="Y934" s="181"/>
      <c r="Z934" s="181"/>
    </row>
    <row r="935" ht="14.25" customHeight="1">
      <c r="A935" s="181"/>
      <c r="B935" s="181"/>
      <c r="C935" s="181"/>
      <c r="D935" s="181"/>
      <c r="E935" s="181"/>
      <c r="F935" s="181"/>
      <c r="G935" s="181"/>
      <c r="H935" s="181"/>
      <c r="I935" s="181"/>
      <c r="J935" s="181"/>
      <c r="K935" s="181"/>
      <c r="L935" s="181"/>
      <c r="M935" s="181"/>
      <c r="N935" s="181"/>
      <c r="O935" s="181"/>
      <c r="P935" s="181"/>
      <c r="Q935" s="181"/>
      <c r="R935" s="181"/>
      <c r="S935" s="181"/>
      <c r="T935" s="181"/>
      <c r="U935" s="181"/>
      <c r="V935" s="181"/>
      <c r="W935" s="181"/>
      <c r="X935" s="181"/>
      <c r="Y935" s="181"/>
      <c r="Z935" s="181"/>
    </row>
    <row r="936" ht="14.25" customHeight="1">
      <c r="A936" s="181"/>
      <c r="B936" s="181"/>
      <c r="C936" s="181"/>
      <c r="D936" s="181"/>
      <c r="E936" s="181"/>
      <c r="F936" s="181"/>
      <c r="G936" s="181"/>
      <c r="H936" s="181"/>
      <c r="I936" s="181"/>
      <c r="J936" s="181"/>
      <c r="K936" s="181"/>
      <c r="L936" s="181"/>
      <c r="M936" s="181"/>
      <c r="N936" s="181"/>
      <c r="O936" s="181"/>
      <c r="P936" s="181"/>
      <c r="Q936" s="181"/>
      <c r="R936" s="181"/>
      <c r="S936" s="181"/>
      <c r="T936" s="181"/>
      <c r="U936" s="181"/>
      <c r="V936" s="181"/>
      <c r="W936" s="181"/>
      <c r="X936" s="181"/>
      <c r="Y936" s="181"/>
      <c r="Z936" s="181"/>
    </row>
    <row r="937" ht="14.25" customHeight="1">
      <c r="A937" s="181"/>
      <c r="B937" s="181"/>
      <c r="C937" s="181"/>
      <c r="D937" s="181"/>
      <c r="E937" s="181"/>
      <c r="F937" s="181"/>
      <c r="G937" s="181"/>
      <c r="H937" s="181"/>
      <c r="I937" s="181"/>
      <c r="J937" s="181"/>
      <c r="K937" s="181"/>
      <c r="L937" s="181"/>
      <c r="M937" s="181"/>
      <c r="N937" s="181"/>
      <c r="O937" s="181"/>
      <c r="P937" s="181"/>
      <c r="Q937" s="181"/>
      <c r="R937" s="181"/>
      <c r="S937" s="181"/>
      <c r="T937" s="181"/>
      <c r="U937" s="181"/>
      <c r="V937" s="181"/>
      <c r="W937" s="181"/>
      <c r="X937" s="181"/>
      <c r="Y937" s="181"/>
      <c r="Z937" s="181"/>
    </row>
    <row r="938" ht="14.25" customHeight="1">
      <c r="A938" s="181"/>
      <c r="B938" s="181"/>
      <c r="C938" s="181"/>
      <c r="D938" s="181"/>
      <c r="E938" s="181"/>
      <c r="F938" s="181"/>
      <c r="G938" s="181"/>
      <c r="H938" s="181"/>
      <c r="I938" s="181"/>
      <c r="J938" s="181"/>
      <c r="K938" s="181"/>
      <c r="L938" s="181"/>
      <c r="M938" s="181"/>
      <c r="N938" s="181"/>
      <c r="O938" s="181"/>
      <c r="P938" s="181"/>
      <c r="Q938" s="181"/>
      <c r="R938" s="181"/>
      <c r="S938" s="181"/>
      <c r="T938" s="181"/>
      <c r="U938" s="181"/>
      <c r="V938" s="181"/>
      <c r="W938" s="181"/>
      <c r="X938" s="181"/>
      <c r="Y938" s="181"/>
      <c r="Z938" s="181"/>
    </row>
    <row r="939" ht="14.25" customHeight="1">
      <c r="A939" s="181"/>
      <c r="B939" s="181"/>
      <c r="C939" s="181"/>
      <c r="D939" s="181"/>
      <c r="E939" s="181"/>
      <c r="F939" s="181"/>
      <c r="G939" s="181"/>
      <c r="H939" s="181"/>
      <c r="I939" s="181"/>
      <c r="J939" s="181"/>
      <c r="K939" s="181"/>
      <c r="L939" s="181"/>
      <c r="M939" s="181"/>
      <c r="N939" s="181"/>
      <c r="O939" s="181"/>
      <c r="P939" s="181"/>
      <c r="Q939" s="181"/>
      <c r="R939" s="181"/>
      <c r="S939" s="181"/>
      <c r="T939" s="181"/>
      <c r="U939" s="181"/>
      <c r="V939" s="181"/>
      <c r="W939" s="181"/>
      <c r="X939" s="181"/>
      <c r="Y939" s="181"/>
      <c r="Z939" s="181"/>
    </row>
    <row r="940" ht="14.25" customHeight="1">
      <c r="A940" s="181"/>
      <c r="B940" s="181"/>
      <c r="C940" s="181"/>
      <c r="D940" s="181"/>
      <c r="E940" s="181"/>
      <c r="F940" s="181"/>
      <c r="G940" s="181"/>
      <c r="H940" s="181"/>
      <c r="I940" s="181"/>
      <c r="J940" s="181"/>
      <c r="K940" s="181"/>
      <c r="L940" s="181"/>
      <c r="M940" s="181"/>
      <c r="N940" s="181"/>
      <c r="O940" s="181"/>
      <c r="P940" s="181"/>
      <c r="Q940" s="181"/>
      <c r="R940" s="181"/>
      <c r="S940" s="181"/>
      <c r="T940" s="181"/>
      <c r="U940" s="181"/>
      <c r="V940" s="181"/>
      <c r="W940" s="181"/>
      <c r="X940" s="181"/>
      <c r="Y940" s="181"/>
      <c r="Z940" s="181"/>
    </row>
    <row r="941" ht="14.25" customHeight="1">
      <c r="A941" s="181"/>
      <c r="B941" s="181"/>
      <c r="C941" s="181"/>
      <c r="D941" s="181"/>
      <c r="E941" s="181"/>
      <c r="F941" s="181"/>
      <c r="G941" s="181"/>
      <c r="H941" s="181"/>
      <c r="I941" s="181"/>
      <c r="J941" s="181"/>
      <c r="K941" s="181"/>
      <c r="L941" s="181"/>
      <c r="M941" s="181"/>
      <c r="N941" s="181"/>
      <c r="O941" s="181"/>
      <c r="P941" s="181"/>
      <c r="Q941" s="181"/>
      <c r="R941" s="181"/>
      <c r="S941" s="181"/>
      <c r="T941" s="181"/>
      <c r="U941" s="181"/>
      <c r="V941" s="181"/>
      <c r="W941" s="181"/>
      <c r="X941" s="181"/>
      <c r="Y941" s="181"/>
      <c r="Z941" s="181"/>
    </row>
    <row r="942" ht="14.25" customHeight="1">
      <c r="A942" s="181"/>
      <c r="B942" s="181"/>
      <c r="C942" s="181"/>
      <c r="D942" s="181"/>
      <c r="E942" s="181"/>
      <c r="F942" s="181"/>
      <c r="G942" s="181"/>
      <c r="H942" s="181"/>
      <c r="I942" s="181"/>
      <c r="J942" s="181"/>
      <c r="K942" s="181"/>
      <c r="L942" s="181"/>
      <c r="M942" s="181"/>
      <c r="N942" s="181"/>
      <c r="O942" s="181"/>
      <c r="P942" s="181"/>
      <c r="Q942" s="181"/>
      <c r="R942" s="181"/>
      <c r="S942" s="181"/>
      <c r="T942" s="181"/>
      <c r="U942" s="181"/>
      <c r="V942" s="181"/>
      <c r="W942" s="181"/>
      <c r="X942" s="181"/>
      <c r="Y942" s="181"/>
      <c r="Z942" s="181"/>
    </row>
    <row r="943" ht="14.25" customHeight="1">
      <c r="A943" s="181"/>
      <c r="B943" s="181"/>
      <c r="C943" s="181"/>
      <c r="D943" s="181"/>
      <c r="E943" s="181"/>
      <c r="F943" s="181"/>
      <c r="G943" s="181"/>
      <c r="H943" s="181"/>
      <c r="I943" s="181"/>
      <c r="J943" s="181"/>
      <c r="K943" s="181"/>
      <c r="L943" s="181"/>
      <c r="M943" s="181"/>
      <c r="N943" s="181"/>
      <c r="O943" s="181"/>
      <c r="P943" s="181"/>
      <c r="Q943" s="181"/>
      <c r="R943" s="181"/>
      <c r="S943" s="181"/>
      <c r="T943" s="181"/>
      <c r="U943" s="181"/>
      <c r="V943" s="181"/>
      <c r="W943" s="181"/>
      <c r="X943" s="181"/>
      <c r="Y943" s="181"/>
      <c r="Z943" s="181"/>
    </row>
    <row r="944" ht="14.25" customHeight="1">
      <c r="A944" s="181"/>
      <c r="B944" s="181"/>
      <c r="C944" s="181"/>
      <c r="D944" s="181"/>
      <c r="E944" s="181"/>
      <c r="F944" s="181"/>
      <c r="G944" s="181"/>
      <c r="H944" s="181"/>
      <c r="I944" s="181"/>
      <c r="J944" s="181"/>
      <c r="K944" s="181"/>
      <c r="L944" s="181"/>
      <c r="M944" s="181"/>
      <c r="N944" s="181"/>
      <c r="O944" s="181"/>
      <c r="P944" s="181"/>
      <c r="Q944" s="181"/>
      <c r="R944" s="181"/>
      <c r="S944" s="181"/>
      <c r="T944" s="181"/>
      <c r="U944" s="181"/>
      <c r="V944" s="181"/>
      <c r="W944" s="181"/>
      <c r="X944" s="181"/>
      <c r="Y944" s="181"/>
      <c r="Z944" s="181"/>
    </row>
    <row r="945" ht="14.25" customHeight="1">
      <c r="A945" s="181"/>
      <c r="B945" s="181"/>
      <c r="C945" s="181"/>
      <c r="D945" s="181"/>
      <c r="E945" s="181"/>
      <c r="F945" s="181"/>
      <c r="G945" s="181"/>
      <c r="H945" s="181"/>
      <c r="I945" s="181"/>
      <c r="J945" s="181"/>
      <c r="K945" s="181"/>
      <c r="L945" s="181"/>
      <c r="M945" s="181"/>
      <c r="N945" s="181"/>
      <c r="O945" s="181"/>
      <c r="P945" s="181"/>
      <c r="Q945" s="181"/>
      <c r="R945" s="181"/>
      <c r="S945" s="181"/>
      <c r="T945" s="181"/>
      <c r="U945" s="181"/>
      <c r="V945" s="181"/>
      <c r="W945" s="181"/>
      <c r="X945" s="181"/>
      <c r="Y945" s="181"/>
      <c r="Z945" s="181"/>
    </row>
    <row r="946" ht="14.25" customHeight="1">
      <c r="A946" s="181"/>
      <c r="B946" s="181"/>
      <c r="C946" s="181"/>
      <c r="D946" s="181"/>
      <c r="E946" s="181"/>
      <c r="F946" s="181"/>
      <c r="G946" s="181"/>
      <c r="H946" s="181"/>
      <c r="I946" s="181"/>
      <c r="J946" s="181"/>
      <c r="K946" s="181"/>
      <c r="L946" s="181"/>
      <c r="M946" s="181"/>
      <c r="N946" s="181"/>
      <c r="O946" s="181"/>
      <c r="P946" s="181"/>
      <c r="Q946" s="181"/>
      <c r="R946" s="181"/>
      <c r="S946" s="181"/>
      <c r="T946" s="181"/>
      <c r="U946" s="181"/>
      <c r="V946" s="181"/>
      <c r="W946" s="181"/>
      <c r="X946" s="181"/>
      <c r="Y946" s="181"/>
      <c r="Z946" s="181"/>
    </row>
    <row r="947" ht="14.25" customHeight="1">
      <c r="A947" s="181"/>
      <c r="B947" s="181"/>
      <c r="C947" s="181"/>
      <c r="D947" s="181"/>
      <c r="E947" s="181"/>
      <c r="F947" s="181"/>
      <c r="G947" s="181"/>
      <c r="H947" s="181"/>
      <c r="I947" s="181"/>
      <c r="J947" s="181"/>
      <c r="K947" s="181"/>
      <c r="L947" s="181"/>
      <c r="M947" s="181"/>
      <c r="N947" s="181"/>
      <c r="O947" s="181"/>
      <c r="P947" s="181"/>
      <c r="Q947" s="181"/>
      <c r="R947" s="181"/>
      <c r="S947" s="181"/>
      <c r="T947" s="181"/>
      <c r="U947" s="181"/>
      <c r="V947" s="181"/>
      <c r="W947" s="181"/>
      <c r="X947" s="181"/>
      <c r="Y947" s="181"/>
      <c r="Z947" s="181"/>
    </row>
    <row r="948" ht="14.25" customHeight="1">
      <c r="A948" s="181"/>
      <c r="B948" s="181"/>
      <c r="C948" s="181"/>
      <c r="D948" s="181"/>
      <c r="E948" s="181"/>
      <c r="F948" s="181"/>
      <c r="G948" s="181"/>
      <c r="H948" s="181"/>
      <c r="I948" s="181"/>
      <c r="J948" s="181"/>
      <c r="K948" s="181"/>
      <c r="L948" s="181"/>
      <c r="M948" s="181"/>
      <c r="N948" s="181"/>
      <c r="O948" s="181"/>
      <c r="P948" s="181"/>
      <c r="Q948" s="181"/>
      <c r="R948" s="181"/>
      <c r="S948" s="181"/>
      <c r="T948" s="181"/>
      <c r="U948" s="181"/>
      <c r="V948" s="181"/>
      <c r="W948" s="181"/>
      <c r="X948" s="181"/>
      <c r="Y948" s="181"/>
      <c r="Z948" s="181"/>
    </row>
    <row r="949" ht="14.25" customHeight="1">
      <c r="A949" s="181"/>
      <c r="B949" s="181"/>
      <c r="C949" s="181"/>
      <c r="D949" s="181"/>
      <c r="E949" s="181"/>
      <c r="F949" s="181"/>
      <c r="G949" s="181"/>
      <c r="H949" s="181"/>
      <c r="I949" s="181"/>
      <c r="J949" s="181"/>
      <c r="K949" s="181"/>
      <c r="L949" s="181"/>
      <c r="M949" s="181"/>
      <c r="N949" s="181"/>
      <c r="O949" s="181"/>
      <c r="P949" s="181"/>
      <c r="Q949" s="181"/>
      <c r="R949" s="181"/>
      <c r="S949" s="181"/>
      <c r="T949" s="181"/>
      <c r="U949" s="181"/>
      <c r="V949" s="181"/>
      <c r="W949" s="181"/>
      <c r="X949" s="181"/>
      <c r="Y949" s="181"/>
      <c r="Z949" s="181"/>
    </row>
    <row r="950" ht="14.25" customHeight="1">
      <c r="A950" s="181"/>
      <c r="B950" s="181"/>
      <c r="C950" s="181"/>
      <c r="D950" s="181"/>
      <c r="E950" s="181"/>
      <c r="F950" s="181"/>
      <c r="G950" s="181"/>
      <c r="H950" s="181"/>
      <c r="I950" s="181"/>
      <c r="J950" s="181"/>
      <c r="K950" s="181"/>
      <c r="L950" s="181"/>
      <c r="M950" s="181"/>
      <c r="N950" s="181"/>
      <c r="O950" s="181"/>
      <c r="P950" s="181"/>
      <c r="Q950" s="181"/>
      <c r="R950" s="181"/>
      <c r="S950" s="181"/>
      <c r="T950" s="181"/>
      <c r="U950" s="181"/>
      <c r="V950" s="181"/>
      <c r="W950" s="181"/>
      <c r="X950" s="181"/>
      <c r="Y950" s="181"/>
      <c r="Z950" s="181"/>
    </row>
    <row r="951" ht="14.25" customHeight="1">
      <c r="A951" s="181"/>
      <c r="B951" s="181"/>
      <c r="C951" s="181"/>
      <c r="D951" s="181"/>
      <c r="E951" s="181"/>
      <c r="F951" s="181"/>
      <c r="G951" s="181"/>
      <c r="H951" s="181"/>
      <c r="I951" s="181"/>
      <c r="J951" s="181"/>
      <c r="K951" s="181"/>
      <c r="L951" s="181"/>
      <c r="M951" s="181"/>
      <c r="N951" s="181"/>
      <c r="O951" s="181"/>
      <c r="P951" s="181"/>
      <c r="Q951" s="181"/>
      <c r="R951" s="181"/>
      <c r="S951" s="181"/>
      <c r="T951" s="181"/>
      <c r="U951" s="181"/>
      <c r="V951" s="181"/>
      <c r="W951" s="181"/>
      <c r="X951" s="181"/>
      <c r="Y951" s="181"/>
      <c r="Z951" s="181"/>
    </row>
    <row r="952" ht="14.25" customHeight="1">
      <c r="A952" s="181"/>
      <c r="B952" s="181"/>
      <c r="C952" s="181"/>
      <c r="D952" s="181"/>
      <c r="E952" s="181"/>
      <c r="F952" s="181"/>
      <c r="G952" s="181"/>
      <c r="H952" s="181"/>
      <c r="I952" s="181"/>
      <c r="J952" s="181"/>
      <c r="K952" s="181"/>
      <c r="L952" s="181"/>
      <c r="M952" s="181"/>
      <c r="N952" s="181"/>
      <c r="O952" s="181"/>
      <c r="P952" s="181"/>
      <c r="Q952" s="181"/>
      <c r="R952" s="181"/>
      <c r="S952" s="181"/>
      <c r="T952" s="181"/>
      <c r="U952" s="181"/>
      <c r="V952" s="181"/>
      <c r="W952" s="181"/>
      <c r="X952" s="181"/>
      <c r="Y952" s="181"/>
      <c r="Z952" s="181"/>
    </row>
    <row r="953" ht="14.25" customHeight="1">
      <c r="A953" s="181"/>
      <c r="B953" s="181"/>
      <c r="C953" s="181"/>
      <c r="D953" s="181"/>
      <c r="E953" s="181"/>
      <c r="F953" s="181"/>
      <c r="G953" s="181"/>
      <c r="H953" s="181"/>
      <c r="I953" s="181"/>
      <c r="J953" s="181"/>
      <c r="K953" s="181"/>
      <c r="L953" s="181"/>
      <c r="M953" s="181"/>
      <c r="N953" s="181"/>
      <c r="O953" s="181"/>
      <c r="P953" s="181"/>
      <c r="Q953" s="181"/>
      <c r="R953" s="181"/>
      <c r="S953" s="181"/>
      <c r="T953" s="181"/>
      <c r="U953" s="181"/>
      <c r="V953" s="181"/>
      <c r="W953" s="181"/>
      <c r="X953" s="181"/>
      <c r="Y953" s="181"/>
      <c r="Z953" s="181"/>
    </row>
    <row r="954" ht="14.25" customHeight="1">
      <c r="A954" s="181"/>
      <c r="B954" s="181"/>
      <c r="C954" s="181"/>
      <c r="D954" s="181"/>
      <c r="E954" s="181"/>
      <c r="F954" s="181"/>
      <c r="G954" s="181"/>
      <c r="H954" s="181"/>
      <c r="I954" s="181"/>
      <c r="J954" s="181"/>
      <c r="K954" s="181"/>
      <c r="L954" s="181"/>
      <c r="M954" s="181"/>
      <c r="N954" s="181"/>
      <c r="O954" s="181"/>
      <c r="P954" s="181"/>
      <c r="Q954" s="181"/>
      <c r="R954" s="181"/>
      <c r="S954" s="181"/>
      <c r="T954" s="181"/>
      <c r="U954" s="181"/>
      <c r="V954" s="181"/>
      <c r="W954" s="181"/>
      <c r="X954" s="181"/>
      <c r="Y954" s="181"/>
      <c r="Z954" s="181"/>
    </row>
    <row r="955" ht="14.25" customHeight="1">
      <c r="A955" s="181"/>
      <c r="B955" s="181"/>
      <c r="C955" s="181"/>
      <c r="D955" s="181"/>
      <c r="E955" s="181"/>
      <c r="F955" s="181"/>
      <c r="G955" s="181"/>
      <c r="H955" s="181"/>
      <c r="I955" s="181"/>
      <c r="J955" s="181"/>
      <c r="K955" s="181"/>
      <c r="L955" s="181"/>
      <c r="M955" s="181"/>
      <c r="N955" s="181"/>
      <c r="O955" s="181"/>
      <c r="P955" s="181"/>
      <c r="Q955" s="181"/>
      <c r="R955" s="181"/>
      <c r="S955" s="181"/>
      <c r="T955" s="181"/>
      <c r="U955" s="181"/>
      <c r="V955" s="181"/>
      <c r="W955" s="181"/>
      <c r="X955" s="181"/>
      <c r="Y955" s="181"/>
      <c r="Z955" s="181"/>
    </row>
    <row r="956" ht="14.25" customHeight="1">
      <c r="A956" s="181"/>
      <c r="B956" s="181"/>
      <c r="C956" s="181"/>
      <c r="D956" s="181"/>
      <c r="E956" s="181"/>
      <c r="F956" s="181"/>
      <c r="G956" s="181"/>
      <c r="H956" s="181"/>
      <c r="I956" s="181"/>
      <c r="J956" s="181"/>
      <c r="K956" s="181"/>
      <c r="L956" s="181"/>
      <c r="M956" s="181"/>
      <c r="N956" s="181"/>
      <c r="O956" s="181"/>
      <c r="P956" s="181"/>
      <c r="Q956" s="181"/>
      <c r="R956" s="181"/>
      <c r="S956" s="181"/>
      <c r="T956" s="181"/>
      <c r="U956" s="181"/>
      <c r="V956" s="181"/>
      <c r="W956" s="181"/>
      <c r="X956" s="181"/>
      <c r="Y956" s="181"/>
      <c r="Z956" s="181"/>
    </row>
    <row r="957" ht="14.25" customHeight="1">
      <c r="A957" s="181"/>
      <c r="B957" s="181"/>
      <c r="C957" s="181"/>
      <c r="D957" s="181"/>
      <c r="E957" s="181"/>
      <c r="F957" s="181"/>
      <c r="G957" s="181"/>
      <c r="H957" s="181"/>
      <c r="I957" s="181"/>
      <c r="J957" s="181"/>
      <c r="K957" s="181"/>
      <c r="L957" s="181"/>
      <c r="M957" s="181"/>
      <c r="N957" s="181"/>
      <c r="O957" s="181"/>
      <c r="P957" s="181"/>
      <c r="Q957" s="181"/>
      <c r="R957" s="181"/>
      <c r="S957" s="181"/>
      <c r="T957" s="181"/>
      <c r="U957" s="181"/>
      <c r="V957" s="181"/>
      <c r="W957" s="181"/>
      <c r="X957" s="181"/>
      <c r="Y957" s="181"/>
      <c r="Z957" s="181"/>
    </row>
    <row r="958" ht="14.25" customHeight="1">
      <c r="A958" s="181"/>
      <c r="B958" s="181"/>
      <c r="C958" s="181"/>
      <c r="D958" s="181"/>
      <c r="E958" s="181"/>
      <c r="F958" s="181"/>
      <c r="G958" s="181"/>
      <c r="H958" s="181"/>
      <c r="I958" s="181"/>
      <c r="J958" s="181"/>
      <c r="K958" s="181"/>
      <c r="L958" s="181"/>
      <c r="M958" s="181"/>
      <c r="N958" s="181"/>
      <c r="O958" s="181"/>
      <c r="P958" s="181"/>
      <c r="Q958" s="181"/>
      <c r="R958" s="181"/>
      <c r="S958" s="181"/>
      <c r="T958" s="181"/>
      <c r="U958" s="181"/>
      <c r="V958" s="181"/>
      <c r="W958" s="181"/>
      <c r="X958" s="181"/>
      <c r="Y958" s="181"/>
      <c r="Z958" s="181"/>
    </row>
    <row r="959" ht="14.25" customHeight="1">
      <c r="A959" s="181"/>
      <c r="B959" s="181"/>
      <c r="C959" s="181"/>
      <c r="D959" s="181"/>
      <c r="E959" s="181"/>
      <c r="F959" s="181"/>
      <c r="G959" s="181"/>
      <c r="H959" s="181"/>
      <c r="I959" s="181"/>
      <c r="J959" s="181"/>
      <c r="K959" s="181"/>
      <c r="L959" s="181"/>
      <c r="M959" s="181"/>
      <c r="N959" s="181"/>
      <c r="O959" s="181"/>
      <c r="P959" s="181"/>
      <c r="Q959" s="181"/>
      <c r="R959" s="181"/>
      <c r="S959" s="181"/>
      <c r="T959" s="181"/>
      <c r="U959" s="181"/>
      <c r="V959" s="181"/>
      <c r="W959" s="181"/>
      <c r="X959" s="181"/>
      <c r="Y959" s="181"/>
      <c r="Z959" s="181"/>
    </row>
    <row r="960" ht="14.25" customHeight="1">
      <c r="A960" s="181"/>
      <c r="B960" s="181"/>
      <c r="C960" s="181"/>
      <c r="D960" s="181"/>
      <c r="E960" s="181"/>
      <c r="F960" s="181"/>
      <c r="G960" s="181"/>
      <c r="H960" s="181"/>
      <c r="I960" s="181"/>
      <c r="J960" s="181"/>
      <c r="K960" s="181"/>
      <c r="L960" s="181"/>
      <c r="M960" s="181"/>
      <c r="N960" s="181"/>
      <c r="O960" s="181"/>
      <c r="P960" s="181"/>
      <c r="Q960" s="181"/>
      <c r="R960" s="181"/>
      <c r="S960" s="181"/>
      <c r="T960" s="181"/>
      <c r="U960" s="181"/>
      <c r="V960" s="181"/>
      <c r="W960" s="181"/>
      <c r="X960" s="181"/>
      <c r="Y960" s="181"/>
      <c r="Z960" s="181"/>
    </row>
    <row r="961" ht="14.25" customHeight="1">
      <c r="A961" s="181"/>
      <c r="B961" s="181"/>
      <c r="C961" s="181"/>
      <c r="D961" s="181"/>
      <c r="E961" s="181"/>
      <c r="F961" s="181"/>
      <c r="G961" s="181"/>
      <c r="H961" s="181"/>
      <c r="I961" s="181"/>
      <c r="J961" s="181"/>
      <c r="K961" s="181"/>
      <c r="L961" s="181"/>
      <c r="M961" s="181"/>
      <c r="N961" s="181"/>
      <c r="O961" s="181"/>
      <c r="P961" s="181"/>
      <c r="Q961" s="181"/>
      <c r="R961" s="181"/>
      <c r="S961" s="181"/>
      <c r="T961" s="181"/>
      <c r="U961" s="181"/>
      <c r="V961" s="181"/>
      <c r="W961" s="181"/>
      <c r="X961" s="181"/>
      <c r="Y961" s="181"/>
      <c r="Z961" s="181"/>
    </row>
    <row r="962" ht="14.25" customHeight="1">
      <c r="A962" s="181"/>
      <c r="B962" s="181"/>
      <c r="C962" s="181"/>
      <c r="D962" s="181"/>
      <c r="E962" s="181"/>
      <c r="F962" s="181"/>
      <c r="G962" s="181"/>
      <c r="H962" s="181"/>
      <c r="I962" s="181"/>
      <c r="J962" s="181"/>
      <c r="K962" s="181"/>
      <c r="L962" s="181"/>
      <c r="M962" s="181"/>
      <c r="N962" s="181"/>
      <c r="O962" s="181"/>
      <c r="P962" s="181"/>
      <c r="Q962" s="181"/>
      <c r="R962" s="181"/>
      <c r="S962" s="181"/>
      <c r="T962" s="181"/>
      <c r="U962" s="181"/>
      <c r="V962" s="181"/>
      <c r="W962" s="181"/>
      <c r="X962" s="181"/>
      <c r="Y962" s="181"/>
      <c r="Z962" s="181"/>
    </row>
    <row r="963" ht="14.25" customHeight="1">
      <c r="A963" s="181"/>
      <c r="B963" s="181"/>
      <c r="C963" s="181"/>
      <c r="D963" s="181"/>
      <c r="E963" s="181"/>
      <c r="F963" s="181"/>
      <c r="G963" s="181"/>
      <c r="H963" s="181"/>
      <c r="I963" s="181"/>
      <c r="J963" s="181"/>
      <c r="K963" s="181"/>
      <c r="L963" s="181"/>
      <c r="M963" s="181"/>
      <c r="N963" s="181"/>
      <c r="O963" s="181"/>
      <c r="P963" s="181"/>
      <c r="Q963" s="181"/>
      <c r="R963" s="181"/>
      <c r="S963" s="181"/>
      <c r="T963" s="181"/>
      <c r="U963" s="181"/>
      <c r="V963" s="181"/>
      <c r="W963" s="181"/>
      <c r="X963" s="181"/>
      <c r="Y963" s="181"/>
      <c r="Z963" s="181"/>
    </row>
    <row r="964" ht="14.25" customHeight="1">
      <c r="A964" s="181"/>
      <c r="B964" s="181"/>
      <c r="C964" s="181"/>
      <c r="D964" s="181"/>
      <c r="E964" s="181"/>
      <c r="F964" s="181"/>
      <c r="G964" s="181"/>
      <c r="H964" s="181"/>
      <c r="I964" s="181"/>
      <c r="J964" s="181"/>
      <c r="K964" s="181"/>
      <c r="L964" s="181"/>
      <c r="M964" s="181"/>
      <c r="N964" s="181"/>
      <c r="O964" s="181"/>
      <c r="P964" s="181"/>
      <c r="Q964" s="181"/>
      <c r="R964" s="181"/>
      <c r="S964" s="181"/>
      <c r="T964" s="181"/>
      <c r="U964" s="181"/>
      <c r="V964" s="181"/>
      <c r="W964" s="181"/>
      <c r="X964" s="181"/>
      <c r="Y964" s="181"/>
      <c r="Z964" s="181"/>
    </row>
    <row r="965" ht="14.25" customHeight="1">
      <c r="A965" s="181"/>
      <c r="B965" s="181"/>
      <c r="C965" s="181"/>
      <c r="D965" s="181"/>
      <c r="E965" s="181"/>
      <c r="F965" s="181"/>
      <c r="G965" s="181"/>
      <c r="H965" s="181"/>
      <c r="I965" s="181"/>
      <c r="J965" s="181"/>
      <c r="K965" s="181"/>
      <c r="L965" s="181"/>
      <c r="M965" s="181"/>
      <c r="N965" s="181"/>
      <c r="O965" s="181"/>
      <c r="P965" s="181"/>
      <c r="Q965" s="181"/>
      <c r="R965" s="181"/>
      <c r="S965" s="181"/>
      <c r="T965" s="181"/>
      <c r="U965" s="181"/>
      <c r="V965" s="181"/>
      <c r="W965" s="181"/>
      <c r="X965" s="181"/>
      <c r="Y965" s="181"/>
      <c r="Z965" s="181"/>
    </row>
    <row r="966" ht="14.25" customHeight="1">
      <c r="A966" s="181"/>
      <c r="B966" s="181"/>
      <c r="C966" s="181"/>
      <c r="D966" s="181"/>
      <c r="E966" s="181"/>
      <c r="F966" s="181"/>
      <c r="G966" s="181"/>
      <c r="H966" s="181"/>
      <c r="I966" s="181"/>
      <c r="J966" s="181"/>
      <c r="K966" s="181"/>
      <c r="L966" s="181"/>
      <c r="M966" s="181"/>
      <c r="N966" s="181"/>
      <c r="O966" s="181"/>
      <c r="P966" s="181"/>
      <c r="Q966" s="181"/>
      <c r="R966" s="181"/>
      <c r="S966" s="181"/>
      <c r="T966" s="181"/>
      <c r="U966" s="181"/>
      <c r="V966" s="181"/>
      <c r="W966" s="181"/>
      <c r="X966" s="181"/>
      <c r="Y966" s="181"/>
      <c r="Z966" s="181"/>
    </row>
    <row r="967" ht="14.25" customHeight="1">
      <c r="A967" s="181"/>
      <c r="B967" s="181"/>
      <c r="C967" s="181"/>
      <c r="D967" s="181"/>
      <c r="E967" s="181"/>
      <c r="F967" s="181"/>
      <c r="G967" s="181"/>
      <c r="H967" s="181"/>
      <c r="I967" s="181"/>
      <c r="J967" s="181"/>
      <c r="K967" s="181"/>
      <c r="L967" s="181"/>
      <c r="M967" s="181"/>
      <c r="N967" s="181"/>
      <c r="O967" s="181"/>
      <c r="P967" s="181"/>
      <c r="Q967" s="181"/>
      <c r="R967" s="181"/>
      <c r="S967" s="181"/>
      <c r="T967" s="181"/>
      <c r="U967" s="181"/>
      <c r="V967" s="181"/>
      <c r="W967" s="181"/>
      <c r="X967" s="181"/>
      <c r="Y967" s="181"/>
      <c r="Z967" s="181"/>
    </row>
    <row r="968" ht="14.25" customHeight="1">
      <c r="A968" s="181"/>
      <c r="B968" s="181"/>
      <c r="C968" s="181"/>
      <c r="D968" s="181"/>
      <c r="E968" s="181"/>
      <c r="F968" s="181"/>
      <c r="G968" s="181"/>
      <c r="H968" s="181"/>
      <c r="I968" s="181"/>
      <c r="J968" s="181"/>
      <c r="K968" s="181"/>
      <c r="L968" s="181"/>
      <c r="M968" s="181"/>
      <c r="N968" s="181"/>
      <c r="O968" s="181"/>
      <c r="P968" s="181"/>
      <c r="Q968" s="181"/>
      <c r="R968" s="181"/>
      <c r="S968" s="181"/>
      <c r="T968" s="181"/>
      <c r="U968" s="181"/>
      <c r="V968" s="181"/>
      <c r="W968" s="181"/>
      <c r="X968" s="181"/>
      <c r="Y968" s="181"/>
      <c r="Z968" s="181"/>
    </row>
    <row r="969" ht="14.25" customHeight="1">
      <c r="A969" s="181"/>
      <c r="B969" s="181"/>
      <c r="C969" s="181"/>
      <c r="D969" s="181"/>
      <c r="E969" s="181"/>
      <c r="F969" s="181"/>
      <c r="G969" s="181"/>
      <c r="H969" s="181"/>
      <c r="I969" s="181"/>
      <c r="J969" s="181"/>
      <c r="K969" s="181"/>
      <c r="L969" s="181"/>
      <c r="M969" s="181"/>
      <c r="N969" s="181"/>
      <c r="O969" s="181"/>
      <c r="P969" s="181"/>
      <c r="Q969" s="181"/>
      <c r="R969" s="181"/>
      <c r="S969" s="181"/>
      <c r="T969" s="181"/>
      <c r="U969" s="181"/>
      <c r="V969" s="181"/>
      <c r="W969" s="181"/>
      <c r="X969" s="181"/>
      <c r="Y969" s="181"/>
      <c r="Z969" s="181"/>
    </row>
    <row r="970" ht="14.25" customHeight="1">
      <c r="A970" s="181"/>
      <c r="B970" s="181"/>
      <c r="C970" s="181"/>
      <c r="D970" s="181"/>
      <c r="E970" s="181"/>
      <c r="F970" s="181"/>
      <c r="G970" s="181"/>
      <c r="H970" s="181"/>
      <c r="I970" s="181"/>
      <c r="J970" s="181"/>
      <c r="K970" s="181"/>
      <c r="L970" s="181"/>
      <c r="M970" s="181"/>
      <c r="N970" s="181"/>
      <c r="O970" s="181"/>
      <c r="P970" s="181"/>
      <c r="Q970" s="181"/>
      <c r="R970" s="181"/>
      <c r="S970" s="181"/>
      <c r="T970" s="181"/>
      <c r="U970" s="181"/>
      <c r="V970" s="181"/>
      <c r="W970" s="181"/>
      <c r="X970" s="181"/>
      <c r="Y970" s="181"/>
      <c r="Z970" s="181"/>
    </row>
    <row r="971" ht="14.25" customHeight="1">
      <c r="A971" s="181"/>
      <c r="B971" s="181"/>
      <c r="C971" s="181"/>
      <c r="D971" s="181"/>
      <c r="E971" s="181"/>
      <c r="F971" s="181"/>
      <c r="G971" s="181"/>
      <c r="H971" s="181"/>
      <c r="I971" s="181"/>
      <c r="J971" s="181"/>
      <c r="K971" s="181"/>
      <c r="L971" s="181"/>
      <c r="M971" s="181"/>
      <c r="N971" s="181"/>
      <c r="O971" s="181"/>
      <c r="P971" s="181"/>
      <c r="Q971" s="181"/>
      <c r="R971" s="181"/>
      <c r="S971" s="181"/>
      <c r="T971" s="181"/>
      <c r="U971" s="181"/>
      <c r="V971" s="181"/>
      <c r="W971" s="181"/>
      <c r="X971" s="181"/>
      <c r="Y971" s="181"/>
      <c r="Z971" s="181"/>
    </row>
    <row r="972" ht="14.25" customHeight="1">
      <c r="A972" s="181"/>
      <c r="B972" s="181"/>
      <c r="C972" s="181"/>
      <c r="D972" s="181"/>
      <c r="E972" s="181"/>
      <c r="F972" s="181"/>
      <c r="G972" s="181"/>
      <c r="H972" s="181"/>
      <c r="I972" s="181"/>
      <c r="J972" s="181"/>
      <c r="K972" s="181"/>
      <c r="L972" s="181"/>
      <c r="M972" s="181"/>
      <c r="N972" s="181"/>
      <c r="O972" s="181"/>
      <c r="P972" s="181"/>
      <c r="Q972" s="181"/>
      <c r="R972" s="181"/>
      <c r="S972" s="181"/>
      <c r="T972" s="181"/>
      <c r="U972" s="181"/>
      <c r="V972" s="181"/>
      <c r="W972" s="181"/>
      <c r="X972" s="181"/>
      <c r="Y972" s="181"/>
      <c r="Z972" s="181"/>
    </row>
    <row r="973" ht="14.25" customHeight="1">
      <c r="A973" s="181"/>
      <c r="B973" s="181"/>
      <c r="C973" s="181"/>
      <c r="D973" s="181"/>
      <c r="E973" s="181"/>
      <c r="F973" s="181"/>
      <c r="G973" s="181"/>
      <c r="H973" s="181"/>
      <c r="I973" s="181"/>
      <c r="J973" s="181"/>
      <c r="K973" s="181"/>
      <c r="L973" s="181"/>
      <c r="M973" s="181"/>
      <c r="N973" s="181"/>
      <c r="O973" s="181"/>
      <c r="P973" s="181"/>
      <c r="Q973" s="181"/>
      <c r="R973" s="181"/>
      <c r="S973" s="181"/>
      <c r="T973" s="181"/>
      <c r="U973" s="181"/>
      <c r="V973" s="181"/>
      <c r="W973" s="181"/>
      <c r="X973" s="181"/>
      <c r="Y973" s="181"/>
      <c r="Z973" s="181"/>
    </row>
    <row r="974" ht="14.25" customHeight="1">
      <c r="A974" s="181"/>
      <c r="B974" s="181"/>
      <c r="C974" s="181"/>
      <c r="D974" s="181"/>
      <c r="E974" s="181"/>
      <c r="F974" s="181"/>
      <c r="G974" s="181"/>
      <c r="H974" s="181"/>
      <c r="I974" s="181"/>
      <c r="J974" s="181"/>
      <c r="K974" s="181"/>
      <c r="L974" s="181"/>
      <c r="M974" s="181"/>
      <c r="N974" s="181"/>
      <c r="O974" s="181"/>
      <c r="P974" s="181"/>
      <c r="Q974" s="181"/>
      <c r="R974" s="181"/>
      <c r="S974" s="181"/>
      <c r="T974" s="181"/>
      <c r="U974" s="181"/>
      <c r="V974" s="181"/>
      <c r="W974" s="181"/>
      <c r="X974" s="181"/>
      <c r="Y974" s="181"/>
      <c r="Z974" s="181"/>
    </row>
    <row r="975" ht="14.25" customHeight="1">
      <c r="A975" s="181"/>
      <c r="B975" s="181"/>
      <c r="C975" s="181"/>
      <c r="D975" s="181"/>
      <c r="E975" s="181"/>
      <c r="F975" s="181"/>
      <c r="G975" s="181"/>
      <c r="H975" s="181"/>
      <c r="I975" s="181"/>
      <c r="J975" s="181"/>
      <c r="K975" s="181"/>
      <c r="L975" s="181"/>
      <c r="M975" s="181"/>
      <c r="N975" s="181"/>
      <c r="O975" s="181"/>
      <c r="P975" s="181"/>
      <c r="Q975" s="181"/>
      <c r="R975" s="181"/>
      <c r="S975" s="181"/>
      <c r="T975" s="181"/>
      <c r="U975" s="181"/>
      <c r="V975" s="181"/>
      <c r="W975" s="181"/>
      <c r="X975" s="181"/>
      <c r="Y975" s="181"/>
      <c r="Z975" s="181"/>
    </row>
    <row r="976" ht="14.25" customHeight="1">
      <c r="A976" s="181"/>
      <c r="B976" s="181"/>
      <c r="C976" s="181"/>
      <c r="D976" s="181"/>
      <c r="E976" s="181"/>
      <c r="F976" s="181"/>
      <c r="G976" s="181"/>
      <c r="H976" s="181"/>
      <c r="I976" s="181"/>
      <c r="J976" s="181"/>
      <c r="K976" s="181"/>
      <c r="L976" s="181"/>
      <c r="M976" s="181"/>
      <c r="N976" s="181"/>
      <c r="O976" s="181"/>
      <c r="P976" s="181"/>
      <c r="Q976" s="181"/>
      <c r="R976" s="181"/>
      <c r="S976" s="181"/>
      <c r="T976" s="181"/>
      <c r="U976" s="181"/>
      <c r="V976" s="181"/>
      <c r="W976" s="181"/>
      <c r="X976" s="181"/>
      <c r="Y976" s="181"/>
      <c r="Z976" s="181"/>
    </row>
    <row r="977" ht="14.25" customHeight="1">
      <c r="A977" s="181"/>
      <c r="B977" s="181"/>
      <c r="C977" s="181"/>
      <c r="D977" s="181"/>
      <c r="E977" s="181"/>
      <c r="F977" s="181"/>
      <c r="G977" s="181"/>
      <c r="H977" s="181"/>
      <c r="I977" s="181"/>
      <c r="J977" s="181"/>
      <c r="K977" s="181"/>
      <c r="L977" s="181"/>
      <c r="M977" s="181"/>
      <c r="N977" s="181"/>
      <c r="O977" s="181"/>
      <c r="P977" s="181"/>
      <c r="Q977" s="181"/>
      <c r="R977" s="181"/>
      <c r="S977" s="181"/>
      <c r="T977" s="181"/>
      <c r="U977" s="181"/>
      <c r="V977" s="181"/>
      <c r="W977" s="181"/>
      <c r="X977" s="181"/>
      <c r="Y977" s="181"/>
      <c r="Z977" s="181"/>
    </row>
    <row r="978" ht="14.25" customHeight="1">
      <c r="A978" s="181"/>
      <c r="B978" s="181"/>
      <c r="C978" s="181"/>
      <c r="D978" s="181"/>
      <c r="E978" s="181"/>
      <c r="F978" s="181"/>
      <c r="G978" s="181"/>
      <c r="H978" s="181"/>
      <c r="I978" s="181"/>
      <c r="J978" s="181"/>
      <c r="K978" s="181"/>
      <c r="L978" s="181"/>
      <c r="M978" s="181"/>
      <c r="N978" s="181"/>
      <c r="O978" s="181"/>
      <c r="P978" s="181"/>
      <c r="Q978" s="181"/>
      <c r="R978" s="181"/>
      <c r="S978" s="181"/>
      <c r="T978" s="181"/>
      <c r="U978" s="181"/>
      <c r="V978" s="181"/>
      <c r="W978" s="181"/>
      <c r="X978" s="181"/>
      <c r="Y978" s="181"/>
      <c r="Z978" s="181"/>
    </row>
    <row r="979" ht="14.25" customHeight="1">
      <c r="A979" s="181"/>
      <c r="B979" s="181"/>
      <c r="C979" s="181"/>
      <c r="D979" s="181"/>
      <c r="E979" s="181"/>
      <c r="F979" s="181"/>
      <c r="G979" s="181"/>
      <c r="H979" s="181"/>
      <c r="I979" s="181"/>
      <c r="J979" s="181"/>
      <c r="K979" s="181"/>
      <c r="L979" s="181"/>
      <c r="M979" s="181"/>
      <c r="N979" s="181"/>
      <c r="O979" s="181"/>
      <c r="P979" s="181"/>
      <c r="Q979" s="181"/>
      <c r="R979" s="181"/>
      <c r="S979" s="181"/>
      <c r="T979" s="181"/>
      <c r="U979" s="181"/>
      <c r="V979" s="181"/>
      <c r="W979" s="181"/>
      <c r="X979" s="181"/>
      <c r="Y979" s="181"/>
      <c r="Z979" s="181"/>
    </row>
    <row r="980" ht="14.25" customHeight="1">
      <c r="A980" s="181"/>
      <c r="B980" s="181"/>
      <c r="C980" s="181"/>
      <c r="D980" s="181"/>
      <c r="E980" s="181"/>
      <c r="F980" s="181"/>
      <c r="G980" s="181"/>
      <c r="H980" s="181"/>
      <c r="I980" s="181"/>
      <c r="J980" s="181"/>
      <c r="K980" s="181"/>
      <c r="L980" s="181"/>
      <c r="M980" s="181"/>
      <c r="N980" s="181"/>
      <c r="O980" s="181"/>
      <c r="P980" s="181"/>
      <c r="Q980" s="181"/>
      <c r="R980" s="181"/>
      <c r="S980" s="181"/>
      <c r="T980" s="181"/>
      <c r="U980" s="181"/>
      <c r="V980" s="181"/>
      <c r="W980" s="181"/>
      <c r="X980" s="181"/>
      <c r="Y980" s="181"/>
      <c r="Z980" s="181"/>
    </row>
    <row r="981" ht="14.25" customHeight="1">
      <c r="A981" s="181"/>
      <c r="B981" s="181"/>
      <c r="C981" s="181"/>
      <c r="D981" s="181"/>
      <c r="E981" s="181"/>
      <c r="F981" s="181"/>
      <c r="G981" s="181"/>
      <c r="H981" s="181"/>
      <c r="I981" s="181"/>
      <c r="J981" s="181"/>
      <c r="K981" s="181"/>
      <c r="L981" s="181"/>
      <c r="M981" s="181"/>
      <c r="N981" s="181"/>
      <c r="O981" s="181"/>
      <c r="P981" s="181"/>
      <c r="Q981" s="181"/>
      <c r="R981" s="181"/>
      <c r="S981" s="181"/>
      <c r="T981" s="181"/>
      <c r="U981" s="181"/>
      <c r="V981" s="181"/>
      <c r="W981" s="181"/>
      <c r="X981" s="181"/>
      <c r="Y981" s="181"/>
      <c r="Z981" s="181"/>
    </row>
    <row r="982" ht="14.25" customHeight="1">
      <c r="A982" s="181"/>
      <c r="B982" s="181"/>
      <c r="C982" s="181"/>
      <c r="D982" s="181"/>
      <c r="E982" s="181"/>
      <c r="F982" s="181"/>
      <c r="G982" s="181"/>
      <c r="H982" s="181"/>
      <c r="I982" s="181"/>
      <c r="J982" s="181"/>
      <c r="K982" s="181"/>
      <c r="L982" s="181"/>
      <c r="M982" s="181"/>
      <c r="N982" s="181"/>
      <c r="O982" s="181"/>
      <c r="P982" s="181"/>
      <c r="Q982" s="181"/>
      <c r="R982" s="181"/>
      <c r="S982" s="181"/>
      <c r="T982" s="181"/>
      <c r="U982" s="181"/>
      <c r="V982" s="181"/>
      <c r="W982" s="181"/>
      <c r="X982" s="181"/>
      <c r="Y982" s="181"/>
      <c r="Z982" s="181"/>
    </row>
    <row r="983" ht="14.25" customHeight="1">
      <c r="A983" s="181"/>
      <c r="B983" s="181"/>
      <c r="C983" s="181"/>
      <c r="D983" s="181"/>
      <c r="E983" s="181"/>
      <c r="F983" s="181"/>
      <c r="G983" s="181"/>
      <c r="H983" s="181"/>
      <c r="I983" s="181"/>
      <c r="J983" s="181"/>
      <c r="K983" s="181"/>
      <c r="L983" s="181"/>
      <c r="M983" s="181"/>
      <c r="N983" s="181"/>
      <c r="O983" s="181"/>
      <c r="P983" s="181"/>
      <c r="Q983" s="181"/>
      <c r="R983" s="181"/>
      <c r="S983" s="181"/>
      <c r="T983" s="181"/>
      <c r="U983" s="181"/>
      <c r="V983" s="181"/>
      <c r="W983" s="181"/>
      <c r="X983" s="181"/>
      <c r="Y983" s="181"/>
      <c r="Z983" s="181"/>
    </row>
    <row r="984" ht="14.25" customHeight="1">
      <c r="A984" s="181"/>
      <c r="B984" s="181"/>
      <c r="C984" s="181"/>
      <c r="D984" s="181"/>
      <c r="E984" s="181"/>
      <c r="F984" s="181"/>
      <c r="G984" s="181"/>
      <c r="H984" s="181"/>
      <c r="I984" s="181"/>
      <c r="J984" s="181"/>
      <c r="K984" s="181"/>
      <c r="L984" s="181"/>
      <c r="M984" s="181"/>
      <c r="N984" s="181"/>
      <c r="O984" s="181"/>
      <c r="P984" s="181"/>
      <c r="Q984" s="181"/>
      <c r="R984" s="181"/>
      <c r="S984" s="181"/>
      <c r="T984" s="181"/>
      <c r="U984" s="181"/>
      <c r="V984" s="181"/>
      <c r="W984" s="181"/>
      <c r="X984" s="181"/>
      <c r="Y984" s="181"/>
      <c r="Z984" s="181"/>
    </row>
    <row r="985" ht="14.25" customHeight="1">
      <c r="A985" s="181"/>
      <c r="B985" s="181"/>
      <c r="C985" s="181"/>
      <c r="D985" s="181"/>
      <c r="E985" s="181"/>
      <c r="F985" s="181"/>
      <c r="G985" s="181"/>
      <c r="H985" s="181"/>
      <c r="I985" s="181"/>
      <c r="J985" s="181"/>
      <c r="K985" s="181"/>
      <c r="L985" s="181"/>
      <c r="M985" s="181"/>
      <c r="N985" s="181"/>
      <c r="O985" s="181"/>
      <c r="P985" s="181"/>
      <c r="Q985" s="181"/>
      <c r="R985" s="181"/>
      <c r="S985" s="181"/>
      <c r="T985" s="181"/>
      <c r="U985" s="181"/>
      <c r="V985" s="181"/>
      <c r="W985" s="181"/>
      <c r="X985" s="181"/>
      <c r="Y985" s="181"/>
      <c r="Z985" s="181"/>
    </row>
    <row r="986" ht="14.25" customHeight="1">
      <c r="A986" s="181"/>
      <c r="B986" s="181"/>
      <c r="C986" s="181"/>
      <c r="D986" s="181"/>
      <c r="E986" s="181"/>
      <c r="F986" s="181"/>
      <c r="G986" s="181"/>
      <c r="H986" s="181"/>
      <c r="I986" s="181"/>
      <c r="J986" s="181"/>
      <c r="K986" s="181"/>
      <c r="L986" s="181"/>
      <c r="M986" s="181"/>
      <c r="N986" s="181"/>
      <c r="O986" s="181"/>
      <c r="P986" s="181"/>
      <c r="Q986" s="181"/>
      <c r="R986" s="181"/>
      <c r="S986" s="181"/>
      <c r="T986" s="181"/>
      <c r="U986" s="181"/>
      <c r="V986" s="181"/>
      <c r="W986" s="181"/>
      <c r="X986" s="181"/>
      <c r="Y986" s="181"/>
      <c r="Z986" s="181"/>
    </row>
    <row r="987" ht="14.25" customHeight="1">
      <c r="A987" s="181"/>
      <c r="B987" s="181"/>
      <c r="C987" s="181"/>
      <c r="D987" s="181"/>
      <c r="E987" s="181"/>
      <c r="F987" s="181"/>
      <c r="G987" s="181"/>
      <c r="H987" s="181"/>
      <c r="I987" s="181"/>
      <c r="J987" s="181"/>
      <c r="K987" s="181"/>
      <c r="L987" s="181"/>
      <c r="M987" s="181"/>
      <c r="N987" s="181"/>
      <c r="O987" s="181"/>
      <c r="P987" s="181"/>
      <c r="Q987" s="181"/>
      <c r="R987" s="181"/>
      <c r="S987" s="181"/>
      <c r="T987" s="181"/>
      <c r="U987" s="181"/>
      <c r="V987" s="181"/>
      <c r="W987" s="181"/>
      <c r="X987" s="181"/>
      <c r="Y987" s="181"/>
      <c r="Z987" s="181"/>
    </row>
    <row r="988" ht="14.25" customHeight="1">
      <c r="A988" s="181"/>
      <c r="B988" s="181"/>
      <c r="C988" s="181"/>
      <c r="D988" s="181"/>
      <c r="E988" s="181"/>
      <c r="F988" s="181"/>
      <c r="G988" s="181"/>
      <c r="H988" s="181"/>
      <c r="I988" s="181"/>
      <c r="J988" s="181"/>
      <c r="K988" s="181"/>
      <c r="L988" s="181"/>
      <c r="M988" s="181"/>
      <c r="N988" s="181"/>
      <c r="O988" s="181"/>
      <c r="P988" s="181"/>
      <c r="Q988" s="181"/>
      <c r="R988" s="181"/>
      <c r="S988" s="181"/>
      <c r="T988" s="181"/>
      <c r="U988" s="181"/>
      <c r="V988" s="181"/>
      <c r="W988" s="181"/>
      <c r="X988" s="181"/>
      <c r="Y988" s="181"/>
      <c r="Z988" s="181"/>
    </row>
    <row r="989" ht="14.25" customHeight="1">
      <c r="A989" s="181"/>
      <c r="B989" s="181"/>
      <c r="C989" s="181"/>
      <c r="D989" s="181"/>
      <c r="E989" s="181"/>
      <c r="F989" s="181"/>
      <c r="G989" s="181"/>
      <c r="H989" s="181"/>
      <c r="I989" s="181"/>
      <c r="J989" s="181"/>
      <c r="K989" s="181"/>
      <c r="L989" s="181"/>
      <c r="M989" s="181"/>
      <c r="N989" s="181"/>
      <c r="O989" s="181"/>
      <c r="P989" s="181"/>
      <c r="Q989" s="181"/>
      <c r="R989" s="181"/>
      <c r="S989" s="181"/>
      <c r="T989" s="181"/>
      <c r="U989" s="181"/>
      <c r="V989" s="181"/>
      <c r="W989" s="181"/>
      <c r="X989" s="181"/>
      <c r="Y989" s="181"/>
      <c r="Z989" s="181"/>
    </row>
    <row r="990" ht="14.25" customHeight="1">
      <c r="A990" s="181"/>
      <c r="B990" s="181"/>
      <c r="C990" s="181"/>
      <c r="D990" s="181"/>
      <c r="E990" s="181"/>
      <c r="F990" s="181"/>
      <c r="G990" s="181"/>
      <c r="H990" s="181"/>
      <c r="I990" s="181"/>
      <c r="J990" s="181"/>
      <c r="K990" s="181"/>
      <c r="L990" s="181"/>
      <c r="M990" s="181"/>
      <c r="N990" s="181"/>
      <c r="O990" s="181"/>
      <c r="P990" s="181"/>
      <c r="Q990" s="181"/>
      <c r="R990" s="181"/>
      <c r="S990" s="181"/>
      <c r="T990" s="181"/>
      <c r="U990" s="181"/>
      <c r="V990" s="181"/>
      <c r="W990" s="181"/>
      <c r="X990" s="181"/>
      <c r="Y990" s="181"/>
      <c r="Z990" s="181"/>
    </row>
    <row r="991" ht="14.25" customHeight="1">
      <c r="A991" s="181"/>
      <c r="B991" s="181"/>
      <c r="C991" s="181"/>
      <c r="D991" s="181"/>
      <c r="E991" s="181"/>
      <c r="F991" s="181"/>
      <c r="G991" s="181"/>
      <c r="H991" s="181"/>
      <c r="I991" s="181"/>
      <c r="J991" s="181"/>
      <c r="K991" s="181"/>
      <c r="L991" s="181"/>
      <c r="M991" s="181"/>
      <c r="N991" s="181"/>
      <c r="O991" s="181"/>
      <c r="P991" s="181"/>
      <c r="Q991" s="181"/>
      <c r="R991" s="181"/>
      <c r="S991" s="181"/>
      <c r="T991" s="181"/>
      <c r="U991" s="181"/>
      <c r="V991" s="181"/>
      <c r="W991" s="181"/>
      <c r="X991" s="181"/>
      <c r="Y991" s="181"/>
      <c r="Z991" s="181"/>
    </row>
    <row r="992" ht="14.25" customHeight="1">
      <c r="A992" s="181"/>
      <c r="B992" s="181"/>
      <c r="C992" s="181"/>
      <c r="D992" s="181"/>
      <c r="E992" s="181"/>
      <c r="F992" s="181"/>
      <c r="G992" s="181"/>
      <c r="H992" s="181"/>
      <c r="I992" s="181"/>
      <c r="J992" s="181"/>
      <c r="K992" s="181"/>
      <c r="L992" s="181"/>
      <c r="M992" s="181"/>
      <c r="N992" s="181"/>
      <c r="O992" s="181"/>
      <c r="P992" s="181"/>
      <c r="Q992" s="181"/>
      <c r="R992" s="181"/>
      <c r="S992" s="181"/>
      <c r="T992" s="181"/>
      <c r="U992" s="181"/>
      <c r="V992" s="181"/>
      <c r="W992" s="181"/>
      <c r="X992" s="181"/>
      <c r="Y992" s="181"/>
      <c r="Z992" s="181"/>
    </row>
    <row r="993" ht="14.25" customHeight="1">
      <c r="A993" s="181"/>
      <c r="B993" s="181"/>
      <c r="C993" s="181"/>
      <c r="D993" s="181"/>
      <c r="E993" s="181"/>
      <c r="F993" s="181"/>
      <c r="G993" s="181"/>
      <c r="H993" s="181"/>
      <c r="I993" s="181"/>
      <c r="J993" s="181"/>
      <c r="K993" s="181"/>
      <c r="L993" s="181"/>
      <c r="M993" s="181"/>
      <c r="N993" s="181"/>
      <c r="O993" s="181"/>
      <c r="P993" s="181"/>
      <c r="Q993" s="181"/>
      <c r="R993" s="181"/>
      <c r="S993" s="181"/>
      <c r="T993" s="181"/>
      <c r="U993" s="181"/>
      <c r="V993" s="181"/>
      <c r="W993" s="181"/>
      <c r="X993" s="181"/>
      <c r="Y993" s="181"/>
      <c r="Z993" s="181"/>
    </row>
    <row r="994" ht="14.25" customHeight="1">
      <c r="A994" s="181"/>
      <c r="B994" s="181"/>
      <c r="C994" s="181"/>
      <c r="D994" s="181"/>
      <c r="E994" s="181"/>
      <c r="F994" s="181"/>
      <c r="G994" s="181"/>
      <c r="H994" s="181"/>
      <c r="I994" s="181"/>
      <c r="J994" s="181"/>
      <c r="K994" s="181"/>
      <c r="L994" s="181"/>
      <c r="M994" s="181"/>
      <c r="N994" s="181"/>
      <c r="O994" s="181"/>
      <c r="P994" s="181"/>
      <c r="Q994" s="181"/>
      <c r="R994" s="181"/>
      <c r="S994" s="181"/>
      <c r="T994" s="181"/>
      <c r="U994" s="181"/>
      <c r="V994" s="181"/>
      <c r="W994" s="181"/>
      <c r="X994" s="181"/>
      <c r="Y994" s="181"/>
      <c r="Z994" s="181"/>
    </row>
    <row r="995" ht="14.25" customHeight="1">
      <c r="A995" s="181"/>
      <c r="B995" s="181"/>
      <c r="C995" s="181"/>
      <c r="D995" s="181"/>
      <c r="E995" s="181"/>
      <c r="F995" s="181"/>
      <c r="G995" s="181"/>
      <c r="H995" s="181"/>
      <c r="I995" s="181"/>
      <c r="J995" s="181"/>
      <c r="K995" s="181"/>
      <c r="L995" s="181"/>
      <c r="M995" s="181"/>
      <c r="N995" s="181"/>
      <c r="O995" s="181"/>
      <c r="P995" s="181"/>
      <c r="Q995" s="181"/>
      <c r="R995" s="181"/>
      <c r="S995" s="181"/>
      <c r="T995" s="181"/>
      <c r="U995" s="181"/>
      <c r="V995" s="181"/>
      <c r="W995" s="181"/>
      <c r="X995" s="181"/>
      <c r="Y995" s="181"/>
      <c r="Z995" s="181"/>
    </row>
    <row r="996" ht="14.25" customHeight="1">
      <c r="A996" s="181"/>
      <c r="B996" s="181"/>
      <c r="C996" s="181"/>
      <c r="D996" s="181"/>
      <c r="E996" s="181"/>
      <c r="F996" s="181"/>
      <c r="G996" s="181"/>
      <c r="H996" s="181"/>
      <c r="I996" s="181"/>
      <c r="J996" s="181"/>
      <c r="K996" s="181"/>
      <c r="L996" s="181"/>
      <c r="M996" s="181"/>
      <c r="N996" s="181"/>
      <c r="O996" s="181"/>
      <c r="P996" s="181"/>
      <c r="Q996" s="181"/>
      <c r="R996" s="181"/>
      <c r="S996" s="181"/>
      <c r="T996" s="181"/>
      <c r="U996" s="181"/>
      <c r="V996" s="181"/>
      <c r="W996" s="181"/>
      <c r="X996" s="181"/>
      <c r="Y996" s="181"/>
      <c r="Z996" s="181"/>
    </row>
    <row r="997" ht="14.25" customHeight="1">
      <c r="A997" s="181"/>
      <c r="B997" s="181"/>
      <c r="C997" s="181"/>
      <c r="D997" s="181"/>
      <c r="E997" s="181"/>
      <c r="F997" s="181"/>
      <c r="G997" s="181"/>
      <c r="H997" s="181"/>
      <c r="I997" s="181"/>
      <c r="J997" s="181"/>
      <c r="K997" s="181"/>
      <c r="L997" s="181"/>
      <c r="M997" s="181"/>
      <c r="N997" s="181"/>
      <c r="O997" s="181"/>
      <c r="P997" s="181"/>
      <c r="Q997" s="181"/>
      <c r="R997" s="181"/>
      <c r="S997" s="181"/>
      <c r="T997" s="181"/>
      <c r="U997" s="181"/>
      <c r="V997" s="181"/>
      <c r="W997" s="181"/>
      <c r="X997" s="181"/>
      <c r="Y997" s="181"/>
      <c r="Z997" s="181"/>
    </row>
    <row r="998" ht="14.25" customHeight="1">
      <c r="A998" s="181"/>
      <c r="B998" s="181"/>
      <c r="C998" s="181"/>
      <c r="D998" s="181"/>
      <c r="E998" s="181"/>
      <c r="F998" s="181"/>
      <c r="G998" s="181"/>
      <c r="H998" s="181"/>
      <c r="I998" s="181"/>
      <c r="J998" s="181"/>
      <c r="K998" s="181"/>
      <c r="L998" s="181"/>
      <c r="M998" s="181"/>
      <c r="N998" s="181"/>
      <c r="O998" s="181"/>
      <c r="P998" s="181"/>
      <c r="Q998" s="181"/>
      <c r="R998" s="181"/>
      <c r="S998" s="181"/>
      <c r="T998" s="181"/>
      <c r="U998" s="181"/>
      <c r="V998" s="181"/>
      <c r="W998" s="181"/>
      <c r="X998" s="181"/>
      <c r="Y998" s="181"/>
      <c r="Z998" s="181"/>
    </row>
    <row r="999" ht="14.25" customHeight="1">
      <c r="A999" s="181"/>
      <c r="B999" s="181"/>
      <c r="C999" s="181"/>
      <c r="D999" s="181"/>
      <c r="E999" s="181"/>
      <c r="F999" s="181"/>
      <c r="G999" s="181"/>
      <c r="H999" s="181"/>
      <c r="I999" s="181"/>
      <c r="J999" s="181"/>
      <c r="K999" s="181"/>
      <c r="L999" s="181"/>
      <c r="M999" s="181"/>
      <c r="N999" s="181"/>
      <c r="O999" s="181"/>
      <c r="P999" s="181"/>
      <c r="Q999" s="181"/>
      <c r="R999" s="181"/>
      <c r="S999" s="181"/>
      <c r="T999" s="181"/>
      <c r="U999" s="181"/>
      <c r="V999" s="181"/>
      <c r="W999" s="181"/>
      <c r="X999" s="181"/>
      <c r="Y999" s="181"/>
      <c r="Z999" s="181"/>
    </row>
    <row r="1000" ht="14.25" customHeight="1">
      <c r="A1000" s="181"/>
      <c r="B1000" s="181"/>
      <c r="C1000" s="181"/>
      <c r="D1000" s="181"/>
      <c r="E1000" s="181"/>
      <c r="F1000" s="181"/>
      <c r="G1000" s="181"/>
      <c r="H1000" s="181"/>
      <c r="I1000" s="181"/>
      <c r="J1000" s="181"/>
      <c r="K1000" s="181"/>
      <c r="L1000" s="181"/>
      <c r="M1000" s="181"/>
      <c r="N1000" s="181"/>
      <c r="O1000" s="181"/>
      <c r="P1000" s="181"/>
      <c r="Q1000" s="181"/>
      <c r="R1000" s="181"/>
      <c r="S1000" s="181"/>
      <c r="T1000" s="181"/>
      <c r="U1000" s="181"/>
      <c r="V1000" s="181"/>
      <c r="W1000" s="181"/>
      <c r="X1000" s="181"/>
      <c r="Y1000" s="181"/>
      <c r="Z1000" s="181"/>
    </row>
  </sheetData>
  <printOptions/>
  <pageMargins bottom="0.75" footer="0.0" header="0.0" left="0.7" right="0.7" top="0.75"/>
  <pageSetup paperSize="9" orientation="portrait"/>
  <drawing r:id="rId1"/>
  <tableParts count="1">
    <tablePart r:id="rId3"/>
  </tableParts>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71"/>
    <col customWidth="1" min="2" max="9" width="12.57"/>
    <col customWidth="1" min="10" max="10" width="17.14"/>
    <col customWidth="1" min="11" max="15" width="12.57"/>
    <col customWidth="1" min="16" max="16" width="18.86"/>
    <col customWidth="1" min="17" max="20" width="12.57"/>
    <col customWidth="1" min="21" max="26" width="8.71"/>
  </cols>
  <sheetData>
    <row r="1" ht="14.25" customHeight="1">
      <c r="A1" s="180" t="s">
        <v>3</v>
      </c>
      <c r="B1" s="180" t="s">
        <v>2</v>
      </c>
      <c r="C1" s="180" t="s">
        <v>919</v>
      </c>
      <c r="D1" s="180" t="s">
        <v>920</v>
      </c>
      <c r="E1" s="180" t="s">
        <v>921</v>
      </c>
      <c r="F1" s="180" t="s">
        <v>922</v>
      </c>
      <c r="G1" s="180" t="s">
        <v>923</v>
      </c>
      <c r="H1" s="180" t="s">
        <v>924</v>
      </c>
      <c r="I1" s="180" t="s">
        <v>925</v>
      </c>
      <c r="J1" s="180" t="s">
        <v>926</v>
      </c>
      <c r="K1" s="180" t="s">
        <v>927</v>
      </c>
      <c r="L1" s="180" t="s">
        <v>928</v>
      </c>
      <c r="M1" s="180" t="s">
        <v>929</v>
      </c>
      <c r="N1" s="180" t="s">
        <v>930</v>
      </c>
      <c r="O1" s="180" t="s">
        <v>931</v>
      </c>
      <c r="P1" s="180" t="s">
        <v>932</v>
      </c>
      <c r="Q1" s="194" t="s">
        <v>933</v>
      </c>
      <c r="R1" s="180" t="s">
        <v>934</v>
      </c>
      <c r="S1" s="180" t="s">
        <v>935</v>
      </c>
      <c r="T1" s="180" t="s">
        <v>936</v>
      </c>
      <c r="U1" s="181"/>
      <c r="V1" s="181"/>
      <c r="W1" s="181"/>
      <c r="X1" s="181"/>
      <c r="Y1" s="181"/>
      <c r="Z1" s="181"/>
    </row>
    <row r="2" ht="14.25" customHeight="1">
      <c r="A2" s="183" t="s">
        <v>10</v>
      </c>
      <c r="B2" s="183" t="s">
        <v>13</v>
      </c>
      <c r="C2" s="183" t="s">
        <v>13</v>
      </c>
      <c r="D2" s="183" t="s">
        <v>937</v>
      </c>
      <c r="E2" s="183" t="s">
        <v>938</v>
      </c>
      <c r="F2" s="183" t="s">
        <v>939</v>
      </c>
      <c r="G2" s="183"/>
      <c r="H2" s="180"/>
      <c r="I2" s="180"/>
      <c r="J2" s="183" t="s">
        <v>940</v>
      </c>
      <c r="K2" s="183">
        <v>4050000.0</v>
      </c>
      <c r="L2" s="183">
        <v>1780000.0</v>
      </c>
      <c r="M2" s="183">
        <v>1320000.0</v>
      </c>
      <c r="N2" s="183">
        <v>5370000.0</v>
      </c>
      <c r="O2" s="183">
        <v>8925800.0</v>
      </c>
      <c r="P2" s="183">
        <v>3.2136E10</v>
      </c>
      <c r="Q2" s="180"/>
      <c r="R2" s="180">
        <f t="shared" ref="R2:R101" si="1">N2+O2</f>
        <v>14295800</v>
      </c>
      <c r="S2" s="180">
        <f t="shared" ref="S2:S101" si="2">O2/R2</f>
        <v>0.6243651982</v>
      </c>
      <c r="T2" s="180"/>
      <c r="U2" s="181"/>
      <c r="V2" s="181"/>
      <c r="W2" s="181"/>
      <c r="X2" s="181"/>
      <c r="Y2" s="181"/>
      <c r="Z2" s="181"/>
    </row>
    <row r="3" ht="14.25" customHeight="1">
      <c r="A3" s="183" t="s">
        <v>15</v>
      </c>
      <c r="B3" s="183" t="s">
        <v>18</v>
      </c>
      <c r="C3" s="183" t="s">
        <v>18</v>
      </c>
      <c r="D3" s="183" t="s">
        <v>937</v>
      </c>
      <c r="E3" s="183" t="s">
        <v>938</v>
      </c>
      <c r="F3" s="183" t="s">
        <v>941</v>
      </c>
      <c r="G3" s="183"/>
      <c r="H3" s="180"/>
      <c r="I3" s="180"/>
      <c r="J3" s="183" t="s">
        <v>942</v>
      </c>
      <c r="K3" s="183">
        <v>533000.0</v>
      </c>
      <c r="L3" s="183">
        <v>518000.0</v>
      </c>
      <c r="M3" s="183">
        <v>439000.0</v>
      </c>
      <c r="N3" s="183">
        <v>972000.0</v>
      </c>
      <c r="O3" s="183">
        <v>1.4363E7</v>
      </c>
      <c r="P3" s="183">
        <v>3.1904E10</v>
      </c>
      <c r="Q3" s="180"/>
      <c r="R3" s="180">
        <f t="shared" si="1"/>
        <v>15335000</v>
      </c>
      <c r="S3" s="180">
        <f t="shared" si="2"/>
        <v>0.9366155853</v>
      </c>
      <c r="T3" s="180"/>
      <c r="U3" s="181"/>
      <c r="V3" s="181"/>
      <c r="W3" s="181"/>
      <c r="X3" s="181"/>
      <c r="Y3" s="181"/>
      <c r="Z3" s="181"/>
    </row>
    <row r="4" ht="14.25" customHeight="1">
      <c r="A4" s="183" t="s">
        <v>20</v>
      </c>
      <c r="B4" s="183" t="s">
        <v>24</v>
      </c>
      <c r="C4" s="183" t="s">
        <v>24</v>
      </c>
      <c r="D4" s="183" t="s">
        <v>937</v>
      </c>
      <c r="E4" s="183" t="s">
        <v>938</v>
      </c>
      <c r="F4" s="183" t="s">
        <v>941</v>
      </c>
      <c r="G4" s="183"/>
      <c r="H4" s="180"/>
      <c r="I4" s="180"/>
      <c r="J4" s="183" t="s">
        <v>943</v>
      </c>
      <c r="K4" s="183">
        <v>314421.0</v>
      </c>
      <c r="L4" s="183">
        <v>308204.0</v>
      </c>
      <c r="M4" s="183">
        <v>249777.0</v>
      </c>
      <c r="N4" s="183">
        <v>564198.0</v>
      </c>
      <c r="O4" s="183">
        <v>1334209.0</v>
      </c>
      <c r="P4" s="183">
        <v>3.3266E10</v>
      </c>
      <c r="Q4" s="180"/>
      <c r="R4" s="180">
        <f t="shared" si="1"/>
        <v>1898407</v>
      </c>
      <c r="S4" s="180">
        <f t="shared" si="2"/>
        <v>0.7028045093</v>
      </c>
      <c r="T4" s="180"/>
      <c r="U4" s="181"/>
      <c r="V4" s="181"/>
      <c r="W4" s="181"/>
      <c r="X4" s="181"/>
      <c r="Y4" s="181"/>
      <c r="Z4" s="181"/>
    </row>
    <row r="5" ht="14.25" customHeight="1">
      <c r="A5" s="183" t="s">
        <v>26</v>
      </c>
      <c r="B5" s="183" t="s">
        <v>29</v>
      </c>
      <c r="C5" s="183" t="s">
        <v>29</v>
      </c>
      <c r="D5" s="183" t="s">
        <v>944</v>
      </c>
      <c r="E5" s="183" t="s">
        <v>945</v>
      </c>
      <c r="F5" s="183" t="s">
        <v>946</v>
      </c>
      <c r="G5" s="183"/>
      <c r="H5" s="180"/>
      <c r="I5" s="180"/>
      <c r="J5" s="183" t="s">
        <v>947</v>
      </c>
      <c r="K5" s="183">
        <v>18923.0</v>
      </c>
      <c r="L5" s="183">
        <v>281489.0</v>
      </c>
      <c r="M5" s="183">
        <v>214680.0</v>
      </c>
      <c r="N5" s="183">
        <v>233603.0</v>
      </c>
      <c r="O5" s="183">
        <v>932653.0</v>
      </c>
      <c r="P5" s="183">
        <v>4.32E10</v>
      </c>
      <c r="Q5" s="180"/>
      <c r="R5" s="180">
        <f t="shared" si="1"/>
        <v>1166256</v>
      </c>
      <c r="S5" s="180">
        <f t="shared" si="2"/>
        <v>0.799698351</v>
      </c>
      <c r="T5" s="180"/>
      <c r="U5" s="181"/>
      <c r="V5" s="181"/>
      <c r="W5" s="181"/>
      <c r="X5" s="181"/>
      <c r="Y5" s="181"/>
      <c r="Z5" s="181"/>
    </row>
    <row r="6" ht="14.25" customHeight="1">
      <c r="A6" s="183" t="s">
        <v>31</v>
      </c>
      <c r="B6" s="183" t="s">
        <v>35</v>
      </c>
      <c r="C6" s="183" t="s">
        <v>35</v>
      </c>
      <c r="D6" s="183" t="s">
        <v>937</v>
      </c>
      <c r="E6" s="183" t="s">
        <v>938</v>
      </c>
      <c r="F6" s="183" t="s">
        <v>946</v>
      </c>
      <c r="G6" s="183"/>
      <c r="H6" s="180"/>
      <c r="I6" s="180"/>
      <c r="J6" s="183" t="s">
        <v>947</v>
      </c>
      <c r="K6" s="183">
        <v>11816.0</v>
      </c>
      <c r="L6" s="183">
        <v>56113.0</v>
      </c>
      <c r="M6" s="183">
        <v>43526.0</v>
      </c>
      <c r="N6" s="183">
        <v>55342.0</v>
      </c>
      <c r="O6" s="183">
        <v>543411.87</v>
      </c>
      <c r="P6" s="183">
        <v>1.1171E10</v>
      </c>
      <c r="Q6" s="180"/>
      <c r="R6" s="180">
        <f t="shared" si="1"/>
        <v>598753.87</v>
      </c>
      <c r="S6" s="180">
        <f t="shared" si="2"/>
        <v>0.9075713699</v>
      </c>
      <c r="T6" s="180"/>
      <c r="U6" s="181"/>
      <c r="V6" s="181"/>
      <c r="W6" s="181"/>
      <c r="X6" s="181"/>
      <c r="Y6" s="181"/>
      <c r="Z6" s="181"/>
    </row>
    <row r="7" ht="14.25" customHeight="1">
      <c r="A7" s="183" t="s">
        <v>38</v>
      </c>
      <c r="B7" s="183" t="s">
        <v>42</v>
      </c>
      <c r="C7" s="183" t="s">
        <v>42</v>
      </c>
      <c r="D7" s="183" t="s">
        <v>937</v>
      </c>
      <c r="E7" s="183" t="s">
        <v>938</v>
      </c>
      <c r="F7" s="183" t="s">
        <v>946</v>
      </c>
      <c r="G7" s="183"/>
      <c r="H7" s="180"/>
      <c r="I7" s="180"/>
      <c r="J7" s="183" t="s">
        <v>948</v>
      </c>
      <c r="K7" s="183">
        <v>39230.0</v>
      </c>
      <c r="L7" s="183">
        <v>86863.0</v>
      </c>
      <c r="M7" s="183">
        <v>74230.0</v>
      </c>
      <c r="N7" s="183">
        <v>113460.0</v>
      </c>
      <c r="O7" s="183">
        <v>37589.0</v>
      </c>
      <c r="P7" s="183">
        <v>4.4675E10</v>
      </c>
      <c r="Q7" s="180"/>
      <c r="R7" s="180">
        <f t="shared" si="1"/>
        <v>151049</v>
      </c>
      <c r="S7" s="180">
        <f t="shared" si="2"/>
        <v>0.2488530212</v>
      </c>
      <c r="T7" s="180"/>
      <c r="U7" s="181"/>
      <c r="V7" s="181"/>
      <c r="W7" s="181"/>
      <c r="X7" s="181"/>
      <c r="Y7" s="181"/>
      <c r="Z7" s="181"/>
    </row>
    <row r="8" ht="14.25" customHeight="1">
      <c r="A8" s="183" t="s">
        <v>897</v>
      </c>
      <c r="B8" s="183" t="s">
        <v>898</v>
      </c>
      <c r="C8" s="183" t="s">
        <v>898</v>
      </c>
      <c r="D8" s="183" t="s">
        <v>937</v>
      </c>
      <c r="E8" s="183" t="s">
        <v>938</v>
      </c>
      <c r="F8" s="183" t="s">
        <v>946</v>
      </c>
      <c r="G8" s="183"/>
      <c r="H8" s="180"/>
      <c r="I8" s="180"/>
      <c r="J8" s="183" t="s">
        <v>949</v>
      </c>
      <c r="K8" s="183">
        <v>66686.0</v>
      </c>
      <c r="L8" s="183">
        <v>5116949.0</v>
      </c>
      <c r="M8" s="183">
        <v>794267.0</v>
      </c>
      <c r="N8" s="183">
        <v>860953.0</v>
      </c>
      <c r="O8" s="183">
        <v>1.1669E7</v>
      </c>
      <c r="P8" s="183">
        <v>1.61857E11</v>
      </c>
      <c r="Q8" s="180"/>
      <c r="R8" s="180">
        <f t="shared" si="1"/>
        <v>12529953</v>
      </c>
      <c r="S8" s="180">
        <f t="shared" si="2"/>
        <v>0.9312884095</v>
      </c>
      <c r="T8" s="180"/>
      <c r="U8" s="181"/>
      <c r="V8" s="181"/>
      <c r="W8" s="181"/>
      <c r="X8" s="181"/>
      <c r="Y8" s="181"/>
      <c r="Z8" s="181"/>
    </row>
    <row r="9" ht="14.25" customHeight="1">
      <c r="A9" s="183" t="s">
        <v>51</v>
      </c>
      <c r="B9" s="183" t="s">
        <v>55</v>
      </c>
      <c r="C9" s="183" t="s">
        <v>55</v>
      </c>
      <c r="D9" s="183" t="s">
        <v>937</v>
      </c>
      <c r="E9" s="183" t="s">
        <v>938</v>
      </c>
      <c r="F9" s="183" t="s">
        <v>950</v>
      </c>
      <c r="G9" s="183"/>
      <c r="H9" s="180"/>
      <c r="I9" s="180"/>
      <c r="J9" s="183" t="s">
        <v>951</v>
      </c>
      <c r="K9" s="183">
        <v>154507.0</v>
      </c>
      <c r="L9" s="183">
        <v>151259.0</v>
      </c>
      <c r="M9" s="183">
        <v>147909.0</v>
      </c>
      <c r="N9" s="183">
        <v>302416.0</v>
      </c>
      <c r="O9" s="183">
        <v>5568021.0</v>
      </c>
      <c r="P9" s="183">
        <v>2.5364E10</v>
      </c>
      <c r="Q9" s="180"/>
      <c r="R9" s="180">
        <f t="shared" si="1"/>
        <v>5870437</v>
      </c>
      <c r="S9" s="180">
        <f t="shared" si="2"/>
        <v>0.9484849254</v>
      </c>
      <c r="T9" s="180"/>
      <c r="U9" s="181"/>
      <c r="V9" s="181"/>
      <c r="W9" s="181"/>
      <c r="X9" s="181"/>
      <c r="Y9" s="181"/>
      <c r="Z9" s="181"/>
    </row>
    <row r="10" ht="14.25" customHeight="1">
      <c r="A10" s="183" t="s">
        <v>58</v>
      </c>
      <c r="B10" s="183" t="s">
        <v>60</v>
      </c>
      <c r="C10" s="183" t="s">
        <v>60</v>
      </c>
      <c r="D10" s="183" t="s">
        <v>937</v>
      </c>
      <c r="E10" s="183" t="s">
        <v>938</v>
      </c>
      <c r="F10" s="191"/>
      <c r="G10" s="183"/>
      <c r="H10" s="180"/>
      <c r="I10" s="180"/>
      <c r="J10" s="183"/>
      <c r="K10" s="183">
        <f>'GHG19'!C10</f>
        <v>5760000</v>
      </c>
      <c r="L10" s="183">
        <v>0.0</v>
      </c>
      <c r="M10" s="183">
        <f>'GHG19'!D10</f>
        <v>5500000</v>
      </c>
      <c r="N10" s="183">
        <f>M10+K10</f>
        <v>11260000</v>
      </c>
      <c r="O10" s="195">
        <f>'GHG19'!W10</f>
        <v>39910000</v>
      </c>
      <c r="P10" s="183">
        <v>2.8E11</v>
      </c>
      <c r="Q10" s="180"/>
      <c r="R10" s="196">
        <f t="shared" si="1"/>
        <v>51170000</v>
      </c>
      <c r="S10" s="180">
        <f t="shared" si="2"/>
        <v>0.779949189</v>
      </c>
      <c r="T10" s="180"/>
      <c r="U10" s="181"/>
      <c r="V10" s="181"/>
      <c r="W10" s="181"/>
      <c r="X10" s="181"/>
      <c r="Y10" s="181"/>
      <c r="Z10" s="181"/>
    </row>
    <row r="11" ht="14.25" customHeight="1">
      <c r="A11" s="183" t="s">
        <v>62</v>
      </c>
      <c r="B11" s="183" t="s">
        <v>65</v>
      </c>
      <c r="C11" s="183" t="s">
        <v>65</v>
      </c>
      <c r="D11" s="183" t="s">
        <v>937</v>
      </c>
      <c r="E11" s="183" t="s">
        <v>938</v>
      </c>
      <c r="F11" s="183" t="s">
        <v>946</v>
      </c>
      <c r="G11" s="183"/>
      <c r="H11" s="180"/>
      <c r="I11" s="180"/>
      <c r="J11" s="183" t="s">
        <v>948</v>
      </c>
      <c r="K11" s="183">
        <v>24363.0</v>
      </c>
      <c r="L11" s="183">
        <v>113964.0</v>
      </c>
      <c r="M11" s="183">
        <v>3153.0</v>
      </c>
      <c r="N11" s="183">
        <v>27516.0</v>
      </c>
      <c r="O11" s="183">
        <v>2169197.679</v>
      </c>
      <c r="P11" s="183">
        <v>4.3556E10</v>
      </c>
      <c r="Q11" s="180"/>
      <c r="R11" s="180">
        <f t="shared" si="1"/>
        <v>2196713.679</v>
      </c>
      <c r="S11" s="180">
        <f t="shared" si="2"/>
        <v>0.9874740162</v>
      </c>
      <c r="T11" s="180"/>
      <c r="U11" s="181"/>
      <c r="V11" s="181"/>
      <c r="W11" s="181"/>
      <c r="X11" s="181"/>
      <c r="Y11" s="181"/>
      <c r="Z11" s="181"/>
    </row>
    <row r="12" ht="14.25" customHeight="1">
      <c r="A12" s="183" t="s">
        <v>67</v>
      </c>
      <c r="B12" s="183" t="s">
        <v>71</v>
      </c>
      <c r="C12" s="183" t="s">
        <v>71</v>
      </c>
      <c r="D12" s="183" t="s">
        <v>937</v>
      </c>
      <c r="E12" s="183" t="s">
        <v>938</v>
      </c>
      <c r="F12" s="183" t="s">
        <v>946</v>
      </c>
      <c r="G12" s="183"/>
      <c r="H12" s="180"/>
      <c r="I12" s="180"/>
      <c r="J12" s="183" t="s">
        <v>948</v>
      </c>
      <c r="K12" s="183">
        <v>17121.0</v>
      </c>
      <c r="L12" s="183">
        <v>93781.0</v>
      </c>
      <c r="M12" s="183">
        <v>0.0</v>
      </c>
      <c r="N12" s="183">
        <v>110902.0</v>
      </c>
      <c r="O12" s="183">
        <v>44695.0</v>
      </c>
      <c r="P12" s="183">
        <v>4.975E10</v>
      </c>
      <c r="Q12" s="180"/>
      <c r="R12" s="180">
        <f t="shared" si="1"/>
        <v>155597</v>
      </c>
      <c r="S12" s="180">
        <f t="shared" si="2"/>
        <v>0.2872484688</v>
      </c>
      <c r="T12" s="180"/>
      <c r="U12" s="181"/>
      <c r="V12" s="181"/>
      <c r="W12" s="181"/>
      <c r="X12" s="181"/>
      <c r="Y12" s="181"/>
      <c r="Z12" s="181"/>
    </row>
    <row r="13" ht="14.25" customHeight="1">
      <c r="A13" s="183" t="s">
        <v>73</v>
      </c>
      <c r="B13" s="183" t="s">
        <v>76</v>
      </c>
      <c r="C13" s="183" t="s">
        <v>76</v>
      </c>
      <c r="D13" s="183" t="s">
        <v>937</v>
      </c>
      <c r="E13" s="183" t="s">
        <v>938</v>
      </c>
      <c r="F13" s="183" t="s">
        <v>952</v>
      </c>
      <c r="G13" s="183"/>
      <c r="H13" s="180"/>
      <c r="I13" s="180"/>
      <c r="J13" s="183" t="s">
        <v>953</v>
      </c>
      <c r="K13" s="183">
        <v>556281.0</v>
      </c>
      <c r="L13" s="183">
        <v>1780621.0</v>
      </c>
      <c r="M13" s="183">
        <v>0.0</v>
      </c>
      <c r="N13" s="183">
        <v>2336902.0</v>
      </c>
      <c r="O13" s="183">
        <v>0.0</v>
      </c>
      <c r="P13" s="183">
        <v>7.58E9</v>
      </c>
      <c r="Q13" s="180"/>
      <c r="R13" s="180">
        <f t="shared" si="1"/>
        <v>2336902</v>
      </c>
      <c r="S13" s="180">
        <f t="shared" si="2"/>
        <v>0</v>
      </c>
      <c r="T13" s="180"/>
      <c r="U13" s="181"/>
      <c r="V13" s="181"/>
      <c r="W13" s="181"/>
      <c r="X13" s="181"/>
      <c r="Y13" s="181"/>
      <c r="Z13" s="181"/>
    </row>
    <row r="14" ht="14.25" customHeight="1">
      <c r="A14" s="183" t="s">
        <v>78</v>
      </c>
      <c r="B14" s="183" t="s">
        <v>82</v>
      </c>
      <c r="C14" s="183" t="s">
        <v>82</v>
      </c>
      <c r="D14" s="183" t="s">
        <v>937</v>
      </c>
      <c r="E14" s="183" t="s">
        <v>938</v>
      </c>
      <c r="F14" s="183" t="s">
        <v>941</v>
      </c>
      <c r="G14" s="183"/>
      <c r="H14" s="180"/>
      <c r="I14" s="180"/>
      <c r="J14" s="183" t="s">
        <v>943</v>
      </c>
      <c r="K14" s="183">
        <v>135954.0</v>
      </c>
      <c r="L14" s="183">
        <v>173922.0</v>
      </c>
      <c r="M14" s="183">
        <v>160360.0</v>
      </c>
      <c r="N14" s="183">
        <v>296314.0</v>
      </c>
      <c r="O14" s="183">
        <v>2829355.0</v>
      </c>
      <c r="P14" s="183">
        <v>2.34E10</v>
      </c>
      <c r="Q14" s="180"/>
      <c r="R14" s="180">
        <f t="shared" si="1"/>
        <v>3125669</v>
      </c>
      <c r="S14" s="180">
        <f t="shared" si="2"/>
        <v>0.9051998148</v>
      </c>
      <c r="T14" s="180"/>
      <c r="U14" s="181"/>
      <c r="V14" s="181"/>
      <c r="W14" s="181"/>
      <c r="X14" s="181"/>
      <c r="Y14" s="181"/>
      <c r="Z14" s="181"/>
    </row>
    <row r="15" ht="14.25" customHeight="1">
      <c r="A15" s="183" t="s">
        <v>84</v>
      </c>
      <c r="B15" s="183" t="s">
        <v>88</v>
      </c>
      <c r="C15" s="183" t="s">
        <v>88</v>
      </c>
      <c r="D15" s="183" t="s">
        <v>937</v>
      </c>
      <c r="E15" s="183" t="s">
        <v>938</v>
      </c>
      <c r="F15" s="183" t="s">
        <v>954</v>
      </c>
      <c r="G15" s="183"/>
      <c r="H15" s="180"/>
      <c r="I15" s="180"/>
      <c r="J15" s="183" t="s">
        <v>955</v>
      </c>
      <c r="K15" s="183">
        <v>50549.0</v>
      </c>
      <c r="L15" s="183">
        <v>862127.0</v>
      </c>
      <c r="M15" s="183">
        <v>0.0</v>
      </c>
      <c r="N15" s="183">
        <v>912676.0</v>
      </c>
      <c r="O15" s="183">
        <v>2.50652E7</v>
      </c>
      <c r="P15" s="183">
        <v>2.60174E11</v>
      </c>
      <c r="Q15" s="180"/>
      <c r="R15" s="180">
        <f t="shared" si="1"/>
        <v>25977876</v>
      </c>
      <c r="S15" s="180">
        <f t="shared" si="2"/>
        <v>0.9648671816</v>
      </c>
      <c r="T15" s="180"/>
      <c r="U15" s="181"/>
      <c r="V15" s="181"/>
      <c r="W15" s="181"/>
      <c r="X15" s="181"/>
      <c r="Y15" s="181"/>
      <c r="Z15" s="181"/>
    </row>
    <row r="16" ht="14.25" customHeight="1">
      <c r="A16" s="183" t="s">
        <v>90</v>
      </c>
      <c r="B16" s="183" t="s">
        <v>94</v>
      </c>
      <c r="C16" s="183" t="s">
        <v>94</v>
      </c>
      <c r="D16" s="183" t="s">
        <v>937</v>
      </c>
      <c r="E16" s="183" t="s">
        <v>938</v>
      </c>
      <c r="F16" s="183" t="s">
        <v>946</v>
      </c>
      <c r="G16" s="183"/>
      <c r="H16" s="180"/>
      <c r="I16" s="180"/>
      <c r="J16" s="183" t="s">
        <v>956</v>
      </c>
      <c r="K16" s="183">
        <v>990955.0</v>
      </c>
      <c r="L16" s="183">
        <v>6015122.0</v>
      </c>
      <c r="M16" s="183">
        <v>5534088.0</v>
      </c>
      <c r="N16" s="183">
        <v>6525043.0</v>
      </c>
      <c r="O16" s="183">
        <v>6291545.0</v>
      </c>
      <c r="P16" s="183">
        <v>1.812E11</v>
      </c>
      <c r="Q16" s="180"/>
      <c r="R16" s="180">
        <f t="shared" si="1"/>
        <v>12816588</v>
      </c>
      <c r="S16" s="180">
        <f t="shared" si="2"/>
        <v>0.4908907893</v>
      </c>
      <c r="T16" s="180"/>
      <c r="U16" s="181"/>
      <c r="V16" s="181"/>
      <c r="W16" s="181"/>
      <c r="X16" s="181"/>
      <c r="Y16" s="181"/>
      <c r="Z16" s="181"/>
    </row>
    <row r="17" ht="14.25" customHeight="1">
      <c r="A17" s="183" t="s">
        <v>96</v>
      </c>
      <c r="B17" s="183" t="s">
        <v>99</v>
      </c>
      <c r="C17" s="183" t="s">
        <v>99</v>
      </c>
      <c r="D17" s="183" t="s">
        <v>937</v>
      </c>
      <c r="E17" s="183" t="s">
        <v>938</v>
      </c>
      <c r="F17" s="183" t="s">
        <v>946</v>
      </c>
      <c r="G17" s="183"/>
      <c r="H17" s="180"/>
      <c r="I17" s="180"/>
      <c r="J17" s="183" t="s">
        <v>948</v>
      </c>
      <c r="K17" s="183">
        <v>62639.0</v>
      </c>
      <c r="L17" s="183">
        <v>728771.0</v>
      </c>
      <c r="M17" s="183">
        <v>17523.0</v>
      </c>
      <c r="N17" s="183">
        <v>80162.0</v>
      </c>
      <c r="O17" s="183">
        <v>4867841.0</v>
      </c>
      <c r="P17" s="183">
        <v>9.124E10</v>
      </c>
      <c r="Q17" s="180"/>
      <c r="R17" s="180">
        <f t="shared" si="1"/>
        <v>4948003</v>
      </c>
      <c r="S17" s="180">
        <f t="shared" si="2"/>
        <v>0.9837991206</v>
      </c>
      <c r="T17" s="180"/>
      <c r="U17" s="181"/>
      <c r="V17" s="181"/>
      <c r="W17" s="181"/>
      <c r="X17" s="181"/>
      <c r="Y17" s="181"/>
      <c r="Z17" s="181"/>
    </row>
    <row r="18" ht="14.25" customHeight="1">
      <c r="A18" s="183" t="s">
        <v>101</v>
      </c>
      <c r="B18" s="183" t="s">
        <v>957</v>
      </c>
      <c r="C18" s="183" t="s">
        <v>957</v>
      </c>
      <c r="D18" s="183" t="s">
        <v>937</v>
      </c>
      <c r="E18" s="183" t="s">
        <v>938</v>
      </c>
      <c r="F18" s="183"/>
      <c r="G18" s="183"/>
      <c r="H18" s="180"/>
      <c r="I18" s="180"/>
      <c r="J18" s="183"/>
      <c r="K18" s="197">
        <v>1.0</v>
      </c>
      <c r="L18" s="197">
        <v>1.0</v>
      </c>
      <c r="M18" s="197">
        <v>1.0</v>
      </c>
      <c r="N18" s="197">
        <v>1.0</v>
      </c>
      <c r="O18" s="197">
        <v>1.0</v>
      </c>
      <c r="P18" s="183">
        <v>2.54616E11</v>
      </c>
      <c r="Q18" s="180"/>
      <c r="R18" s="198">
        <f t="shared" si="1"/>
        <v>2</v>
      </c>
      <c r="S18" s="180">
        <f t="shared" si="2"/>
        <v>0.5</v>
      </c>
      <c r="T18" s="180"/>
      <c r="U18" s="181"/>
      <c r="V18" s="181"/>
      <c r="W18" s="181"/>
      <c r="X18" s="181"/>
      <c r="Y18" s="181"/>
      <c r="Z18" s="181"/>
    </row>
    <row r="19" ht="14.25" customHeight="1">
      <c r="A19" s="183" t="s">
        <v>105</v>
      </c>
      <c r="B19" s="183" t="s">
        <v>109</v>
      </c>
      <c r="C19" s="183" t="s">
        <v>109</v>
      </c>
      <c r="D19" s="183" t="s">
        <v>937</v>
      </c>
      <c r="E19" s="183" t="s">
        <v>938</v>
      </c>
      <c r="F19" s="183" t="s">
        <v>941</v>
      </c>
      <c r="G19" s="183"/>
      <c r="H19" s="180"/>
      <c r="I19" s="180"/>
      <c r="J19" s="183" t="s">
        <v>943</v>
      </c>
      <c r="K19" s="183">
        <v>67031.0</v>
      </c>
      <c r="L19" s="183">
        <v>36802.0</v>
      </c>
      <c r="M19" s="183">
        <v>106.0</v>
      </c>
      <c r="N19" s="183">
        <v>67137.0</v>
      </c>
      <c r="O19" s="183">
        <v>424537.0</v>
      </c>
      <c r="P19" s="183">
        <v>1.35E10</v>
      </c>
      <c r="Q19" s="180"/>
      <c r="R19" s="180">
        <f t="shared" si="1"/>
        <v>491674</v>
      </c>
      <c r="S19" s="180">
        <f t="shared" si="2"/>
        <v>0.8634522061</v>
      </c>
      <c r="T19" s="180"/>
      <c r="U19" s="181"/>
      <c r="V19" s="181"/>
      <c r="W19" s="181"/>
      <c r="X19" s="181"/>
      <c r="Y19" s="181"/>
      <c r="Z19" s="181"/>
    </row>
    <row r="20" ht="14.25" customHeight="1">
      <c r="A20" s="183" t="s">
        <v>111</v>
      </c>
      <c r="B20" s="183" t="s">
        <v>115</v>
      </c>
      <c r="C20" s="183" t="s">
        <v>115</v>
      </c>
      <c r="D20" s="183" t="s">
        <v>937</v>
      </c>
      <c r="E20" s="183" t="s">
        <v>938</v>
      </c>
      <c r="F20" s="183" t="s">
        <v>946</v>
      </c>
      <c r="G20" s="183"/>
      <c r="H20" s="180"/>
      <c r="I20" s="180"/>
      <c r="J20" s="183" t="s">
        <v>948</v>
      </c>
      <c r="K20" s="183">
        <v>5589.0</v>
      </c>
      <c r="L20" s="183">
        <v>20369.0</v>
      </c>
      <c r="M20" s="183">
        <v>0.0</v>
      </c>
      <c r="N20" s="183">
        <v>25958.0</v>
      </c>
      <c r="O20" s="183">
        <v>420014.0</v>
      </c>
      <c r="P20" s="183">
        <v>1.4539E10</v>
      </c>
      <c r="Q20" s="180"/>
      <c r="R20" s="180">
        <f t="shared" si="1"/>
        <v>445972</v>
      </c>
      <c r="S20" s="180">
        <f t="shared" si="2"/>
        <v>0.9417945521</v>
      </c>
      <c r="T20" s="180"/>
      <c r="U20" s="181"/>
      <c r="V20" s="181"/>
      <c r="W20" s="181"/>
      <c r="X20" s="181"/>
      <c r="Y20" s="181"/>
      <c r="Z20" s="181"/>
    </row>
    <row r="21" ht="14.25" customHeight="1">
      <c r="A21" s="183" t="s">
        <v>117</v>
      </c>
      <c r="B21" s="183" t="s">
        <v>120</v>
      </c>
      <c r="C21" s="183" t="s">
        <v>120</v>
      </c>
      <c r="D21" s="183" t="s">
        <v>937</v>
      </c>
      <c r="E21" s="183" t="s">
        <v>938</v>
      </c>
      <c r="F21" s="183" t="s">
        <v>954</v>
      </c>
      <c r="G21" s="183"/>
      <c r="H21" s="180"/>
      <c r="I21" s="180"/>
      <c r="J21" s="183" t="s">
        <v>958</v>
      </c>
      <c r="K21" s="183">
        <v>613000.0</v>
      </c>
      <c r="L21" s="183">
        <v>871000.0</v>
      </c>
      <c r="M21" s="183">
        <v>733000.0</v>
      </c>
      <c r="N21" s="183">
        <v>1346000.0</v>
      </c>
      <c r="O21" s="183">
        <v>290000.0</v>
      </c>
      <c r="P21" s="183">
        <v>7.6559E10</v>
      </c>
      <c r="Q21" s="180"/>
      <c r="R21" s="180">
        <f t="shared" si="1"/>
        <v>1636000</v>
      </c>
      <c r="S21" s="180">
        <f t="shared" si="2"/>
        <v>0.1772616137</v>
      </c>
      <c r="T21" s="180"/>
      <c r="U21" s="181"/>
      <c r="V21" s="181"/>
      <c r="W21" s="181"/>
      <c r="X21" s="181"/>
      <c r="Y21" s="181"/>
      <c r="Z21" s="181"/>
    </row>
    <row r="22" ht="14.25" customHeight="1">
      <c r="A22" s="183" t="s">
        <v>122</v>
      </c>
      <c r="B22" s="183" t="s">
        <v>124</v>
      </c>
      <c r="C22" s="183" t="s">
        <v>124</v>
      </c>
      <c r="D22" s="183" t="s">
        <v>937</v>
      </c>
      <c r="E22" s="183" t="s">
        <v>938</v>
      </c>
      <c r="F22" s="183"/>
      <c r="G22" s="183"/>
      <c r="H22" s="180"/>
      <c r="I22" s="180"/>
      <c r="J22" s="183"/>
      <c r="K22" s="197">
        <v>10.0</v>
      </c>
      <c r="L22" s="197">
        <v>10.0</v>
      </c>
      <c r="M22" s="197">
        <v>10.0</v>
      </c>
      <c r="N22" s="197">
        <v>10.0</v>
      </c>
      <c r="O22" s="197">
        <v>10.0</v>
      </c>
      <c r="P22" s="183">
        <v>1.5066E10</v>
      </c>
      <c r="Q22" s="180"/>
      <c r="R22" s="198">
        <f t="shared" si="1"/>
        <v>20</v>
      </c>
      <c r="S22" s="180">
        <f t="shared" si="2"/>
        <v>0.5</v>
      </c>
      <c r="T22" s="180"/>
      <c r="U22" s="181"/>
      <c r="V22" s="181"/>
      <c r="W22" s="181"/>
      <c r="X22" s="181"/>
      <c r="Y22" s="181"/>
      <c r="Z22" s="181"/>
    </row>
    <row r="23" ht="14.25" customHeight="1">
      <c r="A23" s="183" t="s">
        <v>125</v>
      </c>
      <c r="B23" s="183" t="s">
        <v>128</v>
      </c>
      <c r="C23" s="183" t="s">
        <v>128</v>
      </c>
      <c r="D23" s="183" t="s">
        <v>937</v>
      </c>
      <c r="E23" s="183" t="s">
        <v>938</v>
      </c>
      <c r="F23" s="183" t="s">
        <v>941</v>
      </c>
      <c r="G23" s="183"/>
      <c r="H23" s="180"/>
      <c r="I23" s="180"/>
      <c r="J23" s="183" t="s">
        <v>943</v>
      </c>
      <c r="K23" s="183">
        <v>189193.665</v>
      </c>
      <c r="L23" s="183">
        <v>122295.068</v>
      </c>
      <c r="M23" s="183">
        <v>111155.772</v>
      </c>
      <c r="N23" s="183">
        <v>300349.43700000003</v>
      </c>
      <c r="O23" s="183">
        <v>1.71849235E7</v>
      </c>
      <c r="P23" s="183">
        <v>2.6145E10</v>
      </c>
      <c r="Q23" s="180"/>
      <c r="R23" s="180">
        <f t="shared" si="1"/>
        <v>17485272.94</v>
      </c>
      <c r="S23" s="180">
        <f t="shared" si="2"/>
        <v>0.9828227195</v>
      </c>
      <c r="T23" s="180"/>
      <c r="U23" s="181"/>
      <c r="V23" s="181"/>
      <c r="W23" s="181"/>
      <c r="X23" s="181"/>
      <c r="Y23" s="181"/>
      <c r="Z23" s="181"/>
    </row>
    <row r="24" ht="14.25" customHeight="1">
      <c r="A24" s="183" t="s">
        <v>130</v>
      </c>
      <c r="B24" s="183" t="s">
        <v>134</v>
      </c>
      <c r="C24" s="183" t="s">
        <v>134</v>
      </c>
      <c r="D24" s="183" t="s">
        <v>937</v>
      </c>
      <c r="E24" s="183" t="s">
        <v>938</v>
      </c>
      <c r="F24" s="183" t="s">
        <v>946</v>
      </c>
      <c r="G24" s="183"/>
      <c r="H24" s="180"/>
      <c r="I24" s="180"/>
      <c r="J24" s="183" t="s">
        <v>948</v>
      </c>
      <c r="K24" s="183">
        <v>9495.0</v>
      </c>
      <c r="L24" s="183">
        <v>146671.0</v>
      </c>
      <c r="M24" s="183">
        <v>135.0</v>
      </c>
      <c r="N24" s="183">
        <v>9630.0</v>
      </c>
      <c r="O24" s="183">
        <v>390974.51</v>
      </c>
      <c r="P24" s="183">
        <v>2.86E10</v>
      </c>
      <c r="Q24" s="180"/>
      <c r="R24" s="180">
        <f t="shared" si="1"/>
        <v>400604.51</v>
      </c>
      <c r="S24" s="180">
        <f t="shared" si="2"/>
        <v>0.975961329</v>
      </c>
      <c r="T24" s="180"/>
      <c r="U24" s="181"/>
      <c r="V24" s="181"/>
      <c r="W24" s="181"/>
      <c r="X24" s="181"/>
      <c r="Y24" s="181"/>
      <c r="Z24" s="181"/>
    </row>
    <row r="25" ht="14.25" customHeight="1">
      <c r="A25" s="183" t="s">
        <v>136</v>
      </c>
      <c r="B25" s="183" t="s">
        <v>138</v>
      </c>
      <c r="C25" s="183" t="s">
        <v>138</v>
      </c>
      <c r="D25" s="183" t="s">
        <v>937</v>
      </c>
      <c r="E25" s="183" t="s">
        <v>938</v>
      </c>
      <c r="F25" s="183"/>
      <c r="G25" s="183"/>
      <c r="H25" s="180"/>
      <c r="I25" s="180"/>
      <c r="J25" s="183"/>
      <c r="K25" s="197">
        <v>10.0</v>
      </c>
      <c r="L25" s="197">
        <v>10.0</v>
      </c>
      <c r="M25" s="197">
        <v>10.0</v>
      </c>
      <c r="N25" s="197">
        <v>10.0</v>
      </c>
      <c r="O25" s="197">
        <v>10.0</v>
      </c>
      <c r="P25" s="183">
        <v>5.38E10</v>
      </c>
      <c r="Q25" s="180"/>
      <c r="R25" s="198">
        <f t="shared" si="1"/>
        <v>20</v>
      </c>
      <c r="S25" s="180">
        <f t="shared" si="2"/>
        <v>0.5</v>
      </c>
      <c r="T25" s="180"/>
      <c r="U25" s="181"/>
      <c r="V25" s="181"/>
      <c r="W25" s="181"/>
      <c r="X25" s="181"/>
      <c r="Y25" s="181"/>
      <c r="Z25" s="181"/>
    </row>
    <row r="26" ht="14.25" customHeight="1">
      <c r="A26" s="183" t="s">
        <v>139</v>
      </c>
      <c r="B26" s="183" t="s">
        <v>141</v>
      </c>
      <c r="C26" s="183" t="s">
        <v>141</v>
      </c>
      <c r="D26" s="183" t="s">
        <v>937</v>
      </c>
      <c r="E26" s="183" t="s">
        <v>938</v>
      </c>
      <c r="F26" s="183"/>
      <c r="G26" s="183"/>
      <c r="H26" s="180"/>
      <c r="I26" s="180"/>
      <c r="J26" s="183"/>
      <c r="K26" s="197">
        <v>10.0</v>
      </c>
      <c r="L26" s="197">
        <v>10.0</v>
      </c>
      <c r="M26" s="197">
        <v>10.0</v>
      </c>
      <c r="N26" s="197">
        <v>10.0</v>
      </c>
      <c r="O26" s="197">
        <v>10.0</v>
      </c>
      <c r="P26" s="183">
        <v>4.5764E10</v>
      </c>
      <c r="Q26" s="180"/>
      <c r="R26" s="198">
        <f t="shared" si="1"/>
        <v>20</v>
      </c>
      <c r="S26" s="180">
        <f t="shared" si="2"/>
        <v>0.5</v>
      </c>
      <c r="T26" s="180"/>
      <c r="U26" s="181"/>
      <c r="V26" s="181"/>
      <c r="W26" s="181"/>
      <c r="X26" s="181"/>
      <c r="Y26" s="181"/>
      <c r="Z26" s="181"/>
    </row>
    <row r="27" ht="14.25" customHeight="1">
      <c r="A27" s="183" t="s">
        <v>142</v>
      </c>
      <c r="B27" s="183" t="s">
        <v>143</v>
      </c>
      <c r="C27" s="183" t="s">
        <v>143</v>
      </c>
      <c r="D27" s="183" t="s">
        <v>937</v>
      </c>
      <c r="E27" s="183" t="s">
        <v>938</v>
      </c>
      <c r="F27" s="183"/>
      <c r="G27" s="183"/>
      <c r="H27" s="180"/>
      <c r="I27" s="180"/>
      <c r="J27" s="183"/>
      <c r="K27" s="197">
        <v>10.0</v>
      </c>
      <c r="L27" s="197">
        <v>10.0</v>
      </c>
      <c r="M27" s="197">
        <v>10.0</v>
      </c>
      <c r="N27" s="197">
        <v>10.0</v>
      </c>
      <c r="O27" s="197">
        <v>10.0</v>
      </c>
      <c r="P27" s="183">
        <v>1.46516E11</v>
      </c>
      <c r="Q27" s="180"/>
      <c r="R27" s="198">
        <f t="shared" si="1"/>
        <v>20</v>
      </c>
      <c r="S27" s="180">
        <f t="shared" si="2"/>
        <v>0.5</v>
      </c>
      <c r="T27" s="180"/>
      <c r="U27" s="181"/>
      <c r="V27" s="181"/>
      <c r="W27" s="181"/>
      <c r="X27" s="181"/>
      <c r="Y27" s="181"/>
      <c r="Z27" s="181"/>
    </row>
    <row r="28" ht="14.25" customHeight="1">
      <c r="A28" s="183" t="s">
        <v>144</v>
      </c>
      <c r="B28" s="183" t="s">
        <v>148</v>
      </c>
      <c r="C28" s="183" t="s">
        <v>148</v>
      </c>
      <c r="D28" s="183" t="s">
        <v>937</v>
      </c>
      <c r="E28" s="183" t="s">
        <v>938</v>
      </c>
      <c r="F28" s="183" t="s">
        <v>946</v>
      </c>
      <c r="G28" s="183"/>
      <c r="H28" s="180"/>
      <c r="I28" s="180"/>
      <c r="J28" s="183" t="s">
        <v>947</v>
      </c>
      <c r="K28" s="183">
        <v>41181.0</v>
      </c>
      <c r="L28" s="183">
        <v>651331.0</v>
      </c>
      <c r="M28" s="183">
        <v>187428.0</v>
      </c>
      <c r="N28" s="183">
        <v>228609.0</v>
      </c>
      <c r="O28" s="183">
        <v>2.6570997E7</v>
      </c>
      <c r="P28" s="183">
        <v>5.19E10</v>
      </c>
      <c r="Q28" s="180"/>
      <c r="R28" s="180">
        <f t="shared" si="1"/>
        <v>26799606</v>
      </c>
      <c r="S28" s="180">
        <f t="shared" si="2"/>
        <v>0.991469688</v>
      </c>
      <c r="T28" s="180"/>
      <c r="U28" s="181"/>
      <c r="V28" s="181"/>
      <c r="W28" s="181"/>
      <c r="X28" s="181"/>
      <c r="Y28" s="181"/>
      <c r="Z28" s="181"/>
    </row>
    <row r="29" ht="14.25" customHeight="1">
      <c r="A29" s="183" t="s">
        <v>150</v>
      </c>
      <c r="B29" s="183" t="s">
        <v>154</v>
      </c>
      <c r="C29" s="183" t="s">
        <v>154</v>
      </c>
      <c r="D29" s="183" t="s">
        <v>937</v>
      </c>
      <c r="E29" s="183" t="s">
        <v>938</v>
      </c>
      <c r="F29" s="183" t="s">
        <v>946</v>
      </c>
      <c r="G29" s="183"/>
      <c r="H29" s="180"/>
      <c r="I29" s="180"/>
      <c r="J29" s="183" t="s">
        <v>948</v>
      </c>
      <c r="K29" s="183">
        <v>23289.0</v>
      </c>
      <c r="L29" s="183">
        <v>593611.0</v>
      </c>
      <c r="M29" s="183">
        <v>359748.0</v>
      </c>
      <c r="N29" s="183">
        <v>383037.0</v>
      </c>
      <c r="O29" s="183">
        <v>747913.3099999999</v>
      </c>
      <c r="P29" s="183">
        <v>1.03449E11</v>
      </c>
      <c r="Q29" s="180"/>
      <c r="R29" s="180">
        <f t="shared" si="1"/>
        <v>1130950.31</v>
      </c>
      <c r="S29" s="180">
        <f t="shared" si="2"/>
        <v>0.6613140324</v>
      </c>
      <c r="T29" s="180"/>
      <c r="U29" s="181"/>
      <c r="V29" s="181"/>
      <c r="W29" s="181"/>
      <c r="X29" s="181"/>
      <c r="Y29" s="181"/>
      <c r="Z29" s="181"/>
    </row>
    <row r="30" ht="14.25" customHeight="1">
      <c r="A30" s="183" t="s">
        <v>156</v>
      </c>
      <c r="B30" s="183" t="s">
        <v>160</v>
      </c>
      <c r="C30" s="183" t="s">
        <v>160</v>
      </c>
      <c r="D30" s="183" t="s">
        <v>937</v>
      </c>
      <c r="E30" s="183" t="s">
        <v>938</v>
      </c>
      <c r="F30" s="183" t="s">
        <v>950</v>
      </c>
      <c r="G30" s="183"/>
      <c r="H30" s="180"/>
      <c r="I30" s="180"/>
      <c r="J30" s="183" t="s">
        <v>959</v>
      </c>
      <c r="K30" s="183">
        <v>687597.0</v>
      </c>
      <c r="L30" s="183">
        <v>868343.0</v>
      </c>
      <c r="M30" s="183">
        <v>871304.0</v>
      </c>
      <c r="N30" s="183">
        <v>1558901.0</v>
      </c>
      <c r="O30" s="183">
        <v>5.4039041E7</v>
      </c>
      <c r="P30" s="183">
        <v>3.7266E10</v>
      </c>
      <c r="Q30" s="180"/>
      <c r="R30" s="180">
        <f t="shared" si="1"/>
        <v>55597942</v>
      </c>
      <c r="S30" s="180">
        <f t="shared" si="2"/>
        <v>0.9719611744</v>
      </c>
      <c r="T30" s="180"/>
      <c r="U30" s="181"/>
      <c r="V30" s="181"/>
      <c r="W30" s="181"/>
      <c r="X30" s="181"/>
      <c r="Y30" s="181"/>
      <c r="Z30" s="181"/>
    </row>
    <row r="31" ht="14.25" customHeight="1">
      <c r="A31" s="183" t="s">
        <v>162</v>
      </c>
      <c r="B31" s="183" t="s">
        <v>165</v>
      </c>
      <c r="C31" s="183" t="s">
        <v>165</v>
      </c>
      <c r="D31" s="183" t="s">
        <v>937</v>
      </c>
      <c r="E31" s="183" t="s">
        <v>938</v>
      </c>
      <c r="F31" s="183" t="s">
        <v>939</v>
      </c>
      <c r="G31" s="183"/>
      <c r="H31" s="180"/>
      <c r="I31" s="180"/>
      <c r="J31" s="183" t="s">
        <v>940</v>
      </c>
      <c r="K31" s="183">
        <v>197523.0</v>
      </c>
      <c r="L31" s="183">
        <v>379901.0</v>
      </c>
      <c r="M31" s="183">
        <v>283289.0</v>
      </c>
      <c r="N31" s="183">
        <v>480812.0</v>
      </c>
      <c r="O31" s="183">
        <v>4.8680218E7</v>
      </c>
      <c r="P31" s="183">
        <v>1.5693E10</v>
      </c>
      <c r="Q31" s="180"/>
      <c r="R31" s="180">
        <f t="shared" si="1"/>
        <v>49161030</v>
      </c>
      <c r="S31" s="180">
        <f t="shared" si="2"/>
        <v>0.9902196516</v>
      </c>
      <c r="T31" s="180"/>
      <c r="U31" s="181"/>
      <c r="V31" s="181"/>
      <c r="W31" s="181"/>
      <c r="X31" s="181"/>
      <c r="Y31" s="181"/>
      <c r="Z31" s="181"/>
    </row>
    <row r="32" ht="14.25" customHeight="1">
      <c r="A32" s="183" t="s">
        <v>167</v>
      </c>
      <c r="B32" s="183" t="s">
        <v>170</v>
      </c>
      <c r="C32" s="183" t="s">
        <v>170</v>
      </c>
      <c r="D32" s="183" t="s">
        <v>937</v>
      </c>
      <c r="E32" s="183" t="s">
        <v>938</v>
      </c>
      <c r="F32" s="183" t="s">
        <v>946</v>
      </c>
      <c r="G32" s="183"/>
      <c r="H32" s="180"/>
      <c r="I32" s="180"/>
      <c r="J32" s="183" t="s">
        <v>956</v>
      </c>
      <c r="K32" s="183">
        <v>498455.0</v>
      </c>
      <c r="L32" s="183">
        <v>1568717.0</v>
      </c>
      <c r="M32" s="183">
        <v>1496771.0</v>
      </c>
      <c r="N32" s="183">
        <v>1995226.0</v>
      </c>
      <c r="O32" s="183">
        <v>0.0</v>
      </c>
      <c r="P32" s="183">
        <v>1.08942E11</v>
      </c>
      <c r="Q32" s="180"/>
      <c r="R32" s="180">
        <f t="shared" si="1"/>
        <v>1995226</v>
      </c>
      <c r="S32" s="180">
        <f t="shared" si="2"/>
        <v>0</v>
      </c>
      <c r="T32" s="180"/>
      <c r="U32" s="181"/>
      <c r="V32" s="181"/>
      <c r="W32" s="181"/>
      <c r="X32" s="181"/>
      <c r="Y32" s="181"/>
      <c r="Z32" s="181"/>
    </row>
    <row r="33" ht="14.25" customHeight="1">
      <c r="A33" s="183" t="s">
        <v>172</v>
      </c>
      <c r="B33" s="183" t="s">
        <v>175</v>
      </c>
      <c r="C33" s="183" t="s">
        <v>175</v>
      </c>
      <c r="D33" s="183" t="s">
        <v>937</v>
      </c>
      <c r="E33" s="183" t="s">
        <v>938</v>
      </c>
      <c r="F33" s="183" t="s">
        <v>960</v>
      </c>
      <c r="G33" s="183"/>
      <c r="H33" s="180"/>
      <c r="I33" s="180"/>
      <c r="J33" s="183" t="s">
        <v>961</v>
      </c>
      <c r="K33" s="183">
        <v>1.9500244E7</v>
      </c>
      <c r="L33" s="183">
        <v>956931.0</v>
      </c>
      <c r="M33" s="183">
        <v>0.0</v>
      </c>
      <c r="N33" s="183">
        <v>2.0457175E7</v>
      </c>
      <c r="O33" s="183">
        <v>1.95164764E8</v>
      </c>
      <c r="P33" s="183">
        <v>3.667E10</v>
      </c>
      <c r="Q33" s="180"/>
      <c r="R33" s="180">
        <f t="shared" si="1"/>
        <v>215621939</v>
      </c>
      <c r="S33" s="180">
        <f t="shared" si="2"/>
        <v>0.9051247981</v>
      </c>
      <c r="T33" s="180"/>
      <c r="U33" s="181"/>
      <c r="V33" s="181"/>
      <c r="W33" s="181"/>
      <c r="X33" s="181"/>
      <c r="Y33" s="181"/>
      <c r="Z33" s="181"/>
    </row>
    <row r="34" ht="14.25" customHeight="1">
      <c r="A34" s="183" t="s">
        <v>177</v>
      </c>
      <c r="B34" s="183" t="s">
        <v>180</v>
      </c>
      <c r="C34" s="183" t="s">
        <v>180</v>
      </c>
      <c r="D34" s="183" t="s">
        <v>937</v>
      </c>
      <c r="E34" s="183" t="s">
        <v>938</v>
      </c>
      <c r="F34" s="183" t="s">
        <v>962</v>
      </c>
      <c r="G34" s="183"/>
      <c r="H34" s="180"/>
      <c r="I34" s="180"/>
      <c r="J34" s="183" t="s">
        <v>963</v>
      </c>
      <c r="K34" s="183">
        <v>1108562.25</v>
      </c>
      <c r="L34" s="183">
        <v>1473874.16</v>
      </c>
      <c r="M34" s="183">
        <v>0.0</v>
      </c>
      <c r="N34" s="183">
        <v>2582436.41</v>
      </c>
      <c r="O34" s="183">
        <v>0.0</v>
      </c>
      <c r="P34" s="183">
        <v>1.52703E11</v>
      </c>
      <c r="Q34" s="180"/>
      <c r="R34" s="180">
        <f t="shared" si="1"/>
        <v>2582436.41</v>
      </c>
      <c r="S34" s="180">
        <f t="shared" si="2"/>
        <v>0</v>
      </c>
      <c r="T34" s="180"/>
      <c r="U34" s="181"/>
      <c r="V34" s="181"/>
      <c r="W34" s="181"/>
      <c r="X34" s="181"/>
      <c r="Y34" s="181"/>
      <c r="Z34" s="181"/>
    </row>
    <row r="35" ht="14.25" customHeight="1">
      <c r="A35" s="183" t="s">
        <v>182</v>
      </c>
      <c r="B35" s="183" t="s">
        <v>186</v>
      </c>
      <c r="C35" s="183" t="s">
        <v>186</v>
      </c>
      <c r="D35" s="183" t="s">
        <v>937</v>
      </c>
      <c r="E35" s="183" t="s">
        <v>938</v>
      </c>
      <c r="F35" s="183" t="s">
        <v>941</v>
      </c>
      <c r="G35" s="183"/>
      <c r="H35" s="180"/>
      <c r="I35" s="180"/>
      <c r="J35" s="183" t="s">
        <v>942</v>
      </c>
      <c r="K35" s="183">
        <v>157199.32</v>
      </c>
      <c r="L35" s="183">
        <v>1024681.56</v>
      </c>
      <c r="M35" s="183">
        <v>1036690.44</v>
      </c>
      <c r="N35" s="183">
        <v>1193889.76</v>
      </c>
      <c r="O35" s="183">
        <v>1.585718363E7</v>
      </c>
      <c r="P35" s="183">
        <v>2.56776E11</v>
      </c>
      <c r="Q35" s="180"/>
      <c r="R35" s="180">
        <f t="shared" si="1"/>
        <v>17051073.39</v>
      </c>
      <c r="S35" s="180">
        <f t="shared" si="2"/>
        <v>0.9299815482</v>
      </c>
      <c r="T35" s="180"/>
      <c r="U35" s="181"/>
      <c r="V35" s="181"/>
      <c r="W35" s="181"/>
      <c r="X35" s="181"/>
      <c r="Y35" s="181"/>
      <c r="Z35" s="181"/>
    </row>
    <row r="36" ht="14.25" customHeight="1">
      <c r="A36" s="183" t="s">
        <v>188</v>
      </c>
      <c r="B36" s="183" t="s">
        <v>189</v>
      </c>
      <c r="C36" s="183" t="s">
        <v>189</v>
      </c>
      <c r="D36" s="183" t="s">
        <v>937</v>
      </c>
      <c r="E36" s="183" t="s">
        <v>938</v>
      </c>
      <c r="F36" s="183"/>
      <c r="G36" s="183"/>
      <c r="H36" s="180"/>
      <c r="I36" s="180"/>
      <c r="J36" s="183"/>
      <c r="K36" s="197">
        <v>10.0</v>
      </c>
      <c r="L36" s="197">
        <v>10.0</v>
      </c>
      <c r="M36" s="197">
        <v>10.0</v>
      </c>
      <c r="N36" s="197">
        <v>10.0</v>
      </c>
      <c r="O36" s="197">
        <v>10.0</v>
      </c>
      <c r="P36" s="183">
        <v>1.791E10</v>
      </c>
      <c r="Q36" s="180"/>
      <c r="R36" s="198">
        <f t="shared" si="1"/>
        <v>20</v>
      </c>
      <c r="S36" s="180">
        <f t="shared" si="2"/>
        <v>0.5</v>
      </c>
      <c r="T36" s="180"/>
      <c r="U36" s="181"/>
      <c r="V36" s="181"/>
      <c r="W36" s="181"/>
      <c r="X36" s="181"/>
      <c r="Y36" s="181"/>
      <c r="Z36" s="181"/>
    </row>
    <row r="37" ht="14.25" customHeight="1">
      <c r="A37" s="183" t="s">
        <v>190</v>
      </c>
      <c r="B37" s="183" t="s">
        <v>192</v>
      </c>
      <c r="C37" s="183" t="s">
        <v>192</v>
      </c>
      <c r="D37" s="183" t="s">
        <v>937</v>
      </c>
      <c r="E37" s="183" t="s">
        <v>938</v>
      </c>
      <c r="F37" s="183" t="s">
        <v>939</v>
      </c>
      <c r="G37" s="183"/>
      <c r="H37" s="180"/>
      <c r="I37" s="180"/>
      <c r="J37" s="183" t="s">
        <v>940</v>
      </c>
      <c r="K37" s="183">
        <v>2.7522854E7</v>
      </c>
      <c r="L37" s="183">
        <v>5058885.0</v>
      </c>
      <c r="M37" s="183">
        <v>6058164.0</v>
      </c>
      <c r="N37" s="183">
        <v>3.3581018E7</v>
      </c>
      <c r="O37" s="183">
        <v>9.1421957E7</v>
      </c>
      <c r="P37" s="183">
        <v>4.2951E10</v>
      </c>
      <c r="Q37" s="180"/>
      <c r="R37" s="180">
        <f t="shared" si="1"/>
        <v>125002975</v>
      </c>
      <c r="S37" s="180">
        <f t="shared" si="2"/>
        <v>0.7313582497</v>
      </c>
      <c r="T37" s="180"/>
      <c r="U37" s="181"/>
      <c r="V37" s="181"/>
      <c r="W37" s="181"/>
      <c r="X37" s="181"/>
      <c r="Y37" s="181"/>
      <c r="Z37" s="181"/>
    </row>
    <row r="38" ht="14.25" customHeight="1">
      <c r="A38" s="183" t="s">
        <v>193</v>
      </c>
      <c r="B38" s="183" t="s">
        <v>196</v>
      </c>
      <c r="C38" s="183" t="s">
        <v>196</v>
      </c>
      <c r="D38" s="183" t="s">
        <v>937</v>
      </c>
      <c r="E38" s="183" t="s">
        <v>938</v>
      </c>
      <c r="F38" s="183" t="s">
        <v>964</v>
      </c>
      <c r="G38" s="183"/>
      <c r="H38" s="180"/>
      <c r="I38" s="180"/>
      <c r="J38" s="183" t="s">
        <v>965</v>
      </c>
      <c r="K38" s="183">
        <v>8.5525E7</v>
      </c>
      <c r="L38" s="183">
        <v>5200.0</v>
      </c>
      <c r="M38" s="183">
        <v>0.0</v>
      </c>
      <c r="N38" s="183">
        <v>8.55302E7</v>
      </c>
      <c r="O38" s="183">
        <v>2.9715113E7</v>
      </c>
      <c r="P38" s="183">
        <v>2.5079E10</v>
      </c>
      <c r="Q38" s="180"/>
      <c r="R38" s="180">
        <f t="shared" si="1"/>
        <v>115245313</v>
      </c>
      <c r="S38" s="180">
        <f t="shared" si="2"/>
        <v>0.257842269</v>
      </c>
      <c r="T38" s="180"/>
      <c r="U38" s="181"/>
      <c r="V38" s="181"/>
      <c r="W38" s="181"/>
      <c r="X38" s="181"/>
      <c r="Y38" s="181"/>
      <c r="Z38" s="181"/>
    </row>
    <row r="39" ht="14.25" customHeight="1">
      <c r="A39" s="183" t="s">
        <v>198</v>
      </c>
      <c r="B39" s="183" t="s">
        <v>201</v>
      </c>
      <c r="C39" s="183" t="s">
        <v>201</v>
      </c>
      <c r="D39" s="183" t="s">
        <v>937</v>
      </c>
      <c r="E39" s="183" t="s">
        <v>938</v>
      </c>
      <c r="F39" s="183" t="s">
        <v>939</v>
      </c>
      <c r="G39" s="183"/>
      <c r="H39" s="180"/>
      <c r="I39" s="180"/>
      <c r="J39" s="183" t="s">
        <v>940</v>
      </c>
      <c r="K39" s="183">
        <v>3057437.0</v>
      </c>
      <c r="L39" s="183">
        <v>2322922.0</v>
      </c>
      <c r="M39" s="183">
        <v>2532756.0</v>
      </c>
      <c r="N39" s="183">
        <v>5590193.0</v>
      </c>
      <c r="O39" s="183">
        <v>1302744.0</v>
      </c>
      <c r="P39" s="183">
        <v>2.157E10</v>
      </c>
      <c r="Q39" s="180"/>
      <c r="R39" s="180">
        <f t="shared" si="1"/>
        <v>6892937</v>
      </c>
      <c r="S39" s="180">
        <f t="shared" si="2"/>
        <v>0.1889969399</v>
      </c>
      <c r="T39" s="180"/>
      <c r="U39" s="181"/>
      <c r="V39" s="181"/>
      <c r="W39" s="181"/>
      <c r="X39" s="181"/>
      <c r="Y39" s="181"/>
      <c r="Z39" s="181"/>
    </row>
    <row r="40" ht="14.25" customHeight="1">
      <c r="A40" s="183" t="s">
        <v>203</v>
      </c>
      <c r="B40" s="183" t="s">
        <v>206</v>
      </c>
      <c r="C40" s="183" t="s">
        <v>206</v>
      </c>
      <c r="D40" s="183" t="s">
        <v>937</v>
      </c>
      <c r="E40" s="183" t="s">
        <v>938</v>
      </c>
      <c r="F40" s="183" t="s">
        <v>941</v>
      </c>
      <c r="G40" s="183"/>
      <c r="H40" s="180"/>
      <c r="I40" s="180"/>
      <c r="J40" s="183" t="s">
        <v>943</v>
      </c>
      <c r="K40" s="183">
        <v>192075.0</v>
      </c>
      <c r="L40" s="183">
        <v>616431.0</v>
      </c>
      <c r="M40" s="183">
        <v>556855.0</v>
      </c>
      <c r="N40" s="183">
        <v>748930.0</v>
      </c>
      <c r="O40" s="183">
        <v>234796.0</v>
      </c>
      <c r="P40" s="183">
        <v>2.232E10</v>
      </c>
      <c r="Q40" s="180"/>
      <c r="R40" s="180">
        <f t="shared" si="1"/>
        <v>983726</v>
      </c>
      <c r="S40" s="180">
        <f t="shared" si="2"/>
        <v>0.2386802829</v>
      </c>
      <c r="T40" s="180"/>
      <c r="U40" s="181"/>
      <c r="V40" s="181"/>
      <c r="W40" s="181"/>
      <c r="X40" s="181"/>
      <c r="Y40" s="181"/>
      <c r="Z40" s="181"/>
    </row>
    <row r="41" ht="14.25" customHeight="1">
      <c r="A41" s="183" t="s">
        <v>208</v>
      </c>
      <c r="B41" s="183" t="s">
        <v>209</v>
      </c>
      <c r="C41" s="183" t="s">
        <v>209</v>
      </c>
      <c r="D41" s="183" t="s">
        <v>937</v>
      </c>
      <c r="E41" s="183" t="s">
        <v>938</v>
      </c>
      <c r="F41" s="183"/>
      <c r="G41" s="183"/>
      <c r="H41" s="180"/>
      <c r="I41" s="180"/>
      <c r="J41" s="183"/>
      <c r="K41" s="197">
        <v>10.0</v>
      </c>
      <c r="L41" s="197">
        <v>10.0</v>
      </c>
      <c r="M41" s="197">
        <v>10.0</v>
      </c>
      <c r="N41" s="197">
        <v>10.0</v>
      </c>
      <c r="O41" s="197">
        <v>10.0</v>
      </c>
      <c r="P41" s="183">
        <v>1.8372E10</v>
      </c>
      <c r="Q41" s="180"/>
      <c r="R41" s="198">
        <f t="shared" si="1"/>
        <v>20</v>
      </c>
      <c r="S41" s="180">
        <f t="shared" si="2"/>
        <v>0.5</v>
      </c>
      <c r="T41" s="180"/>
      <c r="U41" s="181"/>
      <c r="V41" s="181"/>
      <c r="W41" s="181"/>
      <c r="X41" s="181"/>
      <c r="Y41" s="181"/>
      <c r="Z41" s="181"/>
    </row>
    <row r="42" ht="14.25" customHeight="1">
      <c r="A42" s="183" t="s">
        <v>210</v>
      </c>
      <c r="B42" s="183" t="s">
        <v>213</v>
      </c>
      <c r="C42" s="183" t="s">
        <v>213</v>
      </c>
      <c r="D42" s="183" t="s">
        <v>937</v>
      </c>
      <c r="E42" s="183" t="s">
        <v>938</v>
      </c>
      <c r="F42" s="183" t="s">
        <v>964</v>
      </c>
      <c r="G42" s="183"/>
      <c r="H42" s="180"/>
      <c r="I42" s="180"/>
      <c r="J42" s="183" t="s">
        <v>966</v>
      </c>
      <c r="K42" s="183">
        <v>9394598.0</v>
      </c>
      <c r="L42" s="183">
        <v>6103307.0</v>
      </c>
      <c r="M42" s="183">
        <v>4913525.0</v>
      </c>
      <c r="N42" s="183">
        <v>1.4308123E7</v>
      </c>
      <c r="O42" s="183">
        <v>1.03869303E8</v>
      </c>
      <c r="P42" s="183">
        <v>3.4438E10</v>
      </c>
      <c r="Q42" s="180"/>
      <c r="R42" s="180">
        <f t="shared" si="1"/>
        <v>118177426</v>
      </c>
      <c r="S42" s="180">
        <f t="shared" si="2"/>
        <v>0.8789267673</v>
      </c>
      <c r="T42" s="180"/>
      <c r="U42" s="181"/>
      <c r="V42" s="181"/>
      <c r="W42" s="181"/>
      <c r="X42" s="181"/>
      <c r="Y42" s="181"/>
      <c r="Z42" s="181"/>
    </row>
    <row r="43" ht="14.25" customHeight="1">
      <c r="A43" s="183" t="s">
        <v>215</v>
      </c>
      <c r="B43" s="183" t="s">
        <v>216</v>
      </c>
      <c r="C43" s="183" t="s">
        <v>216</v>
      </c>
      <c r="D43" s="183" t="s">
        <v>937</v>
      </c>
      <c r="E43" s="183" t="s">
        <v>938</v>
      </c>
      <c r="F43" s="183"/>
      <c r="G43" s="183"/>
      <c r="H43" s="180"/>
      <c r="I43" s="180"/>
      <c r="J43" s="183"/>
      <c r="K43" s="197">
        <v>10.0</v>
      </c>
      <c r="L43" s="197">
        <v>10.0</v>
      </c>
      <c r="M43" s="197">
        <v>10.0</v>
      </c>
      <c r="N43" s="197">
        <v>10.0</v>
      </c>
      <c r="O43" s="197">
        <v>10.0</v>
      </c>
      <c r="P43" s="183">
        <v>2.64938E11</v>
      </c>
      <c r="Q43" s="180"/>
      <c r="R43" s="198">
        <f t="shared" si="1"/>
        <v>20</v>
      </c>
      <c r="S43" s="180">
        <f t="shared" si="2"/>
        <v>0.5</v>
      </c>
      <c r="T43" s="180"/>
      <c r="U43" s="181"/>
      <c r="V43" s="181"/>
      <c r="W43" s="181"/>
      <c r="X43" s="181"/>
      <c r="Y43" s="181"/>
      <c r="Z43" s="181"/>
    </row>
    <row r="44" ht="14.25" customHeight="1">
      <c r="A44" s="183" t="s">
        <v>217</v>
      </c>
      <c r="B44" s="183" t="s">
        <v>219</v>
      </c>
      <c r="C44" s="183" t="s">
        <v>219</v>
      </c>
      <c r="D44" s="183" t="s">
        <v>937</v>
      </c>
      <c r="E44" s="183" t="s">
        <v>938</v>
      </c>
      <c r="F44" s="183"/>
      <c r="G44" s="183"/>
      <c r="H44" s="180"/>
      <c r="I44" s="180"/>
      <c r="J44" s="183"/>
      <c r="K44" s="197">
        <v>10.0</v>
      </c>
      <c r="L44" s="197">
        <v>10.0</v>
      </c>
      <c r="M44" s="197">
        <v>10.0</v>
      </c>
      <c r="N44" s="197">
        <v>10.0</v>
      </c>
      <c r="O44" s="197">
        <v>10.0</v>
      </c>
      <c r="P44" s="183">
        <v>7.0697E10</v>
      </c>
      <c r="Q44" s="180"/>
      <c r="R44" s="198">
        <f t="shared" si="1"/>
        <v>20</v>
      </c>
      <c r="S44" s="180">
        <f t="shared" si="2"/>
        <v>0.5</v>
      </c>
      <c r="T44" s="180"/>
      <c r="U44" s="181"/>
      <c r="V44" s="181"/>
      <c r="W44" s="181"/>
      <c r="X44" s="181"/>
      <c r="Y44" s="181"/>
      <c r="Z44" s="181"/>
    </row>
    <row r="45" ht="14.25" customHeight="1">
      <c r="A45" s="183" t="s">
        <v>220</v>
      </c>
      <c r="B45" s="183" t="s">
        <v>223</v>
      </c>
      <c r="C45" s="183" t="s">
        <v>223</v>
      </c>
      <c r="D45" s="183" t="s">
        <v>937</v>
      </c>
      <c r="E45" s="183" t="s">
        <v>938</v>
      </c>
      <c r="F45" s="183" t="s">
        <v>967</v>
      </c>
      <c r="G45" s="183"/>
      <c r="H45" s="180"/>
      <c r="I45" s="180"/>
      <c r="J45" s="183" t="s">
        <v>968</v>
      </c>
      <c r="K45" s="183">
        <v>1.5406173E7</v>
      </c>
      <c r="L45" s="183">
        <v>995988.0</v>
      </c>
      <c r="M45" s="183">
        <v>995988.0</v>
      </c>
      <c r="N45" s="183">
        <v>1.6402161E7</v>
      </c>
      <c r="O45" s="183">
        <v>3099293.0</v>
      </c>
      <c r="P45" s="183">
        <v>6.9693E10</v>
      </c>
      <c r="Q45" s="180"/>
      <c r="R45" s="180">
        <f t="shared" si="1"/>
        <v>19501454</v>
      </c>
      <c r="S45" s="180">
        <f t="shared" si="2"/>
        <v>0.1589262524</v>
      </c>
      <c r="T45" s="180"/>
      <c r="U45" s="181"/>
      <c r="V45" s="181"/>
      <c r="W45" s="181"/>
      <c r="X45" s="181"/>
      <c r="Y45" s="181"/>
      <c r="Z45" s="181"/>
    </row>
    <row r="46" ht="14.25" customHeight="1">
      <c r="A46" s="183" t="s">
        <v>225</v>
      </c>
      <c r="B46" s="183" t="s">
        <v>229</v>
      </c>
      <c r="C46" s="183" t="s">
        <v>229</v>
      </c>
      <c r="D46" s="183" t="s">
        <v>937</v>
      </c>
      <c r="E46" s="183" t="s">
        <v>938</v>
      </c>
      <c r="F46" s="183" t="s">
        <v>954</v>
      </c>
      <c r="G46" s="183"/>
      <c r="H46" s="180"/>
      <c r="I46" s="180"/>
      <c r="J46" s="183" t="s">
        <v>958</v>
      </c>
      <c r="K46" s="183">
        <v>1451947.0</v>
      </c>
      <c r="L46" s="183">
        <v>3195704.0</v>
      </c>
      <c r="M46" s="183">
        <v>3068182.0</v>
      </c>
      <c r="N46" s="183">
        <v>4520129.0</v>
      </c>
      <c r="O46" s="183">
        <v>1.83077722E8</v>
      </c>
      <c r="P46" s="183">
        <v>1.559E11</v>
      </c>
      <c r="Q46" s="180"/>
      <c r="R46" s="180">
        <f t="shared" si="1"/>
        <v>187597851</v>
      </c>
      <c r="S46" s="180">
        <f t="shared" si="2"/>
        <v>0.9759052197</v>
      </c>
      <c r="T46" s="180"/>
      <c r="U46" s="181"/>
      <c r="V46" s="181"/>
      <c r="W46" s="181"/>
      <c r="X46" s="181"/>
      <c r="Y46" s="181"/>
      <c r="Z46" s="181"/>
    </row>
    <row r="47" ht="14.25" customHeight="1">
      <c r="A47" s="183" t="s">
        <v>231</v>
      </c>
      <c r="B47" s="183" t="s">
        <v>234</v>
      </c>
      <c r="C47" s="183" t="s">
        <v>234</v>
      </c>
      <c r="D47" s="183" t="s">
        <v>937</v>
      </c>
      <c r="E47" s="183" t="s">
        <v>938</v>
      </c>
      <c r="F47" s="183" t="s">
        <v>954</v>
      </c>
      <c r="G47" s="183"/>
      <c r="H47" s="180"/>
      <c r="I47" s="180"/>
      <c r="J47" s="183" t="s">
        <v>955</v>
      </c>
      <c r="K47" s="183">
        <v>317081.0</v>
      </c>
      <c r="L47" s="183">
        <v>0.0</v>
      </c>
      <c r="M47" s="183">
        <v>445119.0</v>
      </c>
      <c r="N47" s="183">
        <v>762200.0</v>
      </c>
      <c r="O47" s="183">
        <v>0.0</v>
      </c>
      <c r="P47" s="183">
        <v>3.935E10</v>
      </c>
      <c r="Q47" s="180"/>
      <c r="R47" s="180">
        <f t="shared" si="1"/>
        <v>762200</v>
      </c>
      <c r="S47" s="180">
        <f t="shared" si="2"/>
        <v>0</v>
      </c>
      <c r="T47" s="180"/>
      <c r="U47" s="181"/>
      <c r="V47" s="181"/>
      <c r="W47" s="181"/>
      <c r="X47" s="181"/>
      <c r="Y47" s="181"/>
      <c r="Z47" s="181"/>
    </row>
    <row r="48" ht="14.25" customHeight="1">
      <c r="A48" s="183" t="s">
        <v>236</v>
      </c>
      <c r="B48" s="183" t="s">
        <v>240</v>
      </c>
      <c r="C48" s="183" t="s">
        <v>240</v>
      </c>
      <c r="D48" s="183" t="s">
        <v>937</v>
      </c>
      <c r="E48" s="183" t="s">
        <v>938</v>
      </c>
      <c r="F48" s="183" t="s">
        <v>954</v>
      </c>
      <c r="G48" s="183"/>
      <c r="H48" s="180"/>
      <c r="I48" s="180"/>
      <c r="J48" s="183" t="s">
        <v>969</v>
      </c>
      <c r="K48" s="183">
        <v>997409.519</v>
      </c>
      <c r="L48" s="183">
        <v>1416578.884</v>
      </c>
      <c r="M48" s="183">
        <v>1387615.018</v>
      </c>
      <c r="N48" s="183">
        <v>2385024.537</v>
      </c>
      <c r="O48" s="183">
        <v>865714.078</v>
      </c>
      <c r="P48" s="183">
        <v>9.5214E10</v>
      </c>
      <c r="Q48" s="180"/>
      <c r="R48" s="180">
        <f t="shared" si="1"/>
        <v>3250738.615</v>
      </c>
      <c r="S48" s="180">
        <f t="shared" si="2"/>
        <v>0.2663130385</v>
      </c>
      <c r="T48" s="180"/>
      <c r="U48" s="181"/>
      <c r="V48" s="181"/>
      <c r="W48" s="181"/>
      <c r="X48" s="181"/>
      <c r="Y48" s="181"/>
      <c r="Z48" s="181"/>
    </row>
    <row r="49" ht="14.25" customHeight="1">
      <c r="A49" s="183" t="s">
        <v>242</v>
      </c>
      <c r="B49" s="183" t="s">
        <v>246</v>
      </c>
      <c r="C49" s="183" t="s">
        <v>246</v>
      </c>
      <c r="D49" s="183" t="s">
        <v>937</v>
      </c>
      <c r="E49" s="183" t="s">
        <v>938</v>
      </c>
      <c r="F49" s="183" t="s">
        <v>954</v>
      </c>
      <c r="G49" s="183"/>
      <c r="H49" s="180"/>
      <c r="I49" s="180"/>
      <c r="J49" s="183" t="s">
        <v>958</v>
      </c>
      <c r="K49" s="183">
        <v>1589700.0</v>
      </c>
      <c r="L49" s="183">
        <v>4381970.0</v>
      </c>
      <c r="M49" s="183">
        <v>3721875.0</v>
      </c>
      <c r="N49" s="183">
        <v>5311575.0</v>
      </c>
      <c r="O49" s="183">
        <v>2.49313396E8</v>
      </c>
      <c r="P49" s="183">
        <v>1.37237E11</v>
      </c>
      <c r="Q49" s="180"/>
      <c r="R49" s="180">
        <f t="shared" si="1"/>
        <v>254624971</v>
      </c>
      <c r="S49" s="180">
        <f t="shared" si="2"/>
        <v>0.9791396147</v>
      </c>
      <c r="T49" s="180"/>
      <c r="U49" s="181"/>
      <c r="V49" s="181"/>
      <c r="W49" s="181"/>
      <c r="X49" s="181"/>
      <c r="Y49" s="181"/>
      <c r="Z49" s="181"/>
    </row>
    <row r="50" ht="14.25" customHeight="1">
      <c r="A50" s="183" t="s">
        <v>248</v>
      </c>
      <c r="B50" s="183" t="s">
        <v>252</v>
      </c>
      <c r="C50" s="183" t="s">
        <v>252</v>
      </c>
      <c r="D50" s="183" t="s">
        <v>937</v>
      </c>
      <c r="E50" s="183" t="s">
        <v>938</v>
      </c>
      <c r="F50" s="183" t="s">
        <v>941</v>
      </c>
      <c r="G50" s="183"/>
      <c r="H50" s="180"/>
      <c r="I50" s="180"/>
      <c r="J50" s="183" t="s">
        <v>943</v>
      </c>
      <c r="K50" s="183">
        <v>52019.0</v>
      </c>
      <c r="L50" s="183">
        <v>42546.0</v>
      </c>
      <c r="M50" s="183">
        <v>21716.0</v>
      </c>
      <c r="N50" s="183">
        <v>73735.0</v>
      </c>
      <c r="O50" s="183">
        <v>1436297.0</v>
      </c>
      <c r="P50" s="183">
        <v>2.2449E10</v>
      </c>
      <c r="Q50" s="180"/>
      <c r="R50" s="180">
        <f t="shared" si="1"/>
        <v>1510032</v>
      </c>
      <c r="S50" s="180">
        <f t="shared" si="2"/>
        <v>0.951169909</v>
      </c>
      <c r="T50" s="180"/>
      <c r="U50" s="181"/>
      <c r="V50" s="181"/>
      <c r="W50" s="181"/>
      <c r="X50" s="181"/>
      <c r="Y50" s="181"/>
      <c r="Z50" s="181"/>
    </row>
    <row r="51" ht="14.25" customHeight="1">
      <c r="A51" s="183" t="s">
        <v>254</v>
      </c>
      <c r="B51" s="183" t="s">
        <v>258</v>
      </c>
      <c r="C51" s="183" t="s">
        <v>258</v>
      </c>
      <c r="D51" s="183" t="s">
        <v>937</v>
      </c>
      <c r="E51" s="183" t="s">
        <v>938</v>
      </c>
      <c r="F51" s="183" t="s">
        <v>946</v>
      </c>
      <c r="G51" s="183"/>
      <c r="H51" s="180"/>
      <c r="I51" s="180"/>
      <c r="J51" s="183" t="s">
        <v>948</v>
      </c>
      <c r="K51" s="183">
        <v>12673.0</v>
      </c>
      <c r="L51" s="183">
        <v>166249.0</v>
      </c>
      <c r="M51" s="183">
        <v>9109.0</v>
      </c>
      <c r="N51" s="183">
        <v>21782.0</v>
      </c>
      <c r="O51" s="183">
        <v>1404464.0</v>
      </c>
      <c r="P51" s="183">
        <v>3.6546E10</v>
      </c>
      <c r="Q51" s="180"/>
      <c r="R51" s="180">
        <f t="shared" si="1"/>
        <v>1426246</v>
      </c>
      <c r="S51" s="180">
        <f t="shared" si="2"/>
        <v>0.9847277398</v>
      </c>
      <c r="T51" s="180"/>
      <c r="U51" s="181"/>
      <c r="V51" s="181"/>
      <c r="W51" s="181"/>
      <c r="X51" s="181"/>
      <c r="Y51" s="181"/>
      <c r="Z51" s="181"/>
    </row>
    <row r="52" ht="14.25" customHeight="1">
      <c r="A52" s="183" t="s">
        <v>260</v>
      </c>
      <c r="B52" s="183" t="s">
        <v>263</v>
      </c>
      <c r="C52" s="183" t="s">
        <v>263</v>
      </c>
      <c r="D52" s="183" t="s">
        <v>937</v>
      </c>
      <c r="E52" s="183" t="s">
        <v>938</v>
      </c>
      <c r="F52" s="183" t="s">
        <v>962</v>
      </c>
      <c r="G52" s="183"/>
      <c r="H52" s="180"/>
      <c r="I52" s="180"/>
      <c r="J52" s="183" t="s">
        <v>970</v>
      </c>
      <c r="K52" s="183">
        <v>554317.0</v>
      </c>
      <c r="L52" s="183">
        <v>1393916.0</v>
      </c>
      <c r="M52" s="183">
        <v>1302648.0</v>
      </c>
      <c r="N52" s="183">
        <v>1856965.0</v>
      </c>
      <c r="O52" s="183">
        <v>2.04637598E8</v>
      </c>
      <c r="P52" s="183">
        <v>1.102E11</v>
      </c>
      <c r="Q52" s="180"/>
      <c r="R52" s="180">
        <f t="shared" si="1"/>
        <v>206494563</v>
      </c>
      <c r="S52" s="180">
        <f t="shared" si="2"/>
        <v>0.9910071966</v>
      </c>
      <c r="T52" s="180"/>
      <c r="U52" s="181"/>
      <c r="V52" s="181"/>
      <c r="W52" s="181"/>
      <c r="X52" s="181"/>
      <c r="Y52" s="181"/>
      <c r="Z52" s="181"/>
    </row>
    <row r="53" ht="14.25" customHeight="1">
      <c r="A53" s="183" t="s">
        <v>265</v>
      </c>
      <c r="B53" s="183" t="s">
        <v>269</v>
      </c>
      <c r="C53" s="183" t="s">
        <v>269</v>
      </c>
      <c r="D53" s="183" t="s">
        <v>937</v>
      </c>
      <c r="E53" s="183" t="s">
        <v>938</v>
      </c>
      <c r="F53" s="183" t="s">
        <v>954</v>
      </c>
      <c r="G53" s="183"/>
      <c r="H53" s="180"/>
      <c r="I53" s="180"/>
      <c r="J53" s="183" t="s">
        <v>955</v>
      </c>
      <c r="K53" s="183">
        <v>1090649.0</v>
      </c>
      <c r="L53" s="183">
        <v>951982.0</v>
      </c>
      <c r="M53" s="183">
        <v>933484.0</v>
      </c>
      <c r="N53" s="183">
        <v>2024133.0</v>
      </c>
      <c r="O53" s="183">
        <v>1.808705E7</v>
      </c>
      <c r="P53" s="183">
        <v>3.6709E10</v>
      </c>
      <c r="Q53" s="180"/>
      <c r="R53" s="180">
        <f t="shared" si="1"/>
        <v>20111183</v>
      </c>
      <c r="S53" s="180">
        <f t="shared" si="2"/>
        <v>0.8993528625</v>
      </c>
      <c r="T53" s="180"/>
      <c r="U53" s="181"/>
      <c r="V53" s="181"/>
      <c r="W53" s="181"/>
      <c r="X53" s="181"/>
      <c r="Y53" s="181"/>
      <c r="Z53" s="181"/>
    </row>
    <row r="54" ht="14.25" customHeight="1">
      <c r="A54" s="183" t="s">
        <v>271</v>
      </c>
      <c r="B54" s="183" t="s">
        <v>275</v>
      </c>
      <c r="C54" s="183" t="s">
        <v>275</v>
      </c>
      <c r="D54" s="183" t="s">
        <v>937</v>
      </c>
      <c r="E54" s="183" t="s">
        <v>938</v>
      </c>
      <c r="F54" s="183" t="s">
        <v>946</v>
      </c>
      <c r="G54" s="183"/>
      <c r="H54" s="180"/>
      <c r="I54" s="180"/>
      <c r="J54" s="183" t="s">
        <v>947</v>
      </c>
      <c r="K54" s="183">
        <v>117723.0</v>
      </c>
      <c r="L54" s="183">
        <v>987066.0</v>
      </c>
      <c r="M54" s="183">
        <v>827369.0</v>
      </c>
      <c r="N54" s="183">
        <v>945092.0</v>
      </c>
      <c r="O54" s="183">
        <v>1158414.0</v>
      </c>
      <c r="P54" s="183">
        <v>7.714E10</v>
      </c>
      <c r="Q54" s="180"/>
      <c r="R54" s="180">
        <f t="shared" si="1"/>
        <v>2103506</v>
      </c>
      <c r="S54" s="180">
        <f t="shared" si="2"/>
        <v>0.550706297</v>
      </c>
      <c r="T54" s="180"/>
      <c r="U54" s="181"/>
      <c r="V54" s="181"/>
      <c r="W54" s="181"/>
      <c r="X54" s="181"/>
      <c r="Y54" s="181"/>
      <c r="Z54" s="181"/>
    </row>
    <row r="55" ht="14.25" customHeight="1">
      <c r="A55" s="183" t="s">
        <v>277</v>
      </c>
      <c r="B55" s="183" t="s">
        <v>281</v>
      </c>
      <c r="C55" s="183" t="s">
        <v>281</v>
      </c>
      <c r="D55" s="183" t="s">
        <v>937</v>
      </c>
      <c r="E55" s="183" t="s">
        <v>938</v>
      </c>
      <c r="F55" s="183" t="s">
        <v>954</v>
      </c>
      <c r="G55" s="183"/>
      <c r="H55" s="180"/>
      <c r="I55" s="180"/>
      <c r="J55" s="183" t="s">
        <v>955</v>
      </c>
      <c r="K55" s="183">
        <v>1489000.0</v>
      </c>
      <c r="L55" s="183">
        <v>3345000.0</v>
      </c>
      <c r="M55" s="183">
        <v>1299000.0</v>
      </c>
      <c r="N55" s="183">
        <v>2788000.0</v>
      </c>
      <c r="O55" s="183">
        <v>9739000.0</v>
      </c>
      <c r="P55" s="183">
        <v>7.19E10</v>
      </c>
      <c r="Q55" s="180"/>
      <c r="R55" s="180">
        <f t="shared" si="1"/>
        <v>12527000</v>
      </c>
      <c r="S55" s="180">
        <f t="shared" si="2"/>
        <v>0.777440728</v>
      </c>
      <c r="T55" s="180"/>
      <c r="U55" s="181"/>
      <c r="V55" s="181"/>
      <c r="W55" s="181"/>
      <c r="X55" s="181"/>
      <c r="Y55" s="181"/>
      <c r="Z55" s="181"/>
    </row>
    <row r="56" ht="14.25" customHeight="1">
      <c r="A56" s="183" t="s">
        <v>283</v>
      </c>
      <c r="B56" s="183" t="s">
        <v>287</v>
      </c>
      <c r="C56" s="183" t="s">
        <v>287</v>
      </c>
      <c r="D56" s="183" t="s">
        <v>937</v>
      </c>
      <c r="E56" s="183" t="s">
        <v>938</v>
      </c>
      <c r="F56" s="183" t="s">
        <v>941</v>
      </c>
      <c r="G56" s="183"/>
      <c r="H56" s="180"/>
      <c r="I56" s="180"/>
      <c r="J56" s="183" t="s">
        <v>943</v>
      </c>
      <c r="K56" s="183">
        <v>415094.0</v>
      </c>
      <c r="L56" s="183">
        <v>648598.0</v>
      </c>
      <c r="M56" s="183">
        <v>518542.0</v>
      </c>
      <c r="N56" s="183">
        <v>933636.0</v>
      </c>
      <c r="O56" s="183">
        <v>2.0365501E7</v>
      </c>
      <c r="P56" s="183">
        <v>8.206E10</v>
      </c>
      <c r="Q56" s="180"/>
      <c r="R56" s="180">
        <f t="shared" si="1"/>
        <v>21299137</v>
      </c>
      <c r="S56" s="180">
        <f t="shared" si="2"/>
        <v>0.9561655479</v>
      </c>
      <c r="T56" s="180"/>
      <c r="U56" s="181"/>
      <c r="V56" s="181"/>
      <c r="W56" s="181"/>
      <c r="X56" s="181"/>
      <c r="Y56" s="181"/>
      <c r="Z56" s="181"/>
    </row>
    <row r="57" ht="14.25" customHeight="1">
      <c r="A57" s="183" t="s">
        <v>289</v>
      </c>
      <c r="B57" s="183" t="s">
        <v>293</v>
      </c>
      <c r="C57" s="183" t="s">
        <v>293</v>
      </c>
      <c r="D57" s="183" t="s">
        <v>937</v>
      </c>
      <c r="E57" s="183" t="s">
        <v>938</v>
      </c>
      <c r="F57" s="183" t="s">
        <v>946</v>
      </c>
      <c r="G57" s="183"/>
      <c r="H57" s="180"/>
      <c r="I57" s="180"/>
      <c r="J57" s="183" t="s">
        <v>948</v>
      </c>
      <c r="K57" s="183">
        <v>81655.0</v>
      </c>
      <c r="L57" s="183">
        <v>692299.0</v>
      </c>
      <c r="M57" s="183">
        <v>556142.0</v>
      </c>
      <c r="N57" s="183">
        <v>637797.0</v>
      </c>
      <c r="O57" s="183">
        <v>213233.0</v>
      </c>
      <c r="P57" s="183">
        <v>1.156E11</v>
      </c>
      <c r="Q57" s="180"/>
      <c r="R57" s="180">
        <f t="shared" si="1"/>
        <v>851030</v>
      </c>
      <c r="S57" s="180">
        <f t="shared" si="2"/>
        <v>0.2505587347</v>
      </c>
      <c r="T57" s="180"/>
      <c r="U57" s="181"/>
      <c r="V57" s="181"/>
      <c r="W57" s="181"/>
      <c r="X57" s="181"/>
      <c r="Y57" s="181"/>
      <c r="Z57" s="181"/>
    </row>
    <row r="58" ht="14.25" customHeight="1">
      <c r="A58" s="183" t="s">
        <v>295</v>
      </c>
      <c r="B58" s="183" t="s">
        <v>971</v>
      </c>
      <c r="C58" s="183" t="s">
        <v>971</v>
      </c>
      <c r="D58" s="183" t="s">
        <v>937</v>
      </c>
      <c r="E58" s="183" t="s">
        <v>938</v>
      </c>
      <c r="F58" s="183"/>
      <c r="G58" s="183"/>
      <c r="H58" s="180"/>
      <c r="I58" s="180"/>
      <c r="J58" s="183"/>
      <c r="K58" s="197">
        <v>10.0</v>
      </c>
      <c r="L58" s="197">
        <v>10.0</v>
      </c>
      <c r="M58" s="197">
        <v>10.0</v>
      </c>
      <c r="N58" s="197">
        <v>10.0</v>
      </c>
      <c r="O58" s="197">
        <v>10.0</v>
      </c>
      <c r="P58" s="183">
        <v>1.3209E10</v>
      </c>
      <c r="Q58" s="180"/>
      <c r="R58" s="198">
        <f t="shared" si="1"/>
        <v>20</v>
      </c>
      <c r="S58" s="180">
        <f t="shared" si="2"/>
        <v>0.5</v>
      </c>
      <c r="T58" s="180"/>
      <c r="U58" s="181"/>
      <c r="V58" s="181"/>
      <c r="W58" s="181"/>
      <c r="X58" s="181"/>
      <c r="Y58" s="181"/>
      <c r="Z58" s="181"/>
    </row>
    <row r="59" ht="14.25" customHeight="1">
      <c r="A59" s="183" t="s">
        <v>298</v>
      </c>
      <c r="B59" s="183" t="s">
        <v>302</v>
      </c>
      <c r="C59" s="183" t="s">
        <v>302</v>
      </c>
      <c r="D59" s="183" t="s">
        <v>937</v>
      </c>
      <c r="E59" s="183" t="s">
        <v>938</v>
      </c>
      <c r="F59" s="183" t="s">
        <v>950</v>
      </c>
      <c r="G59" s="183"/>
      <c r="H59" s="180"/>
      <c r="I59" s="180"/>
      <c r="J59" s="183" t="s">
        <v>959</v>
      </c>
      <c r="K59" s="183">
        <v>649256.0</v>
      </c>
      <c r="L59" s="183">
        <v>773066.0</v>
      </c>
      <c r="M59" s="183">
        <v>0.0</v>
      </c>
      <c r="N59" s="183">
        <v>1422322.0</v>
      </c>
      <c r="O59" s="183">
        <v>2.3277532906E7</v>
      </c>
      <c r="P59" s="183">
        <v>2.497E10</v>
      </c>
      <c r="Q59" s="180"/>
      <c r="R59" s="180">
        <f t="shared" si="1"/>
        <v>24699854.91</v>
      </c>
      <c r="S59" s="180">
        <f t="shared" si="2"/>
        <v>0.9424157751</v>
      </c>
      <c r="T59" s="180"/>
      <c r="U59" s="181"/>
      <c r="V59" s="181"/>
      <c r="W59" s="181"/>
      <c r="X59" s="181"/>
      <c r="Y59" s="181"/>
      <c r="Z59" s="181"/>
    </row>
    <row r="60" ht="14.25" customHeight="1">
      <c r="A60" s="183" t="s">
        <v>304</v>
      </c>
      <c r="B60" s="183" t="s">
        <v>308</v>
      </c>
      <c r="C60" s="183" t="s">
        <v>308</v>
      </c>
      <c r="D60" s="183" t="s">
        <v>937</v>
      </c>
      <c r="E60" s="183" t="s">
        <v>938</v>
      </c>
      <c r="F60" s="183" t="s">
        <v>954</v>
      </c>
      <c r="G60" s="183"/>
      <c r="H60" s="180"/>
      <c r="I60" s="180"/>
      <c r="J60" s="183" t="s">
        <v>955</v>
      </c>
      <c r="K60" s="183">
        <v>305362.0</v>
      </c>
      <c r="L60" s="183">
        <v>662659.0</v>
      </c>
      <c r="M60" s="183">
        <v>466073.0</v>
      </c>
      <c r="N60" s="183">
        <v>771435.0</v>
      </c>
      <c r="O60" s="183">
        <v>3.06445E7</v>
      </c>
      <c r="P60" s="183">
        <v>5.981E10</v>
      </c>
      <c r="Q60" s="180"/>
      <c r="R60" s="180">
        <f t="shared" si="1"/>
        <v>31415935</v>
      </c>
      <c r="S60" s="180">
        <f t="shared" si="2"/>
        <v>0.9754444679</v>
      </c>
      <c r="T60" s="180"/>
      <c r="U60" s="181"/>
      <c r="V60" s="181"/>
      <c r="W60" s="181"/>
      <c r="X60" s="181"/>
      <c r="Y60" s="181"/>
      <c r="Z60" s="181"/>
    </row>
    <row r="61" ht="14.25" customHeight="1">
      <c r="A61" s="183" t="s">
        <v>310</v>
      </c>
      <c r="B61" s="183" t="s">
        <v>314</v>
      </c>
      <c r="C61" s="183" t="s">
        <v>314</v>
      </c>
      <c r="D61" s="183" t="s">
        <v>937</v>
      </c>
      <c r="E61" s="183" t="s">
        <v>938</v>
      </c>
      <c r="F61" s="183" t="s">
        <v>962</v>
      </c>
      <c r="G61" s="183"/>
      <c r="H61" s="180"/>
      <c r="I61" s="180"/>
      <c r="J61" s="183" t="s">
        <v>970</v>
      </c>
      <c r="K61" s="183">
        <v>484737.0</v>
      </c>
      <c r="L61" s="183">
        <v>1623768.0</v>
      </c>
      <c r="M61" s="183">
        <v>0.0</v>
      </c>
      <c r="N61" s="183">
        <v>2108505.0</v>
      </c>
      <c r="O61" s="183">
        <v>1.2364505978E8</v>
      </c>
      <c r="P61" s="183">
        <v>7.13E10</v>
      </c>
      <c r="Q61" s="180"/>
      <c r="R61" s="180">
        <f t="shared" si="1"/>
        <v>125753564.8</v>
      </c>
      <c r="S61" s="180">
        <f t="shared" si="2"/>
        <v>0.9832330399</v>
      </c>
      <c r="T61" s="180"/>
      <c r="U61" s="181"/>
      <c r="V61" s="181"/>
      <c r="W61" s="181"/>
      <c r="X61" s="181"/>
      <c r="Y61" s="181"/>
      <c r="Z61" s="181"/>
    </row>
    <row r="62" ht="14.25" customHeight="1">
      <c r="A62" s="183" t="s">
        <v>316</v>
      </c>
      <c r="B62" s="183" t="s">
        <v>320</v>
      </c>
      <c r="C62" s="183" t="s">
        <v>320</v>
      </c>
      <c r="D62" s="183" t="s">
        <v>937</v>
      </c>
      <c r="E62" s="183" t="s">
        <v>938</v>
      </c>
      <c r="F62" s="183" t="s">
        <v>946</v>
      </c>
      <c r="G62" s="183"/>
      <c r="H62" s="180"/>
      <c r="I62" s="180"/>
      <c r="J62" s="183" t="s">
        <v>972</v>
      </c>
      <c r="K62" s="183">
        <v>4758.4</v>
      </c>
      <c r="L62" s="183">
        <v>52140.56</v>
      </c>
      <c r="M62" s="183">
        <v>162.0</v>
      </c>
      <c r="N62" s="183">
        <v>4920.4</v>
      </c>
      <c r="O62" s="183">
        <v>503012.19</v>
      </c>
      <c r="P62" s="183">
        <v>1.6883E10</v>
      </c>
      <c r="Q62" s="180"/>
      <c r="R62" s="180">
        <f t="shared" si="1"/>
        <v>507932.59</v>
      </c>
      <c r="S62" s="180">
        <f t="shared" si="2"/>
        <v>0.9903128878</v>
      </c>
      <c r="T62" s="180"/>
      <c r="U62" s="181"/>
      <c r="V62" s="181"/>
      <c r="W62" s="181"/>
      <c r="X62" s="181"/>
      <c r="Y62" s="181"/>
      <c r="Z62" s="181"/>
    </row>
    <row r="63" ht="14.25" customHeight="1">
      <c r="A63" s="183" t="s">
        <v>322</v>
      </c>
      <c r="B63" s="183" t="s">
        <v>326</v>
      </c>
      <c r="C63" s="183" t="s">
        <v>326</v>
      </c>
      <c r="D63" s="183" t="s">
        <v>937</v>
      </c>
      <c r="E63" s="183" t="s">
        <v>938</v>
      </c>
      <c r="F63" s="183" t="s">
        <v>973</v>
      </c>
      <c r="G63" s="183"/>
      <c r="H63" s="180"/>
      <c r="I63" s="180"/>
      <c r="J63" s="183" t="s">
        <v>974</v>
      </c>
      <c r="K63" s="183">
        <v>107034.65</v>
      </c>
      <c r="L63" s="183">
        <v>569598.23</v>
      </c>
      <c r="M63" s="183">
        <v>492114.18</v>
      </c>
      <c r="N63" s="183">
        <v>599148.83</v>
      </c>
      <c r="O63" s="183">
        <v>5.2955642099999994E7</v>
      </c>
      <c r="P63" s="183">
        <v>2.1076E10</v>
      </c>
      <c r="Q63" s="180"/>
      <c r="R63" s="180">
        <f t="shared" si="1"/>
        <v>53554790.93</v>
      </c>
      <c r="S63" s="180">
        <f t="shared" si="2"/>
        <v>0.988812414</v>
      </c>
      <c r="T63" s="180"/>
      <c r="U63" s="181"/>
      <c r="V63" s="181"/>
      <c r="W63" s="181"/>
      <c r="X63" s="181"/>
      <c r="Y63" s="181"/>
      <c r="Z63" s="181"/>
    </row>
    <row r="64" ht="14.25" customHeight="1">
      <c r="A64" s="183" t="s">
        <v>328</v>
      </c>
      <c r="B64" s="183" t="s">
        <v>331</v>
      </c>
      <c r="C64" s="183" t="s">
        <v>331</v>
      </c>
      <c r="D64" s="183" t="s">
        <v>937</v>
      </c>
      <c r="E64" s="183" t="s">
        <v>938</v>
      </c>
      <c r="F64" s="183" t="s">
        <v>941</v>
      </c>
      <c r="G64" s="183"/>
      <c r="H64" s="180"/>
      <c r="I64" s="180"/>
      <c r="J64" s="183" t="s">
        <v>942</v>
      </c>
      <c r="K64" s="183">
        <v>61803.0</v>
      </c>
      <c r="L64" s="183">
        <v>0.0</v>
      </c>
      <c r="M64" s="183">
        <v>218742.0</v>
      </c>
      <c r="N64" s="183">
        <v>280545.0</v>
      </c>
      <c r="O64" s="183">
        <v>278482.0</v>
      </c>
      <c r="P64" s="183">
        <v>3.0557E10</v>
      </c>
      <c r="Q64" s="180"/>
      <c r="R64" s="180">
        <f t="shared" si="1"/>
        <v>559027</v>
      </c>
      <c r="S64" s="180">
        <f t="shared" si="2"/>
        <v>0.4981548297</v>
      </c>
      <c r="T64" s="180"/>
      <c r="U64" s="181"/>
      <c r="V64" s="181"/>
      <c r="W64" s="181"/>
      <c r="X64" s="181"/>
      <c r="Y64" s="181"/>
      <c r="Z64" s="181"/>
    </row>
    <row r="65" ht="14.25" customHeight="1">
      <c r="A65" s="183" t="s">
        <v>333</v>
      </c>
      <c r="B65" s="183" t="s">
        <v>337</v>
      </c>
      <c r="C65" s="183" t="s">
        <v>337</v>
      </c>
      <c r="D65" s="183" t="s">
        <v>937</v>
      </c>
      <c r="E65" s="183" t="s">
        <v>938</v>
      </c>
      <c r="F65" s="183" t="s">
        <v>941</v>
      </c>
      <c r="G65" s="183"/>
      <c r="H65" s="180"/>
      <c r="I65" s="180"/>
      <c r="J65" s="183" t="s">
        <v>943</v>
      </c>
      <c r="K65" s="183">
        <v>755340.0</v>
      </c>
      <c r="L65" s="183">
        <v>413550.0</v>
      </c>
      <c r="M65" s="183">
        <v>316630.0</v>
      </c>
      <c r="N65" s="183">
        <v>1071970.0</v>
      </c>
      <c r="O65" s="183">
        <v>6965600.0</v>
      </c>
      <c r="P65" s="183">
        <v>4.229E10</v>
      </c>
      <c r="Q65" s="180"/>
      <c r="R65" s="180">
        <f t="shared" si="1"/>
        <v>8037570</v>
      </c>
      <c r="S65" s="180">
        <f t="shared" si="2"/>
        <v>0.8666300884</v>
      </c>
      <c r="T65" s="180"/>
      <c r="U65" s="181"/>
      <c r="V65" s="181"/>
      <c r="W65" s="181"/>
      <c r="X65" s="181"/>
      <c r="Y65" s="181"/>
      <c r="Z65" s="181"/>
    </row>
    <row r="66" ht="14.25" customHeight="1">
      <c r="A66" s="183" t="s">
        <v>339</v>
      </c>
      <c r="B66" s="183" t="s">
        <v>343</v>
      </c>
      <c r="C66" s="183" t="s">
        <v>343</v>
      </c>
      <c r="D66" s="183" t="s">
        <v>937</v>
      </c>
      <c r="E66" s="183" t="s">
        <v>938</v>
      </c>
      <c r="F66" s="183" t="s">
        <v>946</v>
      </c>
      <c r="G66" s="183"/>
      <c r="H66" s="180"/>
      <c r="I66" s="180"/>
      <c r="J66" s="183" t="s">
        <v>948</v>
      </c>
      <c r="K66" s="183">
        <v>13613.0</v>
      </c>
      <c r="L66" s="183">
        <v>90280.0</v>
      </c>
      <c r="M66" s="183">
        <v>0.0</v>
      </c>
      <c r="N66" s="183">
        <v>103893.0</v>
      </c>
      <c r="O66" s="183">
        <v>5461963.15</v>
      </c>
      <c r="P66" s="183">
        <v>6.7941E10</v>
      </c>
      <c r="Q66" s="180"/>
      <c r="R66" s="180">
        <f t="shared" si="1"/>
        <v>5565856.15</v>
      </c>
      <c r="S66" s="180">
        <f t="shared" si="2"/>
        <v>0.981333869</v>
      </c>
      <c r="T66" s="180"/>
      <c r="U66" s="181"/>
      <c r="V66" s="181"/>
      <c r="W66" s="181"/>
      <c r="X66" s="181"/>
      <c r="Y66" s="181"/>
      <c r="Z66" s="181"/>
    </row>
    <row r="67" ht="14.25" customHeight="1">
      <c r="A67" s="183" t="s">
        <v>345</v>
      </c>
      <c r="B67" s="183" t="s">
        <v>349</v>
      </c>
      <c r="C67" s="183" t="s">
        <v>349</v>
      </c>
      <c r="D67" s="183" t="s">
        <v>937</v>
      </c>
      <c r="E67" s="183" t="s">
        <v>938</v>
      </c>
      <c r="F67" s="183" t="s">
        <v>946</v>
      </c>
      <c r="G67" s="183"/>
      <c r="H67" s="180"/>
      <c r="I67" s="180"/>
      <c r="J67" s="183" t="s">
        <v>947</v>
      </c>
      <c r="K67" s="183">
        <v>113412.0</v>
      </c>
      <c r="L67" s="183">
        <v>3556553.0</v>
      </c>
      <c r="M67" s="183">
        <v>275375.0</v>
      </c>
      <c r="N67" s="183">
        <v>388787.0</v>
      </c>
      <c r="O67" s="183">
        <v>1.1322527E7</v>
      </c>
      <c r="P67" s="183">
        <v>1.258E11</v>
      </c>
      <c r="Q67" s="180"/>
      <c r="R67" s="180">
        <f t="shared" si="1"/>
        <v>11711314</v>
      </c>
      <c r="S67" s="180">
        <f t="shared" si="2"/>
        <v>0.9668024442</v>
      </c>
      <c r="T67" s="180"/>
      <c r="U67" s="181"/>
      <c r="V67" s="181"/>
      <c r="W67" s="181"/>
      <c r="X67" s="181"/>
      <c r="Y67" s="181"/>
      <c r="Z67" s="181"/>
    </row>
    <row r="68" ht="14.25" customHeight="1">
      <c r="A68" s="183" t="s">
        <v>351</v>
      </c>
      <c r="B68" s="183" t="s">
        <v>355</v>
      </c>
      <c r="C68" s="183" t="s">
        <v>355</v>
      </c>
      <c r="D68" s="183" t="s">
        <v>937</v>
      </c>
      <c r="E68" s="183" t="s">
        <v>938</v>
      </c>
      <c r="F68" s="183" t="s">
        <v>950</v>
      </c>
      <c r="G68" s="183"/>
      <c r="H68" s="180"/>
      <c r="I68" s="180"/>
      <c r="J68" s="183" t="s">
        <v>959</v>
      </c>
      <c r="K68" s="183">
        <v>856590.0</v>
      </c>
      <c r="L68" s="183">
        <v>938601.0</v>
      </c>
      <c r="M68" s="183">
        <v>906349.0</v>
      </c>
      <c r="N68" s="183">
        <v>1762939.0</v>
      </c>
      <c r="O68" s="183">
        <v>1.985221E7</v>
      </c>
      <c r="P68" s="183">
        <v>2.587E10</v>
      </c>
      <c r="Q68" s="180"/>
      <c r="R68" s="180">
        <f t="shared" si="1"/>
        <v>21615149</v>
      </c>
      <c r="S68" s="180">
        <f t="shared" si="2"/>
        <v>0.9184396554</v>
      </c>
      <c r="T68" s="180"/>
      <c r="U68" s="181"/>
      <c r="V68" s="181"/>
      <c r="W68" s="181"/>
      <c r="X68" s="181"/>
      <c r="Y68" s="181"/>
      <c r="Z68" s="181"/>
    </row>
    <row r="69" ht="14.25" customHeight="1">
      <c r="A69" s="183" t="s">
        <v>357</v>
      </c>
      <c r="B69" s="183" t="s">
        <v>360</v>
      </c>
      <c r="C69" s="183" t="s">
        <v>360</v>
      </c>
      <c r="D69" s="183" t="s">
        <v>937</v>
      </c>
      <c r="E69" s="183" t="s">
        <v>938</v>
      </c>
      <c r="F69" s="183" t="s">
        <v>946</v>
      </c>
      <c r="G69" s="183"/>
      <c r="H69" s="180"/>
      <c r="I69" s="180"/>
      <c r="J69" s="183" t="s">
        <v>948</v>
      </c>
      <c r="K69" s="183">
        <v>28300.0</v>
      </c>
      <c r="L69" s="183">
        <v>199800.0</v>
      </c>
      <c r="M69" s="183">
        <v>176200.0</v>
      </c>
      <c r="N69" s="183">
        <v>204500.0</v>
      </c>
      <c r="O69" s="183">
        <v>1374540.0</v>
      </c>
      <c r="P69" s="183">
        <v>4.1419E10</v>
      </c>
      <c r="Q69" s="180"/>
      <c r="R69" s="180">
        <f t="shared" si="1"/>
        <v>1579040</v>
      </c>
      <c r="S69" s="180">
        <f t="shared" si="2"/>
        <v>0.8704909312</v>
      </c>
      <c r="T69" s="180"/>
      <c r="U69" s="181"/>
      <c r="V69" s="181"/>
      <c r="W69" s="181"/>
      <c r="X69" s="181"/>
      <c r="Y69" s="181"/>
      <c r="Z69" s="181"/>
    </row>
    <row r="70" ht="14.25" customHeight="1">
      <c r="A70" s="183" t="s">
        <v>362</v>
      </c>
      <c r="B70" s="183" t="s">
        <v>975</v>
      </c>
      <c r="C70" s="183" t="s">
        <v>975</v>
      </c>
      <c r="D70" s="183" t="s">
        <v>937</v>
      </c>
      <c r="E70" s="183" t="s">
        <v>938</v>
      </c>
      <c r="F70" s="183"/>
      <c r="G70" s="183"/>
      <c r="H70" s="180"/>
      <c r="I70" s="180"/>
      <c r="J70" s="183"/>
      <c r="K70" s="197">
        <v>10.0</v>
      </c>
      <c r="L70" s="197">
        <v>10.0</v>
      </c>
      <c r="M70" s="197">
        <v>10.0</v>
      </c>
      <c r="N70" s="197">
        <v>10.0</v>
      </c>
      <c r="O70" s="197">
        <v>10.0</v>
      </c>
      <c r="P70" s="183">
        <v>2.016E10</v>
      </c>
      <c r="Q70" s="180"/>
      <c r="R70" s="198">
        <f t="shared" si="1"/>
        <v>20</v>
      </c>
      <c r="S70" s="180">
        <f t="shared" si="2"/>
        <v>0.5</v>
      </c>
      <c r="T70" s="180"/>
      <c r="U70" s="181"/>
      <c r="V70" s="181"/>
      <c r="W70" s="181"/>
      <c r="X70" s="181"/>
      <c r="Y70" s="181"/>
      <c r="Z70" s="181"/>
    </row>
    <row r="71" ht="14.25" customHeight="1">
      <c r="A71" s="183" t="s">
        <v>365</v>
      </c>
      <c r="B71" s="183" t="s">
        <v>976</v>
      </c>
      <c r="C71" s="183" t="s">
        <v>976</v>
      </c>
      <c r="D71" s="183" t="s">
        <v>937</v>
      </c>
      <c r="E71" s="183" t="s">
        <v>938</v>
      </c>
      <c r="F71" s="183"/>
      <c r="G71" s="183"/>
      <c r="H71" s="180"/>
      <c r="I71" s="180"/>
      <c r="J71" s="183"/>
      <c r="K71" s="197">
        <v>10.0</v>
      </c>
      <c r="L71" s="197">
        <v>10.0</v>
      </c>
      <c r="M71" s="197">
        <v>10.0</v>
      </c>
      <c r="N71" s="197">
        <v>10.0</v>
      </c>
      <c r="O71" s="197">
        <v>10.0</v>
      </c>
      <c r="P71" s="183">
        <v>1.9204E10</v>
      </c>
      <c r="Q71" s="180"/>
      <c r="R71" s="198">
        <f t="shared" si="1"/>
        <v>20</v>
      </c>
      <c r="S71" s="180">
        <f t="shared" si="2"/>
        <v>0.5</v>
      </c>
      <c r="T71" s="180"/>
      <c r="U71" s="181"/>
      <c r="V71" s="181"/>
      <c r="W71" s="181"/>
      <c r="X71" s="181"/>
      <c r="Y71" s="181"/>
      <c r="Z71" s="181"/>
    </row>
    <row r="72" ht="14.25" customHeight="1">
      <c r="A72" s="183" t="s">
        <v>368</v>
      </c>
      <c r="B72" s="183" t="s">
        <v>372</v>
      </c>
      <c r="C72" s="183" t="s">
        <v>372</v>
      </c>
      <c r="D72" s="183" t="s">
        <v>937</v>
      </c>
      <c r="E72" s="183" t="s">
        <v>938</v>
      </c>
      <c r="F72" s="183" t="s">
        <v>977</v>
      </c>
      <c r="G72" s="183"/>
      <c r="H72" s="180"/>
      <c r="I72" s="180"/>
      <c r="J72" s="183" t="s">
        <v>978</v>
      </c>
      <c r="K72" s="183">
        <v>46714.0</v>
      </c>
      <c r="L72" s="183">
        <v>258171.0</v>
      </c>
      <c r="M72" s="183">
        <v>209065.0</v>
      </c>
      <c r="N72" s="183">
        <v>255779.0</v>
      </c>
      <c r="O72" s="183">
        <v>1.5777E7</v>
      </c>
      <c r="P72" s="183">
        <v>3.91E10</v>
      </c>
      <c r="Q72" s="180"/>
      <c r="R72" s="180">
        <f t="shared" si="1"/>
        <v>16032779</v>
      </c>
      <c r="S72" s="180">
        <f t="shared" si="2"/>
        <v>0.9840464962</v>
      </c>
      <c r="T72" s="180"/>
      <c r="U72" s="181"/>
      <c r="V72" s="181"/>
      <c r="W72" s="181"/>
      <c r="X72" s="181"/>
      <c r="Y72" s="181"/>
      <c r="Z72" s="181"/>
    </row>
    <row r="73" ht="14.25" customHeight="1">
      <c r="A73" s="183" t="s">
        <v>374</v>
      </c>
      <c r="B73" s="183" t="s">
        <v>377</v>
      </c>
      <c r="C73" s="183" t="s">
        <v>377</v>
      </c>
      <c r="D73" s="183" t="s">
        <v>937</v>
      </c>
      <c r="E73" s="183" t="s">
        <v>938</v>
      </c>
      <c r="F73" s="183" t="s">
        <v>954</v>
      </c>
      <c r="G73" s="183"/>
      <c r="H73" s="180"/>
      <c r="I73" s="180"/>
      <c r="J73" s="183" t="s">
        <v>955</v>
      </c>
      <c r="K73" s="183">
        <v>2817.0</v>
      </c>
      <c r="L73" s="183">
        <v>74692.0</v>
      </c>
      <c r="M73" s="183">
        <v>65936.0</v>
      </c>
      <c r="N73" s="183">
        <v>68753.0</v>
      </c>
      <c r="O73" s="183">
        <v>415193.0</v>
      </c>
      <c r="P73" s="183">
        <v>1.172E10</v>
      </c>
      <c r="Q73" s="180"/>
      <c r="R73" s="180">
        <f t="shared" si="1"/>
        <v>483946</v>
      </c>
      <c r="S73" s="180">
        <f t="shared" si="2"/>
        <v>0.8579324966</v>
      </c>
      <c r="T73" s="180"/>
      <c r="U73" s="181"/>
      <c r="V73" s="181"/>
      <c r="W73" s="181"/>
      <c r="X73" s="181"/>
      <c r="Y73" s="181"/>
      <c r="Z73" s="181"/>
    </row>
    <row r="74" ht="14.25" customHeight="1">
      <c r="A74" s="183" t="s">
        <v>379</v>
      </c>
      <c r="B74" s="183" t="s">
        <v>382</v>
      </c>
      <c r="C74" s="183" t="s">
        <v>382</v>
      </c>
      <c r="D74" s="183" t="s">
        <v>937</v>
      </c>
      <c r="E74" s="183" t="s">
        <v>938</v>
      </c>
      <c r="F74" s="183" t="s">
        <v>960</v>
      </c>
      <c r="G74" s="183"/>
      <c r="H74" s="180"/>
      <c r="I74" s="180"/>
      <c r="J74" s="183" t="s">
        <v>961</v>
      </c>
      <c r="K74" s="183">
        <v>2.2430197E7</v>
      </c>
      <c r="L74" s="183">
        <v>6420000.0</v>
      </c>
      <c r="M74" s="183">
        <v>0.0</v>
      </c>
      <c r="N74" s="183">
        <v>2.8850197E7</v>
      </c>
      <c r="O74" s="183">
        <v>2.06E8</v>
      </c>
      <c r="P74" s="183">
        <v>2.123E10</v>
      </c>
      <c r="Q74" s="180"/>
      <c r="R74" s="180">
        <f t="shared" si="1"/>
        <v>234850197</v>
      </c>
      <c r="S74" s="180">
        <f t="shared" si="2"/>
        <v>0.8771548955</v>
      </c>
      <c r="T74" s="180"/>
      <c r="U74" s="181"/>
      <c r="V74" s="181"/>
      <c r="W74" s="181"/>
      <c r="X74" s="181"/>
      <c r="Y74" s="181"/>
      <c r="Z74" s="181"/>
    </row>
    <row r="75" ht="14.25" customHeight="1">
      <c r="A75" s="183" t="s">
        <v>384</v>
      </c>
      <c r="B75" s="183" t="s">
        <v>387</v>
      </c>
      <c r="C75" s="183" t="s">
        <v>387</v>
      </c>
      <c r="D75" s="183" t="s">
        <v>937</v>
      </c>
      <c r="E75" s="183" t="s">
        <v>938</v>
      </c>
      <c r="F75" s="183" t="s">
        <v>946</v>
      </c>
      <c r="G75" s="183"/>
      <c r="H75" s="180"/>
      <c r="I75" s="180"/>
      <c r="J75" s="183" t="s">
        <v>947</v>
      </c>
      <c r="K75" s="183">
        <v>16520.0</v>
      </c>
      <c r="L75" s="183">
        <v>560683.0</v>
      </c>
      <c r="M75" s="183">
        <v>349022.0</v>
      </c>
      <c r="N75" s="183">
        <v>365542.0</v>
      </c>
      <c r="O75" s="183">
        <v>1543540.0</v>
      </c>
      <c r="P75" s="183">
        <v>3.95E10</v>
      </c>
      <c r="Q75" s="180"/>
      <c r="R75" s="180">
        <f t="shared" si="1"/>
        <v>1909082</v>
      </c>
      <c r="S75" s="180">
        <f t="shared" si="2"/>
        <v>0.8085247255</v>
      </c>
      <c r="T75" s="180"/>
      <c r="U75" s="181"/>
      <c r="V75" s="181"/>
      <c r="W75" s="181"/>
      <c r="X75" s="181"/>
      <c r="Y75" s="181"/>
      <c r="Z75" s="181"/>
    </row>
    <row r="76" ht="14.25" customHeight="1">
      <c r="A76" s="183" t="s">
        <v>389</v>
      </c>
      <c r="B76" s="183" t="s">
        <v>392</v>
      </c>
      <c r="C76" s="183" t="s">
        <v>392</v>
      </c>
      <c r="D76" s="183" t="s">
        <v>937</v>
      </c>
      <c r="E76" s="183" t="s">
        <v>938</v>
      </c>
      <c r="F76" s="183" t="s">
        <v>946</v>
      </c>
      <c r="G76" s="183"/>
      <c r="H76" s="180"/>
      <c r="I76" s="180"/>
      <c r="J76" s="183" t="s">
        <v>972</v>
      </c>
      <c r="K76" s="183">
        <v>9897.0</v>
      </c>
      <c r="L76" s="183">
        <v>0.0</v>
      </c>
      <c r="M76" s="183">
        <v>47911.0</v>
      </c>
      <c r="N76" s="183">
        <v>57808.0</v>
      </c>
      <c r="O76" s="183">
        <v>32130.06</v>
      </c>
      <c r="P76" s="183">
        <v>1.777E10</v>
      </c>
      <c r="Q76" s="180"/>
      <c r="R76" s="180">
        <f t="shared" si="1"/>
        <v>89938.06</v>
      </c>
      <c r="S76" s="180">
        <f t="shared" si="2"/>
        <v>0.3572465317</v>
      </c>
      <c r="T76" s="180"/>
      <c r="U76" s="181"/>
      <c r="V76" s="181"/>
      <c r="W76" s="181"/>
      <c r="X76" s="181"/>
      <c r="Y76" s="181"/>
      <c r="Z76" s="181"/>
    </row>
    <row r="77" ht="14.25" customHeight="1">
      <c r="A77" s="183" t="s">
        <v>394</v>
      </c>
      <c r="B77" s="183" t="s">
        <v>398</v>
      </c>
      <c r="C77" s="183" t="s">
        <v>398</v>
      </c>
      <c r="D77" s="183" t="s">
        <v>937</v>
      </c>
      <c r="E77" s="183" t="s">
        <v>938</v>
      </c>
      <c r="F77" s="183" t="s">
        <v>950</v>
      </c>
      <c r="G77" s="183"/>
      <c r="H77" s="180"/>
      <c r="I77" s="180"/>
      <c r="J77" s="183" t="s">
        <v>959</v>
      </c>
      <c r="K77" s="183">
        <v>3552415.0</v>
      </c>
      <c r="L77" s="183">
        <v>1556523.0</v>
      </c>
      <c r="M77" s="183">
        <v>1425255.0</v>
      </c>
      <c r="N77" s="183">
        <v>4977670.0</v>
      </c>
      <c r="O77" s="183">
        <v>5.0465066E7</v>
      </c>
      <c r="P77" s="183">
        <v>6.716E10</v>
      </c>
      <c r="Q77" s="180"/>
      <c r="R77" s="180">
        <f t="shared" si="1"/>
        <v>55442736</v>
      </c>
      <c r="S77" s="180">
        <f t="shared" si="2"/>
        <v>0.9102196183</v>
      </c>
      <c r="T77" s="180"/>
      <c r="U77" s="181"/>
      <c r="V77" s="181"/>
      <c r="W77" s="181"/>
      <c r="X77" s="181"/>
      <c r="Y77" s="181"/>
      <c r="Z77" s="181"/>
    </row>
    <row r="78" ht="14.25" customHeight="1">
      <c r="A78" s="183" t="s">
        <v>400</v>
      </c>
      <c r="B78" s="183" t="s">
        <v>404</v>
      </c>
      <c r="C78" s="183" t="s">
        <v>404</v>
      </c>
      <c r="D78" s="183" t="s">
        <v>937</v>
      </c>
      <c r="E78" s="183" t="s">
        <v>938</v>
      </c>
      <c r="F78" s="183" t="s">
        <v>941</v>
      </c>
      <c r="G78" s="183"/>
      <c r="H78" s="180"/>
      <c r="I78" s="180"/>
      <c r="J78" s="183" t="s">
        <v>943</v>
      </c>
      <c r="K78" s="183">
        <v>734638.0</v>
      </c>
      <c r="L78" s="183">
        <v>762286.0</v>
      </c>
      <c r="M78" s="183">
        <v>634205.0</v>
      </c>
      <c r="N78" s="183">
        <v>1368843.0</v>
      </c>
      <c r="O78" s="183">
        <v>5708509.0</v>
      </c>
      <c r="P78" s="183">
        <v>5.175E10</v>
      </c>
      <c r="Q78" s="180"/>
      <c r="R78" s="180">
        <f t="shared" si="1"/>
        <v>7077352</v>
      </c>
      <c r="S78" s="180">
        <f t="shared" si="2"/>
        <v>0.806588255</v>
      </c>
      <c r="T78" s="180"/>
      <c r="U78" s="181"/>
      <c r="V78" s="181"/>
      <c r="W78" s="181"/>
      <c r="X78" s="181"/>
      <c r="Y78" s="181"/>
      <c r="Z78" s="181"/>
    </row>
    <row r="79" ht="14.25" customHeight="1">
      <c r="A79" s="183" t="s">
        <v>406</v>
      </c>
      <c r="B79" s="183" t="s">
        <v>410</v>
      </c>
      <c r="C79" s="183" t="s">
        <v>410</v>
      </c>
      <c r="D79" s="183" t="s">
        <v>937</v>
      </c>
      <c r="E79" s="183" t="s">
        <v>938</v>
      </c>
      <c r="F79" s="183" t="s">
        <v>950</v>
      </c>
      <c r="G79" s="183"/>
      <c r="H79" s="180"/>
      <c r="I79" s="180"/>
      <c r="J79" s="183" t="s">
        <v>951</v>
      </c>
      <c r="K79" s="183">
        <v>397210.0</v>
      </c>
      <c r="L79" s="183">
        <v>447322.0</v>
      </c>
      <c r="M79" s="183">
        <v>158672.0</v>
      </c>
      <c r="N79" s="183">
        <v>555882.0</v>
      </c>
      <c r="O79" s="183">
        <v>4126610.0</v>
      </c>
      <c r="P79" s="183">
        <v>7.982E10</v>
      </c>
      <c r="Q79" s="180"/>
      <c r="R79" s="180">
        <f t="shared" si="1"/>
        <v>4682492</v>
      </c>
      <c r="S79" s="180">
        <f t="shared" si="2"/>
        <v>0.8812850081</v>
      </c>
      <c r="T79" s="180"/>
      <c r="U79" s="181"/>
      <c r="V79" s="181"/>
      <c r="W79" s="181"/>
      <c r="X79" s="181"/>
      <c r="Y79" s="181"/>
      <c r="Z79" s="181"/>
    </row>
    <row r="80" ht="14.25" customHeight="1">
      <c r="A80" s="183" t="s">
        <v>412</v>
      </c>
      <c r="B80" s="183" t="s">
        <v>416</v>
      </c>
      <c r="C80" s="183" t="s">
        <v>416</v>
      </c>
      <c r="D80" s="183" t="s">
        <v>937</v>
      </c>
      <c r="E80" s="183" t="s">
        <v>938</v>
      </c>
      <c r="F80" s="183" t="s">
        <v>939</v>
      </c>
      <c r="G80" s="183"/>
      <c r="H80" s="180"/>
      <c r="I80" s="180"/>
      <c r="J80" s="183" t="s">
        <v>940</v>
      </c>
      <c r="K80" s="183">
        <v>2210497.0</v>
      </c>
      <c r="L80" s="183">
        <v>2544389.0</v>
      </c>
      <c r="M80" s="183">
        <v>1839862.0</v>
      </c>
      <c r="N80" s="183">
        <v>4050359.0</v>
      </c>
      <c r="O80" s="183">
        <v>3.81313043E8</v>
      </c>
      <c r="P80" s="183">
        <v>6.768E10</v>
      </c>
      <c r="Q80" s="180"/>
      <c r="R80" s="180">
        <f t="shared" si="1"/>
        <v>385363402</v>
      </c>
      <c r="S80" s="180">
        <f t="shared" si="2"/>
        <v>0.9894895079</v>
      </c>
      <c r="T80" s="180"/>
      <c r="U80" s="181"/>
      <c r="V80" s="181"/>
      <c r="W80" s="181"/>
      <c r="X80" s="181"/>
      <c r="Y80" s="181"/>
      <c r="Z80" s="181"/>
    </row>
    <row r="81" ht="14.25" customHeight="1">
      <c r="A81" s="183" t="s">
        <v>418</v>
      </c>
      <c r="B81" s="183" t="s">
        <v>422</v>
      </c>
      <c r="C81" s="183" t="s">
        <v>422</v>
      </c>
      <c r="D81" s="183" t="s">
        <v>937</v>
      </c>
      <c r="E81" s="183" t="s">
        <v>938</v>
      </c>
      <c r="F81" s="183" t="s">
        <v>954</v>
      </c>
      <c r="G81" s="183"/>
      <c r="H81" s="180"/>
      <c r="I81" s="180"/>
      <c r="J81" s="183" t="s">
        <v>955</v>
      </c>
      <c r="K81" s="183">
        <v>78290.0</v>
      </c>
      <c r="L81" s="183">
        <v>135967.0</v>
      </c>
      <c r="M81" s="183">
        <v>114060.0</v>
      </c>
      <c r="N81" s="183">
        <v>192350.0</v>
      </c>
      <c r="O81" s="183">
        <v>111252.0</v>
      </c>
      <c r="P81" s="183">
        <v>2.427E10</v>
      </c>
      <c r="Q81" s="180"/>
      <c r="R81" s="180">
        <f t="shared" si="1"/>
        <v>303602</v>
      </c>
      <c r="S81" s="180">
        <f t="shared" si="2"/>
        <v>0.3664402738</v>
      </c>
      <c r="T81" s="180"/>
      <c r="U81" s="181"/>
      <c r="V81" s="181"/>
      <c r="W81" s="181"/>
      <c r="X81" s="181"/>
      <c r="Y81" s="181"/>
      <c r="Z81" s="181"/>
    </row>
    <row r="82" ht="14.25" customHeight="1">
      <c r="A82" s="183" t="s">
        <v>424</v>
      </c>
      <c r="B82" s="183" t="s">
        <v>979</v>
      </c>
      <c r="C82" s="183" t="s">
        <v>979</v>
      </c>
      <c r="D82" s="183" t="s">
        <v>937</v>
      </c>
      <c r="E82" s="183" t="s">
        <v>938</v>
      </c>
      <c r="F82" s="183"/>
      <c r="G82" s="183"/>
      <c r="H82" s="180"/>
      <c r="I82" s="180"/>
      <c r="J82" s="183"/>
      <c r="K82" s="197">
        <v>10.0</v>
      </c>
      <c r="L82" s="197">
        <v>10.0</v>
      </c>
      <c r="M82" s="197">
        <v>10.0</v>
      </c>
      <c r="N82" s="197">
        <v>10.0</v>
      </c>
      <c r="O82" s="197">
        <v>10.0</v>
      </c>
      <c r="P82" s="183">
        <v>2.9176E10</v>
      </c>
      <c r="Q82" s="180"/>
      <c r="R82" s="198">
        <f t="shared" si="1"/>
        <v>20</v>
      </c>
      <c r="S82" s="180">
        <f t="shared" si="2"/>
        <v>0.5</v>
      </c>
      <c r="T82" s="180"/>
      <c r="U82" s="181"/>
      <c r="V82" s="181"/>
      <c r="W82" s="181"/>
      <c r="X82" s="181"/>
      <c r="Y82" s="181"/>
      <c r="Z82" s="181"/>
    </row>
    <row r="83" ht="14.25" customHeight="1">
      <c r="A83" s="183" t="s">
        <v>427</v>
      </c>
      <c r="B83" s="183" t="s">
        <v>430</v>
      </c>
      <c r="C83" s="183" t="s">
        <v>430</v>
      </c>
      <c r="D83" s="183" t="s">
        <v>937</v>
      </c>
      <c r="E83" s="183" t="s">
        <v>938</v>
      </c>
      <c r="F83" s="183" t="s">
        <v>946</v>
      </c>
      <c r="G83" s="183"/>
      <c r="H83" s="180"/>
      <c r="I83" s="180"/>
      <c r="J83" s="183" t="s">
        <v>947</v>
      </c>
      <c r="K83" s="183">
        <v>5747.0</v>
      </c>
      <c r="L83" s="183">
        <v>290938.0</v>
      </c>
      <c r="M83" s="183">
        <v>134760.0</v>
      </c>
      <c r="N83" s="183">
        <v>140507.0</v>
      </c>
      <c r="O83" s="183">
        <v>1027551.0</v>
      </c>
      <c r="P83" s="183">
        <v>1.328E10</v>
      </c>
      <c r="Q83" s="180"/>
      <c r="R83" s="180">
        <f t="shared" si="1"/>
        <v>1168058</v>
      </c>
      <c r="S83" s="180">
        <f t="shared" si="2"/>
        <v>0.8797088843</v>
      </c>
      <c r="T83" s="180"/>
      <c r="U83" s="181"/>
      <c r="V83" s="181"/>
      <c r="W83" s="181"/>
      <c r="X83" s="181"/>
      <c r="Y83" s="181"/>
      <c r="Z83" s="181"/>
    </row>
    <row r="84" ht="14.25" customHeight="1">
      <c r="A84" s="183" t="s">
        <v>432</v>
      </c>
      <c r="B84" s="183" t="s">
        <v>980</v>
      </c>
      <c r="C84" s="183" t="s">
        <v>980</v>
      </c>
      <c r="D84" s="183" t="s">
        <v>937</v>
      </c>
      <c r="E84" s="183" t="s">
        <v>938</v>
      </c>
      <c r="F84" s="183"/>
      <c r="G84" s="183"/>
      <c r="H84" s="180"/>
      <c r="I84" s="180"/>
      <c r="J84" s="183"/>
      <c r="K84" s="197">
        <v>10.0</v>
      </c>
      <c r="L84" s="197">
        <v>10.0</v>
      </c>
      <c r="M84" s="197">
        <v>10.0</v>
      </c>
      <c r="N84" s="197">
        <v>10.0</v>
      </c>
      <c r="O84" s="197">
        <v>10.0</v>
      </c>
      <c r="P84" s="183">
        <v>3.29E10</v>
      </c>
      <c r="Q84" s="180"/>
      <c r="R84" s="198">
        <f t="shared" si="1"/>
        <v>20</v>
      </c>
      <c r="S84" s="180">
        <f t="shared" si="2"/>
        <v>0.5</v>
      </c>
      <c r="T84" s="180"/>
      <c r="U84" s="181"/>
      <c r="V84" s="181"/>
      <c r="W84" s="181"/>
      <c r="X84" s="181"/>
      <c r="Y84" s="181"/>
      <c r="Z84" s="181"/>
    </row>
    <row r="85" ht="14.25" customHeight="1">
      <c r="A85" s="183" t="s">
        <v>435</v>
      </c>
      <c r="B85" s="183" t="s">
        <v>439</v>
      </c>
      <c r="C85" s="183" t="s">
        <v>439</v>
      </c>
      <c r="D85" s="183" t="s">
        <v>937</v>
      </c>
      <c r="E85" s="183" t="s">
        <v>938</v>
      </c>
      <c r="F85" s="183" t="s">
        <v>946</v>
      </c>
      <c r="G85" s="183"/>
      <c r="H85" s="180"/>
      <c r="I85" s="180"/>
      <c r="J85" s="183" t="s">
        <v>948</v>
      </c>
      <c r="K85" s="183">
        <v>16863.186</v>
      </c>
      <c r="L85" s="183">
        <v>249714.82</v>
      </c>
      <c r="M85" s="183">
        <v>249714.82</v>
      </c>
      <c r="N85" s="183">
        <v>266578.006</v>
      </c>
      <c r="O85" s="183">
        <v>579488.0</v>
      </c>
      <c r="P85" s="183">
        <v>5.755E9</v>
      </c>
      <c r="Q85" s="180"/>
      <c r="R85" s="180">
        <f t="shared" si="1"/>
        <v>846066.006</v>
      </c>
      <c r="S85" s="180">
        <f t="shared" si="2"/>
        <v>0.6849205569</v>
      </c>
      <c r="T85" s="180"/>
      <c r="U85" s="181"/>
      <c r="V85" s="181"/>
      <c r="W85" s="181"/>
      <c r="X85" s="181"/>
      <c r="Y85" s="181"/>
      <c r="Z85" s="181"/>
    </row>
    <row r="86" ht="14.25" customHeight="1">
      <c r="A86" s="183" t="s">
        <v>441</v>
      </c>
      <c r="B86" s="183" t="s">
        <v>444</v>
      </c>
      <c r="C86" s="183" t="s">
        <v>444</v>
      </c>
      <c r="D86" s="183" t="s">
        <v>937</v>
      </c>
      <c r="E86" s="183" t="s">
        <v>938</v>
      </c>
      <c r="F86" s="183" t="s">
        <v>964</v>
      </c>
      <c r="G86" s="183"/>
      <c r="H86" s="180"/>
      <c r="I86" s="180"/>
      <c r="J86" s="183" t="s">
        <v>965</v>
      </c>
      <c r="K86" s="183">
        <v>8.8213565E7</v>
      </c>
      <c r="L86" s="183">
        <v>36845.0</v>
      </c>
      <c r="M86" s="183">
        <v>35568.0</v>
      </c>
      <c r="N86" s="183">
        <v>8.8249133E7</v>
      </c>
      <c r="O86" s="183">
        <v>3.8773448E7</v>
      </c>
      <c r="P86" s="183">
        <v>2.1419E10</v>
      </c>
      <c r="Q86" s="180"/>
      <c r="R86" s="180">
        <f t="shared" si="1"/>
        <v>127022581</v>
      </c>
      <c r="S86" s="180">
        <f t="shared" si="2"/>
        <v>0.305248466</v>
      </c>
      <c r="T86" s="180"/>
      <c r="U86" s="181"/>
      <c r="V86" s="181"/>
      <c r="W86" s="181"/>
      <c r="X86" s="181"/>
      <c r="Y86" s="181"/>
      <c r="Z86" s="181"/>
    </row>
    <row r="87" ht="14.25" customHeight="1">
      <c r="A87" s="183" t="s">
        <v>446</v>
      </c>
      <c r="B87" s="183" t="s">
        <v>450</v>
      </c>
      <c r="C87" s="183" t="s">
        <v>450</v>
      </c>
      <c r="D87" s="183" t="s">
        <v>937</v>
      </c>
      <c r="E87" s="183" t="s">
        <v>938</v>
      </c>
      <c r="F87" s="183" t="s">
        <v>973</v>
      </c>
      <c r="G87" s="183"/>
      <c r="H87" s="180"/>
      <c r="I87" s="180"/>
      <c r="J87" s="183" t="s">
        <v>974</v>
      </c>
      <c r="K87" s="183">
        <v>381198.61</v>
      </c>
      <c r="L87" s="183">
        <v>790373.35</v>
      </c>
      <c r="M87" s="183">
        <v>281700.89</v>
      </c>
      <c r="N87" s="183">
        <v>662899.5</v>
      </c>
      <c r="O87" s="183">
        <v>1.496399305E7</v>
      </c>
      <c r="P87" s="183">
        <v>2.651E10</v>
      </c>
      <c r="Q87" s="180"/>
      <c r="R87" s="180">
        <f t="shared" si="1"/>
        <v>15626892.55</v>
      </c>
      <c r="S87" s="180">
        <f t="shared" si="2"/>
        <v>0.9575795701</v>
      </c>
      <c r="T87" s="180"/>
      <c r="U87" s="181"/>
      <c r="V87" s="181"/>
      <c r="W87" s="181"/>
      <c r="X87" s="181"/>
      <c r="Y87" s="181"/>
      <c r="Z87" s="181"/>
    </row>
    <row r="88" ht="14.25" customHeight="1">
      <c r="A88" s="183" t="s">
        <v>452</v>
      </c>
      <c r="B88" s="183" t="s">
        <v>456</v>
      </c>
      <c r="C88" s="183" t="s">
        <v>456</v>
      </c>
      <c r="D88" s="183" t="s">
        <v>937</v>
      </c>
      <c r="E88" s="183" t="s">
        <v>938</v>
      </c>
      <c r="F88" s="183" t="s">
        <v>962</v>
      </c>
      <c r="G88" s="183"/>
      <c r="H88" s="180"/>
      <c r="I88" s="180"/>
      <c r="J88" s="183" t="s">
        <v>963</v>
      </c>
      <c r="K88" s="183">
        <v>752552.0</v>
      </c>
      <c r="L88" s="183">
        <v>1680682.0</v>
      </c>
      <c r="M88" s="183">
        <v>1545898.0</v>
      </c>
      <c r="N88" s="183">
        <v>2298450.0</v>
      </c>
      <c r="O88" s="183">
        <v>5.2049E7</v>
      </c>
      <c r="P88" s="183">
        <v>7.81E10</v>
      </c>
      <c r="Q88" s="180"/>
      <c r="R88" s="180">
        <f t="shared" si="1"/>
        <v>54347450</v>
      </c>
      <c r="S88" s="180">
        <f t="shared" si="2"/>
        <v>0.9577082273</v>
      </c>
      <c r="T88" s="180"/>
      <c r="U88" s="181"/>
      <c r="V88" s="181"/>
      <c r="W88" s="181"/>
      <c r="X88" s="181"/>
      <c r="Y88" s="181"/>
      <c r="Z88" s="181"/>
    </row>
    <row r="89" ht="14.25" customHeight="1">
      <c r="A89" s="183" t="s">
        <v>458</v>
      </c>
      <c r="B89" s="183" t="s">
        <v>461</v>
      </c>
      <c r="C89" s="183" t="s">
        <v>461</v>
      </c>
      <c r="D89" s="183" t="s">
        <v>937</v>
      </c>
      <c r="E89" s="183" t="s">
        <v>938</v>
      </c>
      <c r="F89" s="183" t="s">
        <v>954</v>
      </c>
      <c r="G89" s="183"/>
      <c r="H89" s="180"/>
      <c r="I89" s="180"/>
      <c r="J89" s="183" t="s">
        <v>955</v>
      </c>
      <c r="K89" s="183">
        <v>966579.0</v>
      </c>
      <c r="L89" s="183">
        <v>1054751.0</v>
      </c>
      <c r="M89" s="183">
        <v>13430.0</v>
      </c>
      <c r="N89" s="183">
        <v>980009.0</v>
      </c>
      <c r="O89" s="183">
        <v>27544.0</v>
      </c>
      <c r="P89" s="183">
        <v>1.4318E10</v>
      </c>
      <c r="Q89" s="180"/>
      <c r="R89" s="180">
        <f t="shared" si="1"/>
        <v>1007553</v>
      </c>
      <c r="S89" s="180">
        <f t="shared" si="2"/>
        <v>0.02733751971</v>
      </c>
      <c r="T89" s="180"/>
      <c r="U89" s="181"/>
      <c r="V89" s="181"/>
      <c r="W89" s="181"/>
      <c r="X89" s="181"/>
      <c r="Y89" s="181"/>
      <c r="Z89" s="181"/>
    </row>
    <row r="90" ht="14.25" customHeight="1">
      <c r="A90" s="183" t="s">
        <v>463</v>
      </c>
      <c r="B90" s="183" t="s">
        <v>467</v>
      </c>
      <c r="C90" s="183" t="s">
        <v>467</v>
      </c>
      <c r="D90" s="183" t="s">
        <v>937</v>
      </c>
      <c r="E90" s="183" t="s">
        <v>938</v>
      </c>
      <c r="F90" s="183" t="s">
        <v>946</v>
      </c>
      <c r="G90" s="183"/>
      <c r="H90" s="180"/>
      <c r="I90" s="180"/>
      <c r="J90" s="183" t="s">
        <v>948</v>
      </c>
      <c r="K90" s="183">
        <v>8102.0</v>
      </c>
      <c r="L90" s="183">
        <v>130205.0</v>
      </c>
      <c r="M90" s="183">
        <v>3397.0</v>
      </c>
      <c r="N90" s="183">
        <v>11499.0</v>
      </c>
      <c r="O90" s="183">
        <v>434959.0</v>
      </c>
      <c r="P90" s="183">
        <v>2.082E10</v>
      </c>
      <c r="Q90" s="180"/>
      <c r="R90" s="180">
        <f t="shared" si="1"/>
        <v>446458</v>
      </c>
      <c r="S90" s="180">
        <f t="shared" si="2"/>
        <v>0.9742439378</v>
      </c>
      <c r="T90" s="180"/>
      <c r="U90" s="181"/>
      <c r="V90" s="181"/>
      <c r="W90" s="181"/>
      <c r="X90" s="181"/>
      <c r="Y90" s="181"/>
      <c r="Z90" s="181"/>
    </row>
    <row r="91" ht="14.25" customHeight="1">
      <c r="A91" s="183" t="s">
        <v>469</v>
      </c>
      <c r="B91" s="183" t="s">
        <v>473</v>
      </c>
      <c r="C91" s="183" t="s">
        <v>473</v>
      </c>
      <c r="D91" s="183" t="s">
        <v>937</v>
      </c>
      <c r="E91" s="183" t="s">
        <v>938</v>
      </c>
      <c r="F91" s="183" t="s">
        <v>946</v>
      </c>
      <c r="G91" s="183"/>
      <c r="H91" s="180"/>
      <c r="I91" s="180"/>
      <c r="J91" s="183" t="s">
        <v>956</v>
      </c>
      <c r="K91" s="183">
        <v>855073.0</v>
      </c>
      <c r="L91" s="183">
        <v>1010307.0</v>
      </c>
      <c r="M91" s="183">
        <v>931544.0</v>
      </c>
      <c r="N91" s="183">
        <v>1786617.0</v>
      </c>
      <c r="O91" s="183">
        <v>0.0</v>
      </c>
      <c r="P91" s="183">
        <v>6.957E10</v>
      </c>
      <c r="Q91" s="180"/>
      <c r="R91" s="180">
        <f t="shared" si="1"/>
        <v>1786617</v>
      </c>
      <c r="S91" s="180">
        <f t="shared" si="2"/>
        <v>0</v>
      </c>
      <c r="T91" s="180"/>
      <c r="U91" s="181"/>
      <c r="V91" s="181"/>
      <c r="W91" s="181"/>
      <c r="X91" s="181"/>
      <c r="Y91" s="181"/>
      <c r="Z91" s="181"/>
    </row>
    <row r="92" ht="14.25" customHeight="1">
      <c r="A92" s="183" t="s">
        <v>475</v>
      </c>
      <c r="B92" s="183" t="s">
        <v>981</v>
      </c>
      <c r="C92" s="183" t="s">
        <v>981</v>
      </c>
      <c r="D92" s="183" t="s">
        <v>937</v>
      </c>
      <c r="E92" s="183" t="s">
        <v>938</v>
      </c>
      <c r="F92" s="183"/>
      <c r="G92" s="183"/>
      <c r="H92" s="180"/>
      <c r="I92" s="180"/>
      <c r="J92" s="183"/>
      <c r="K92" s="197">
        <v>10.0</v>
      </c>
      <c r="L92" s="197">
        <v>10.0</v>
      </c>
      <c r="M92" s="197">
        <v>10.0</v>
      </c>
      <c r="N92" s="197">
        <v>10.0</v>
      </c>
      <c r="O92" s="197">
        <v>10.0</v>
      </c>
      <c r="P92" s="183">
        <v>2.554E10</v>
      </c>
      <c r="Q92" s="180"/>
      <c r="R92" s="198">
        <f t="shared" si="1"/>
        <v>20</v>
      </c>
      <c r="S92" s="180">
        <f t="shared" si="2"/>
        <v>0.5</v>
      </c>
      <c r="T92" s="180"/>
      <c r="U92" s="181"/>
      <c r="V92" s="181"/>
      <c r="W92" s="181"/>
      <c r="X92" s="181"/>
      <c r="Y92" s="181"/>
      <c r="Z92" s="181"/>
    </row>
    <row r="93" ht="14.25" customHeight="1">
      <c r="A93" s="183" t="s">
        <v>478</v>
      </c>
      <c r="B93" s="183" t="s">
        <v>482</v>
      </c>
      <c r="C93" s="183" t="s">
        <v>482</v>
      </c>
      <c r="D93" s="183" t="s">
        <v>937</v>
      </c>
      <c r="E93" s="183" t="s">
        <v>938</v>
      </c>
      <c r="F93" s="183" t="s">
        <v>967</v>
      </c>
      <c r="G93" s="183"/>
      <c r="H93" s="180"/>
      <c r="I93" s="180"/>
      <c r="J93" s="183" t="s">
        <v>982</v>
      </c>
      <c r="K93" s="183">
        <v>1.0066595E7</v>
      </c>
      <c r="L93" s="183">
        <v>344024.0</v>
      </c>
      <c r="M93" s="183">
        <v>314075.0</v>
      </c>
      <c r="N93" s="183">
        <v>1.038067E7</v>
      </c>
      <c r="O93" s="183">
        <v>3175420.0</v>
      </c>
      <c r="P93" s="183">
        <v>2.17E10</v>
      </c>
      <c r="Q93" s="180"/>
      <c r="R93" s="180">
        <f t="shared" si="1"/>
        <v>13556090</v>
      </c>
      <c r="S93" s="180">
        <f t="shared" si="2"/>
        <v>0.2342430598</v>
      </c>
      <c r="T93" s="180"/>
      <c r="U93" s="181"/>
      <c r="V93" s="181"/>
      <c r="W93" s="181"/>
      <c r="X93" s="181"/>
      <c r="Y93" s="181"/>
      <c r="Z93" s="181"/>
    </row>
    <row r="94" ht="14.25" customHeight="1">
      <c r="A94" s="183" t="s">
        <v>484</v>
      </c>
      <c r="B94" s="183" t="s">
        <v>487</v>
      </c>
      <c r="C94" s="183" t="s">
        <v>487</v>
      </c>
      <c r="D94" s="183" t="s">
        <v>937</v>
      </c>
      <c r="E94" s="183" t="s">
        <v>938</v>
      </c>
      <c r="F94" s="183" t="s">
        <v>946</v>
      </c>
      <c r="G94" s="183"/>
      <c r="H94" s="180"/>
      <c r="I94" s="180"/>
      <c r="J94" s="183" t="s">
        <v>983</v>
      </c>
      <c r="K94" s="183">
        <v>17709.0</v>
      </c>
      <c r="L94" s="183">
        <v>153004.0</v>
      </c>
      <c r="M94" s="183">
        <v>149418.0</v>
      </c>
      <c r="N94" s="183">
        <v>167127.0</v>
      </c>
      <c r="O94" s="183">
        <v>429811.0</v>
      </c>
      <c r="P94" s="183">
        <v>2.422E11</v>
      </c>
      <c r="Q94" s="180"/>
      <c r="R94" s="180">
        <f t="shared" si="1"/>
        <v>596938</v>
      </c>
      <c r="S94" s="180">
        <f t="shared" si="2"/>
        <v>0.7200262004</v>
      </c>
      <c r="T94" s="180"/>
      <c r="U94" s="181"/>
      <c r="V94" s="181"/>
      <c r="W94" s="181"/>
      <c r="X94" s="181"/>
      <c r="Y94" s="181"/>
      <c r="Z94" s="181"/>
    </row>
    <row r="95" ht="14.25" customHeight="1">
      <c r="A95" s="183" t="s">
        <v>489</v>
      </c>
      <c r="B95" s="183" t="s">
        <v>493</v>
      </c>
      <c r="C95" s="183" t="s">
        <v>493</v>
      </c>
      <c r="D95" s="183" t="s">
        <v>937</v>
      </c>
      <c r="E95" s="183" t="s">
        <v>938</v>
      </c>
      <c r="F95" s="183" t="s">
        <v>967</v>
      </c>
      <c r="G95" s="183"/>
      <c r="H95" s="180"/>
      <c r="I95" s="180"/>
      <c r="J95" s="183" t="s">
        <v>968</v>
      </c>
      <c r="K95" s="183">
        <v>1.4223E7</v>
      </c>
      <c r="L95" s="183">
        <v>754000.0</v>
      </c>
      <c r="M95" s="183">
        <v>731000.0</v>
      </c>
      <c r="N95" s="183">
        <v>1.4954E7</v>
      </c>
      <c r="O95" s="183">
        <v>2.1008E7</v>
      </c>
      <c r="P95" s="183">
        <v>7.4094E10</v>
      </c>
      <c r="Q95" s="180"/>
      <c r="R95" s="180">
        <f t="shared" si="1"/>
        <v>35962000</v>
      </c>
      <c r="S95" s="180">
        <f t="shared" si="2"/>
        <v>0.5841721817</v>
      </c>
      <c r="T95" s="180"/>
      <c r="U95" s="181"/>
      <c r="V95" s="181"/>
      <c r="W95" s="181"/>
      <c r="X95" s="181"/>
      <c r="Y95" s="181"/>
      <c r="Z95" s="181"/>
    </row>
    <row r="96" ht="14.25" customHeight="1">
      <c r="A96" s="183" t="s">
        <v>495</v>
      </c>
      <c r="B96" s="183" t="s">
        <v>498</v>
      </c>
      <c r="C96" s="183" t="s">
        <v>498</v>
      </c>
      <c r="D96" s="183" t="s">
        <v>937</v>
      </c>
      <c r="E96" s="183" t="s">
        <v>938</v>
      </c>
      <c r="F96" s="183" t="s">
        <v>946</v>
      </c>
      <c r="G96" s="183"/>
      <c r="H96" s="180"/>
      <c r="I96" s="180"/>
      <c r="J96" s="183" t="s">
        <v>948</v>
      </c>
      <c r="K96" s="183">
        <v>56482.0</v>
      </c>
      <c r="L96" s="183">
        <v>255929.0</v>
      </c>
      <c r="M96" s="183">
        <v>176447.0</v>
      </c>
      <c r="N96" s="183">
        <v>232929.0</v>
      </c>
      <c r="O96" s="183">
        <v>170573.0</v>
      </c>
      <c r="P96" s="183">
        <v>2.5775E10</v>
      </c>
      <c r="Q96" s="180"/>
      <c r="R96" s="180">
        <f t="shared" si="1"/>
        <v>403502</v>
      </c>
      <c r="S96" s="180">
        <f t="shared" si="2"/>
        <v>0.4227314858</v>
      </c>
      <c r="T96" s="180"/>
      <c r="U96" s="181"/>
      <c r="V96" s="181"/>
      <c r="W96" s="181"/>
      <c r="X96" s="181"/>
      <c r="Y96" s="181"/>
      <c r="Z96" s="181"/>
    </row>
    <row r="97" ht="14.25" customHeight="1">
      <c r="A97" s="183" t="s">
        <v>500</v>
      </c>
      <c r="B97" s="183" t="s">
        <v>504</v>
      </c>
      <c r="C97" s="183" t="s">
        <v>504</v>
      </c>
      <c r="D97" s="183" t="s">
        <v>937</v>
      </c>
      <c r="E97" s="183" t="s">
        <v>938</v>
      </c>
      <c r="F97" s="183" t="s">
        <v>946</v>
      </c>
      <c r="G97" s="183"/>
      <c r="H97" s="180"/>
      <c r="I97" s="180"/>
      <c r="J97" s="183" t="s">
        <v>956</v>
      </c>
      <c r="K97" s="183">
        <v>358753.0</v>
      </c>
      <c r="L97" s="183">
        <v>4006874.0</v>
      </c>
      <c r="M97" s="183">
        <v>3982613.0</v>
      </c>
      <c r="N97" s="183">
        <v>4341366.0</v>
      </c>
      <c r="O97" s="183">
        <v>1.7061647E7</v>
      </c>
      <c r="P97" s="183">
        <v>1.3186E11</v>
      </c>
      <c r="Q97" s="180"/>
      <c r="R97" s="180">
        <f t="shared" si="1"/>
        <v>21403013</v>
      </c>
      <c r="S97" s="180">
        <f t="shared" si="2"/>
        <v>0.7971609885</v>
      </c>
      <c r="T97" s="180"/>
      <c r="U97" s="181"/>
      <c r="V97" s="181"/>
      <c r="W97" s="181"/>
      <c r="X97" s="181"/>
      <c r="Y97" s="181"/>
      <c r="Z97" s="181"/>
    </row>
    <row r="98" ht="14.25" customHeight="1">
      <c r="A98" s="183" t="s">
        <v>506</v>
      </c>
      <c r="B98" s="183" t="s">
        <v>510</v>
      </c>
      <c r="C98" s="183" t="s">
        <v>510</v>
      </c>
      <c r="D98" s="183" t="s">
        <v>937</v>
      </c>
      <c r="E98" s="183" t="s">
        <v>938</v>
      </c>
      <c r="F98" s="183" t="s">
        <v>946</v>
      </c>
      <c r="G98" s="183"/>
      <c r="H98" s="180"/>
      <c r="I98" s="180"/>
      <c r="J98" s="183" t="s">
        <v>972</v>
      </c>
      <c r="K98" s="183">
        <v>8642.0</v>
      </c>
      <c r="L98" s="183">
        <v>66009.0</v>
      </c>
      <c r="M98" s="183">
        <v>51366.0</v>
      </c>
      <c r="N98" s="183">
        <v>60008.0</v>
      </c>
      <c r="O98" s="183">
        <v>523963.0</v>
      </c>
      <c r="P98" s="183">
        <v>2.3E10</v>
      </c>
      <c r="Q98" s="180"/>
      <c r="R98" s="180">
        <f t="shared" si="1"/>
        <v>583971</v>
      </c>
      <c r="S98" s="180">
        <f t="shared" si="2"/>
        <v>0.8972414726</v>
      </c>
      <c r="T98" s="180"/>
      <c r="U98" s="181"/>
      <c r="V98" s="181"/>
      <c r="W98" s="181"/>
      <c r="X98" s="181"/>
      <c r="Y98" s="181"/>
      <c r="Z98" s="181"/>
    </row>
    <row r="99" ht="14.25" customHeight="1">
      <c r="A99" s="183" t="s">
        <v>512</v>
      </c>
      <c r="B99" s="183" t="s">
        <v>516</v>
      </c>
      <c r="C99" s="183" t="s">
        <v>516</v>
      </c>
      <c r="D99" s="183" t="s">
        <v>937</v>
      </c>
      <c r="E99" s="183" t="s">
        <v>938</v>
      </c>
      <c r="F99" s="183" t="s">
        <v>962</v>
      </c>
      <c r="G99" s="183"/>
      <c r="H99" s="180"/>
      <c r="I99" s="180"/>
      <c r="J99" s="183" t="s">
        <v>963</v>
      </c>
      <c r="K99" s="183">
        <v>421000.0</v>
      </c>
      <c r="L99" s="183">
        <v>1645000.0</v>
      </c>
      <c r="M99" s="183">
        <v>1575000.0</v>
      </c>
      <c r="N99" s="183">
        <v>1996000.0</v>
      </c>
      <c r="O99" s="183">
        <v>3.7899E7</v>
      </c>
      <c r="P99" s="183">
        <v>1.369E11</v>
      </c>
      <c r="Q99" s="180"/>
      <c r="R99" s="180">
        <f t="shared" si="1"/>
        <v>39895000</v>
      </c>
      <c r="S99" s="180">
        <f t="shared" si="2"/>
        <v>0.9499686678</v>
      </c>
      <c r="T99" s="180"/>
      <c r="U99" s="181"/>
      <c r="V99" s="181"/>
      <c r="W99" s="181"/>
      <c r="X99" s="181"/>
      <c r="Y99" s="181"/>
      <c r="Z99" s="181"/>
    </row>
    <row r="100" ht="14.25" customHeight="1">
      <c r="A100" s="183" t="s">
        <v>518</v>
      </c>
      <c r="B100" s="183" t="s">
        <v>521</v>
      </c>
      <c r="C100" s="183" t="s">
        <v>521</v>
      </c>
      <c r="D100" s="183" t="s">
        <v>937</v>
      </c>
      <c r="E100" s="183" t="s">
        <v>938</v>
      </c>
      <c r="F100" s="183" t="s">
        <v>962</v>
      </c>
      <c r="G100" s="183"/>
      <c r="H100" s="180"/>
      <c r="I100" s="180"/>
      <c r="J100" s="183" t="s">
        <v>963</v>
      </c>
      <c r="K100" s="183">
        <v>6484616.0</v>
      </c>
      <c r="L100" s="183">
        <v>1.2190878E7</v>
      </c>
      <c r="M100" s="183">
        <v>1.107898E7</v>
      </c>
      <c r="N100" s="183">
        <v>1.7563596E7</v>
      </c>
      <c r="O100" s="183">
        <v>1.84474411E8</v>
      </c>
      <c r="P100" s="183">
        <v>5.24E11</v>
      </c>
      <c r="Q100" s="180"/>
      <c r="R100" s="180">
        <f t="shared" si="1"/>
        <v>202038007</v>
      </c>
      <c r="S100" s="180">
        <f t="shared" si="2"/>
        <v>0.9130678615</v>
      </c>
      <c r="T100" s="180"/>
      <c r="U100" s="181"/>
      <c r="V100" s="181"/>
      <c r="W100" s="181"/>
      <c r="X100" s="181"/>
      <c r="Y100" s="181"/>
      <c r="Z100" s="181"/>
    </row>
    <row r="101" ht="14.25" customHeight="1">
      <c r="A101" s="183" t="s">
        <v>523</v>
      </c>
      <c r="B101" s="183" t="s">
        <v>526</v>
      </c>
      <c r="C101" s="183" t="s">
        <v>526</v>
      </c>
      <c r="D101" s="183" t="s">
        <v>937</v>
      </c>
      <c r="E101" s="183" t="s">
        <v>938</v>
      </c>
      <c r="F101" s="183" t="s">
        <v>946</v>
      </c>
      <c r="G101" s="183"/>
      <c r="H101" s="180"/>
      <c r="I101" s="180"/>
      <c r="J101" s="183" t="s">
        <v>948</v>
      </c>
      <c r="K101" s="183">
        <v>91993.0</v>
      </c>
      <c r="L101" s="183">
        <v>771327.0</v>
      </c>
      <c r="M101" s="183">
        <v>4988.0</v>
      </c>
      <c r="N101" s="183">
        <v>96981.0</v>
      </c>
      <c r="O101" s="183">
        <v>3610451.0</v>
      </c>
      <c r="P101" s="183">
        <v>8.506E10</v>
      </c>
      <c r="Q101" s="180"/>
      <c r="R101" s="180">
        <f t="shared" si="1"/>
        <v>3707432</v>
      </c>
      <c r="S101" s="180">
        <f t="shared" si="2"/>
        <v>0.9738414622</v>
      </c>
      <c r="T101" s="180"/>
      <c r="U101" s="181"/>
      <c r="V101" s="181"/>
      <c r="W101" s="181"/>
      <c r="X101" s="181"/>
      <c r="Y101" s="181"/>
      <c r="Z101" s="181"/>
    </row>
    <row r="102" ht="14.25" customHeight="1">
      <c r="A102" s="181"/>
      <c r="B102" s="181"/>
      <c r="C102" s="181"/>
      <c r="D102" s="181"/>
      <c r="E102" s="181"/>
      <c r="F102" s="181"/>
      <c r="G102" s="181"/>
      <c r="H102" s="181"/>
      <c r="I102" s="181"/>
      <c r="J102" s="181"/>
      <c r="K102" s="181"/>
      <c r="L102" s="181"/>
      <c r="M102" s="181"/>
      <c r="N102" s="181"/>
      <c r="O102" s="181"/>
      <c r="P102" s="181"/>
      <c r="Q102" s="181"/>
      <c r="R102" s="181"/>
      <c r="S102" s="181"/>
      <c r="T102" s="181"/>
      <c r="U102" s="181"/>
      <c r="V102" s="181"/>
      <c r="W102" s="181"/>
      <c r="X102" s="181"/>
      <c r="Y102" s="181"/>
      <c r="Z102" s="181"/>
    </row>
    <row r="103" ht="14.25" customHeight="1">
      <c r="A103" s="181"/>
      <c r="B103" s="181"/>
      <c r="C103" s="181"/>
      <c r="D103" s="181"/>
      <c r="E103" s="181"/>
      <c r="F103" s="181"/>
      <c r="G103" s="181"/>
      <c r="H103" s="181"/>
      <c r="I103" s="181"/>
      <c r="J103" s="181"/>
      <c r="K103" s="181"/>
      <c r="L103" s="181"/>
      <c r="M103" s="181"/>
      <c r="N103" s="181"/>
      <c r="O103" s="181"/>
      <c r="P103" s="181"/>
      <c r="Q103" s="181"/>
      <c r="R103" s="181"/>
      <c r="S103" s="181"/>
      <c r="T103" s="181"/>
      <c r="U103" s="181"/>
      <c r="V103" s="181"/>
      <c r="W103" s="181"/>
      <c r="X103" s="181"/>
      <c r="Y103" s="181"/>
      <c r="Z103" s="181"/>
    </row>
    <row r="104" ht="14.25" customHeight="1">
      <c r="A104" s="181"/>
      <c r="B104" s="181"/>
      <c r="C104" s="181"/>
      <c r="D104" s="181"/>
      <c r="E104" s="181"/>
      <c r="F104" s="181"/>
      <c r="G104" s="181"/>
      <c r="H104" s="181"/>
      <c r="I104" s="181"/>
      <c r="J104" s="181"/>
      <c r="K104" s="181"/>
      <c r="L104" s="181"/>
      <c r="M104" s="181"/>
      <c r="N104" s="181"/>
      <c r="O104" s="181"/>
      <c r="P104" s="181"/>
      <c r="Q104" s="181"/>
      <c r="R104" s="181"/>
      <c r="S104" s="181"/>
      <c r="T104" s="181"/>
      <c r="U104" s="181"/>
      <c r="V104" s="181"/>
      <c r="W104" s="181"/>
      <c r="X104" s="181"/>
      <c r="Y104" s="181"/>
      <c r="Z104" s="181"/>
    </row>
    <row r="105" ht="14.25" customHeight="1">
      <c r="A105" s="181"/>
      <c r="B105" s="181"/>
      <c r="C105" s="181"/>
      <c r="D105" s="181"/>
      <c r="E105" s="181"/>
      <c r="F105" s="181"/>
      <c r="G105" s="181"/>
      <c r="H105" s="181"/>
      <c r="I105" s="181"/>
      <c r="J105" s="181"/>
      <c r="K105" s="181"/>
      <c r="L105" s="181"/>
      <c r="M105" s="181"/>
      <c r="N105" s="181"/>
      <c r="O105" s="181"/>
      <c r="P105" s="181"/>
      <c r="Q105" s="181"/>
      <c r="R105" s="181"/>
      <c r="S105" s="181"/>
      <c r="T105" s="181"/>
      <c r="U105" s="181"/>
      <c r="V105" s="181"/>
      <c r="W105" s="181"/>
      <c r="X105" s="181"/>
      <c r="Y105" s="181"/>
      <c r="Z105" s="181"/>
    </row>
    <row r="106" ht="14.25" customHeight="1">
      <c r="A106" s="181"/>
      <c r="B106" s="181"/>
      <c r="C106" s="181"/>
      <c r="D106" s="181"/>
      <c r="E106" s="181"/>
      <c r="F106" s="181"/>
      <c r="G106" s="181"/>
      <c r="H106" s="181"/>
      <c r="I106" s="181"/>
      <c r="J106" s="181"/>
      <c r="K106" s="181"/>
      <c r="L106" s="181"/>
      <c r="M106" s="181"/>
      <c r="N106" s="181"/>
      <c r="O106" s="181"/>
      <c r="P106" s="181"/>
      <c r="Q106" s="181"/>
      <c r="R106" s="181"/>
      <c r="S106" s="181"/>
      <c r="T106" s="181"/>
      <c r="U106" s="181"/>
      <c r="V106" s="181"/>
      <c r="W106" s="181"/>
      <c r="X106" s="181"/>
      <c r="Y106" s="181"/>
      <c r="Z106" s="181"/>
    </row>
    <row r="107" ht="14.25" customHeight="1">
      <c r="A107" s="181"/>
      <c r="B107" s="181"/>
      <c r="C107" s="181"/>
      <c r="D107" s="181"/>
      <c r="E107" s="181"/>
      <c r="F107" s="181"/>
      <c r="G107" s="181"/>
      <c r="H107" s="181"/>
      <c r="I107" s="181"/>
      <c r="J107" s="181"/>
      <c r="K107" s="181"/>
      <c r="L107" s="181"/>
      <c r="M107" s="181"/>
      <c r="N107" s="181"/>
      <c r="O107" s="181"/>
      <c r="P107" s="181"/>
      <c r="Q107" s="181"/>
      <c r="R107" s="181"/>
      <c r="S107" s="181"/>
      <c r="T107" s="181"/>
      <c r="U107" s="181"/>
      <c r="V107" s="181"/>
      <c r="W107" s="181"/>
      <c r="X107" s="181"/>
      <c r="Y107" s="181"/>
      <c r="Z107" s="181"/>
    </row>
    <row r="108" ht="14.25" customHeight="1">
      <c r="A108" s="181"/>
      <c r="B108" s="181"/>
      <c r="C108" s="181"/>
      <c r="D108" s="181"/>
      <c r="E108" s="181"/>
      <c r="F108" s="181"/>
      <c r="G108" s="181"/>
      <c r="H108" s="181"/>
      <c r="I108" s="181"/>
      <c r="J108" s="181"/>
      <c r="K108" s="181"/>
      <c r="L108" s="181"/>
      <c r="M108" s="181"/>
      <c r="N108" s="181"/>
      <c r="O108" s="181"/>
      <c r="P108" s="181"/>
      <c r="Q108" s="181"/>
      <c r="R108" s="181"/>
      <c r="S108" s="181"/>
      <c r="T108" s="181"/>
      <c r="U108" s="181"/>
      <c r="V108" s="181"/>
      <c r="W108" s="181"/>
      <c r="X108" s="181"/>
      <c r="Y108" s="181"/>
      <c r="Z108" s="181"/>
    </row>
    <row r="109" ht="14.25" customHeight="1">
      <c r="A109" s="181"/>
      <c r="B109" s="181"/>
      <c r="C109" s="181"/>
      <c r="D109" s="181"/>
      <c r="E109" s="181"/>
      <c r="F109" s="181"/>
      <c r="G109" s="181"/>
      <c r="H109" s="181"/>
      <c r="I109" s="181"/>
      <c r="J109" s="181"/>
      <c r="K109" s="181"/>
      <c r="L109" s="181"/>
      <c r="M109" s="181"/>
      <c r="N109" s="181"/>
      <c r="O109" s="181"/>
      <c r="P109" s="181"/>
      <c r="Q109" s="181"/>
      <c r="R109" s="181"/>
      <c r="S109" s="181"/>
      <c r="T109" s="181"/>
      <c r="U109" s="181"/>
      <c r="V109" s="181"/>
      <c r="W109" s="181"/>
      <c r="X109" s="181"/>
      <c r="Y109" s="181"/>
      <c r="Z109" s="181"/>
    </row>
    <row r="110" ht="14.25" customHeight="1">
      <c r="A110" s="181"/>
      <c r="B110" s="181"/>
      <c r="C110" s="181"/>
      <c r="D110" s="181"/>
      <c r="E110" s="181"/>
      <c r="F110" s="181"/>
      <c r="G110" s="181"/>
      <c r="H110" s="181"/>
      <c r="I110" s="181"/>
      <c r="J110" s="181"/>
      <c r="K110" s="181"/>
      <c r="L110" s="181"/>
      <c r="M110" s="181"/>
      <c r="N110" s="181"/>
      <c r="O110" s="181"/>
      <c r="P110" s="181"/>
      <c r="Q110" s="181"/>
      <c r="R110" s="181"/>
      <c r="S110" s="181"/>
      <c r="T110" s="181"/>
      <c r="U110" s="181"/>
      <c r="V110" s="181"/>
      <c r="W110" s="181"/>
      <c r="X110" s="181"/>
      <c r="Y110" s="181"/>
      <c r="Z110" s="181"/>
    </row>
    <row r="111" ht="14.25" customHeight="1">
      <c r="A111" s="181"/>
      <c r="B111" s="181"/>
      <c r="C111" s="181"/>
      <c r="D111" s="181"/>
      <c r="E111" s="181"/>
      <c r="F111" s="181"/>
      <c r="G111" s="181"/>
      <c r="H111" s="181"/>
      <c r="I111" s="181"/>
      <c r="J111" s="181"/>
      <c r="K111" s="181"/>
      <c r="L111" s="181"/>
      <c r="M111" s="181"/>
      <c r="N111" s="181"/>
      <c r="O111" s="181"/>
      <c r="P111" s="181"/>
      <c r="Q111" s="181"/>
      <c r="R111" s="181"/>
      <c r="S111" s="181"/>
      <c r="T111" s="181"/>
      <c r="U111" s="181"/>
      <c r="V111" s="181"/>
      <c r="W111" s="181"/>
      <c r="X111" s="181"/>
      <c r="Y111" s="181"/>
      <c r="Z111" s="181"/>
    </row>
    <row r="112" ht="14.25" customHeight="1">
      <c r="A112" s="181"/>
      <c r="B112" s="181"/>
      <c r="C112" s="181"/>
      <c r="D112" s="181"/>
      <c r="E112" s="181"/>
      <c r="F112" s="181"/>
      <c r="G112" s="181"/>
      <c r="H112" s="181"/>
      <c r="I112" s="181"/>
      <c r="J112" s="181"/>
      <c r="K112" s="181"/>
      <c r="L112" s="181"/>
      <c r="M112" s="181"/>
      <c r="N112" s="181"/>
      <c r="O112" s="181"/>
      <c r="P112" s="181"/>
      <c r="Q112" s="181"/>
      <c r="R112" s="181"/>
      <c r="S112" s="181"/>
      <c r="T112" s="181"/>
      <c r="U112" s="181"/>
      <c r="V112" s="181"/>
      <c r="W112" s="181"/>
      <c r="X112" s="181"/>
      <c r="Y112" s="181"/>
      <c r="Z112" s="181"/>
    </row>
    <row r="113" ht="14.25" customHeight="1">
      <c r="A113" s="181"/>
      <c r="B113" s="181"/>
      <c r="C113" s="181"/>
      <c r="D113" s="181"/>
      <c r="E113" s="181"/>
      <c r="F113" s="181"/>
      <c r="G113" s="181"/>
      <c r="H113" s="181"/>
      <c r="I113" s="181"/>
      <c r="J113" s="181"/>
      <c r="K113" s="181"/>
      <c r="L113" s="181"/>
      <c r="M113" s="181"/>
      <c r="N113" s="181"/>
      <c r="O113" s="181"/>
      <c r="P113" s="181"/>
      <c r="Q113" s="181"/>
      <c r="R113" s="181"/>
      <c r="S113" s="181"/>
      <c r="T113" s="181"/>
      <c r="U113" s="181"/>
      <c r="V113" s="181"/>
      <c r="W113" s="181"/>
      <c r="X113" s="181"/>
      <c r="Y113" s="181"/>
      <c r="Z113" s="181"/>
    </row>
    <row r="114" ht="14.25" customHeight="1">
      <c r="A114" s="181"/>
      <c r="B114" s="181"/>
      <c r="C114" s="181"/>
      <c r="D114" s="181"/>
      <c r="E114" s="181"/>
      <c r="F114" s="181"/>
      <c r="G114" s="181"/>
      <c r="H114" s="181"/>
      <c r="I114" s="181"/>
      <c r="J114" s="181"/>
      <c r="K114" s="181"/>
      <c r="L114" s="181"/>
      <c r="M114" s="181"/>
      <c r="N114" s="181"/>
      <c r="O114" s="181"/>
      <c r="P114" s="181"/>
      <c r="Q114" s="181"/>
      <c r="R114" s="181"/>
      <c r="S114" s="181"/>
      <c r="T114" s="181"/>
      <c r="U114" s="181"/>
      <c r="V114" s="181"/>
      <c r="W114" s="181"/>
      <c r="X114" s="181"/>
      <c r="Y114" s="181"/>
      <c r="Z114" s="181"/>
    </row>
    <row r="115" ht="14.25" customHeight="1">
      <c r="A115" s="181"/>
      <c r="B115" s="181"/>
      <c r="C115" s="181"/>
      <c r="D115" s="181"/>
      <c r="E115" s="181"/>
      <c r="F115" s="181"/>
      <c r="G115" s="181"/>
      <c r="H115" s="181"/>
      <c r="I115" s="181"/>
      <c r="J115" s="181"/>
      <c r="K115" s="181"/>
      <c r="L115" s="181"/>
      <c r="M115" s="181"/>
      <c r="N115" s="181"/>
      <c r="O115" s="181"/>
      <c r="P115" s="181"/>
      <c r="Q115" s="181"/>
      <c r="R115" s="181"/>
      <c r="S115" s="181"/>
      <c r="T115" s="181"/>
      <c r="U115" s="181"/>
      <c r="V115" s="181"/>
      <c r="W115" s="181"/>
      <c r="X115" s="181"/>
      <c r="Y115" s="181"/>
      <c r="Z115" s="181"/>
    </row>
    <row r="116" ht="14.25" customHeight="1">
      <c r="A116" s="181"/>
      <c r="B116" s="181"/>
      <c r="C116" s="181"/>
      <c r="D116" s="181"/>
      <c r="E116" s="181"/>
      <c r="F116" s="181"/>
      <c r="G116" s="181"/>
      <c r="H116" s="181"/>
      <c r="I116" s="181"/>
      <c r="J116" s="181"/>
      <c r="K116" s="181"/>
      <c r="L116" s="181"/>
      <c r="M116" s="181"/>
      <c r="N116" s="181"/>
      <c r="O116" s="181"/>
      <c r="P116" s="181"/>
      <c r="Q116" s="181"/>
      <c r="R116" s="181"/>
      <c r="S116" s="181"/>
      <c r="T116" s="181"/>
      <c r="U116" s="181"/>
      <c r="V116" s="181"/>
      <c r="W116" s="181"/>
      <c r="X116" s="181"/>
      <c r="Y116" s="181"/>
      <c r="Z116" s="181"/>
    </row>
    <row r="117" ht="14.25" customHeight="1">
      <c r="A117" s="181"/>
      <c r="B117" s="181"/>
      <c r="C117" s="181"/>
      <c r="D117" s="181"/>
      <c r="E117" s="181"/>
      <c r="F117" s="181"/>
      <c r="G117" s="181"/>
      <c r="H117" s="181"/>
      <c r="I117" s="181"/>
      <c r="J117" s="181"/>
      <c r="K117" s="181"/>
      <c r="L117" s="181"/>
      <c r="M117" s="181"/>
      <c r="N117" s="181"/>
      <c r="O117" s="181"/>
      <c r="P117" s="181"/>
      <c r="Q117" s="181"/>
      <c r="R117" s="181"/>
      <c r="S117" s="181"/>
      <c r="T117" s="181"/>
      <c r="U117" s="181"/>
      <c r="V117" s="181"/>
      <c r="W117" s="181"/>
      <c r="X117" s="181"/>
      <c r="Y117" s="181"/>
      <c r="Z117" s="181"/>
    </row>
    <row r="118" ht="14.25" customHeight="1">
      <c r="A118" s="181"/>
      <c r="B118" s="181"/>
      <c r="C118" s="181"/>
      <c r="D118" s="181"/>
      <c r="E118" s="181"/>
      <c r="F118" s="181"/>
      <c r="G118" s="181"/>
      <c r="H118" s="181"/>
      <c r="I118" s="181"/>
      <c r="J118" s="181"/>
      <c r="K118" s="181"/>
      <c r="L118" s="181"/>
      <c r="M118" s="181"/>
      <c r="N118" s="181"/>
      <c r="O118" s="181"/>
      <c r="P118" s="181"/>
      <c r="Q118" s="181"/>
      <c r="R118" s="181"/>
      <c r="S118" s="181"/>
      <c r="T118" s="181"/>
      <c r="U118" s="181"/>
      <c r="V118" s="181"/>
      <c r="W118" s="181"/>
      <c r="X118" s="181"/>
      <c r="Y118" s="181"/>
      <c r="Z118" s="181"/>
    </row>
    <row r="119" ht="14.25" customHeight="1">
      <c r="A119" s="181"/>
      <c r="B119" s="181"/>
      <c r="C119" s="181"/>
      <c r="D119" s="181"/>
      <c r="E119" s="181"/>
      <c r="F119" s="181"/>
      <c r="G119" s="181"/>
      <c r="H119" s="181"/>
      <c r="I119" s="181"/>
      <c r="J119" s="181"/>
      <c r="K119" s="181"/>
      <c r="L119" s="181"/>
      <c r="M119" s="181"/>
      <c r="N119" s="181"/>
      <c r="O119" s="181"/>
      <c r="P119" s="181"/>
      <c r="Q119" s="181"/>
      <c r="R119" s="181"/>
      <c r="S119" s="181"/>
      <c r="T119" s="181"/>
      <c r="U119" s="181"/>
      <c r="V119" s="181"/>
      <c r="W119" s="181"/>
      <c r="X119" s="181"/>
      <c r="Y119" s="181"/>
      <c r="Z119" s="181"/>
    </row>
    <row r="120" ht="14.25" customHeight="1">
      <c r="A120" s="181"/>
      <c r="B120" s="181"/>
      <c r="C120" s="181"/>
      <c r="D120" s="181"/>
      <c r="E120" s="181"/>
      <c r="F120" s="181"/>
      <c r="G120" s="181"/>
      <c r="H120" s="181"/>
      <c r="I120" s="181"/>
      <c r="J120" s="181"/>
      <c r="K120" s="181"/>
      <c r="L120" s="181"/>
      <c r="M120" s="181"/>
      <c r="N120" s="181"/>
      <c r="O120" s="181"/>
      <c r="P120" s="181"/>
      <c r="Q120" s="181"/>
      <c r="R120" s="181"/>
      <c r="S120" s="181"/>
      <c r="T120" s="181"/>
      <c r="U120" s="181"/>
      <c r="V120" s="181"/>
      <c r="W120" s="181"/>
      <c r="X120" s="181"/>
      <c r="Y120" s="181"/>
      <c r="Z120" s="181"/>
    </row>
    <row r="121" ht="14.25" customHeight="1">
      <c r="A121" s="181"/>
      <c r="B121" s="181"/>
      <c r="C121" s="181"/>
      <c r="D121" s="181"/>
      <c r="E121" s="181"/>
      <c r="F121" s="181"/>
      <c r="G121" s="181"/>
      <c r="H121" s="181"/>
      <c r="I121" s="181"/>
      <c r="J121" s="181"/>
      <c r="K121" s="181"/>
      <c r="L121" s="181"/>
      <c r="M121" s="181"/>
      <c r="N121" s="181"/>
      <c r="O121" s="181"/>
      <c r="P121" s="181"/>
      <c r="Q121" s="181"/>
      <c r="R121" s="181"/>
      <c r="S121" s="181"/>
      <c r="T121" s="181"/>
      <c r="U121" s="181"/>
      <c r="V121" s="181"/>
      <c r="W121" s="181"/>
      <c r="X121" s="181"/>
      <c r="Y121" s="181"/>
      <c r="Z121" s="181"/>
    </row>
    <row r="122" ht="14.25" customHeight="1">
      <c r="A122" s="181"/>
      <c r="B122" s="181"/>
      <c r="C122" s="181"/>
      <c r="D122" s="181"/>
      <c r="E122" s="181"/>
      <c r="F122" s="181"/>
      <c r="G122" s="181"/>
      <c r="H122" s="181"/>
      <c r="I122" s="181"/>
      <c r="J122" s="181"/>
      <c r="K122" s="181"/>
      <c r="L122" s="181"/>
      <c r="M122" s="181"/>
      <c r="N122" s="181"/>
      <c r="O122" s="181"/>
      <c r="P122" s="181"/>
      <c r="Q122" s="181"/>
      <c r="R122" s="181"/>
      <c r="S122" s="181"/>
      <c r="T122" s="181"/>
      <c r="U122" s="181"/>
      <c r="V122" s="181"/>
      <c r="W122" s="181"/>
      <c r="X122" s="181"/>
      <c r="Y122" s="181"/>
      <c r="Z122" s="181"/>
    </row>
    <row r="123" ht="14.25" customHeight="1">
      <c r="A123" s="181"/>
      <c r="B123" s="181"/>
      <c r="C123" s="181"/>
      <c r="D123" s="181"/>
      <c r="E123" s="181"/>
      <c r="F123" s="181"/>
      <c r="G123" s="181"/>
      <c r="H123" s="181"/>
      <c r="I123" s="181"/>
      <c r="J123" s="181"/>
      <c r="K123" s="181"/>
      <c r="L123" s="181"/>
      <c r="M123" s="181"/>
      <c r="N123" s="181"/>
      <c r="O123" s="181"/>
      <c r="P123" s="181"/>
      <c r="Q123" s="181"/>
      <c r="R123" s="181"/>
      <c r="S123" s="181"/>
      <c r="T123" s="181"/>
      <c r="U123" s="181"/>
      <c r="V123" s="181"/>
      <c r="W123" s="181"/>
      <c r="X123" s="181"/>
      <c r="Y123" s="181"/>
      <c r="Z123" s="181"/>
    </row>
    <row r="124" ht="14.25" customHeight="1">
      <c r="A124" s="181"/>
      <c r="B124" s="181"/>
      <c r="C124" s="181"/>
      <c r="D124" s="181"/>
      <c r="E124" s="181"/>
      <c r="F124" s="181"/>
      <c r="G124" s="181"/>
      <c r="H124" s="181"/>
      <c r="I124" s="181"/>
      <c r="J124" s="181"/>
      <c r="K124" s="181"/>
      <c r="L124" s="181"/>
      <c r="M124" s="181"/>
      <c r="N124" s="181"/>
      <c r="O124" s="181"/>
      <c r="P124" s="181"/>
      <c r="Q124" s="181"/>
      <c r="R124" s="181"/>
      <c r="S124" s="181"/>
      <c r="T124" s="181"/>
      <c r="U124" s="181"/>
      <c r="V124" s="181"/>
      <c r="W124" s="181"/>
      <c r="X124" s="181"/>
      <c r="Y124" s="181"/>
      <c r="Z124" s="181"/>
    </row>
    <row r="125" ht="14.25" customHeight="1">
      <c r="A125" s="181"/>
      <c r="B125" s="181"/>
      <c r="C125" s="181"/>
      <c r="D125" s="181"/>
      <c r="E125" s="181"/>
      <c r="F125" s="181"/>
      <c r="G125" s="181"/>
      <c r="H125" s="181"/>
      <c r="I125" s="181"/>
      <c r="J125" s="181"/>
      <c r="K125" s="181"/>
      <c r="L125" s="181"/>
      <c r="M125" s="181"/>
      <c r="N125" s="181"/>
      <c r="O125" s="181"/>
      <c r="P125" s="181"/>
      <c r="Q125" s="181"/>
      <c r="R125" s="181"/>
      <c r="S125" s="181"/>
      <c r="T125" s="181"/>
      <c r="U125" s="181"/>
      <c r="V125" s="181"/>
      <c r="W125" s="181"/>
      <c r="X125" s="181"/>
      <c r="Y125" s="181"/>
      <c r="Z125" s="181"/>
    </row>
    <row r="126" ht="14.25" customHeight="1">
      <c r="A126" s="181"/>
      <c r="B126" s="181"/>
      <c r="C126" s="181"/>
      <c r="D126" s="181"/>
      <c r="E126" s="181"/>
      <c r="F126" s="181"/>
      <c r="G126" s="181"/>
      <c r="H126" s="181"/>
      <c r="I126" s="181"/>
      <c r="J126" s="181"/>
      <c r="K126" s="181"/>
      <c r="L126" s="181"/>
      <c r="M126" s="181"/>
      <c r="N126" s="181"/>
      <c r="O126" s="181"/>
      <c r="P126" s="181"/>
      <c r="Q126" s="181"/>
      <c r="R126" s="181"/>
      <c r="S126" s="181"/>
      <c r="T126" s="181"/>
      <c r="U126" s="181"/>
      <c r="V126" s="181"/>
      <c r="W126" s="181"/>
      <c r="X126" s="181"/>
      <c r="Y126" s="181"/>
      <c r="Z126" s="181"/>
    </row>
    <row r="127" ht="14.25" customHeight="1">
      <c r="A127" s="181"/>
      <c r="B127" s="181"/>
      <c r="C127" s="181"/>
      <c r="D127" s="181"/>
      <c r="E127" s="181"/>
      <c r="F127" s="181"/>
      <c r="G127" s="181"/>
      <c r="H127" s="181"/>
      <c r="I127" s="181"/>
      <c r="J127" s="181"/>
      <c r="K127" s="181"/>
      <c r="L127" s="181"/>
      <c r="M127" s="181"/>
      <c r="N127" s="181"/>
      <c r="O127" s="181"/>
      <c r="P127" s="181"/>
      <c r="Q127" s="181"/>
      <c r="R127" s="181"/>
      <c r="S127" s="181"/>
      <c r="T127" s="181"/>
      <c r="U127" s="181"/>
      <c r="V127" s="181"/>
      <c r="W127" s="181"/>
      <c r="X127" s="181"/>
      <c r="Y127" s="181"/>
      <c r="Z127" s="181"/>
    </row>
    <row r="128" ht="14.25" customHeight="1">
      <c r="A128" s="181"/>
      <c r="B128" s="181"/>
      <c r="C128" s="181"/>
      <c r="D128" s="181"/>
      <c r="E128" s="181"/>
      <c r="F128" s="181"/>
      <c r="G128" s="181"/>
      <c r="H128" s="181"/>
      <c r="I128" s="181"/>
      <c r="J128" s="181"/>
      <c r="K128" s="181"/>
      <c r="L128" s="181"/>
      <c r="M128" s="181"/>
      <c r="N128" s="181"/>
      <c r="O128" s="181"/>
      <c r="P128" s="181"/>
      <c r="Q128" s="181"/>
      <c r="R128" s="181"/>
      <c r="S128" s="181"/>
      <c r="T128" s="181"/>
      <c r="U128" s="181"/>
      <c r="V128" s="181"/>
      <c r="W128" s="181"/>
      <c r="X128" s="181"/>
      <c r="Y128" s="181"/>
      <c r="Z128" s="181"/>
    </row>
    <row r="129" ht="14.25" customHeight="1">
      <c r="A129" s="181"/>
      <c r="B129" s="181"/>
      <c r="C129" s="181"/>
      <c r="D129" s="181"/>
      <c r="E129" s="181"/>
      <c r="F129" s="181"/>
      <c r="G129" s="181"/>
      <c r="H129" s="181"/>
      <c r="I129" s="181"/>
      <c r="J129" s="181"/>
      <c r="K129" s="181"/>
      <c r="L129" s="181"/>
      <c r="M129" s="181"/>
      <c r="N129" s="181"/>
      <c r="O129" s="181"/>
      <c r="P129" s="181"/>
      <c r="Q129" s="181"/>
      <c r="R129" s="181"/>
      <c r="S129" s="181"/>
      <c r="T129" s="181"/>
      <c r="U129" s="181"/>
      <c r="V129" s="181"/>
      <c r="W129" s="181"/>
      <c r="X129" s="181"/>
      <c r="Y129" s="181"/>
      <c r="Z129" s="181"/>
    </row>
    <row r="130" ht="14.25" customHeight="1">
      <c r="A130" s="181"/>
      <c r="B130" s="181"/>
      <c r="C130" s="181"/>
      <c r="D130" s="181"/>
      <c r="E130" s="181"/>
      <c r="F130" s="181"/>
      <c r="G130" s="181"/>
      <c r="H130" s="181"/>
      <c r="I130" s="181"/>
      <c r="J130" s="181"/>
      <c r="K130" s="181"/>
      <c r="L130" s="181"/>
      <c r="M130" s="181"/>
      <c r="N130" s="181"/>
      <c r="O130" s="181"/>
      <c r="P130" s="181"/>
      <c r="Q130" s="181"/>
      <c r="R130" s="181"/>
      <c r="S130" s="181"/>
      <c r="T130" s="181"/>
      <c r="U130" s="181"/>
      <c r="V130" s="181"/>
      <c r="W130" s="181"/>
      <c r="X130" s="181"/>
      <c r="Y130" s="181"/>
      <c r="Z130" s="181"/>
    </row>
    <row r="131" ht="14.25" customHeight="1">
      <c r="A131" s="181"/>
      <c r="B131" s="181"/>
      <c r="C131" s="181"/>
      <c r="D131" s="181"/>
      <c r="E131" s="181"/>
      <c r="F131" s="181"/>
      <c r="G131" s="181"/>
      <c r="H131" s="181"/>
      <c r="I131" s="181"/>
      <c r="J131" s="181"/>
      <c r="K131" s="181"/>
      <c r="L131" s="181"/>
      <c r="M131" s="181"/>
      <c r="N131" s="181"/>
      <c r="O131" s="181"/>
      <c r="P131" s="181"/>
      <c r="Q131" s="181"/>
      <c r="R131" s="181"/>
      <c r="S131" s="181"/>
      <c r="T131" s="181"/>
      <c r="U131" s="181"/>
      <c r="V131" s="181"/>
      <c r="W131" s="181"/>
      <c r="X131" s="181"/>
      <c r="Y131" s="181"/>
      <c r="Z131" s="181"/>
    </row>
    <row r="132" ht="14.25" customHeight="1">
      <c r="A132" s="181"/>
      <c r="B132" s="181"/>
      <c r="C132" s="181"/>
      <c r="D132" s="181"/>
      <c r="E132" s="181"/>
      <c r="F132" s="181"/>
      <c r="G132" s="181"/>
      <c r="H132" s="181"/>
      <c r="I132" s="181"/>
      <c r="J132" s="181"/>
      <c r="K132" s="181"/>
      <c r="L132" s="181"/>
      <c r="M132" s="181"/>
      <c r="N132" s="181"/>
      <c r="O132" s="181"/>
      <c r="P132" s="181"/>
      <c r="Q132" s="181"/>
      <c r="R132" s="181"/>
      <c r="S132" s="181"/>
      <c r="T132" s="181"/>
      <c r="U132" s="181"/>
      <c r="V132" s="181"/>
      <c r="W132" s="181"/>
      <c r="X132" s="181"/>
      <c r="Y132" s="181"/>
      <c r="Z132" s="181"/>
    </row>
    <row r="133" ht="14.25" customHeight="1">
      <c r="A133" s="181"/>
      <c r="B133" s="181"/>
      <c r="C133" s="181"/>
      <c r="D133" s="181"/>
      <c r="E133" s="181"/>
      <c r="F133" s="181"/>
      <c r="G133" s="181"/>
      <c r="H133" s="181"/>
      <c r="I133" s="181"/>
      <c r="J133" s="181"/>
      <c r="K133" s="181"/>
      <c r="L133" s="181"/>
      <c r="M133" s="181"/>
      <c r="N133" s="181"/>
      <c r="O133" s="181"/>
      <c r="P133" s="181"/>
      <c r="Q133" s="181"/>
      <c r="R133" s="181"/>
      <c r="S133" s="181"/>
      <c r="T133" s="181"/>
      <c r="U133" s="181"/>
      <c r="V133" s="181"/>
      <c r="W133" s="181"/>
      <c r="X133" s="181"/>
      <c r="Y133" s="181"/>
      <c r="Z133" s="181"/>
    </row>
    <row r="134" ht="14.25" customHeight="1">
      <c r="A134" s="181"/>
      <c r="B134" s="181"/>
      <c r="C134" s="181"/>
      <c r="D134" s="181"/>
      <c r="E134" s="181"/>
      <c r="F134" s="181"/>
      <c r="G134" s="181"/>
      <c r="H134" s="181"/>
      <c r="I134" s="181"/>
      <c r="J134" s="181"/>
      <c r="K134" s="181"/>
      <c r="L134" s="181"/>
      <c r="M134" s="181"/>
      <c r="N134" s="181"/>
      <c r="O134" s="181"/>
      <c r="P134" s="181"/>
      <c r="Q134" s="181"/>
      <c r="R134" s="181"/>
      <c r="S134" s="181"/>
      <c r="T134" s="181"/>
      <c r="U134" s="181"/>
      <c r="V134" s="181"/>
      <c r="W134" s="181"/>
      <c r="X134" s="181"/>
      <c r="Y134" s="181"/>
      <c r="Z134" s="181"/>
    </row>
    <row r="135" ht="14.25" customHeight="1">
      <c r="A135" s="181"/>
      <c r="B135" s="181"/>
      <c r="C135" s="181"/>
      <c r="D135" s="181"/>
      <c r="E135" s="181"/>
      <c r="F135" s="181"/>
      <c r="G135" s="181"/>
      <c r="H135" s="181"/>
      <c r="I135" s="181"/>
      <c r="J135" s="181"/>
      <c r="K135" s="181"/>
      <c r="L135" s="181"/>
      <c r="M135" s="181"/>
      <c r="N135" s="181"/>
      <c r="O135" s="181"/>
      <c r="P135" s="181"/>
      <c r="Q135" s="181"/>
      <c r="R135" s="181"/>
      <c r="S135" s="181"/>
      <c r="T135" s="181"/>
      <c r="U135" s="181"/>
      <c r="V135" s="181"/>
      <c r="W135" s="181"/>
      <c r="X135" s="181"/>
      <c r="Y135" s="181"/>
      <c r="Z135" s="181"/>
    </row>
    <row r="136" ht="14.25" customHeight="1">
      <c r="A136" s="181"/>
      <c r="B136" s="181"/>
      <c r="C136" s="181"/>
      <c r="D136" s="181"/>
      <c r="E136" s="181"/>
      <c r="F136" s="181"/>
      <c r="G136" s="181"/>
      <c r="H136" s="181"/>
      <c r="I136" s="181"/>
      <c r="J136" s="181"/>
      <c r="K136" s="181"/>
      <c r="L136" s="181"/>
      <c r="M136" s="181"/>
      <c r="N136" s="181"/>
      <c r="O136" s="181"/>
      <c r="P136" s="181"/>
      <c r="Q136" s="181"/>
      <c r="R136" s="181"/>
      <c r="S136" s="181"/>
      <c r="T136" s="181"/>
      <c r="U136" s="181"/>
      <c r="V136" s="181"/>
      <c r="W136" s="181"/>
      <c r="X136" s="181"/>
      <c r="Y136" s="181"/>
      <c r="Z136" s="181"/>
    </row>
    <row r="137" ht="14.25" customHeight="1">
      <c r="A137" s="181"/>
      <c r="B137" s="181"/>
      <c r="C137" s="181"/>
      <c r="D137" s="181"/>
      <c r="E137" s="181"/>
      <c r="F137" s="181"/>
      <c r="G137" s="181"/>
      <c r="H137" s="181"/>
      <c r="I137" s="181"/>
      <c r="J137" s="181"/>
      <c r="K137" s="181"/>
      <c r="L137" s="181"/>
      <c r="M137" s="181"/>
      <c r="N137" s="181"/>
      <c r="O137" s="181"/>
      <c r="P137" s="181"/>
      <c r="Q137" s="181"/>
      <c r="R137" s="181"/>
      <c r="S137" s="181"/>
      <c r="T137" s="181"/>
      <c r="U137" s="181"/>
      <c r="V137" s="181"/>
      <c r="W137" s="181"/>
      <c r="X137" s="181"/>
      <c r="Y137" s="181"/>
      <c r="Z137" s="181"/>
    </row>
    <row r="138" ht="14.25" customHeight="1">
      <c r="A138" s="181"/>
      <c r="B138" s="181"/>
      <c r="C138" s="181"/>
      <c r="D138" s="181"/>
      <c r="E138" s="181"/>
      <c r="F138" s="181"/>
      <c r="G138" s="181"/>
      <c r="H138" s="181"/>
      <c r="I138" s="181"/>
      <c r="J138" s="181"/>
      <c r="K138" s="181"/>
      <c r="L138" s="181"/>
      <c r="M138" s="181"/>
      <c r="N138" s="181"/>
      <c r="O138" s="181"/>
      <c r="P138" s="181"/>
      <c r="Q138" s="181"/>
      <c r="R138" s="181"/>
      <c r="S138" s="181"/>
      <c r="T138" s="181"/>
      <c r="U138" s="181"/>
      <c r="V138" s="181"/>
      <c r="W138" s="181"/>
      <c r="X138" s="181"/>
      <c r="Y138" s="181"/>
      <c r="Z138" s="181"/>
    </row>
    <row r="139" ht="14.25" customHeight="1">
      <c r="A139" s="181"/>
      <c r="B139" s="181"/>
      <c r="C139" s="181"/>
      <c r="D139" s="181"/>
      <c r="E139" s="181"/>
      <c r="F139" s="181"/>
      <c r="G139" s="181"/>
      <c r="H139" s="181"/>
      <c r="I139" s="181"/>
      <c r="J139" s="181"/>
      <c r="K139" s="181"/>
      <c r="L139" s="181"/>
      <c r="M139" s="181"/>
      <c r="N139" s="181"/>
      <c r="O139" s="181"/>
      <c r="P139" s="181"/>
      <c r="Q139" s="181"/>
      <c r="R139" s="181"/>
      <c r="S139" s="181"/>
      <c r="T139" s="181"/>
      <c r="U139" s="181"/>
      <c r="V139" s="181"/>
      <c r="W139" s="181"/>
      <c r="X139" s="181"/>
      <c r="Y139" s="181"/>
      <c r="Z139" s="181"/>
    </row>
    <row r="140" ht="14.25" customHeight="1">
      <c r="A140" s="181"/>
      <c r="B140" s="181"/>
      <c r="C140" s="181"/>
      <c r="D140" s="181"/>
      <c r="E140" s="181"/>
      <c r="F140" s="181"/>
      <c r="G140" s="181"/>
      <c r="H140" s="181"/>
      <c r="I140" s="181"/>
      <c r="J140" s="181"/>
      <c r="K140" s="181"/>
      <c r="L140" s="181"/>
      <c r="M140" s="181"/>
      <c r="N140" s="181"/>
      <c r="O140" s="181"/>
      <c r="P140" s="181"/>
      <c r="Q140" s="181"/>
      <c r="R140" s="181"/>
      <c r="S140" s="181"/>
      <c r="T140" s="181"/>
      <c r="U140" s="181"/>
      <c r="V140" s="181"/>
      <c r="W140" s="181"/>
      <c r="X140" s="181"/>
      <c r="Y140" s="181"/>
      <c r="Z140" s="181"/>
    </row>
    <row r="141" ht="14.25" customHeight="1">
      <c r="A141" s="181"/>
      <c r="B141" s="181"/>
      <c r="C141" s="181"/>
      <c r="D141" s="181"/>
      <c r="E141" s="181"/>
      <c r="F141" s="181"/>
      <c r="G141" s="181"/>
      <c r="H141" s="181"/>
      <c r="I141" s="181"/>
      <c r="J141" s="181"/>
      <c r="K141" s="181"/>
      <c r="L141" s="181"/>
      <c r="M141" s="181"/>
      <c r="N141" s="181"/>
      <c r="O141" s="181"/>
      <c r="P141" s="181"/>
      <c r="Q141" s="181"/>
      <c r="R141" s="181"/>
      <c r="S141" s="181"/>
      <c r="T141" s="181"/>
      <c r="U141" s="181"/>
      <c r="V141" s="181"/>
      <c r="W141" s="181"/>
      <c r="X141" s="181"/>
      <c r="Y141" s="181"/>
      <c r="Z141" s="181"/>
    </row>
    <row r="142" ht="14.25" customHeight="1">
      <c r="A142" s="181"/>
      <c r="B142" s="181"/>
      <c r="C142" s="181"/>
      <c r="D142" s="181"/>
      <c r="E142" s="181"/>
      <c r="F142" s="181"/>
      <c r="G142" s="181"/>
      <c r="H142" s="181"/>
      <c r="I142" s="181"/>
      <c r="J142" s="181"/>
      <c r="K142" s="181"/>
      <c r="L142" s="181"/>
      <c r="M142" s="181"/>
      <c r="N142" s="181"/>
      <c r="O142" s="181"/>
      <c r="P142" s="181"/>
      <c r="Q142" s="181"/>
      <c r="R142" s="181"/>
      <c r="S142" s="181"/>
      <c r="T142" s="181"/>
      <c r="U142" s="181"/>
      <c r="V142" s="181"/>
      <c r="W142" s="181"/>
      <c r="X142" s="181"/>
      <c r="Y142" s="181"/>
      <c r="Z142" s="181"/>
    </row>
    <row r="143" ht="14.25" customHeight="1">
      <c r="A143" s="181"/>
      <c r="B143" s="181"/>
      <c r="C143" s="181"/>
      <c r="D143" s="181"/>
      <c r="E143" s="181"/>
      <c r="F143" s="181"/>
      <c r="G143" s="181"/>
      <c r="H143" s="181"/>
      <c r="I143" s="181"/>
      <c r="J143" s="181"/>
      <c r="K143" s="181"/>
      <c r="L143" s="181"/>
      <c r="M143" s="181"/>
      <c r="N143" s="181"/>
      <c r="O143" s="181"/>
      <c r="P143" s="181"/>
      <c r="Q143" s="181"/>
      <c r="R143" s="181"/>
      <c r="S143" s="181"/>
      <c r="T143" s="181"/>
      <c r="U143" s="181"/>
      <c r="V143" s="181"/>
      <c r="W143" s="181"/>
      <c r="X143" s="181"/>
      <c r="Y143" s="181"/>
      <c r="Z143" s="181"/>
    </row>
    <row r="144" ht="14.25" customHeight="1">
      <c r="A144" s="181"/>
      <c r="B144" s="181"/>
      <c r="C144" s="181"/>
      <c r="D144" s="181"/>
      <c r="E144" s="181"/>
      <c r="F144" s="181"/>
      <c r="G144" s="181"/>
      <c r="H144" s="181"/>
      <c r="I144" s="181"/>
      <c r="J144" s="181"/>
      <c r="K144" s="181"/>
      <c r="L144" s="181"/>
      <c r="M144" s="181"/>
      <c r="N144" s="181"/>
      <c r="O144" s="181"/>
      <c r="P144" s="181"/>
      <c r="Q144" s="181"/>
      <c r="R144" s="181"/>
      <c r="S144" s="181"/>
      <c r="T144" s="181"/>
      <c r="U144" s="181"/>
      <c r="V144" s="181"/>
      <c r="W144" s="181"/>
      <c r="X144" s="181"/>
      <c r="Y144" s="181"/>
      <c r="Z144" s="181"/>
    </row>
    <row r="145" ht="14.25" customHeight="1">
      <c r="A145" s="181"/>
      <c r="B145" s="181"/>
      <c r="C145" s="181"/>
      <c r="D145" s="181"/>
      <c r="E145" s="181"/>
      <c r="F145" s="181"/>
      <c r="G145" s="181"/>
      <c r="H145" s="181"/>
      <c r="I145" s="181"/>
      <c r="J145" s="181"/>
      <c r="K145" s="181"/>
      <c r="L145" s="181"/>
      <c r="M145" s="181"/>
      <c r="N145" s="181"/>
      <c r="O145" s="181"/>
      <c r="P145" s="181"/>
      <c r="Q145" s="181"/>
      <c r="R145" s="181"/>
      <c r="S145" s="181"/>
      <c r="T145" s="181"/>
      <c r="U145" s="181"/>
      <c r="V145" s="181"/>
      <c r="W145" s="181"/>
      <c r="X145" s="181"/>
      <c r="Y145" s="181"/>
      <c r="Z145" s="181"/>
    </row>
    <row r="146" ht="14.25" customHeight="1">
      <c r="A146" s="181"/>
      <c r="B146" s="181"/>
      <c r="C146" s="181"/>
      <c r="D146" s="181"/>
      <c r="E146" s="181"/>
      <c r="F146" s="181"/>
      <c r="G146" s="181"/>
      <c r="H146" s="181"/>
      <c r="I146" s="181"/>
      <c r="J146" s="181"/>
      <c r="K146" s="181"/>
      <c r="L146" s="181"/>
      <c r="M146" s="181"/>
      <c r="N146" s="181"/>
      <c r="O146" s="181"/>
      <c r="P146" s="181"/>
      <c r="Q146" s="181"/>
      <c r="R146" s="181"/>
      <c r="S146" s="181"/>
      <c r="T146" s="181"/>
      <c r="U146" s="181"/>
      <c r="V146" s="181"/>
      <c r="W146" s="181"/>
      <c r="X146" s="181"/>
      <c r="Y146" s="181"/>
      <c r="Z146" s="181"/>
    </row>
    <row r="147" ht="14.25" customHeight="1">
      <c r="A147" s="181"/>
      <c r="B147" s="181"/>
      <c r="C147" s="181"/>
      <c r="D147" s="181"/>
      <c r="E147" s="181"/>
      <c r="F147" s="181"/>
      <c r="G147" s="181"/>
      <c r="H147" s="181"/>
      <c r="I147" s="181"/>
      <c r="J147" s="181"/>
      <c r="K147" s="181"/>
      <c r="L147" s="181"/>
      <c r="M147" s="181"/>
      <c r="N147" s="181"/>
      <c r="O147" s="181"/>
      <c r="P147" s="181"/>
      <c r="Q147" s="181"/>
      <c r="R147" s="181"/>
      <c r="S147" s="181"/>
      <c r="T147" s="181"/>
      <c r="U147" s="181"/>
      <c r="V147" s="181"/>
      <c r="W147" s="181"/>
      <c r="X147" s="181"/>
      <c r="Y147" s="181"/>
      <c r="Z147" s="181"/>
    </row>
    <row r="148" ht="14.25" customHeight="1">
      <c r="A148" s="181"/>
      <c r="B148" s="181"/>
      <c r="C148" s="181"/>
      <c r="D148" s="181"/>
      <c r="E148" s="181"/>
      <c r="F148" s="181"/>
      <c r="G148" s="181"/>
      <c r="H148" s="181"/>
      <c r="I148" s="181"/>
      <c r="J148" s="181"/>
      <c r="K148" s="181"/>
      <c r="L148" s="181"/>
      <c r="M148" s="181"/>
      <c r="N148" s="181"/>
      <c r="O148" s="181"/>
      <c r="P148" s="181"/>
      <c r="Q148" s="181"/>
      <c r="R148" s="181"/>
      <c r="S148" s="181"/>
      <c r="T148" s="181"/>
      <c r="U148" s="181"/>
      <c r="V148" s="181"/>
      <c r="W148" s="181"/>
      <c r="X148" s="181"/>
      <c r="Y148" s="181"/>
      <c r="Z148" s="181"/>
    </row>
    <row r="149" ht="14.25" customHeight="1">
      <c r="A149" s="181"/>
      <c r="B149" s="181"/>
      <c r="C149" s="181"/>
      <c r="D149" s="181"/>
      <c r="E149" s="181"/>
      <c r="F149" s="181"/>
      <c r="G149" s="181"/>
      <c r="H149" s="181"/>
      <c r="I149" s="181"/>
      <c r="J149" s="181"/>
      <c r="K149" s="181"/>
      <c r="L149" s="181"/>
      <c r="M149" s="181"/>
      <c r="N149" s="181"/>
      <c r="O149" s="181"/>
      <c r="P149" s="181"/>
      <c r="Q149" s="181"/>
      <c r="R149" s="181"/>
      <c r="S149" s="181"/>
      <c r="T149" s="181"/>
      <c r="U149" s="181"/>
      <c r="V149" s="181"/>
      <c r="W149" s="181"/>
      <c r="X149" s="181"/>
      <c r="Y149" s="181"/>
      <c r="Z149" s="181"/>
    </row>
    <row r="150" ht="14.25" customHeight="1">
      <c r="A150" s="181"/>
      <c r="B150" s="181"/>
      <c r="C150" s="181"/>
      <c r="D150" s="181"/>
      <c r="E150" s="181"/>
      <c r="F150" s="181"/>
      <c r="G150" s="181"/>
      <c r="H150" s="181"/>
      <c r="I150" s="181"/>
      <c r="J150" s="181"/>
      <c r="K150" s="181"/>
      <c r="L150" s="181"/>
      <c r="M150" s="181"/>
      <c r="N150" s="181"/>
      <c r="O150" s="181"/>
      <c r="P150" s="181"/>
      <c r="Q150" s="181"/>
      <c r="R150" s="181"/>
      <c r="S150" s="181"/>
      <c r="T150" s="181"/>
      <c r="U150" s="181"/>
      <c r="V150" s="181"/>
      <c r="W150" s="181"/>
      <c r="X150" s="181"/>
      <c r="Y150" s="181"/>
      <c r="Z150" s="181"/>
    </row>
    <row r="151" ht="14.25" customHeight="1">
      <c r="A151" s="181"/>
      <c r="B151" s="181"/>
      <c r="C151" s="181"/>
      <c r="D151" s="181"/>
      <c r="E151" s="181"/>
      <c r="F151" s="181"/>
      <c r="G151" s="181"/>
      <c r="H151" s="181"/>
      <c r="I151" s="181"/>
      <c r="J151" s="181"/>
      <c r="K151" s="181"/>
      <c r="L151" s="181"/>
      <c r="M151" s="181"/>
      <c r="N151" s="181"/>
      <c r="O151" s="181"/>
      <c r="P151" s="181"/>
      <c r="Q151" s="181"/>
      <c r="R151" s="181"/>
      <c r="S151" s="181"/>
      <c r="T151" s="181"/>
      <c r="U151" s="181"/>
      <c r="V151" s="181"/>
      <c r="W151" s="181"/>
      <c r="X151" s="181"/>
      <c r="Y151" s="181"/>
      <c r="Z151" s="181"/>
    </row>
    <row r="152" ht="14.25" customHeight="1">
      <c r="A152" s="181"/>
      <c r="B152" s="181"/>
      <c r="C152" s="181"/>
      <c r="D152" s="181"/>
      <c r="E152" s="181"/>
      <c r="F152" s="181"/>
      <c r="G152" s="181"/>
      <c r="H152" s="181"/>
      <c r="I152" s="181"/>
      <c r="J152" s="181"/>
      <c r="K152" s="181"/>
      <c r="L152" s="181"/>
      <c r="M152" s="181"/>
      <c r="N152" s="181"/>
      <c r="O152" s="181"/>
      <c r="P152" s="181"/>
      <c r="Q152" s="181"/>
      <c r="R152" s="181"/>
      <c r="S152" s="181"/>
      <c r="T152" s="181"/>
      <c r="U152" s="181"/>
      <c r="V152" s="181"/>
      <c r="W152" s="181"/>
      <c r="X152" s="181"/>
      <c r="Y152" s="181"/>
      <c r="Z152" s="181"/>
    </row>
    <row r="153" ht="14.25" customHeight="1">
      <c r="A153" s="181"/>
      <c r="B153" s="181"/>
      <c r="C153" s="181"/>
      <c r="D153" s="181"/>
      <c r="E153" s="181"/>
      <c r="F153" s="181"/>
      <c r="G153" s="181"/>
      <c r="H153" s="181"/>
      <c r="I153" s="181"/>
      <c r="J153" s="181"/>
      <c r="K153" s="181"/>
      <c r="L153" s="181"/>
      <c r="M153" s="181"/>
      <c r="N153" s="181"/>
      <c r="O153" s="181"/>
      <c r="P153" s="181"/>
      <c r="Q153" s="181"/>
      <c r="R153" s="181"/>
      <c r="S153" s="181"/>
      <c r="T153" s="181"/>
      <c r="U153" s="181"/>
      <c r="V153" s="181"/>
      <c r="W153" s="181"/>
      <c r="X153" s="181"/>
      <c r="Y153" s="181"/>
      <c r="Z153" s="181"/>
    </row>
    <row r="154" ht="14.25" customHeight="1">
      <c r="A154" s="181"/>
      <c r="B154" s="181"/>
      <c r="C154" s="181"/>
      <c r="D154" s="181"/>
      <c r="E154" s="181"/>
      <c r="F154" s="181"/>
      <c r="G154" s="181"/>
      <c r="H154" s="181"/>
      <c r="I154" s="181"/>
      <c r="J154" s="181"/>
      <c r="K154" s="181"/>
      <c r="L154" s="181"/>
      <c r="M154" s="181"/>
      <c r="N154" s="181"/>
      <c r="O154" s="181"/>
      <c r="P154" s="181"/>
      <c r="Q154" s="181"/>
      <c r="R154" s="181"/>
      <c r="S154" s="181"/>
      <c r="T154" s="181"/>
      <c r="U154" s="181"/>
      <c r="V154" s="181"/>
      <c r="W154" s="181"/>
      <c r="X154" s="181"/>
      <c r="Y154" s="181"/>
      <c r="Z154" s="181"/>
    </row>
    <row r="155" ht="14.25" customHeight="1">
      <c r="A155" s="181"/>
      <c r="B155" s="181"/>
      <c r="C155" s="181"/>
      <c r="D155" s="181"/>
      <c r="E155" s="181"/>
      <c r="F155" s="181"/>
      <c r="G155" s="181"/>
      <c r="H155" s="181"/>
      <c r="I155" s="181"/>
      <c r="J155" s="181"/>
      <c r="K155" s="181"/>
      <c r="L155" s="181"/>
      <c r="M155" s="181"/>
      <c r="N155" s="181"/>
      <c r="O155" s="181"/>
      <c r="P155" s="181"/>
      <c r="Q155" s="181"/>
      <c r="R155" s="181"/>
      <c r="S155" s="181"/>
      <c r="T155" s="181"/>
      <c r="U155" s="181"/>
      <c r="V155" s="181"/>
      <c r="W155" s="181"/>
      <c r="X155" s="181"/>
      <c r="Y155" s="181"/>
      <c r="Z155" s="181"/>
    </row>
    <row r="156" ht="14.25" customHeight="1">
      <c r="A156" s="181"/>
      <c r="B156" s="181"/>
      <c r="C156" s="181"/>
      <c r="D156" s="181"/>
      <c r="E156" s="181"/>
      <c r="F156" s="181"/>
      <c r="G156" s="181"/>
      <c r="H156" s="181"/>
      <c r="I156" s="181"/>
      <c r="J156" s="181"/>
      <c r="K156" s="181"/>
      <c r="L156" s="181"/>
      <c r="M156" s="181"/>
      <c r="N156" s="181"/>
      <c r="O156" s="181"/>
      <c r="P156" s="181"/>
      <c r="Q156" s="181"/>
      <c r="R156" s="181"/>
      <c r="S156" s="181"/>
      <c r="T156" s="181"/>
      <c r="U156" s="181"/>
      <c r="V156" s="181"/>
      <c r="W156" s="181"/>
      <c r="X156" s="181"/>
      <c r="Y156" s="181"/>
      <c r="Z156" s="181"/>
    </row>
    <row r="157" ht="14.25" customHeight="1">
      <c r="A157" s="181"/>
      <c r="B157" s="181"/>
      <c r="C157" s="181"/>
      <c r="D157" s="181"/>
      <c r="E157" s="181"/>
      <c r="F157" s="181"/>
      <c r="G157" s="181"/>
      <c r="H157" s="181"/>
      <c r="I157" s="181"/>
      <c r="J157" s="181"/>
      <c r="K157" s="181"/>
      <c r="L157" s="181"/>
      <c r="M157" s="181"/>
      <c r="N157" s="181"/>
      <c r="O157" s="181"/>
      <c r="P157" s="181"/>
      <c r="Q157" s="181"/>
      <c r="R157" s="181"/>
      <c r="S157" s="181"/>
      <c r="T157" s="181"/>
      <c r="U157" s="181"/>
      <c r="V157" s="181"/>
      <c r="W157" s="181"/>
      <c r="X157" s="181"/>
      <c r="Y157" s="181"/>
      <c r="Z157" s="181"/>
    </row>
    <row r="158" ht="14.25" customHeight="1">
      <c r="A158" s="181"/>
      <c r="B158" s="181"/>
      <c r="C158" s="181"/>
      <c r="D158" s="181"/>
      <c r="E158" s="181"/>
      <c r="F158" s="181"/>
      <c r="G158" s="181"/>
      <c r="H158" s="181"/>
      <c r="I158" s="181"/>
      <c r="J158" s="181"/>
      <c r="K158" s="181"/>
      <c r="L158" s="181"/>
      <c r="M158" s="181"/>
      <c r="N158" s="181"/>
      <c r="O158" s="181"/>
      <c r="P158" s="181"/>
      <c r="Q158" s="181"/>
      <c r="R158" s="181"/>
      <c r="S158" s="181"/>
      <c r="T158" s="181"/>
      <c r="U158" s="181"/>
      <c r="V158" s="181"/>
      <c r="W158" s="181"/>
      <c r="X158" s="181"/>
      <c r="Y158" s="181"/>
      <c r="Z158" s="181"/>
    </row>
    <row r="159" ht="14.25" customHeight="1">
      <c r="A159" s="181"/>
      <c r="B159" s="181"/>
      <c r="C159" s="181"/>
      <c r="D159" s="181"/>
      <c r="E159" s="181"/>
      <c r="F159" s="181"/>
      <c r="G159" s="181"/>
      <c r="H159" s="181"/>
      <c r="I159" s="181"/>
      <c r="J159" s="181"/>
      <c r="K159" s="181"/>
      <c r="L159" s="181"/>
      <c r="M159" s="181"/>
      <c r="N159" s="181"/>
      <c r="O159" s="181"/>
      <c r="P159" s="181"/>
      <c r="Q159" s="181"/>
      <c r="R159" s="181"/>
      <c r="S159" s="181"/>
      <c r="T159" s="181"/>
      <c r="U159" s="181"/>
      <c r="V159" s="181"/>
      <c r="W159" s="181"/>
      <c r="X159" s="181"/>
      <c r="Y159" s="181"/>
      <c r="Z159" s="181"/>
    </row>
    <row r="160" ht="14.25" customHeight="1">
      <c r="A160" s="181"/>
      <c r="B160" s="181"/>
      <c r="C160" s="181"/>
      <c r="D160" s="181"/>
      <c r="E160" s="181"/>
      <c r="F160" s="181"/>
      <c r="G160" s="181"/>
      <c r="H160" s="181"/>
      <c r="I160" s="181"/>
      <c r="J160" s="181"/>
      <c r="K160" s="181"/>
      <c r="L160" s="181"/>
      <c r="M160" s="181"/>
      <c r="N160" s="181"/>
      <c r="O160" s="181"/>
      <c r="P160" s="181"/>
      <c r="Q160" s="181"/>
      <c r="R160" s="181"/>
      <c r="S160" s="181"/>
      <c r="T160" s="181"/>
      <c r="U160" s="181"/>
      <c r="V160" s="181"/>
      <c r="W160" s="181"/>
      <c r="X160" s="181"/>
      <c r="Y160" s="181"/>
      <c r="Z160" s="181"/>
    </row>
    <row r="161" ht="14.25" customHeight="1">
      <c r="A161" s="181"/>
      <c r="B161" s="181"/>
      <c r="C161" s="181"/>
      <c r="D161" s="181"/>
      <c r="E161" s="181"/>
      <c r="F161" s="181"/>
      <c r="G161" s="181"/>
      <c r="H161" s="181"/>
      <c r="I161" s="181"/>
      <c r="J161" s="181"/>
      <c r="K161" s="181"/>
      <c r="L161" s="181"/>
      <c r="M161" s="181"/>
      <c r="N161" s="181"/>
      <c r="O161" s="181"/>
      <c r="P161" s="181"/>
      <c r="Q161" s="181"/>
      <c r="R161" s="181"/>
      <c r="S161" s="181"/>
      <c r="T161" s="181"/>
      <c r="U161" s="181"/>
      <c r="V161" s="181"/>
      <c r="W161" s="181"/>
      <c r="X161" s="181"/>
      <c r="Y161" s="181"/>
      <c r="Z161" s="181"/>
    </row>
    <row r="162" ht="14.25" customHeight="1">
      <c r="A162" s="181"/>
      <c r="B162" s="181"/>
      <c r="C162" s="181"/>
      <c r="D162" s="181"/>
      <c r="E162" s="181"/>
      <c r="F162" s="181"/>
      <c r="G162" s="181"/>
      <c r="H162" s="181"/>
      <c r="I162" s="181"/>
      <c r="J162" s="181"/>
      <c r="K162" s="181"/>
      <c r="L162" s="181"/>
      <c r="M162" s="181"/>
      <c r="N162" s="181"/>
      <c r="O162" s="181"/>
      <c r="P162" s="181"/>
      <c r="Q162" s="181"/>
      <c r="R162" s="181"/>
      <c r="S162" s="181"/>
      <c r="T162" s="181"/>
      <c r="U162" s="181"/>
      <c r="V162" s="181"/>
      <c r="W162" s="181"/>
      <c r="X162" s="181"/>
      <c r="Y162" s="181"/>
      <c r="Z162" s="181"/>
    </row>
    <row r="163" ht="14.25" customHeight="1">
      <c r="A163" s="181"/>
      <c r="B163" s="181"/>
      <c r="C163" s="181"/>
      <c r="D163" s="181"/>
      <c r="E163" s="181"/>
      <c r="F163" s="181"/>
      <c r="G163" s="181"/>
      <c r="H163" s="181"/>
      <c r="I163" s="181"/>
      <c r="J163" s="181"/>
      <c r="K163" s="181"/>
      <c r="L163" s="181"/>
      <c r="M163" s="181"/>
      <c r="N163" s="181"/>
      <c r="O163" s="181"/>
      <c r="P163" s="181"/>
      <c r="Q163" s="181"/>
      <c r="R163" s="181"/>
      <c r="S163" s="181"/>
      <c r="T163" s="181"/>
      <c r="U163" s="181"/>
      <c r="V163" s="181"/>
      <c r="W163" s="181"/>
      <c r="X163" s="181"/>
      <c r="Y163" s="181"/>
      <c r="Z163" s="181"/>
    </row>
    <row r="164" ht="14.25" customHeight="1">
      <c r="A164" s="181"/>
      <c r="B164" s="181"/>
      <c r="C164" s="181"/>
      <c r="D164" s="181"/>
      <c r="E164" s="181"/>
      <c r="F164" s="181"/>
      <c r="G164" s="181"/>
      <c r="H164" s="181"/>
      <c r="I164" s="181"/>
      <c r="J164" s="181"/>
      <c r="K164" s="181"/>
      <c r="L164" s="181"/>
      <c r="M164" s="181"/>
      <c r="N164" s="181"/>
      <c r="O164" s="181"/>
      <c r="P164" s="181"/>
      <c r="Q164" s="181"/>
      <c r="R164" s="181"/>
      <c r="S164" s="181"/>
      <c r="T164" s="181"/>
      <c r="U164" s="181"/>
      <c r="V164" s="181"/>
      <c r="W164" s="181"/>
      <c r="X164" s="181"/>
      <c r="Y164" s="181"/>
      <c r="Z164" s="181"/>
    </row>
    <row r="165" ht="14.25" customHeight="1">
      <c r="A165" s="181"/>
      <c r="B165" s="181"/>
      <c r="C165" s="181"/>
      <c r="D165" s="181"/>
      <c r="E165" s="181"/>
      <c r="F165" s="181"/>
      <c r="G165" s="181"/>
      <c r="H165" s="181"/>
      <c r="I165" s="181"/>
      <c r="J165" s="181"/>
      <c r="K165" s="181"/>
      <c r="L165" s="181"/>
      <c r="M165" s="181"/>
      <c r="N165" s="181"/>
      <c r="O165" s="181"/>
      <c r="P165" s="181"/>
      <c r="Q165" s="181"/>
      <c r="R165" s="181"/>
      <c r="S165" s="181"/>
      <c r="T165" s="181"/>
      <c r="U165" s="181"/>
      <c r="V165" s="181"/>
      <c r="W165" s="181"/>
      <c r="X165" s="181"/>
      <c r="Y165" s="181"/>
      <c r="Z165" s="181"/>
    </row>
    <row r="166" ht="14.25" customHeight="1">
      <c r="A166" s="181"/>
      <c r="B166" s="181"/>
      <c r="C166" s="181"/>
      <c r="D166" s="181"/>
      <c r="E166" s="181"/>
      <c r="F166" s="181"/>
      <c r="G166" s="181"/>
      <c r="H166" s="181"/>
      <c r="I166" s="181"/>
      <c r="J166" s="181"/>
      <c r="K166" s="181"/>
      <c r="L166" s="181"/>
      <c r="M166" s="181"/>
      <c r="N166" s="181"/>
      <c r="O166" s="181"/>
      <c r="P166" s="181"/>
      <c r="Q166" s="181"/>
      <c r="R166" s="181"/>
      <c r="S166" s="181"/>
      <c r="T166" s="181"/>
      <c r="U166" s="181"/>
      <c r="V166" s="181"/>
      <c r="W166" s="181"/>
      <c r="X166" s="181"/>
      <c r="Y166" s="181"/>
      <c r="Z166" s="181"/>
    </row>
    <row r="167" ht="14.25" customHeight="1">
      <c r="A167" s="181"/>
      <c r="B167" s="181"/>
      <c r="C167" s="181"/>
      <c r="D167" s="181"/>
      <c r="E167" s="181"/>
      <c r="F167" s="181"/>
      <c r="G167" s="181"/>
      <c r="H167" s="181"/>
      <c r="I167" s="181"/>
      <c r="J167" s="181"/>
      <c r="K167" s="181"/>
      <c r="L167" s="181"/>
      <c r="M167" s="181"/>
      <c r="N167" s="181"/>
      <c r="O167" s="181"/>
      <c r="P167" s="181"/>
      <c r="Q167" s="181"/>
      <c r="R167" s="181"/>
      <c r="S167" s="181"/>
      <c r="T167" s="181"/>
      <c r="U167" s="181"/>
      <c r="V167" s="181"/>
      <c r="W167" s="181"/>
      <c r="X167" s="181"/>
      <c r="Y167" s="181"/>
      <c r="Z167" s="181"/>
    </row>
    <row r="168" ht="14.25" customHeight="1">
      <c r="A168" s="181"/>
      <c r="B168" s="181"/>
      <c r="C168" s="181"/>
      <c r="D168" s="181"/>
      <c r="E168" s="181"/>
      <c r="F168" s="181"/>
      <c r="G168" s="181"/>
      <c r="H168" s="181"/>
      <c r="I168" s="181"/>
      <c r="J168" s="181"/>
      <c r="K168" s="181"/>
      <c r="L168" s="181"/>
      <c r="M168" s="181"/>
      <c r="N168" s="181"/>
      <c r="O168" s="181"/>
      <c r="P168" s="181"/>
      <c r="Q168" s="181"/>
      <c r="R168" s="181"/>
      <c r="S168" s="181"/>
      <c r="T168" s="181"/>
      <c r="U168" s="181"/>
      <c r="V168" s="181"/>
      <c r="W168" s="181"/>
      <c r="X168" s="181"/>
      <c r="Y168" s="181"/>
      <c r="Z168" s="181"/>
    </row>
    <row r="169" ht="14.25" customHeight="1">
      <c r="A169" s="181"/>
      <c r="B169" s="181"/>
      <c r="C169" s="181"/>
      <c r="D169" s="181"/>
      <c r="E169" s="181"/>
      <c r="F169" s="181"/>
      <c r="G169" s="181"/>
      <c r="H169" s="181"/>
      <c r="I169" s="181"/>
      <c r="J169" s="181"/>
      <c r="K169" s="181"/>
      <c r="L169" s="181"/>
      <c r="M169" s="181"/>
      <c r="N169" s="181"/>
      <c r="O169" s="181"/>
      <c r="P169" s="181"/>
      <c r="Q169" s="181"/>
      <c r="R169" s="181"/>
      <c r="S169" s="181"/>
      <c r="T169" s="181"/>
      <c r="U169" s="181"/>
      <c r="V169" s="181"/>
      <c r="W169" s="181"/>
      <c r="X169" s="181"/>
      <c r="Y169" s="181"/>
      <c r="Z169" s="181"/>
    </row>
    <row r="170" ht="14.25" customHeight="1">
      <c r="A170" s="181"/>
      <c r="B170" s="181"/>
      <c r="C170" s="181"/>
      <c r="D170" s="181"/>
      <c r="E170" s="181"/>
      <c r="F170" s="181"/>
      <c r="G170" s="181"/>
      <c r="H170" s="181"/>
      <c r="I170" s="181"/>
      <c r="J170" s="181"/>
      <c r="K170" s="181"/>
      <c r="L170" s="181"/>
      <c r="M170" s="181"/>
      <c r="N170" s="181"/>
      <c r="O170" s="181"/>
      <c r="P170" s="181"/>
      <c r="Q170" s="181"/>
      <c r="R170" s="181"/>
      <c r="S170" s="181"/>
      <c r="T170" s="181"/>
      <c r="U170" s="181"/>
      <c r="V170" s="181"/>
      <c r="W170" s="181"/>
      <c r="X170" s="181"/>
      <c r="Y170" s="181"/>
      <c r="Z170" s="181"/>
    </row>
    <row r="171" ht="14.25" customHeight="1">
      <c r="A171" s="181"/>
      <c r="B171" s="181"/>
      <c r="C171" s="181"/>
      <c r="D171" s="181"/>
      <c r="E171" s="181"/>
      <c r="F171" s="181"/>
      <c r="G171" s="181"/>
      <c r="H171" s="181"/>
      <c r="I171" s="181"/>
      <c r="J171" s="181"/>
      <c r="K171" s="181"/>
      <c r="L171" s="181"/>
      <c r="M171" s="181"/>
      <c r="N171" s="181"/>
      <c r="O171" s="181"/>
      <c r="P171" s="181"/>
      <c r="Q171" s="181"/>
      <c r="R171" s="181"/>
      <c r="S171" s="181"/>
      <c r="T171" s="181"/>
      <c r="U171" s="181"/>
      <c r="V171" s="181"/>
      <c r="W171" s="181"/>
      <c r="X171" s="181"/>
      <c r="Y171" s="181"/>
      <c r="Z171" s="181"/>
    </row>
    <row r="172" ht="14.25" customHeight="1">
      <c r="A172" s="181"/>
      <c r="B172" s="181"/>
      <c r="C172" s="181"/>
      <c r="D172" s="181"/>
      <c r="E172" s="181"/>
      <c r="F172" s="181"/>
      <c r="G172" s="181"/>
      <c r="H172" s="181"/>
      <c r="I172" s="181"/>
      <c r="J172" s="181"/>
      <c r="K172" s="181"/>
      <c r="L172" s="181"/>
      <c r="M172" s="181"/>
      <c r="N172" s="181"/>
      <c r="O172" s="181"/>
      <c r="P172" s="181"/>
      <c r="Q172" s="181"/>
      <c r="R172" s="181"/>
      <c r="S172" s="181"/>
      <c r="T172" s="181"/>
      <c r="U172" s="181"/>
      <c r="V172" s="181"/>
      <c r="W172" s="181"/>
      <c r="X172" s="181"/>
      <c r="Y172" s="181"/>
      <c r="Z172" s="181"/>
    </row>
    <row r="173" ht="14.25" customHeight="1">
      <c r="A173" s="181"/>
      <c r="B173" s="181"/>
      <c r="C173" s="181"/>
      <c r="D173" s="181"/>
      <c r="E173" s="181"/>
      <c r="F173" s="181"/>
      <c r="G173" s="181"/>
      <c r="H173" s="181"/>
      <c r="I173" s="181"/>
      <c r="J173" s="181"/>
      <c r="K173" s="181"/>
      <c r="L173" s="181"/>
      <c r="M173" s="181"/>
      <c r="N173" s="181"/>
      <c r="O173" s="181"/>
      <c r="P173" s="181"/>
      <c r="Q173" s="181"/>
      <c r="R173" s="181"/>
      <c r="S173" s="181"/>
      <c r="T173" s="181"/>
      <c r="U173" s="181"/>
      <c r="V173" s="181"/>
      <c r="W173" s="181"/>
      <c r="X173" s="181"/>
      <c r="Y173" s="181"/>
      <c r="Z173" s="181"/>
    </row>
    <row r="174" ht="14.25" customHeight="1">
      <c r="A174" s="181"/>
      <c r="B174" s="181"/>
      <c r="C174" s="181"/>
      <c r="D174" s="181"/>
      <c r="E174" s="181"/>
      <c r="F174" s="181"/>
      <c r="G174" s="181"/>
      <c r="H174" s="181"/>
      <c r="I174" s="181"/>
      <c r="J174" s="181"/>
      <c r="K174" s="181"/>
      <c r="L174" s="181"/>
      <c r="M174" s="181"/>
      <c r="N174" s="181"/>
      <c r="O174" s="181"/>
      <c r="P174" s="181"/>
      <c r="Q174" s="181"/>
      <c r="R174" s="181"/>
      <c r="S174" s="181"/>
      <c r="T174" s="181"/>
      <c r="U174" s="181"/>
      <c r="V174" s="181"/>
      <c r="W174" s="181"/>
      <c r="X174" s="181"/>
      <c r="Y174" s="181"/>
      <c r="Z174" s="181"/>
    </row>
    <row r="175" ht="14.25" customHeight="1">
      <c r="A175" s="181"/>
      <c r="B175" s="181"/>
      <c r="C175" s="181"/>
      <c r="D175" s="181"/>
      <c r="E175" s="181"/>
      <c r="F175" s="181"/>
      <c r="G175" s="181"/>
      <c r="H175" s="181"/>
      <c r="I175" s="181"/>
      <c r="J175" s="181"/>
      <c r="K175" s="181"/>
      <c r="L175" s="181"/>
      <c r="M175" s="181"/>
      <c r="N175" s="181"/>
      <c r="O175" s="181"/>
      <c r="P175" s="181"/>
      <c r="Q175" s="181"/>
      <c r="R175" s="181"/>
      <c r="S175" s="181"/>
      <c r="T175" s="181"/>
      <c r="U175" s="181"/>
      <c r="V175" s="181"/>
      <c r="W175" s="181"/>
      <c r="X175" s="181"/>
      <c r="Y175" s="181"/>
      <c r="Z175" s="181"/>
    </row>
    <row r="176" ht="14.25" customHeight="1">
      <c r="A176" s="181"/>
      <c r="B176" s="181"/>
      <c r="C176" s="181"/>
      <c r="D176" s="181"/>
      <c r="E176" s="181"/>
      <c r="F176" s="181"/>
      <c r="G176" s="181"/>
      <c r="H176" s="181"/>
      <c r="I176" s="181"/>
      <c r="J176" s="181"/>
      <c r="K176" s="181"/>
      <c r="L176" s="181"/>
      <c r="M176" s="181"/>
      <c r="N176" s="181"/>
      <c r="O176" s="181"/>
      <c r="P176" s="181"/>
      <c r="Q176" s="181"/>
      <c r="R176" s="181"/>
      <c r="S176" s="181"/>
      <c r="T176" s="181"/>
      <c r="U176" s="181"/>
      <c r="V176" s="181"/>
      <c r="W176" s="181"/>
      <c r="X176" s="181"/>
      <c r="Y176" s="181"/>
      <c r="Z176" s="181"/>
    </row>
    <row r="177" ht="14.25" customHeight="1">
      <c r="A177" s="181"/>
      <c r="B177" s="181"/>
      <c r="C177" s="181"/>
      <c r="D177" s="181"/>
      <c r="E177" s="181"/>
      <c r="F177" s="181"/>
      <c r="G177" s="181"/>
      <c r="H177" s="181"/>
      <c r="I177" s="181"/>
      <c r="J177" s="181"/>
      <c r="K177" s="181"/>
      <c r="L177" s="181"/>
      <c r="M177" s="181"/>
      <c r="N177" s="181"/>
      <c r="O177" s="181"/>
      <c r="P177" s="181"/>
      <c r="Q177" s="181"/>
      <c r="R177" s="181"/>
      <c r="S177" s="181"/>
      <c r="T177" s="181"/>
      <c r="U177" s="181"/>
      <c r="V177" s="181"/>
      <c r="W177" s="181"/>
      <c r="X177" s="181"/>
      <c r="Y177" s="181"/>
      <c r="Z177" s="181"/>
    </row>
    <row r="178" ht="14.25" customHeight="1">
      <c r="A178" s="181"/>
      <c r="B178" s="181"/>
      <c r="C178" s="181"/>
      <c r="D178" s="181"/>
      <c r="E178" s="181"/>
      <c r="F178" s="181"/>
      <c r="G178" s="181"/>
      <c r="H178" s="181"/>
      <c r="I178" s="181"/>
      <c r="J178" s="181"/>
      <c r="K178" s="181"/>
      <c r="L178" s="181"/>
      <c r="M178" s="181"/>
      <c r="N178" s="181"/>
      <c r="O178" s="181"/>
      <c r="P178" s="181"/>
      <c r="Q178" s="181"/>
      <c r="R178" s="181"/>
      <c r="S178" s="181"/>
      <c r="T178" s="181"/>
      <c r="U178" s="181"/>
      <c r="V178" s="181"/>
      <c r="W178" s="181"/>
      <c r="X178" s="181"/>
      <c r="Y178" s="181"/>
      <c r="Z178" s="181"/>
    </row>
    <row r="179" ht="14.25" customHeight="1">
      <c r="A179" s="181"/>
      <c r="B179" s="181"/>
      <c r="C179" s="181"/>
      <c r="D179" s="181"/>
      <c r="E179" s="181"/>
      <c r="F179" s="181"/>
      <c r="G179" s="181"/>
      <c r="H179" s="181"/>
      <c r="I179" s="181"/>
      <c r="J179" s="181"/>
      <c r="K179" s="181"/>
      <c r="L179" s="181"/>
      <c r="M179" s="181"/>
      <c r="N179" s="181"/>
      <c r="O179" s="181"/>
      <c r="P179" s="181"/>
      <c r="Q179" s="181"/>
      <c r="R179" s="181"/>
      <c r="S179" s="181"/>
      <c r="T179" s="181"/>
      <c r="U179" s="181"/>
      <c r="V179" s="181"/>
      <c r="W179" s="181"/>
      <c r="X179" s="181"/>
      <c r="Y179" s="181"/>
      <c r="Z179" s="181"/>
    </row>
    <row r="180" ht="14.25" customHeight="1">
      <c r="A180" s="181"/>
      <c r="B180" s="181"/>
      <c r="C180" s="181"/>
      <c r="D180" s="181"/>
      <c r="E180" s="181"/>
      <c r="F180" s="181"/>
      <c r="G180" s="181"/>
      <c r="H180" s="181"/>
      <c r="I180" s="181"/>
      <c r="J180" s="181"/>
      <c r="K180" s="181"/>
      <c r="L180" s="181"/>
      <c r="M180" s="181"/>
      <c r="N180" s="181"/>
      <c r="O180" s="181"/>
      <c r="P180" s="181"/>
      <c r="Q180" s="181"/>
      <c r="R180" s="181"/>
      <c r="S180" s="181"/>
      <c r="T180" s="181"/>
      <c r="U180" s="181"/>
      <c r="V180" s="181"/>
      <c r="W180" s="181"/>
      <c r="X180" s="181"/>
      <c r="Y180" s="181"/>
      <c r="Z180" s="181"/>
    </row>
    <row r="181" ht="14.25" customHeight="1">
      <c r="A181" s="181"/>
      <c r="B181" s="181"/>
      <c r="C181" s="181"/>
      <c r="D181" s="181"/>
      <c r="E181" s="181"/>
      <c r="F181" s="181"/>
      <c r="G181" s="181"/>
      <c r="H181" s="181"/>
      <c r="I181" s="181"/>
      <c r="J181" s="181"/>
      <c r="K181" s="181"/>
      <c r="L181" s="181"/>
      <c r="M181" s="181"/>
      <c r="N181" s="181"/>
      <c r="O181" s="181"/>
      <c r="P181" s="181"/>
      <c r="Q181" s="181"/>
      <c r="R181" s="181"/>
      <c r="S181" s="181"/>
      <c r="T181" s="181"/>
      <c r="U181" s="181"/>
      <c r="V181" s="181"/>
      <c r="W181" s="181"/>
      <c r="X181" s="181"/>
      <c r="Y181" s="181"/>
      <c r="Z181" s="181"/>
    </row>
    <row r="182" ht="14.25" customHeight="1">
      <c r="A182" s="181"/>
      <c r="B182" s="181"/>
      <c r="C182" s="181"/>
      <c r="D182" s="181"/>
      <c r="E182" s="181"/>
      <c r="F182" s="181"/>
      <c r="G182" s="181"/>
      <c r="H182" s="181"/>
      <c r="I182" s="181"/>
      <c r="J182" s="181"/>
      <c r="K182" s="181"/>
      <c r="L182" s="181"/>
      <c r="M182" s="181"/>
      <c r="N182" s="181"/>
      <c r="O182" s="181"/>
      <c r="P182" s="181"/>
      <c r="Q182" s="181"/>
      <c r="R182" s="181"/>
      <c r="S182" s="181"/>
      <c r="T182" s="181"/>
      <c r="U182" s="181"/>
      <c r="V182" s="181"/>
      <c r="W182" s="181"/>
      <c r="X182" s="181"/>
      <c r="Y182" s="181"/>
      <c r="Z182" s="181"/>
    </row>
    <row r="183" ht="14.25" customHeight="1">
      <c r="A183" s="181"/>
      <c r="B183" s="181"/>
      <c r="C183" s="181"/>
      <c r="D183" s="181"/>
      <c r="E183" s="181"/>
      <c r="F183" s="181"/>
      <c r="G183" s="181"/>
      <c r="H183" s="181"/>
      <c r="I183" s="181"/>
      <c r="J183" s="181"/>
      <c r="K183" s="181"/>
      <c r="L183" s="181"/>
      <c r="M183" s="181"/>
      <c r="N183" s="181"/>
      <c r="O183" s="181"/>
      <c r="P183" s="181"/>
      <c r="Q183" s="181"/>
      <c r="R183" s="181"/>
      <c r="S183" s="181"/>
      <c r="T183" s="181"/>
      <c r="U183" s="181"/>
      <c r="V183" s="181"/>
      <c r="W183" s="181"/>
      <c r="X183" s="181"/>
      <c r="Y183" s="181"/>
      <c r="Z183" s="181"/>
    </row>
    <row r="184" ht="14.25" customHeight="1">
      <c r="A184" s="181"/>
      <c r="B184" s="181"/>
      <c r="C184" s="181"/>
      <c r="D184" s="181"/>
      <c r="E184" s="181"/>
      <c r="F184" s="181"/>
      <c r="G184" s="181"/>
      <c r="H184" s="181"/>
      <c r="I184" s="181"/>
      <c r="J184" s="181"/>
      <c r="K184" s="181"/>
      <c r="L184" s="181"/>
      <c r="M184" s="181"/>
      <c r="N184" s="181"/>
      <c r="O184" s="181"/>
      <c r="P184" s="181"/>
      <c r="Q184" s="181"/>
      <c r="R184" s="181"/>
      <c r="S184" s="181"/>
      <c r="T184" s="181"/>
      <c r="U184" s="181"/>
      <c r="V184" s="181"/>
      <c r="W184" s="181"/>
      <c r="X184" s="181"/>
      <c r="Y184" s="181"/>
      <c r="Z184" s="181"/>
    </row>
    <row r="185" ht="14.25" customHeight="1">
      <c r="A185" s="181"/>
      <c r="B185" s="181"/>
      <c r="C185" s="181"/>
      <c r="D185" s="181"/>
      <c r="E185" s="181"/>
      <c r="F185" s="181"/>
      <c r="G185" s="181"/>
      <c r="H185" s="181"/>
      <c r="I185" s="181"/>
      <c r="J185" s="181"/>
      <c r="K185" s="181"/>
      <c r="L185" s="181"/>
      <c r="M185" s="181"/>
      <c r="N185" s="181"/>
      <c r="O185" s="181"/>
      <c r="P185" s="181"/>
      <c r="Q185" s="181"/>
      <c r="R185" s="181"/>
      <c r="S185" s="181"/>
      <c r="T185" s="181"/>
      <c r="U185" s="181"/>
      <c r="V185" s="181"/>
      <c r="W185" s="181"/>
      <c r="X185" s="181"/>
      <c r="Y185" s="181"/>
      <c r="Z185" s="181"/>
    </row>
    <row r="186" ht="14.25" customHeight="1">
      <c r="A186" s="181"/>
      <c r="B186" s="181"/>
      <c r="C186" s="181"/>
      <c r="D186" s="181"/>
      <c r="E186" s="181"/>
      <c r="F186" s="181"/>
      <c r="G186" s="181"/>
      <c r="H186" s="181"/>
      <c r="I186" s="181"/>
      <c r="J186" s="181"/>
      <c r="K186" s="181"/>
      <c r="L186" s="181"/>
      <c r="M186" s="181"/>
      <c r="N186" s="181"/>
      <c r="O186" s="181"/>
      <c r="P186" s="181"/>
      <c r="Q186" s="181"/>
      <c r="R186" s="181"/>
      <c r="S186" s="181"/>
      <c r="T186" s="181"/>
      <c r="U186" s="181"/>
      <c r="V186" s="181"/>
      <c r="W186" s="181"/>
      <c r="X186" s="181"/>
      <c r="Y186" s="181"/>
      <c r="Z186" s="181"/>
    </row>
    <row r="187" ht="14.25" customHeight="1">
      <c r="A187" s="181"/>
      <c r="B187" s="181"/>
      <c r="C187" s="181"/>
      <c r="D187" s="181"/>
      <c r="E187" s="181"/>
      <c r="F187" s="181"/>
      <c r="G187" s="181"/>
      <c r="H187" s="181"/>
      <c r="I187" s="181"/>
      <c r="J187" s="181"/>
      <c r="K187" s="181"/>
      <c r="L187" s="181"/>
      <c r="M187" s="181"/>
      <c r="N187" s="181"/>
      <c r="O187" s="181"/>
      <c r="P187" s="181"/>
      <c r="Q187" s="181"/>
      <c r="R187" s="181"/>
      <c r="S187" s="181"/>
      <c r="T187" s="181"/>
      <c r="U187" s="181"/>
      <c r="V187" s="181"/>
      <c r="W187" s="181"/>
      <c r="X187" s="181"/>
      <c r="Y187" s="181"/>
      <c r="Z187" s="181"/>
    </row>
    <row r="188" ht="14.25" customHeight="1">
      <c r="A188" s="181"/>
      <c r="B188" s="181"/>
      <c r="C188" s="181"/>
      <c r="D188" s="181"/>
      <c r="E188" s="181"/>
      <c r="F188" s="181"/>
      <c r="G188" s="181"/>
      <c r="H188" s="181"/>
      <c r="I188" s="181"/>
      <c r="J188" s="181"/>
      <c r="K188" s="181"/>
      <c r="L188" s="181"/>
      <c r="M188" s="181"/>
      <c r="N188" s="181"/>
      <c r="O188" s="181"/>
      <c r="P188" s="181"/>
      <c r="Q188" s="181"/>
      <c r="R188" s="181"/>
      <c r="S188" s="181"/>
      <c r="T188" s="181"/>
      <c r="U188" s="181"/>
      <c r="V188" s="181"/>
      <c r="W188" s="181"/>
      <c r="X188" s="181"/>
      <c r="Y188" s="181"/>
      <c r="Z188" s="181"/>
    </row>
    <row r="189" ht="14.25" customHeight="1">
      <c r="A189" s="181"/>
      <c r="B189" s="181"/>
      <c r="C189" s="181"/>
      <c r="D189" s="181"/>
      <c r="E189" s="181"/>
      <c r="F189" s="181"/>
      <c r="G189" s="181"/>
      <c r="H189" s="181"/>
      <c r="I189" s="181"/>
      <c r="J189" s="181"/>
      <c r="K189" s="181"/>
      <c r="L189" s="181"/>
      <c r="M189" s="181"/>
      <c r="N189" s="181"/>
      <c r="O189" s="181"/>
      <c r="P189" s="181"/>
      <c r="Q189" s="181"/>
      <c r="R189" s="181"/>
      <c r="S189" s="181"/>
      <c r="T189" s="181"/>
      <c r="U189" s="181"/>
      <c r="V189" s="181"/>
      <c r="W189" s="181"/>
      <c r="X189" s="181"/>
      <c r="Y189" s="181"/>
      <c r="Z189" s="181"/>
    </row>
    <row r="190" ht="14.25" customHeight="1">
      <c r="A190" s="181"/>
      <c r="B190" s="181"/>
      <c r="C190" s="181"/>
      <c r="D190" s="181"/>
      <c r="E190" s="181"/>
      <c r="F190" s="181"/>
      <c r="G190" s="181"/>
      <c r="H190" s="181"/>
      <c r="I190" s="181"/>
      <c r="J190" s="181"/>
      <c r="K190" s="181"/>
      <c r="L190" s="181"/>
      <c r="M190" s="181"/>
      <c r="N190" s="181"/>
      <c r="O190" s="181"/>
      <c r="P190" s="181"/>
      <c r="Q190" s="181"/>
      <c r="R190" s="181"/>
      <c r="S190" s="181"/>
      <c r="T190" s="181"/>
      <c r="U190" s="181"/>
      <c r="V190" s="181"/>
      <c r="W190" s="181"/>
      <c r="X190" s="181"/>
      <c r="Y190" s="181"/>
      <c r="Z190" s="181"/>
    </row>
    <row r="191" ht="14.25" customHeight="1">
      <c r="A191" s="181"/>
      <c r="B191" s="181"/>
      <c r="C191" s="181"/>
      <c r="D191" s="181"/>
      <c r="E191" s="181"/>
      <c r="F191" s="181"/>
      <c r="G191" s="181"/>
      <c r="H191" s="181"/>
      <c r="I191" s="181"/>
      <c r="J191" s="181"/>
      <c r="K191" s="181"/>
      <c r="L191" s="181"/>
      <c r="M191" s="181"/>
      <c r="N191" s="181"/>
      <c r="O191" s="181"/>
      <c r="P191" s="181"/>
      <c r="Q191" s="181"/>
      <c r="R191" s="181"/>
      <c r="S191" s="181"/>
      <c r="T191" s="181"/>
      <c r="U191" s="181"/>
      <c r="V191" s="181"/>
      <c r="W191" s="181"/>
      <c r="X191" s="181"/>
      <c r="Y191" s="181"/>
      <c r="Z191" s="181"/>
    </row>
    <row r="192" ht="14.25" customHeight="1">
      <c r="A192" s="181"/>
      <c r="B192" s="181"/>
      <c r="C192" s="181"/>
      <c r="D192" s="181"/>
      <c r="E192" s="181"/>
      <c r="F192" s="181"/>
      <c r="G192" s="181"/>
      <c r="H192" s="181"/>
      <c r="I192" s="181"/>
      <c r="J192" s="181"/>
      <c r="K192" s="181"/>
      <c r="L192" s="181"/>
      <c r="M192" s="181"/>
      <c r="N192" s="181"/>
      <c r="O192" s="181"/>
      <c r="P192" s="181"/>
      <c r="Q192" s="181"/>
      <c r="R192" s="181"/>
      <c r="S192" s="181"/>
      <c r="T192" s="181"/>
      <c r="U192" s="181"/>
      <c r="V192" s="181"/>
      <c r="W192" s="181"/>
      <c r="X192" s="181"/>
      <c r="Y192" s="181"/>
      <c r="Z192" s="181"/>
    </row>
    <row r="193" ht="14.25" customHeight="1">
      <c r="A193" s="181"/>
      <c r="B193" s="181"/>
      <c r="C193" s="181"/>
      <c r="D193" s="181"/>
      <c r="E193" s="181"/>
      <c r="F193" s="181"/>
      <c r="G193" s="181"/>
      <c r="H193" s="181"/>
      <c r="I193" s="181"/>
      <c r="J193" s="181"/>
      <c r="K193" s="181"/>
      <c r="L193" s="181"/>
      <c r="M193" s="181"/>
      <c r="N193" s="181"/>
      <c r="O193" s="181"/>
      <c r="P193" s="181"/>
      <c r="Q193" s="181"/>
      <c r="R193" s="181"/>
      <c r="S193" s="181"/>
      <c r="T193" s="181"/>
      <c r="U193" s="181"/>
      <c r="V193" s="181"/>
      <c r="W193" s="181"/>
      <c r="X193" s="181"/>
      <c r="Y193" s="181"/>
      <c r="Z193" s="181"/>
    </row>
    <row r="194" ht="14.25" customHeight="1">
      <c r="A194" s="181"/>
      <c r="B194" s="181"/>
      <c r="C194" s="181"/>
      <c r="D194" s="181"/>
      <c r="E194" s="181"/>
      <c r="F194" s="181"/>
      <c r="G194" s="181"/>
      <c r="H194" s="181"/>
      <c r="I194" s="181"/>
      <c r="J194" s="181"/>
      <c r="K194" s="181"/>
      <c r="L194" s="181"/>
      <c r="M194" s="181"/>
      <c r="N194" s="181"/>
      <c r="O194" s="181"/>
      <c r="P194" s="181"/>
      <c r="Q194" s="181"/>
      <c r="R194" s="181"/>
      <c r="S194" s="181"/>
      <c r="T194" s="181"/>
      <c r="U194" s="181"/>
      <c r="V194" s="181"/>
      <c r="W194" s="181"/>
      <c r="X194" s="181"/>
      <c r="Y194" s="181"/>
      <c r="Z194" s="181"/>
    </row>
    <row r="195" ht="14.25" customHeight="1">
      <c r="A195" s="181"/>
      <c r="B195" s="181"/>
      <c r="C195" s="181"/>
      <c r="D195" s="181"/>
      <c r="E195" s="181"/>
      <c r="F195" s="181"/>
      <c r="G195" s="181"/>
      <c r="H195" s="181"/>
      <c r="I195" s="181"/>
      <c r="J195" s="181"/>
      <c r="K195" s="181"/>
      <c r="L195" s="181"/>
      <c r="M195" s="181"/>
      <c r="N195" s="181"/>
      <c r="O195" s="181"/>
      <c r="P195" s="181"/>
      <c r="Q195" s="181"/>
      <c r="R195" s="181"/>
      <c r="S195" s="181"/>
      <c r="T195" s="181"/>
      <c r="U195" s="181"/>
      <c r="V195" s="181"/>
      <c r="W195" s="181"/>
      <c r="X195" s="181"/>
      <c r="Y195" s="181"/>
      <c r="Z195" s="181"/>
    </row>
    <row r="196" ht="14.25" customHeight="1">
      <c r="A196" s="181"/>
      <c r="B196" s="181"/>
      <c r="C196" s="181"/>
      <c r="D196" s="181"/>
      <c r="E196" s="181"/>
      <c r="F196" s="181"/>
      <c r="G196" s="181"/>
      <c r="H196" s="181"/>
      <c r="I196" s="181"/>
      <c r="J196" s="181"/>
      <c r="K196" s="181"/>
      <c r="L196" s="181"/>
      <c r="M196" s="181"/>
      <c r="N196" s="181"/>
      <c r="O196" s="181"/>
      <c r="P196" s="181"/>
      <c r="Q196" s="181"/>
      <c r="R196" s="181"/>
      <c r="S196" s="181"/>
      <c r="T196" s="181"/>
      <c r="U196" s="181"/>
      <c r="V196" s="181"/>
      <c r="W196" s="181"/>
      <c r="X196" s="181"/>
      <c r="Y196" s="181"/>
      <c r="Z196" s="181"/>
    </row>
    <row r="197" ht="14.25" customHeight="1">
      <c r="A197" s="181"/>
      <c r="B197" s="181"/>
      <c r="C197" s="181"/>
      <c r="D197" s="181"/>
      <c r="E197" s="181"/>
      <c r="F197" s="181"/>
      <c r="G197" s="181"/>
      <c r="H197" s="181"/>
      <c r="I197" s="181"/>
      <c r="J197" s="181"/>
      <c r="K197" s="181"/>
      <c r="L197" s="181"/>
      <c r="M197" s="181"/>
      <c r="N197" s="181"/>
      <c r="O197" s="181"/>
      <c r="P197" s="181"/>
      <c r="Q197" s="181"/>
      <c r="R197" s="181"/>
      <c r="S197" s="181"/>
      <c r="T197" s="181"/>
      <c r="U197" s="181"/>
      <c r="V197" s="181"/>
      <c r="W197" s="181"/>
      <c r="X197" s="181"/>
      <c r="Y197" s="181"/>
      <c r="Z197" s="181"/>
    </row>
    <row r="198" ht="14.25" customHeight="1">
      <c r="A198" s="181"/>
      <c r="B198" s="181"/>
      <c r="C198" s="181"/>
      <c r="D198" s="181"/>
      <c r="E198" s="181"/>
      <c r="F198" s="181"/>
      <c r="G198" s="181"/>
      <c r="H198" s="181"/>
      <c r="I198" s="181"/>
      <c r="J198" s="181"/>
      <c r="K198" s="181"/>
      <c r="L198" s="181"/>
      <c r="M198" s="181"/>
      <c r="N198" s="181"/>
      <c r="O198" s="181"/>
      <c r="P198" s="181"/>
      <c r="Q198" s="181"/>
      <c r="R198" s="181"/>
      <c r="S198" s="181"/>
      <c r="T198" s="181"/>
      <c r="U198" s="181"/>
      <c r="V198" s="181"/>
      <c r="W198" s="181"/>
      <c r="X198" s="181"/>
      <c r="Y198" s="181"/>
      <c r="Z198" s="181"/>
    </row>
    <row r="199" ht="14.25" customHeight="1">
      <c r="A199" s="181"/>
      <c r="B199" s="181"/>
      <c r="C199" s="181"/>
      <c r="D199" s="181"/>
      <c r="E199" s="181"/>
      <c r="F199" s="181"/>
      <c r="G199" s="181"/>
      <c r="H199" s="181"/>
      <c r="I199" s="181"/>
      <c r="J199" s="181"/>
      <c r="K199" s="181"/>
      <c r="L199" s="181"/>
      <c r="M199" s="181"/>
      <c r="N199" s="181"/>
      <c r="O199" s="181"/>
      <c r="P199" s="181"/>
      <c r="Q199" s="181"/>
      <c r="R199" s="181"/>
      <c r="S199" s="181"/>
      <c r="T199" s="181"/>
      <c r="U199" s="181"/>
      <c r="V199" s="181"/>
      <c r="W199" s="181"/>
      <c r="X199" s="181"/>
      <c r="Y199" s="181"/>
      <c r="Z199" s="181"/>
    </row>
    <row r="200" ht="14.25" customHeight="1">
      <c r="A200" s="181"/>
      <c r="B200" s="181"/>
      <c r="C200" s="181"/>
      <c r="D200" s="181"/>
      <c r="E200" s="181"/>
      <c r="F200" s="181"/>
      <c r="G200" s="181"/>
      <c r="H200" s="181"/>
      <c r="I200" s="181"/>
      <c r="J200" s="181"/>
      <c r="K200" s="181"/>
      <c r="L200" s="181"/>
      <c r="M200" s="181"/>
      <c r="N200" s="181"/>
      <c r="O200" s="181"/>
      <c r="P200" s="181"/>
      <c r="Q200" s="181"/>
      <c r="R200" s="181"/>
      <c r="S200" s="181"/>
      <c r="T200" s="181"/>
      <c r="U200" s="181"/>
      <c r="V200" s="181"/>
      <c r="W200" s="181"/>
      <c r="X200" s="181"/>
      <c r="Y200" s="181"/>
      <c r="Z200" s="181"/>
    </row>
    <row r="201" ht="14.25" customHeight="1">
      <c r="A201" s="181"/>
      <c r="B201" s="181"/>
      <c r="C201" s="181"/>
      <c r="D201" s="181"/>
      <c r="E201" s="181"/>
      <c r="F201" s="181"/>
      <c r="G201" s="181"/>
      <c r="H201" s="181"/>
      <c r="I201" s="181"/>
      <c r="J201" s="181"/>
      <c r="K201" s="181"/>
      <c r="L201" s="181"/>
      <c r="M201" s="181"/>
      <c r="N201" s="181"/>
      <c r="O201" s="181"/>
      <c r="P201" s="181"/>
      <c r="Q201" s="181"/>
      <c r="R201" s="181"/>
      <c r="S201" s="181"/>
      <c r="T201" s="181"/>
      <c r="U201" s="181"/>
      <c r="V201" s="181"/>
      <c r="W201" s="181"/>
      <c r="X201" s="181"/>
      <c r="Y201" s="181"/>
      <c r="Z201" s="181"/>
    </row>
    <row r="202" ht="14.25" customHeight="1">
      <c r="A202" s="181"/>
      <c r="B202" s="181"/>
      <c r="C202" s="181"/>
      <c r="D202" s="181"/>
      <c r="E202" s="181"/>
      <c r="F202" s="181"/>
      <c r="G202" s="181"/>
      <c r="H202" s="181"/>
      <c r="I202" s="181"/>
      <c r="J202" s="181"/>
      <c r="K202" s="181"/>
      <c r="L202" s="181"/>
      <c r="M202" s="181"/>
      <c r="N202" s="181"/>
      <c r="O202" s="181"/>
      <c r="P202" s="181"/>
      <c r="Q202" s="181"/>
      <c r="R202" s="181"/>
      <c r="S202" s="181"/>
      <c r="T202" s="181"/>
      <c r="U202" s="181"/>
      <c r="V202" s="181"/>
      <c r="W202" s="181"/>
      <c r="X202" s="181"/>
      <c r="Y202" s="181"/>
      <c r="Z202" s="181"/>
    </row>
    <row r="203" ht="14.25" customHeight="1">
      <c r="A203" s="181"/>
      <c r="B203" s="181"/>
      <c r="C203" s="181"/>
      <c r="D203" s="181"/>
      <c r="E203" s="181"/>
      <c r="F203" s="181"/>
      <c r="G203" s="181"/>
      <c r="H203" s="181"/>
      <c r="I203" s="181"/>
      <c r="J203" s="181"/>
      <c r="K203" s="181"/>
      <c r="L203" s="181"/>
      <c r="M203" s="181"/>
      <c r="N203" s="181"/>
      <c r="O203" s="181"/>
      <c r="P203" s="181"/>
      <c r="Q203" s="181"/>
      <c r="R203" s="181"/>
      <c r="S203" s="181"/>
      <c r="T203" s="181"/>
      <c r="U203" s="181"/>
      <c r="V203" s="181"/>
      <c r="W203" s="181"/>
      <c r="X203" s="181"/>
      <c r="Y203" s="181"/>
      <c r="Z203" s="181"/>
    </row>
    <row r="204" ht="14.25" customHeight="1">
      <c r="A204" s="181"/>
      <c r="B204" s="181"/>
      <c r="C204" s="181"/>
      <c r="D204" s="181"/>
      <c r="E204" s="181"/>
      <c r="F204" s="181"/>
      <c r="G204" s="181"/>
      <c r="H204" s="181"/>
      <c r="I204" s="181"/>
      <c r="J204" s="181"/>
      <c r="K204" s="181"/>
      <c r="L204" s="181"/>
      <c r="M204" s="181"/>
      <c r="N204" s="181"/>
      <c r="O204" s="181"/>
      <c r="P204" s="181"/>
      <c r="Q204" s="181"/>
      <c r="R204" s="181"/>
      <c r="S204" s="181"/>
      <c r="T204" s="181"/>
      <c r="U204" s="181"/>
      <c r="V204" s="181"/>
      <c r="W204" s="181"/>
      <c r="X204" s="181"/>
      <c r="Y204" s="181"/>
      <c r="Z204" s="181"/>
    </row>
    <row r="205" ht="14.25" customHeight="1">
      <c r="A205" s="181"/>
      <c r="B205" s="181"/>
      <c r="C205" s="181"/>
      <c r="D205" s="181"/>
      <c r="E205" s="181"/>
      <c r="F205" s="181"/>
      <c r="G205" s="181"/>
      <c r="H205" s="181"/>
      <c r="I205" s="181"/>
      <c r="J205" s="181"/>
      <c r="K205" s="181"/>
      <c r="L205" s="181"/>
      <c r="M205" s="181"/>
      <c r="N205" s="181"/>
      <c r="O205" s="181"/>
      <c r="P205" s="181"/>
      <c r="Q205" s="181"/>
      <c r="R205" s="181"/>
      <c r="S205" s="181"/>
      <c r="T205" s="181"/>
      <c r="U205" s="181"/>
      <c r="V205" s="181"/>
      <c r="W205" s="181"/>
      <c r="X205" s="181"/>
      <c r="Y205" s="181"/>
      <c r="Z205" s="181"/>
    </row>
    <row r="206" ht="14.25" customHeight="1">
      <c r="A206" s="181"/>
      <c r="B206" s="181"/>
      <c r="C206" s="181"/>
      <c r="D206" s="181"/>
      <c r="E206" s="181"/>
      <c r="F206" s="181"/>
      <c r="G206" s="181"/>
      <c r="H206" s="181"/>
      <c r="I206" s="181"/>
      <c r="J206" s="181"/>
      <c r="K206" s="181"/>
      <c r="L206" s="181"/>
      <c r="M206" s="181"/>
      <c r="N206" s="181"/>
      <c r="O206" s="181"/>
      <c r="P206" s="181"/>
      <c r="Q206" s="181"/>
      <c r="R206" s="181"/>
      <c r="S206" s="181"/>
      <c r="T206" s="181"/>
      <c r="U206" s="181"/>
      <c r="V206" s="181"/>
      <c r="W206" s="181"/>
      <c r="X206" s="181"/>
      <c r="Y206" s="181"/>
      <c r="Z206" s="181"/>
    </row>
    <row r="207" ht="14.25" customHeight="1">
      <c r="A207" s="181"/>
      <c r="B207" s="181"/>
      <c r="C207" s="181"/>
      <c r="D207" s="181"/>
      <c r="E207" s="181"/>
      <c r="F207" s="181"/>
      <c r="G207" s="181"/>
      <c r="H207" s="181"/>
      <c r="I207" s="181"/>
      <c r="J207" s="181"/>
      <c r="K207" s="181"/>
      <c r="L207" s="181"/>
      <c r="M207" s="181"/>
      <c r="N207" s="181"/>
      <c r="O207" s="181"/>
      <c r="P207" s="181"/>
      <c r="Q207" s="181"/>
      <c r="R207" s="181"/>
      <c r="S207" s="181"/>
      <c r="T207" s="181"/>
      <c r="U207" s="181"/>
      <c r="V207" s="181"/>
      <c r="W207" s="181"/>
      <c r="X207" s="181"/>
      <c r="Y207" s="181"/>
      <c r="Z207" s="181"/>
    </row>
    <row r="208" ht="14.25" customHeight="1">
      <c r="A208" s="181"/>
      <c r="B208" s="181"/>
      <c r="C208" s="181"/>
      <c r="D208" s="181"/>
      <c r="E208" s="181"/>
      <c r="F208" s="181"/>
      <c r="G208" s="181"/>
      <c r="H208" s="181"/>
      <c r="I208" s="181"/>
      <c r="J208" s="181"/>
      <c r="K208" s="181"/>
      <c r="L208" s="181"/>
      <c r="M208" s="181"/>
      <c r="N208" s="181"/>
      <c r="O208" s="181"/>
      <c r="P208" s="181"/>
      <c r="Q208" s="181"/>
      <c r="R208" s="181"/>
      <c r="S208" s="181"/>
      <c r="T208" s="181"/>
      <c r="U208" s="181"/>
      <c r="V208" s="181"/>
      <c r="W208" s="181"/>
      <c r="X208" s="181"/>
      <c r="Y208" s="181"/>
      <c r="Z208" s="181"/>
    </row>
    <row r="209" ht="14.25" customHeight="1">
      <c r="A209" s="181"/>
      <c r="B209" s="181"/>
      <c r="C209" s="181"/>
      <c r="D209" s="181"/>
      <c r="E209" s="181"/>
      <c r="F209" s="181"/>
      <c r="G209" s="181"/>
      <c r="H209" s="181"/>
      <c r="I209" s="181"/>
      <c r="J209" s="181"/>
      <c r="K209" s="181"/>
      <c r="L209" s="181"/>
      <c r="M209" s="181"/>
      <c r="N209" s="181"/>
      <c r="O209" s="181"/>
      <c r="P209" s="181"/>
      <c r="Q209" s="181"/>
      <c r="R209" s="181"/>
      <c r="S209" s="181"/>
      <c r="T209" s="181"/>
      <c r="U209" s="181"/>
      <c r="V209" s="181"/>
      <c r="W209" s="181"/>
      <c r="X209" s="181"/>
      <c r="Y209" s="181"/>
      <c r="Z209" s="181"/>
    </row>
    <row r="210" ht="14.25" customHeight="1">
      <c r="A210" s="181"/>
      <c r="B210" s="181"/>
      <c r="C210" s="181"/>
      <c r="D210" s="181"/>
      <c r="E210" s="181"/>
      <c r="F210" s="181"/>
      <c r="G210" s="181"/>
      <c r="H210" s="181"/>
      <c r="I210" s="181"/>
      <c r="J210" s="181"/>
      <c r="K210" s="181"/>
      <c r="L210" s="181"/>
      <c r="M210" s="181"/>
      <c r="N210" s="181"/>
      <c r="O210" s="181"/>
      <c r="P210" s="181"/>
      <c r="Q210" s="181"/>
      <c r="R210" s="181"/>
      <c r="S210" s="181"/>
      <c r="T210" s="181"/>
      <c r="U210" s="181"/>
      <c r="V210" s="181"/>
      <c r="W210" s="181"/>
      <c r="X210" s="181"/>
      <c r="Y210" s="181"/>
      <c r="Z210" s="181"/>
    </row>
    <row r="211" ht="14.25" customHeight="1">
      <c r="A211" s="181"/>
      <c r="B211" s="181"/>
      <c r="C211" s="181"/>
      <c r="D211" s="181"/>
      <c r="E211" s="181"/>
      <c r="F211" s="181"/>
      <c r="G211" s="181"/>
      <c r="H211" s="181"/>
      <c r="I211" s="181"/>
      <c r="J211" s="181"/>
      <c r="K211" s="181"/>
      <c r="L211" s="181"/>
      <c r="M211" s="181"/>
      <c r="N211" s="181"/>
      <c r="O211" s="181"/>
      <c r="P211" s="181"/>
      <c r="Q211" s="181"/>
      <c r="R211" s="181"/>
      <c r="S211" s="181"/>
      <c r="T211" s="181"/>
      <c r="U211" s="181"/>
      <c r="V211" s="181"/>
      <c r="W211" s="181"/>
      <c r="X211" s="181"/>
      <c r="Y211" s="181"/>
      <c r="Z211" s="181"/>
    </row>
    <row r="212" ht="14.25" customHeight="1">
      <c r="A212" s="181"/>
      <c r="B212" s="181"/>
      <c r="C212" s="181"/>
      <c r="D212" s="181"/>
      <c r="E212" s="181"/>
      <c r="F212" s="181"/>
      <c r="G212" s="181"/>
      <c r="H212" s="181"/>
      <c r="I212" s="181"/>
      <c r="J212" s="181"/>
      <c r="K212" s="181"/>
      <c r="L212" s="181"/>
      <c r="M212" s="181"/>
      <c r="N212" s="181"/>
      <c r="O212" s="181"/>
      <c r="P212" s="181"/>
      <c r="Q212" s="181"/>
      <c r="R212" s="181"/>
      <c r="S212" s="181"/>
      <c r="T212" s="181"/>
      <c r="U212" s="181"/>
      <c r="V212" s="181"/>
      <c r="W212" s="181"/>
      <c r="X212" s="181"/>
      <c r="Y212" s="181"/>
      <c r="Z212" s="181"/>
    </row>
    <row r="213" ht="14.25" customHeight="1">
      <c r="A213" s="181"/>
      <c r="B213" s="181"/>
      <c r="C213" s="181"/>
      <c r="D213" s="181"/>
      <c r="E213" s="181"/>
      <c r="F213" s="181"/>
      <c r="G213" s="181"/>
      <c r="H213" s="181"/>
      <c r="I213" s="181"/>
      <c r="J213" s="181"/>
      <c r="K213" s="181"/>
      <c r="L213" s="181"/>
      <c r="M213" s="181"/>
      <c r="N213" s="181"/>
      <c r="O213" s="181"/>
      <c r="P213" s="181"/>
      <c r="Q213" s="181"/>
      <c r="R213" s="181"/>
      <c r="S213" s="181"/>
      <c r="T213" s="181"/>
      <c r="U213" s="181"/>
      <c r="V213" s="181"/>
      <c r="W213" s="181"/>
      <c r="X213" s="181"/>
      <c r="Y213" s="181"/>
      <c r="Z213" s="181"/>
    </row>
    <row r="214" ht="14.25" customHeight="1">
      <c r="A214" s="181"/>
      <c r="B214" s="181"/>
      <c r="C214" s="181"/>
      <c r="D214" s="181"/>
      <c r="E214" s="181"/>
      <c r="F214" s="181"/>
      <c r="G214" s="181"/>
      <c r="H214" s="181"/>
      <c r="I214" s="181"/>
      <c r="J214" s="181"/>
      <c r="K214" s="181"/>
      <c r="L214" s="181"/>
      <c r="M214" s="181"/>
      <c r="N214" s="181"/>
      <c r="O214" s="181"/>
      <c r="P214" s="181"/>
      <c r="Q214" s="181"/>
      <c r="R214" s="181"/>
      <c r="S214" s="181"/>
      <c r="T214" s="181"/>
      <c r="U214" s="181"/>
      <c r="V214" s="181"/>
      <c r="W214" s="181"/>
      <c r="X214" s="181"/>
      <c r="Y214" s="181"/>
      <c r="Z214" s="181"/>
    </row>
    <row r="215" ht="14.25" customHeight="1">
      <c r="A215" s="181"/>
      <c r="B215" s="181"/>
      <c r="C215" s="181"/>
      <c r="D215" s="181"/>
      <c r="E215" s="181"/>
      <c r="F215" s="181"/>
      <c r="G215" s="181"/>
      <c r="H215" s="181"/>
      <c r="I215" s="181"/>
      <c r="J215" s="181"/>
      <c r="K215" s="181"/>
      <c r="L215" s="181"/>
      <c r="M215" s="181"/>
      <c r="N215" s="181"/>
      <c r="O215" s="181"/>
      <c r="P215" s="181"/>
      <c r="Q215" s="181"/>
      <c r="R215" s="181"/>
      <c r="S215" s="181"/>
      <c r="T215" s="181"/>
      <c r="U215" s="181"/>
      <c r="V215" s="181"/>
      <c r="W215" s="181"/>
      <c r="X215" s="181"/>
      <c r="Y215" s="181"/>
      <c r="Z215" s="181"/>
    </row>
    <row r="216" ht="14.25" customHeight="1">
      <c r="A216" s="181"/>
      <c r="B216" s="181"/>
      <c r="C216" s="181"/>
      <c r="D216" s="181"/>
      <c r="E216" s="181"/>
      <c r="F216" s="181"/>
      <c r="G216" s="181"/>
      <c r="H216" s="181"/>
      <c r="I216" s="181"/>
      <c r="J216" s="181"/>
      <c r="K216" s="181"/>
      <c r="L216" s="181"/>
      <c r="M216" s="181"/>
      <c r="N216" s="181"/>
      <c r="O216" s="181"/>
      <c r="P216" s="181"/>
      <c r="Q216" s="181"/>
      <c r="R216" s="181"/>
      <c r="S216" s="181"/>
      <c r="T216" s="181"/>
      <c r="U216" s="181"/>
      <c r="V216" s="181"/>
      <c r="W216" s="181"/>
      <c r="X216" s="181"/>
      <c r="Y216" s="181"/>
      <c r="Z216" s="181"/>
    </row>
    <row r="217" ht="14.25" customHeight="1">
      <c r="A217" s="181"/>
      <c r="B217" s="181"/>
      <c r="C217" s="181"/>
      <c r="D217" s="181"/>
      <c r="E217" s="181"/>
      <c r="F217" s="181"/>
      <c r="G217" s="181"/>
      <c r="H217" s="181"/>
      <c r="I217" s="181"/>
      <c r="J217" s="181"/>
      <c r="K217" s="181"/>
      <c r="L217" s="181"/>
      <c r="M217" s="181"/>
      <c r="N217" s="181"/>
      <c r="O217" s="181"/>
      <c r="P217" s="181"/>
      <c r="Q217" s="181"/>
      <c r="R217" s="181"/>
      <c r="S217" s="181"/>
      <c r="T217" s="181"/>
      <c r="U217" s="181"/>
      <c r="V217" s="181"/>
      <c r="W217" s="181"/>
      <c r="X217" s="181"/>
      <c r="Y217" s="181"/>
      <c r="Z217" s="181"/>
    </row>
    <row r="218" ht="14.25" customHeight="1">
      <c r="A218" s="181"/>
      <c r="B218" s="181"/>
      <c r="C218" s="181"/>
      <c r="D218" s="181"/>
      <c r="E218" s="181"/>
      <c r="F218" s="181"/>
      <c r="G218" s="181"/>
      <c r="H218" s="181"/>
      <c r="I218" s="181"/>
      <c r="J218" s="181"/>
      <c r="K218" s="181"/>
      <c r="L218" s="181"/>
      <c r="M218" s="181"/>
      <c r="N218" s="181"/>
      <c r="O218" s="181"/>
      <c r="P218" s="181"/>
      <c r="Q218" s="181"/>
      <c r="R218" s="181"/>
      <c r="S218" s="181"/>
      <c r="T218" s="181"/>
      <c r="U218" s="181"/>
      <c r="V218" s="181"/>
      <c r="W218" s="181"/>
      <c r="X218" s="181"/>
      <c r="Y218" s="181"/>
      <c r="Z218" s="181"/>
    </row>
    <row r="219" ht="14.25" customHeight="1">
      <c r="A219" s="181"/>
      <c r="B219" s="181"/>
      <c r="C219" s="181"/>
      <c r="D219" s="181"/>
      <c r="E219" s="181"/>
      <c r="F219" s="181"/>
      <c r="G219" s="181"/>
      <c r="H219" s="181"/>
      <c r="I219" s="181"/>
      <c r="J219" s="181"/>
      <c r="K219" s="181"/>
      <c r="L219" s="181"/>
      <c r="M219" s="181"/>
      <c r="N219" s="181"/>
      <c r="O219" s="181"/>
      <c r="P219" s="181"/>
      <c r="Q219" s="181"/>
      <c r="R219" s="181"/>
      <c r="S219" s="181"/>
      <c r="T219" s="181"/>
      <c r="U219" s="181"/>
      <c r="V219" s="181"/>
      <c r="W219" s="181"/>
      <c r="X219" s="181"/>
      <c r="Y219" s="181"/>
      <c r="Z219" s="181"/>
    </row>
    <row r="220" ht="14.25" customHeight="1">
      <c r="A220" s="181"/>
      <c r="B220" s="181"/>
      <c r="C220" s="181"/>
      <c r="D220" s="181"/>
      <c r="E220" s="181"/>
      <c r="F220" s="181"/>
      <c r="G220" s="181"/>
      <c r="H220" s="181"/>
      <c r="I220" s="181"/>
      <c r="J220" s="181"/>
      <c r="K220" s="181"/>
      <c r="L220" s="181"/>
      <c r="M220" s="181"/>
      <c r="N220" s="181"/>
      <c r="O220" s="181"/>
      <c r="P220" s="181"/>
      <c r="Q220" s="181"/>
      <c r="R220" s="181"/>
      <c r="S220" s="181"/>
      <c r="T220" s="181"/>
      <c r="U220" s="181"/>
      <c r="V220" s="181"/>
      <c r="W220" s="181"/>
      <c r="X220" s="181"/>
      <c r="Y220" s="181"/>
      <c r="Z220" s="181"/>
    </row>
    <row r="221" ht="14.25" customHeight="1">
      <c r="A221" s="181"/>
      <c r="B221" s="181"/>
      <c r="C221" s="181"/>
      <c r="D221" s="181"/>
      <c r="E221" s="181"/>
      <c r="F221" s="181"/>
      <c r="G221" s="181"/>
      <c r="H221" s="181"/>
      <c r="I221" s="181"/>
      <c r="J221" s="181"/>
      <c r="K221" s="181"/>
      <c r="L221" s="181"/>
      <c r="M221" s="181"/>
      <c r="N221" s="181"/>
      <c r="O221" s="181"/>
      <c r="P221" s="181"/>
      <c r="Q221" s="181"/>
      <c r="R221" s="181"/>
      <c r="S221" s="181"/>
      <c r="T221" s="181"/>
      <c r="U221" s="181"/>
      <c r="V221" s="181"/>
      <c r="W221" s="181"/>
      <c r="X221" s="181"/>
      <c r="Y221" s="181"/>
      <c r="Z221" s="181"/>
    </row>
    <row r="222" ht="14.25" customHeight="1">
      <c r="A222" s="181"/>
      <c r="B222" s="181"/>
      <c r="C222" s="181"/>
      <c r="D222" s="181"/>
      <c r="E222" s="181"/>
      <c r="F222" s="181"/>
      <c r="G222" s="181"/>
      <c r="H222" s="181"/>
      <c r="I222" s="181"/>
      <c r="J222" s="181"/>
      <c r="K222" s="181"/>
      <c r="L222" s="181"/>
      <c r="M222" s="181"/>
      <c r="N222" s="181"/>
      <c r="O222" s="181"/>
      <c r="P222" s="181"/>
      <c r="Q222" s="181"/>
      <c r="R222" s="181"/>
      <c r="S222" s="181"/>
      <c r="T222" s="181"/>
      <c r="U222" s="181"/>
      <c r="V222" s="181"/>
      <c r="W222" s="181"/>
      <c r="X222" s="181"/>
      <c r="Y222" s="181"/>
      <c r="Z222" s="181"/>
    </row>
    <row r="223" ht="14.25" customHeight="1">
      <c r="A223" s="181"/>
      <c r="B223" s="181"/>
      <c r="C223" s="181"/>
      <c r="D223" s="181"/>
      <c r="E223" s="181"/>
      <c r="F223" s="181"/>
      <c r="G223" s="181"/>
      <c r="H223" s="181"/>
      <c r="I223" s="181"/>
      <c r="J223" s="181"/>
      <c r="K223" s="181"/>
      <c r="L223" s="181"/>
      <c r="M223" s="181"/>
      <c r="N223" s="181"/>
      <c r="O223" s="181"/>
      <c r="P223" s="181"/>
      <c r="Q223" s="181"/>
      <c r="R223" s="181"/>
      <c r="S223" s="181"/>
      <c r="T223" s="181"/>
      <c r="U223" s="181"/>
      <c r="V223" s="181"/>
      <c r="W223" s="181"/>
      <c r="X223" s="181"/>
      <c r="Y223" s="181"/>
      <c r="Z223" s="181"/>
    </row>
    <row r="224" ht="14.25" customHeight="1">
      <c r="A224" s="181"/>
      <c r="B224" s="181"/>
      <c r="C224" s="181"/>
      <c r="D224" s="181"/>
      <c r="E224" s="181"/>
      <c r="F224" s="181"/>
      <c r="G224" s="181"/>
      <c r="H224" s="181"/>
      <c r="I224" s="181"/>
      <c r="J224" s="181"/>
      <c r="K224" s="181"/>
      <c r="L224" s="181"/>
      <c r="M224" s="181"/>
      <c r="N224" s="181"/>
      <c r="O224" s="181"/>
      <c r="P224" s="181"/>
      <c r="Q224" s="181"/>
      <c r="R224" s="181"/>
      <c r="S224" s="181"/>
      <c r="T224" s="181"/>
      <c r="U224" s="181"/>
      <c r="V224" s="181"/>
      <c r="W224" s="181"/>
      <c r="X224" s="181"/>
      <c r="Y224" s="181"/>
      <c r="Z224" s="181"/>
    </row>
    <row r="225" ht="14.25" customHeight="1">
      <c r="A225" s="181"/>
      <c r="B225" s="181"/>
      <c r="C225" s="181"/>
      <c r="D225" s="181"/>
      <c r="E225" s="181"/>
      <c r="F225" s="181"/>
      <c r="G225" s="181"/>
      <c r="H225" s="181"/>
      <c r="I225" s="181"/>
      <c r="J225" s="181"/>
      <c r="K225" s="181"/>
      <c r="L225" s="181"/>
      <c r="M225" s="181"/>
      <c r="N225" s="181"/>
      <c r="O225" s="181"/>
      <c r="P225" s="181"/>
      <c r="Q225" s="181"/>
      <c r="R225" s="181"/>
      <c r="S225" s="181"/>
      <c r="T225" s="181"/>
      <c r="U225" s="181"/>
      <c r="V225" s="181"/>
      <c r="W225" s="181"/>
      <c r="X225" s="181"/>
      <c r="Y225" s="181"/>
      <c r="Z225" s="181"/>
    </row>
    <row r="226" ht="14.25" customHeight="1">
      <c r="A226" s="181"/>
      <c r="B226" s="181"/>
      <c r="C226" s="181"/>
      <c r="D226" s="181"/>
      <c r="E226" s="181"/>
      <c r="F226" s="181"/>
      <c r="G226" s="181"/>
      <c r="H226" s="181"/>
      <c r="I226" s="181"/>
      <c r="J226" s="181"/>
      <c r="K226" s="181"/>
      <c r="L226" s="181"/>
      <c r="M226" s="181"/>
      <c r="N226" s="181"/>
      <c r="O226" s="181"/>
      <c r="P226" s="181"/>
      <c r="Q226" s="181"/>
      <c r="R226" s="181"/>
      <c r="S226" s="181"/>
      <c r="T226" s="181"/>
      <c r="U226" s="181"/>
      <c r="V226" s="181"/>
      <c r="W226" s="181"/>
      <c r="X226" s="181"/>
      <c r="Y226" s="181"/>
      <c r="Z226" s="181"/>
    </row>
    <row r="227" ht="14.25" customHeight="1">
      <c r="A227" s="181"/>
      <c r="B227" s="181"/>
      <c r="C227" s="181"/>
      <c r="D227" s="181"/>
      <c r="E227" s="181"/>
      <c r="F227" s="181"/>
      <c r="G227" s="181"/>
      <c r="H227" s="181"/>
      <c r="I227" s="181"/>
      <c r="J227" s="181"/>
      <c r="K227" s="181"/>
      <c r="L227" s="181"/>
      <c r="M227" s="181"/>
      <c r="N227" s="181"/>
      <c r="O227" s="181"/>
      <c r="P227" s="181"/>
      <c r="Q227" s="181"/>
      <c r="R227" s="181"/>
      <c r="S227" s="181"/>
      <c r="T227" s="181"/>
      <c r="U227" s="181"/>
      <c r="V227" s="181"/>
      <c r="W227" s="181"/>
      <c r="X227" s="181"/>
      <c r="Y227" s="181"/>
      <c r="Z227" s="181"/>
    </row>
    <row r="228" ht="14.25" customHeight="1">
      <c r="A228" s="181"/>
      <c r="B228" s="181"/>
      <c r="C228" s="181"/>
      <c r="D228" s="181"/>
      <c r="E228" s="181"/>
      <c r="F228" s="181"/>
      <c r="G228" s="181"/>
      <c r="H228" s="181"/>
      <c r="I228" s="181"/>
      <c r="J228" s="181"/>
      <c r="K228" s="181"/>
      <c r="L228" s="181"/>
      <c r="M228" s="181"/>
      <c r="N228" s="181"/>
      <c r="O228" s="181"/>
      <c r="P228" s="181"/>
      <c r="Q228" s="181"/>
      <c r="R228" s="181"/>
      <c r="S228" s="181"/>
      <c r="T228" s="181"/>
      <c r="U228" s="181"/>
      <c r="V228" s="181"/>
      <c r="W228" s="181"/>
      <c r="X228" s="181"/>
      <c r="Y228" s="181"/>
      <c r="Z228" s="181"/>
    </row>
    <row r="229" ht="14.25" customHeight="1">
      <c r="A229" s="181"/>
      <c r="B229" s="181"/>
      <c r="C229" s="181"/>
      <c r="D229" s="181"/>
      <c r="E229" s="181"/>
      <c r="F229" s="181"/>
      <c r="G229" s="181"/>
      <c r="H229" s="181"/>
      <c r="I229" s="181"/>
      <c r="J229" s="181"/>
      <c r="K229" s="181"/>
      <c r="L229" s="181"/>
      <c r="M229" s="181"/>
      <c r="N229" s="181"/>
      <c r="O229" s="181"/>
      <c r="P229" s="181"/>
      <c r="Q229" s="181"/>
      <c r="R229" s="181"/>
      <c r="S229" s="181"/>
      <c r="T229" s="181"/>
      <c r="U229" s="181"/>
      <c r="V229" s="181"/>
      <c r="W229" s="181"/>
      <c r="X229" s="181"/>
      <c r="Y229" s="181"/>
      <c r="Z229" s="181"/>
    </row>
    <row r="230" ht="14.25" customHeight="1">
      <c r="A230" s="181"/>
      <c r="B230" s="181"/>
      <c r="C230" s="181"/>
      <c r="D230" s="181"/>
      <c r="E230" s="181"/>
      <c r="F230" s="181"/>
      <c r="G230" s="181"/>
      <c r="H230" s="181"/>
      <c r="I230" s="181"/>
      <c r="J230" s="181"/>
      <c r="K230" s="181"/>
      <c r="L230" s="181"/>
      <c r="M230" s="181"/>
      <c r="N230" s="181"/>
      <c r="O230" s="181"/>
      <c r="P230" s="181"/>
      <c r="Q230" s="181"/>
      <c r="R230" s="181"/>
      <c r="S230" s="181"/>
      <c r="T230" s="181"/>
      <c r="U230" s="181"/>
      <c r="V230" s="181"/>
      <c r="W230" s="181"/>
      <c r="X230" s="181"/>
      <c r="Y230" s="181"/>
      <c r="Z230" s="181"/>
    </row>
    <row r="231" ht="14.25" customHeight="1">
      <c r="A231" s="181"/>
      <c r="B231" s="181"/>
      <c r="C231" s="181"/>
      <c r="D231" s="181"/>
      <c r="E231" s="181"/>
      <c r="F231" s="181"/>
      <c r="G231" s="181"/>
      <c r="H231" s="181"/>
      <c r="I231" s="181"/>
      <c r="J231" s="181"/>
      <c r="K231" s="181"/>
      <c r="L231" s="181"/>
      <c r="M231" s="181"/>
      <c r="N231" s="181"/>
      <c r="O231" s="181"/>
      <c r="P231" s="181"/>
      <c r="Q231" s="181"/>
      <c r="R231" s="181"/>
      <c r="S231" s="181"/>
      <c r="T231" s="181"/>
      <c r="U231" s="181"/>
      <c r="V231" s="181"/>
      <c r="W231" s="181"/>
      <c r="X231" s="181"/>
      <c r="Y231" s="181"/>
      <c r="Z231" s="181"/>
    </row>
    <row r="232" ht="14.25" customHeight="1">
      <c r="A232" s="181"/>
      <c r="B232" s="181"/>
      <c r="C232" s="181"/>
      <c r="D232" s="181"/>
      <c r="E232" s="181"/>
      <c r="F232" s="181"/>
      <c r="G232" s="181"/>
      <c r="H232" s="181"/>
      <c r="I232" s="181"/>
      <c r="J232" s="181"/>
      <c r="K232" s="181"/>
      <c r="L232" s="181"/>
      <c r="M232" s="181"/>
      <c r="N232" s="181"/>
      <c r="O232" s="181"/>
      <c r="P232" s="181"/>
      <c r="Q232" s="181"/>
      <c r="R232" s="181"/>
      <c r="S232" s="181"/>
      <c r="T232" s="181"/>
      <c r="U232" s="181"/>
      <c r="V232" s="181"/>
      <c r="W232" s="181"/>
      <c r="X232" s="181"/>
      <c r="Y232" s="181"/>
      <c r="Z232" s="181"/>
    </row>
    <row r="233" ht="14.25" customHeight="1">
      <c r="A233" s="181"/>
      <c r="B233" s="181"/>
      <c r="C233" s="181"/>
      <c r="D233" s="181"/>
      <c r="E233" s="181"/>
      <c r="F233" s="181"/>
      <c r="G233" s="181"/>
      <c r="H233" s="181"/>
      <c r="I233" s="181"/>
      <c r="J233" s="181"/>
      <c r="K233" s="181"/>
      <c r="L233" s="181"/>
      <c r="M233" s="181"/>
      <c r="N233" s="181"/>
      <c r="O233" s="181"/>
      <c r="P233" s="181"/>
      <c r="Q233" s="181"/>
      <c r="R233" s="181"/>
      <c r="S233" s="181"/>
      <c r="T233" s="181"/>
      <c r="U233" s="181"/>
      <c r="V233" s="181"/>
      <c r="W233" s="181"/>
      <c r="X233" s="181"/>
      <c r="Y233" s="181"/>
      <c r="Z233" s="181"/>
    </row>
    <row r="234" ht="14.25" customHeight="1">
      <c r="A234" s="181"/>
      <c r="B234" s="181"/>
      <c r="C234" s="181"/>
      <c r="D234" s="181"/>
      <c r="E234" s="181"/>
      <c r="F234" s="181"/>
      <c r="G234" s="181"/>
      <c r="H234" s="181"/>
      <c r="I234" s="181"/>
      <c r="J234" s="181"/>
      <c r="K234" s="181"/>
      <c r="L234" s="181"/>
      <c r="M234" s="181"/>
      <c r="N234" s="181"/>
      <c r="O234" s="181"/>
      <c r="P234" s="181"/>
      <c r="Q234" s="181"/>
      <c r="R234" s="181"/>
      <c r="S234" s="181"/>
      <c r="T234" s="181"/>
      <c r="U234" s="181"/>
      <c r="V234" s="181"/>
      <c r="W234" s="181"/>
      <c r="X234" s="181"/>
      <c r="Y234" s="181"/>
      <c r="Z234" s="181"/>
    </row>
    <row r="235" ht="14.25" customHeight="1">
      <c r="A235" s="181"/>
      <c r="B235" s="181"/>
      <c r="C235" s="181"/>
      <c r="D235" s="181"/>
      <c r="E235" s="181"/>
      <c r="F235" s="181"/>
      <c r="G235" s="181"/>
      <c r="H235" s="181"/>
      <c r="I235" s="181"/>
      <c r="J235" s="181"/>
      <c r="K235" s="181"/>
      <c r="L235" s="181"/>
      <c r="M235" s="181"/>
      <c r="N235" s="181"/>
      <c r="O235" s="181"/>
      <c r="P235" s="181"/>
      <c r="Q235" s="181"/>
      <c r="R235" s="181"/>
      <c r="S235" s="181"/>
      <c r="T235" s="181"/>
      <c r="U235" s="181"/>
      <c r="V235" s="181"/>
      <c r="W235" s="181"/>
      <c r="X235" s="181"/>
      <c r="Y235" s="181"/>
      <c r="Z235" s="181"/>
    </row>
    <row r="236" ht="14.25" customHeight="1">
      <c r="A236" s="181"/>
      <c r="B236" s="181"/>
      <c r="C236" s="181"/>
      <c r="D236" s="181"/>
      <c r="E236" s="181"/>
      <c r="F236" s="181"/>
      <c r="G236" s="181"/>
      <c r="H236" s="181"/>
      <c r="I236" s="181"/>
      <c r="J236" s="181"/>
      <c r="K236" s="181"/>
      <c r="L236" s="181"/>
      <c r="M236" s="181"/>
      <c r="N236" s="181"/>
      <c r="O236" s="181"/>
      <c r="P236" s="181"/>
      <c r="Q236" s="181"/>
      <c r="R236" s="181"/>
      <c r="S236" s="181"/>
      <c r="T236" s="181"/>
      <c r="U236" s="181"/>
      <c r="V236" s="181"/>
      <c r="W236" s="181"/>
      <c r="X236" s="181"/>
      <c r="Y236" s="181"/>
      <c r="Z236" s="181"/>
    </row>
    <row r="237" ht="14.25" customHeight="1">
      <c r="A237" s="181"/>
      <c r="B237" s="181"/>
      <c r="C237" s="181"/>
      <c r="D237" s="181"/>
      <c r="E237" s="181"/>
      <c r="F237" s="181"/>
      <c r="G237" s="181"/>
      <c r="H237" s="181"/>
      <c r="I237" s="181"/>
      <c r="J237" s="181"/>
      <c r="K237" s="181"/>
      <c r="L237" s="181"/>
      <c r="M237" s="181"/>
      <c r="N237" s="181"/>
      <c r="O237" s="181"/>
      <c r="P237" s="181"/>
      <c r="Q237" s="181"/>
      <c r="R237" s="181"/>
      <c r="S237" s="181"/>
      <c r="T237" s="181"/>
      <c r="U237" s="181"/>
      <c r="V237" s="181"/>
      <c r="W237" s="181"/>
      <c r="X237" s="181"/>
      <c r="Y237" s="181"/>
      <c r="Z237" s="181"/>
    </row>
    <row r="238" ht="14.25" customHeight="1">
      <c r="A238" s="181"/>
      <c r="B238" s="181"/>
      <c r="C238" s="181"/>
      <c r="D238" s="181"/>
      <c r="E238" s="181"/>
      <c r="F238" s="181"/>
      <c r="G238" s="181"/>
      <c r="H238" s="181"/>
      <c r="I238" s="181"/>
      <c r="J238" s="181"/>
      <c r="K238" s="181"/>
      <c r="L238" s="181"/>
      <c r="M238" s="181"/>
      <c r="N238" s="181"/>
      <c r="O238" s="181"/>
      <c r="P238" s="181"/>
      <c r="Q238" s="181"/>
      <c r="R238" s="181"/>
      <c r="S238" s="181"/>
      <c r="T238" s="181"/>
      <c r="U238" s="181"/>
      <c r="V238" s="181"/>
      <c r="W238" s="181"/>
      <c r="X238" s="181"/>
      <c r="Y238" s="181"/>
      <c r="Z238" s="181"/>
    </row>
    <row r="239" ht="14.25" customHeight="1">
      <c r="A239" s="181"/>
      <c r="B239" s="181"/>
      <c r="C239" s="181"/>
      <c r="D239" s="181"/>
      <c r="E239" s="181"/>
      <c r="F239" s="181"/>
      <c r="G239" s="181"/>
      <c r="H239" s="181"/>
      <c r="I239" s="181"/>
      <c r="J239" s="181"/>
      <c r="K239" s="181"/>
      <c r="L239" s="181"/>
      <c r="M239" s="181"/>
      <c r="N239" s="181"/>
      <c r="O239" s="181"/>
      <c r="P239" s="181"/>
      <c r="Q239" s="181"/>
      <c r="R239" s="181"/>
      <c r="S239" s="181"/>
      <c r="T239" s="181"/>
      <c r="U239" s="181"/>
      <c r="V239" s="181"/>
      <c r="W239" s="181"/>
      <c r="X239" s="181"/>
      <c r="Y239" s="181"/>
      <c r="Z239" s="181"/>
    </row>
    <row r="240" ht="14.25" customHeight="1">
      <c r="A240" s="181"/>
      <c r="B240" s="181"/>
      <c r="C240" s="181"/>
      <c r="D240" s="181"/>
      <c r="E240" s="181"/>
      <c r="F240" s="181"/>
      <c r="G240" s="181"/>
      <c r="H240" s="181"/>
      <c r="I240" s="181"/>
      <c r="J240" s="181"/>
      <c r="K240" s="181"/>
      <c r="L240" s="181"/>
      <c r="M240" s="181"/>
      <c r="N240" s="181"/>
      <c r="O240" s="181"/>
      <c r="P240" s="181"/>
      <c r="Q240" s="181"/>
      <c r="R240" s="181"/>
      <c r="S240" s="181"/>
      <c r="T240" s="181"/>
      <c r="U240" s="181"/>
      <c r="V240" s="181"/>
      <c r="W240" s="181"/>
      <c r="X240" s="181"/>
      <c r="Y240" s="181"/>
      <c r="Z240" s="181"/>
    </row>
    <row r="241" ht="14.25" customHeight="1">
      <c r="A241" s="181"/>
      <c r="B241" s="181"/>
      <c r="C241" s="181"/>
      <c r="D241" s="181"/>
      <c r="E241" s="181"/>
      <c r="F241" s="181"/>
      <c r="G241" s="181"/>
      <c r="H241" s="181"/>
      <c r="I241" s="181"/>
      <c r="J241" s="181"/>
      <c r="K241" s="181"/>
      <c r="L241" s="181"/>
      <c r="M241" s="181"/>
      <c r="N241" s="181"/>
      <c r="O241" s="181"/>
      <c r="P241" s="181"/>
      <c r="Q241" s="181"/>
      <c r="R241" s="181"/>
      <c r="S241" s="181"/>
      <c r="T241" s="181"/>
      <c r="U241" s="181"/>
      <c r="V241" s="181"/>
      <c r="W241" s="181"/>
      <c r="X241" s="181"/>
      <c r="Y241" s="181"/>
      <c r="Z241" s="181"/>
    </row>
    <row r="242" ht="14.25" customHeight="1">
      <c r="A242" s="181"/>
      <c r="B242" s="181"/>
      <c r="C242" s="181"/>
      <c r="D242" s="181"/>
      <c r="E242" s="181"/>
      <c r="F242" s="181"/>
      <c r="G242" s="181"/>
      <c r="H242" s="181"/>
      <c r="I242" s="181"/>
      <c r="J242" s="181"/>
      <c r="K242" s="181"/>
      <c r="L242" s="181"/>
      <c r="M242" s="181"/>
      <c r="N242" s="181"/>
      <c r="O242" s="181"/>
      <c r="P242" s="181"/>
      <c r="Q242" s="181"/>
      <c r="R242" s="181"/>
      <c r="S242" s="181"/>
      <c r="T242" s="181"/>
      <c r="U242" s="181"/>
      <c r="V242" s="181"/>
      <c r="W242" s="181"/>
      <c r="X242" s="181"/>
      <c r="Y242" s="181"/>
      <c r="Z242" s="181"/>
    </row>
    <row r="243" ht="14.25" customHeight="1">
      <c r="A243" s="181"/>
      <c r="B243" s="181"/>
      <c r="C243" s="181"/>
      <c r="D243" s="181"/>
      <c r="E243" s="181"/>
      <c r="F243" s="181"/>
      <c r="G243" s="181"/>
      <c r="H243" s="181"/>
      <c r="I243" s="181"/>
      <c r="J243" s="181"/>
      <c r="K243" s="181"/>
      <c r="L243" s="181"/>
      <c r="M243" s="181"/>
      <c r="N243" s="181"/>
      <c r="O243" s="181"/>
      <c r="P243" s="181"/>
      <c r="Q243" s="181"/>
      <c r="R243" s="181"/>
      <c r="S243" s="181"/>
      <c r="T243" s="181"/>
      <c r="U243" s="181"/>
      <c r="V243" s="181"/>
      <c r="W243" s="181"/>
      <c r="X243" s="181"/>
      <c r="Y243" s="181"/>
      <c r="Z243" s="181"/>
    </row>
    <row r="244" ht="14.25" customHeight="1">
      <c r="A244" s="181"/>
      <c r="B244" s="181"/>
      <c r="C244" s="181"/>
      <c r="D244" s="181"/>
      <c r="E244" s="181"/>
      <c r="F244" s="181"/>
      <c r="G244" s="181"/>
      <c r="H244" s="181"/>
      <c r="I244" s="181"/>
      <c r="J244" s="181"/>
      <c r="K244" s="181"/>
      <c r="L244" s="181"/>
      <c r="M244" s="181"/>
      <c r="N244" s="181"/>
      <c r="O244" s="181"/>
      <c r="P244" s="181"/>
      <c r="Q244" s="181"/>
      <c r="R244" s="181"/>
      <c r="S244" s="181"/>
      <c r="T244" s="181"/>
      <c r="U244" s="181"/>
      <c r="V244" s="181"/>
      <c r="W244" s="181"/>
      <c r="X244" s="181"/>
      <c r="Y244" s="181"/>
      <c r="Z244" s="181"/>
    </row>
    <row r="245" ht="14.25" customHeight="1">
      <c r="A245" s="181"/>
      <c r="B245" s="181"/>
      <c r="C245" s="181"/>
      <c r="D245" s="181"/>
      <c r="E245" s="181"/>
      <c r="F245" s="181"/>
      <c r="G245" s="181"/>
      <c r="H245" s="181"/>
      <c r="I245" s="181"/>
      <c r="J245" s="181"/>
      <c r="K245" s="181"/>
      <c r="L245" s="181"/>
      <c r="M245" s="181"/>
      <c r="N245" s="181"/>
      <c r="O245" s="181"/>
      <c r="P245" s="181"/>
      <c r="Q245" s="181"/>
      <c r="R245" s="181"/>
      <c r="S245" s="181"/>
      <c r="T245" s="181"/>
      <c r="U245" s="181"/>
      <c r="V245" s="181"/>
      <c r="W245" s="181"/>
      <c r="X245" s="181"/>
      <c r="Y245" s="181"/>
      <c r="Z245" s="181"/>
    </row>
    <row r="246" ht="14.25" customHeight="1">
      <c r="A246" s="181"/>
      <c r="B246" s="181"/>
      <c r="C246" s="181"/>
      <c r="D246" s="181"/>
      <c r="E246" s="181"/>
      <c r="F246" s="181"/>
      <c r="G246" s="181"/>
      <c r="H246" s="181"/>
      <c r="I246" s="181"/>
      <c r="J246" s="181"/>
      <c r="K246" s="181"/>
      <c r="L246" s="181"/>
      <c r="M246" s="181"/>
      <c r="N246" s="181"/>
      <c r="O246" s="181"/>
      <c r="P246" s="181"/>
      <c r="Q246" s="181"/>
      <c r="R246" s="181"/>
      <c r="S246" s="181"/>
      <c r="T246" s="181"/>
      <c r="U246" s="181"/>
      <c r="V246" s="181"/>
      <c r="W246" s="181"/>
      <c r="X246" s="181"/>
      <c r="Y246" s="181"/>
      <c r="Z246" s="181"/>
    </row>
    <row r="247" ht="14.25" customHeight="1">
      <c r="A247" s="181"/>
      <c r="B247" s="181"/>
      <c r="C247" s="181"/>
      <c r="D247" s="181"/>
      <c r="E247" s="181"/>
      <c r="F247" s="181"/>
      <c r="G247" s="181"/>
      <c r="H247" s="181"/>
      <c r="I247" s="181"/>
      <c r="J247" s="181"/>
      <c r="K247" s="181"/>
      <c r="L247" s="181"/>
      <c r="M247" s="181"/>
      <c r="N247" s="181"/>
      <c r="O247" s="181"/>
      <c r="P247" s="181"/>
      <c r="Q247" s="181"/>
      <c r="R247" s="181"/>
      <c r="S247" s="181"/>
      <c r="T247" s="181"/>
      <c r="U247" s="181"/>
      <c r="V247" s="181"/>
      <c r="W247" s="181"/>
      <c r="X247" s="181"/>
      <c r="Y247" s="181"/>
      <c r="Z247" s="181"/>
    </row>
    <row r="248" ht="14.25" customHeight="1">
      <c r="A248" s="181"/>
      <c r="B248" s="181"/>
      <c r="C248" s="181"/>
      <c r="D248" s="181"/>
      <c r="E248" s="181"/>
      <c r="F248" s="181"/>
      <c r="G248" s="181"/>
      <c r="H248" s="181"/>
      <c r="I248" s="181"/>
      <c r="J248" s="181"/>
      <c r="K248" s="181"/>
      <c r="L248" s="181"/>
      <c r="M248" s="181"/>
      <c r="N248" s="181"/>
      <c r="O248" s="181"/>
      <c r="P248" s="181"/>
      <c r="Q248" s="181"/>
      <c r="R248" s="181"/>
      <c r="S248" s="181"/>
      <c r="T248" s="181"/>
      <c r="U248" s="181"/>
      <c r="V248" s="181"/>
      <c r="W248" s="181"/>
      <c r="X248" s="181"/>
      <c r="Y248" s="181"/>
      <c r="Z248" s="181"/>
    </row>
    <row r="249" ht="14.25" customHeight="1">
      <c r="A249" s="181"/>
      <c r="B249" s="181"/>
      <c r="C249" s="181"/>
      <c r="D249" s="181"/>
      <c r="E249" s="181"/>
      <c r="F249" s="181"/>
      <c r="G249" s="181"/>
      <c r="H249" s="181"/>
      <c r="I249" s="181"/>
      <c r="J249" s="181"/>
      <c r="K249" s="181"/>
      <c r="L249" s="181"/>
      <c r="M249" s="181"/>
      <c r="N249" s="181"/>
      <c r="O249" s="181"/>
      <c r="P249" s="181"/>
      <c r="Q249" s="181"/>
      <c r="R249" s="181"/>
      <c r="S249" s="181"/>
      <c r="T249" s="181"/>
      <c r="U249" s="181"/>
      <c r="V249" s="181"/>
      <c r="W249" s="181"/>
      <c r="X249" s="181"/>
      <c r="Y249" s="181"/>
      <c r="Z249" s="181"/>
    </row>
    <row r="250" ht="14.25" customHeight="1">
      <c r="A250" s="181"/>
      <c r="B250" s="181"/>
      <c r="C250" s="181"/>
      <c r="D250" s="181"/>
      <c r="E250" s="181"/>
      <c r="F250" s="181"/>
      <c r="G250" s="181"/>
      <c r="H250" s="181"/>
      <c r="I250" s="181"/>
      <c r="J250" s="181"/>
      <c r="K250" s="181"/>
      <c r="L250" s="181"/>
      <c r="M250" s="181"/>
      <c r="N250" s="181"/>
      <c r="O250" s="181"/>
      <c r="P250" s="181"/>
      <c r="Q250" s="181"/>
      <c r="R250" s="181"/>
      <c r="S250" s="181"/>
      <c r="T250" s="181"/>
      <c r="U250" s="181"/>
      <c r="V250" s="181"/>
      <c r="W250" s="181"/>
      <c r="X250" s="181"/>
      <c r="Y250" s="181"/>
      <c r="Z250" s="181"/>
    </row>
    <row r="251" ht="14.25" customHeight="1">
      <c r="A251" s="181"/>
      <c r="B251" s="181"/>
      <c r="C251" s="181"/>
      <c r="D251" s="181"/>
      <c r="E251" s="181"/>
      <c r="F251" s="181"/>
      <c r="G251" s="181"/>
      <c r="H251" s="181"/>
      <c r="I251" s="181"/>
      <c r="J251" s="181"/>
      <c r="K251" s="181"/>
      <c r="L251" s="181"/>
      <c r="M251" s="181"/>
      <c r="N251" s="181"/>
      <c r="O251" s="181"/>
      <c r="P251" s="181"/>
      <c r="Q251" s="181"/>
      <c r="R251" s="181"/>
      <c r="S251" s="181"/>
      <c r="T251" s="181"/>
      <c r="U251" s="181"/>
      <c r="V251" s="181"/>
      <c r="W251" s="181"/>
      <c r="X251" s="181"/>
      <c r="Y251" s="181"/>
      <c r="Z251" s="181"/>
    </row>
    <row r="252" ht="14.25" customHeight="1">
      <c r="A252" s="181"/>
      <c r="B252" s="181"/>
      <c r="C252" s="181"/>
      <c r="D252" s="181"/>
      <c r="E252" s="181"/>
      <c r="F252" s="181"/>
      <c r="G252" s="181"/>
      <c r="H252" s="181"/>
      <c r="I252" s="181"/>
      <c r="J252" s="181"/>
      <c r="K252" s="181"/>
      <c r="L252" s="181"/>
      <c r="M252" s="181"/>
      <c r="N252" s="181"/>
      <c r="O252" s="181"/>
      <c r="P252" s="181"/>
      <c r="Q252" s="181"/>
      <c r="R252" s="181"/>
      <c r="S252" s="181"/>
      <c r="T252" s="181"/>
      <c r="U252" s="181"/>
      <c r="V252" s="181"/>
      <c r="W252" s="181"/>
      <c r="X252" s="181"/>
      <c r="Y252" s="181"/>
      <c r="Z252" s="181"/>
    </row>
    <row r="253" ht="14.25" customHeight="1">
      <c r="A253" s="181"/>
      <c r="B253" s="181"/>
      <c r="C253" s="181"/>
      <c r="D253" s="181"/>
      <c r="E253" s="181"/>
      <c r="F253" s="181"/>
      <c r="G253" s="181"/>
      <c r="H253" s="181"/>
      <c r="I253" s="181"/>
      <c r="J253" s="181"/>
      <c r="K253" s="181"/>
      <c r="L253" s="181"/>
      <c r="M253" s="181"/>
      <c r="N253" s="181"/>
      <c r="O253" s="181"/>
      <c r="P253" s="181"/>
      <c r="Q253" s="181"/>
      <c r="R253" s="181"/>
      <c r="S253" s="181"/>
      <c r="T253" s="181"/>
      <c r="U253" s="181"/>
      <c r="V253" s="181"/>
      <c r="W253" s="181"/>
      <c r="X253" s="181"/>
      <c r="Y253" s="181"/>
      <c r="Z253" s="181"/>
    </row>
    <row r="254" ht="14.25" customHeight="1">
      <c r="A254" s="181"/>
      <c r="B254" s="181"/>
      <c r="C254" s="181"/>
      <c r="D254" s="181"/>
      <c r="E254" s="181"/>
      <c r="F254" s="181"/>
      <c r="G254" s="181"/>
      <c r="H254" s="181"/>
      <c r="I254" s="181"/>
      <c r="J254" s="181"/>
      <c r="K254" s="181"/>
      <c r="L254" s="181"/>
      <c r="M254" s="181"/>
      <c r="N254" s="181"/>
      <c r="O254" s="181"/>
      <c r="P254" s="181"/>
      <c r="Q254" s="181"/>
      <c r="R254" s="181"/>
      <c r="S254" s="181"/>
      <c r="T254" s="181"/>
      <c r="U254" s="181"/>
      <c r="V254" s="181"/>
      <c r="W254" s="181"/>
      <c r="X254" s="181"/>
      <c r="Y254" s="181"/>
      <c r="Z254" s="181"/>
    </row>
    <row r="255" ht="14.25" customHeight="1">
      <c r="A255" s="181"/>
      <c r="B255" s="181"/>
      <c r="C255" s="181"/>
      <c r="D255" s="181"/>
      <c r="E255" s="181"/>
      <c r="F255" s="181"/>
      <c r="G255" s="181"/>
      <c r="H255" s="181"/>
      <c r="I255" s="181"/>
      <c r="J255" s="181"/>
      <c r="K255" s="181"/>
      <c r="L255" s="181"/>
      <c r="M255" s="181"/>
      <c r="N255" s="181"/>
      <c r="O255" s="181"/>
      <c r="P255" s="181"/>
      <c r="Q255" s="181"/>
      <c r="R255" s="181"/>
      <c r="S255" s="181"/>
      <c r="T255" s="181"/>
      <c r="U255" s="181"/>
      <c r="V255" s="181"/>
      <c r="W255" s="181"/>
      <c r="X255" s="181"/>
      <c r="Y255" s="181"/>
      <c r="Z255" s="181"/>
    </row>
    <row r="256" ht="14.25" customHeight="1">
      <c r="A256" s="181"/>
      <c r="B256" s="181"/>
      <c r="C256" s="181"/>
      <c r="D256" s="181"/>
      <c r="E256" s="181"/>
      <c r="F256" s="181"/>
      <c r="G256" s="181"/>
      <c r="H256" s="181"/>
      <c r="I256" s="181"/>
      <c r="J256" s="181"/>
      <c r="K256" s="181"/>
      <c r="L256" s="181"/>
      <c r="M256" s="181"/>
      <c r="N256" s="181"/>
      <c r="O256" s="181"/>
      <c r="P256" s="181"/>
      <c r="Q256" s="181"/>
      <c r="R256" s="181"/>
      <c r="S256" s="181"/>
      <c r="T256" s="181"/>
      <c r="U256" s="181"/>
      <c r="V256" s="181"/>
      <c r="W256" s="181"/>
      <c r="X256" s="181"/>
      <c r="Y256" s="181"/>
      <c r="Z256" s="181"/>
    </row>
    <row r="257" ht="14.25" customHeight="1">
      <c r="A257" s="181"/>
      <c r="B257" s="181"/>
      <c r="C257" s="181"/>
      <c r="D257" s="181"/>
      <c r="E257" s="181"/>
      <c r="F257" s="181"/>
      <c r="G257" s="181"/>
      <c r="H257" s="181"/>
      <c r="I257" s="181"/>
      <c r="J257" s="181"/>
      <c r="K257" s="181"/>
      <c r="L257" s="181"/>
      <c r="M257" s="181"/>
      <c r="N257" s="181"/>
      <c r="O257" s="181"/>
      <c r="P257" s="181"/>
      <c r="Q257" s="181"/>
      <c r="R257" s="181"/>
      <c r="S257" s="181"/>
      <c r="T257" s="181"/>
      <c r="U257" s="181"/>
      <c r="V257" s="181"/>
      <c r="W257" s="181"/>
      <c r="X257" s="181"/>
      <c r="Y257" s="181"/>
      <c r="Z257" s="181"/>
    </row>
    <row r="258" ht="14.25" customHeight="1">
      <c r="A258" s="181"/>
      <c r="B258" s="181"/>
      <c r="C258" s="181"/>
      <c r="D258" s="181"/>
      <c r="E258" s="181"/>
      <c r="F258" s="181"/>
      <c r="G258" s="181"/>
      <c r="H258" s="181"/>
      <c r="I258" s="181"/>
      <c r="J258" s="181"/>
      <c r="K258" s="181"/>
      <c r="L258" s="181"/>
      <c r="M258" s="181"/>
      <c r="N258" s="181"/>
      <c r="O258" s="181"/>
      <c r="P258" s="181"/>
      <c r="Q258" s="181"/>
      <c r="R258" s="181"/>
      <c r="S258" s="181"/>
      <c r="T258" s="181"/>
      <c r="U258" s="181"/>
      <c r="V258" s="181"/>
      <c r="W258" s="181"/>
      <c r="X258" s="181"/>
      <c r="Y258" s="181"/>
      <c r="Z258" s="181"/>
    </row>
    <row r="259" ht="14.25" customHeight="1">
      <c r="A259" s="181"/>
      <c r="B259" s="181"/>
      <c r="C259" s="181"/>
      <c r="D259" s="181"/>
      <c r="E259" s="181"/>
      <c r="F259" s="181"/>
      <c r="G259" s="181"/>
      <c r="H259" s="181"/>
      <c r="I259" s="181"/>
      <c r="J259" s="181"/>
      <c r="K259" s="181"/>
      <c r="L259" s="181"/>
      <c r="M259" s="181"/>
      <c r="N259" s="181"/>
      <c r="O259" s="181"/>
      <c r="P259" s="181"/>
      <c r="Q259" s="181"/>
      <c r="R259" s="181"/>
      <c r="S259" s="181"/>
      <c r="T259" s="181"/>
      <c r="U259" s="181"/>
      <c r="V259" s="181"/>
      <c r="W259" s="181"/>
      <c r="X259" s="181"/>
      <c r="Y259" s="181"/>
      <c r="Z259" s="181"/>
    </row>
    <row r="260" ht="14.25" customHeight="1">
      <c r="A260" s="181"/>
      <c r="B260" s="181"/>
      <c r="C260" s="181"/>
      <c r="D260" s="181"/>
      <c r="E260" s="181"/>
      <c r="F260" s="181"/>
      <c r="G260" s="181"/>
      <c r="H260" s="181"/>
      <c r="I260" s="181"/>
      <c r="J260" s="181"/>
      <c r="K260" s="181"/>
      <c r="L260" s="181"/>
      <c r="M260" s="181"/>
      <c r="N260" s="181"/>
      <c r="O260" s="181"/>
      <c r="P260" s="181"/>
      <c r="Q260" s="181"/>
      <c r="R260" s="181"/>
      <c r="S260" s="181"/>
      <c r="T260" s="181"/>
      <c r="U260" s="181"/>
      <c r="V260" s="181"/>
      <c r="W260" s="181"/>
      <c r="X260" s="181"/>
      <c r="Y260" s="181"/>
      <c r="Z260" s="181"/>
    </row>
    <row r="261" ht="14.25" customHeight="1">
      <c r="A261" s="181"/>
      <c r="B261" s="181"/>
      <c r="C261" s="181"/>
      <c r="D261" s="181"/>
      <c r="E261" s="181"/>
      <c r="F261" s="181"/>
      <c r="G261" s="181"/>
      <c r="H261" s="181"/>
      <c r="I261" s="181"/>
      <c r="J261" s="181"/>
      <c r="K261" s="181"/>
      <c r="L261" s="181"/>
      <c r="M261" s="181"/>
      <c r="N261" s="181"/>
      <c r="O261" s="181"/>
      <c r="P261" s="181"/>
      <c r="Q261" s="181"/>
      <c r="R261" s="181"/>
      <c r="S261" s="181"/>
      <c r="T261" s="181"/>
      <c r="U261" s="181"/>
      <c r="V261" s="181"/>
      <c r="W261" s="181"/>
      <c r="X261" s="181"/>
      <c r="Y261" s="181"/>
      <c r="Z261" s="181"/>
    </row>
    <row r="262" ht="14.25" customHeight="1">
      <c r="A262" s="181"/>
      <c r="B262" s="181"/>
      <c r="C262" s="181"/>
      <c r="D262" s="181"/>
      <c r="E262" s="181"/>
      <c r="F262" s="181"/>
      <c r="G262" s="181"/>
      <c r="H262" s="181"/>
      <c r="I262" s="181"/>
      <c r="J262" s="181"/>
      <c r="K262" s="181"/>
      <c r="L262" s="181"/>
      <c r="M262" s="181"/>
      <c r="N262" s="181"/>
      <c r="O262" s="181"/>
      <c r="P262" s="181"/>
      <c r="Q262" s="181"/>
      <c r="R262" s="181"/>
      <c r="S262" s="181"/>
      <c r="T262" s="181"/>
      <c r="U262" s="181"/>
      <c r="V262" s="181"/>
      <c r="W262" s="181"/>
      <c r="X262" s="181"/>
      <c r="Y262" s="181"/>
      <c r="Z262" s="181"/>
    </row>
    <row r="263" ht="14.25" customHeight="1">
      <c r="A263" s="181"/>
      <c r="B263" s="181"/>
      <c r="C263" s="181"/>
      <c r="D263" s="181"/>
      <c r="E263" s="181"/>
      <c r="F263" s="181"/>
      <c r="G263" s="181"/>
      <c r="H263" s="181"/>
      <c r="I263" s="181"/>
      <c r="J263" s="181"/>
      <c r="K263" s="181"/>
      <c r="L263" s="181"/>
      <c r="M263" s="181"/>
      <c r="N263" s="181"/>
      <c r="O263" s="181"/>
      <c r="P263" s="181"/>
      <c r="Q263" s="181"/>
      <c r="R263" s="181"/>
      <c r="S263" s="181"/>
      <c r="T263" s="181"/>
      <c r="U263" s="181"/>
      <c r="V263" s="181"/>
      <c r="W263" s="181"/>
      <c r="X263" s="181"/>
      <c r="Y263" s="181"/>
      <c r="Z263" s="181"/>
    </row>
    <row r="264" ht="14.25" customHeight="1">
      <c r="A264" s="181"/>
      <c r="B264" s="181"/>
      <c r="C264" s="181"/>
      <c r="D264" s="181"/>
      <c r="E264" s="181"/>
      <c r="F264" s="181"/>
      <c r="G264" s="181"/>
      <c r="H264" s="181"/>
      <c r="I264" s="181"/>
      <c r="J264" s="181"/>
      <c r="K264" s="181"/>
      <c r="L264" s="181"/>
      <c r="M264" s="181"/>
      <c r="N264" s="181"/>
      <c r="O264" s="181"/>
      <c r="P264" s="181"/>
      <c r="Q264" s="181"/>
      <c r="R264" s="181"/>
      <c r="S264" s="181"/>
      <c r="T264" s="181"/>
      <c r="U264" s="181"/>
      <c r="V264" s="181"/>
      <c r="W264" s="181"/>
      <c r="X264" s="181"/>
      <c r="Y264" s="181"/>
      <c r="Z264" s="181"/>
    </row>
    <row r="265" ht="14.25" customHeight="1">
      <c r="A265" s="181"/>
      <c r="B265" s="181"/>
      <c r="C265" s="181"/>
      <c r="D265" s="181"/>
      <c r="E265" s="181"/>
      <c r="F265" s="181"/>
      <c r="G265" s="181"/>
      <c r="H265" s="181"/>
      <c r="I265" s="181"/>
      <c r="J265" s="181"/>
      <c r="K265" s="181"/>
      <c r="L265" s="181"/>
      <c r="M265" s="181"/>
      <c r="N265" s="181"/>
      <c r="O265" s="181"/>
      <c r="P265" s="181"/>
      <c r="Q265" s="181"/>
      <c r="R265" s="181"/>
      <c r="S265" s="181"/>
      <c r="T265" s="181"/>
      <c r="U265" s="181"/>
      <c r="V265" s="181"/>
      <c r="W265" s="181"/>
      <c r="X265" s="181"/>
      <c r="Y265" s="181"/>
      <c r="Z265" s="181"/>
    </row>
    <row r="266" ht="14.25" customHeight="1">
      <c r="A266" s="181"/>
      <c r="B266" s="181"/>
      <c r="C266" s="181"/>
      <c r="D266" s="181"/>
      <c r="E266" s="181"/>
      <c r="F266" s="181"/>
      <c r="G266" s="181"/>
      <c r="H266" s="181"/>
      <c r="I266" s="181"/>
      <c r="J266" s="181"/>
      <c r="K266" s="181"/>
      <c r="L266" s="181"/>
      <c r="M266" s="181"/>
      <c r="N266" s="181"/>
      <c r="O266" s="181"/>
      <c r="P266" s="181"/>
      <c r="Q266" s="181"/>
      <c r="R266" s="181"/>
      <c r="S266" s="181"/>
      <c r="T266" s="181"/>
      <c r="U266" s="181"/>
      <c r="V266" s="181"/>
      <c r="W266" s="181"/>
      <c r="X266" s="181"/>
      <c r="Y266" s="181"/>
      <c r="Z266" s="181"/>
    </row>
    <row r="267" ht="14.25" customHeight="1">
      <c r="A267" s="181"/>
      <c r="B267" s="181"/>
      <c r="C267" s="181"/>
      <c r="D267" s="181"/>
      <c r="E267" s="181"/>
      <c r="F267" s="181"/>
      <c r="G267" s="181"/>
      <c r="H267" s="181"/>
      <c r="I267" s="181"/>
      <c r="J267" s="181"/>
      <c r="K267" s="181"/>
      <c r="L267" s="181"/>
      <c r="M267" s="181"/>
      <c r="N267" s="181"/>
      <c r="O267" s="181"/>
      <c r="P267" s="181"/>
      <c r="Q267" s="181"/>
      <c r="R267" s="181"/>
      <c r="S267" s="181"/>
      <c r="T267" s="181"/>
      <c r="U267" s="181"/>
      <c r="V267" s="181"/>
      <c r="W267" s="181"/>
      <c r="X267" s="181"/>
      <c r="Y267" s="181"/>
      <c r="Z267" s="181"/>
    </row>
    <row r="268" ht="14.25" customHeight="1">
      <c r="A268" s="181"/>
      <c r="B268" s="181"/>
      <c r="C268" s="181"/>
      <c r="D268" s="181"/>
      <c r="E268" s="181"/>
      <c r="F268" s="181"/>
      <c r="G268" s="181"/>
      <c r="H268" s="181"/>
      <c r="I268" s="181"/>
      <c r="J268" s="181"/>
      <c r="K268" s="181"/>
      <c r="L268" s="181"/>
      <c r="M268" s="181"/>
      <c r="N268" s="181"/>
      <c r="O268" s="181"/>
      <c r="P268" s="181"/>
      <c r="Q268" s="181"/>
      <c r="R268" s="181"/>
      <c r="S268" s="181"/>
      <c r="T268" s="181"/>
      <c r="U268" s="181"/>
      <c r="V268" s="181"/>
      <c r="W268" s="181"/>
      <c r="X268" s="181"/>
      <c r="Y268" s="181"/>
      <c r="Z268" s="181"/>
    </row>
    <row r="269" ht="14.25" customHeight="1">
      <c r="A269" s="181"/>
      <c r="B269" s="181"/>
      <c r="C269" s="181"/>
      <c r="D269" s="181"/>
      <c r="E269" s="181"/>
      <c r="F269" s="181"/>
      <c r="G269" s="181"/>
      <c r="H269" s="181"/>
      <c r="I269" s="181"/>
      <c r="J269" s="181"/>
      <c r="K269" s="181"/>
      <c r="L269" s="181"/>
      <c r="M269" s="181"/>
      <c r="N269" s="181"/>
      <c r="O269" s="181"/>
      <c r="P269" s="181"/>
      <c r="Q269" s="181"/>
      <c r="R269" s="181"/>
      <c r="S269" s="181"/>
      <c r="T269" s="181"/>
      <c r="U269" s="181"/>
      <c r="V269" s="181"/>
      <c r="W269" s="181"/>
      <c r="X269" s="181"/>
      <c r="Y269" s="181"/>
      <c r="Z269" s="181"/>
    </row>
    <row r="270" ht="14.25" customHeight="1">
      <c r="A270" s="181"/>
      <c r="B270" s="181"/>
      <c r="C270" s="181"/>
      <c r="D270" s="181"/>
      <c r="E270" s="181"/>
      <c r="F270" s="181"/>
      <c r="G270" s="181"/>
      <c r="H270" s="181"/>
      <c r="I270" s="181"/>
      <c r="J270" s="181"/>
      <c r="K270" s="181"/>
      <c r="L270" s="181"/>
      <c r="M270" s="181"/>
      <c r="N270" s="181"/>
      <c r="O270" s="181"/>
      <c r="P270" s="181"/>
      <c r="Q270" s="181"/>
      <c r="R270" s="181"/>
      <c r="S270" s="181"/>
      <c r="T270" s="181"/>
      <c r="U270" s="181"/>
      <c r="V270" s="181"/>
      <c r="W270" s="181"/>
      <c r="X270" s="181"/>
      <c r="Y270" s="181"/>
      <c r="Z270" s="181"/>
    </row>
    <row r="271" ht="14.25" customHeight="1">
      <c r="A271" s="181"/>
      <c r="B271" s="181"/>
      <c r="C271" s="181"/>
      <c r="D271" s="181"/>
      <c r="E271" s="181"/>
      <c r="F271" s="181"/>
      <c r="G271" s="181"/>
      <c r="H271" s="181"/>
      <c r="I271" s="181"/>
      <c r="J271" s="181"/>
      <c r="K271" s="181"/>
      <c r="L271" s="181"/>
      <c r="M271" s="181"/>
      <c r="N271" s="181"/>
      <c r="O271" s="181"/>
      <c r="P271" s="181"/>
      <c r="Q271" s="181"/>
      <c r="R271" s="181"/>
      <c r="S271" s="181"/>
      <c r="T271" s="181"/>
      <c r="U271" s="181"/>
      <c r="V271" s="181"/>
      <c r="W271" s="181"/>
      <c r="X271" s="181"/>
      <c r="Y271" s="181"/>
      <c r="Z271" s="181"/>
    </row>
    <row r="272" ht="14.25" customHeight="1">
      <c r="A272" s="181"/>
      <c r="B272" s="181"/>
      <c r="C272" s="181"/>
      <c r="D272" s="181"/>
      <c r="E272" s="181"/>
      <c r="F272" s="181"/>
      <c r="G272" s="181"/>
      <c r="H272" s="181"/>
      <c r="I272" s="181"/>
      <c r="J272" s="181"/>
      <c r="K272" s="181"/>
      <c r="L272" s="181"/>
      <c r="M272" s="181"/>
      <c r="N272" s="181"/>
      <c r="O272" s="181"/>
      <c r="P272" s="181"/>
      <c r="Q272" s="181"/>
      <c r="R272" s="181"/>
      <c r="S272" s="181"/>
      <c r="T272" s="181"/>
      <c r="U272" s="181"/>
      <c r="V272" s="181"/>
      <c r="W272" s="181"/>
      <c r="X272" s="181"/>
      <c r="Y272" s="181"/>
      <c r="Z272" s="181"/>
    </row>
    <row r="273" ht="14.25" customHeight="1">
      <c r="A273" s="181"/>
      <c r="B273" s="181"/>
      <c r="C273" s="181"/>
      <c r="D273" s="181"/>
      <c r="E273" s="181"/>
      <c r="F273" s="181"/>
      <c r="G273" s="181"/>
      <c r="H273" s="181"/>
      <c r="I273" s="181"/>
      <c r="J273" s="181"/>
      <c r="K273" s="181"/>
      <c r="L273" s="181"/>
      <c r="M273" s="181"/>
      <c r="N273" s="181"/>
      <c r="O273" s="181"/>
      <c r="P273" s="181"/>
      <c r="Q273" s="181"/>
      <c r="R273" s="181"/>
      <c r="S273" s="181"/>
      <c r="T273" s="181"/>
      <c r="U273" s="181"/>
      <c r="V273" s="181"/>
      <c r="W273" s="181"/>
      <c r="X273" s="181"/>
      <c r="Y273" s="181"/>
      <c r="Z273" s="181"/>
    </row>
    <row r="274" ht="14.25" customHeight="1">
      <c r="A274" s="181"/>
      <c r="B274" s="181"/>
      <c r="C274" s="181"/>
      <c r="D274" s="181"/>
      <c r="E274" s="181"/>
      <c r="F274" s="181"/>
      <c r="G274" s="181"/>
      <c r="H274" s="181"/>
      <c r="I274" s="181"/>
      <c r="J274" s="181"/>
      <c r="K274" s="181"/>
      <c r="L274" s="181"/>
      <c r="M274" s="181"/>
      <c r="N274" s="181"/>
      <c r="O274" s="181"/>
      <c r="P274" s="181"/>
      <c r="Q274" s="181"/>
      <c r="R274" s="181"/>
      <c r="S274" s="181"/>
      <c r="T274" s="181"/>
      <c r="U274" s="181"/>
      <c r="V274" s="181"/>
      <c r="W274" s="181"/>
      <c r="X274" s="181"/>
      <c r="Y274" s="181"/>
      <c r="Z274" s="181"/>
    </row>
    <row r="275" ht="14.25" customHeight="1">
      <c r="A275" s="181"/>
      <c r="B275" s="181"/>
      <c r="C275" s="181"/>
      <c r="D275" s="181"/>
      <c r="E275" s="181"/>
      <c r="F275" s="181"/>
      <c r="G275" s="181"/>
      <c r="H275" s="181"/>
      <c r="I275" s="181"/>
      <c r="J275" s="181"/>
      <c r="K275" s="181"/>
      <c r="L275" s="181"/>
      <c r="M275" s="181"/>
      <c r="N275" s="181"/>
      <c r="O275" s="181"/>
      <c r="P275" s="181"/>
      <c r="Q275" s="181"/>
      <c r="R275" s="181"/>
      <c r="S275" s="181"/>
      <c r="T275" s="181"/>
      <c r="U275" s="181"/>
      <c r="V275" s="181"/>
      <c r="W275" s="181"/>
      <c r="X275" s="181"/>
      <c r="Y275" s="181"/>
      <c r="Z275" s="181"/>
    </row>
    <row r="276" ht="14.25" customHeight="1">
      <c r="A276" s="181"/>
      <c r="B276" s="181"/>
      <c r="C276" s="181"/>
      <c r="D276" s="181"/>
      <c r="E276" s="181"/>
      <c r="F276" s="181"/>
      <c r="G276" s="181"/>
      <c r="H276" s="181"/>
      <c r="I276" s="181"/>
      <c r="J276" s="181"/>
      <c r="K276" s="181"/>
      <c r="L276" s="181"/>
      <c r="M276" s="181"/>
      <c r="N276" s="181"/>
      <c r="O276" s="181"/>
      <c r="P276" s="181"/>
      <c r="Q276" s="181"/>
      <c r="R276" s="181"/>
      <c r="S276" s="181"/>
      <c r="T276" s="181"/>
      <c r="U276" s="181"/>
      <c r="V276" s="181"/>
      <c r="W276" s="181"/>
      <c r="X276" s="181"/>
      <c r="Y276" s="181"/>
      <c r="Z276" s="181"/>
    </row>
    <row r="277" ht="14.25" customHeight="1">
      <c r="A277" s="181"/>
      <c r="B277" s="181"/>
      <c r="C277" s="181"/>
      <c r="D277" s="181"/>
      <c r="E277" s="181"/>
      <c r="F277" s="181"/>
      <c r="G277" s="181"/>
      <c r="H277" s="181"/>
      <c r="I277" s="181"/>
      <c r="J277" s="181"/>
      <c r="K277" s="181"/>
      <c r="L277" s="181"/>
      <c r="M277" s="181"/>
      <c r="N277" s="181"/>
      <c r="O277" s="181"/>
      <c r="P277" s="181"/>
      <c r="Q277" s="181"/>
      <c r="R277" s="181"/>
      <c r="S277" s="181"/>
      <c r="T277" s="181"/>
      <c r="U277" s="181"/>
      <c r="V277" s="181"/>
      <c r="W277" s="181"/>
      <c r="X277" s="181"/>
      <c r="Y277" s="181"/>
      <c r="Z277" s="181"/>
    </row>
    <row r="278" ht="14.25" customHeight="1">
      <c r="A278" s="181"/>
      <c r="B278" s="181"/>
      <c r="C278" s="181"/>
      <c r="D278" s="181"/>
      <c r="E278" s="181"/>
      <c r="F278" s="181"/>
      <c r="G278" s="181"/>
      <c r="H278" s="181"/>
      <c r="I278" s="181"/>
      <c r="J278" s="181"/>
      <c r="K278" s="181"/>
      <c r="L278" s="181"/>
      <c r="M278" s="181"/>
      <c r="N278" s="181"/>
      <c r="O278" s="181"/>
      <c r="P278" s="181"/>
      <c r="Q278" s="181"/>
      <c r="R278" s="181"/>
      <c r="S278" s="181"/>
      <c r="T278" s="181"/>
      <c r="U278" s="181"/>
      <c r="V278" s="181"/>
      <c r="W278" s="181"/>
      <c r="X278" s="181"/>
      <c r="Y278" s="181"/>
      <c r="Z278" s="181"/>
    </row>
    <row r="279" ht="14.25" customHeight="1">
      <c r="A279" s="181"/>
      <c r="B279" s="181"/>
      <c r="C279" s="181"/>
      <c r="D279" s="181"/>
      <c r="E279" s="181"/>
      <c r="F279" s="181"/>
      <c r="G279" s="181"/>
      <c r="H279" s="181"/>
      <c r="I279" s="181"/>
      <c r="J279" s="181"/>
      <c r="K279" s="181"/>
      <c r="L279" s="181"/>
      <c r="M279" s="181"/>
      <c r="N279" s="181"/>
      <c r="O279" s="181"/>
      <c r="P279" s="181"/>
      <c r="Q279" s="181"/>
      <c r="R279" s="181"/>
      <c r="S279" s="181"/>
      <c r="T279" s="181"/>
      <c r="U279" s="181"/>
      <c r="V279" s="181"/>
      <c r="W279" s="181"/>
      <c r="X279" s="181"/>
      <c r="Y279" s="181"/>
      <c r="Z279" s="181"/>
    </row>
    <row r="280" ht="14.25" customHeight="1">
      <c r="A280" s="181"/>
      <c r="B280" s="181"/>
      <c r="C280" s="181"/>
      <c r="D280" s="181"/>
      <c r="E280" s="181"/>
      <c r="F280" s="181"/>
      <c r="G280" s="181"/>
      <c r="H280" s="181"/>
      <c r="I280" s="181"/>
      <c r="J280" s="181"/>
      <c r="K280" s="181"/>
      <c r="L280" s="181"/>
      <c r="M280" s="181"/>
      <c r="N280" s="181"/>
      <c r="O280" s="181"/>
      <c r="P280" s="181"/>
      <c r="Q280" s="181"/>
      <c r="R280" s="181"/>
      <c r="S280" s="181"/>
      <c r="T280" s="181"/>
      <c r="U280" s="181"/>
      <c r="V280" s="181"/>
      <c r="W280" s="181"/>
      <c r="X280" s="181"/>
      <c r="Y280" s="181"/>
      <c r="Z280" s="181"/>
    </row>
    <row r="281" ht="14.25" customHeight="1">
      <c r="A281" s="181"/>
      <c r="B281" s="181"/>
      <c r="C281" s="181"/>
      <c r="D281" s="181"/>
      <c r="E281" s="181"/>
      <c r="F281" s="181"/>
      <c r="G281" s="181"/>
      <c r="H281" s="181"/>
      <c r="I281" s="181"/>
      <c r="J281" s="181"/>
      <c r="K281" s="181"/>
      <c r="L281" s="181"/>
      <c r="M281" s="181"/>
      <c r="N281" s="181"/>
      <c r="O281" s="181"/>
      <c r="P281" s="181"/>
      <c r="Q281" s="181"/>
      <c r="R281" s="181"/>
      <c r="S281" s="181"/>
      <c r="T281" s="181"/>
      <c r="U281" s="181"/>
      <c r="V281" s="181"/>
      <c r="W281" s="181"/>
      <c r="X281" s="181"/>
      <c r="Y281" s="181"/>
      <c r="Z281" s="181"/>
    </row>
    <row r="282" ht="14.25" customHeight="1">
      <c r="A282" s="181"/>
      <c r="B282" s="181"/>
      <c r="C282" s="181"/>
      <c r="D282" s="181"/>
      <c r="E282" s="181"/>
      <c r="F282" s="181"/>
      <c r="G282" s="181"/>
      <c r="H282" s="181"/>
      <c r="I282" s="181"/>
      <c r="J282" s="181"/>
      <c r="K282" s="181"/>
      <c r="L282" s="181"/>
      <c r="M282" s="181"/>
      <c r="N282" s="181"/>
      <c r="O282" s="181"/>
      <c r="P282" s="181"/>
      <c r="Q282" s="181"/>
      <c r="R282" s="181"/>
      <c r="S282" s="181"/>
      <c r="T282" s="181"/>
      <c r="U282" s="181"/>
      <c r="V282" s="181"/>
      <c r="W282" s="181"/>
      <c r="X282" s="181"/>
      <c r="Y282" s="181"/>
      <c r="Z282" s="181"/>
    </row>
    <row r="283" ht="14.25" customHeight="1">
      <c r="A283" s="181"/>
      <c r="B283" s="181"/>
      <c r="C283" s="181"/>
      <c r="D283" s="181"/>
      <c r="E283" s="181"/>
      <c r="F283" s="181"/>
      <c r="G283" s="181"/>
      <c r="H283" s="181"/>
      <c r="I283" s="181"/>
      <c r="J283" s="181"/>
      <c r="K283" s="181"/>
      <c r="L283" s="181"/>
      <c r="M283" s="181"/>
      <c r="N283" s="181"/>
      <c r="O283" s="181"/>
      <c r="P283" s="181"/>
      <c r="Q283" s="181"/>
      <c r="R283" s="181"/>
      <c r="S283" s="181"/>
      <c r="T283" s="181"/>
      <c r="U283" s="181"/>
      <c r="V283" s="181"/>
      <c r="W283" s="181"/>
      <c r="X283" s="181"/>
      <c r="Y283" s="181"/>
      <c r="Z283" s="181"/>
    </row>
    <row r="284" ht="14.25" customHeight="1">
      <c r="A284" s="181"/>
      <c r="B284" s="181"/>
      <c r="C284" s="181"/>
      <c r="D284" s="181"/>
      <c r="E284" s="181"/>
      <c r="F284" s="181"/>
      <c r="G284" s="181"/>
      <c r="H284" s="181"/>
      <c r="I284" s="181"/>
      <c r="J284" s="181"/>
      <c r="K284" s="181"/>
      <c r="L284" s="181"/>
      <c r="M284" s="181"/>
      <c r="N284" s="181"/>
      <c r="O284" s="181"/>
      <c r="P284" s="181"/>
      <c r="Q284" s="181"/>
      <c r="R284" s="181"/>
      <c r="S284" s="181"/>
      <c r="T284" s="181"/>
      <c r="U284" s="181"/>
      <c r="V284" s="181"/>
      <c r="W284" s="181"/>
      <c r="X284" s="181"/>
      <c r="Y284" s="181"/>
      <c r="Z284" s="181"/>
    </row>
    <row r="285" ht="14.25" customHeight="1">
      <c r="A285" s="181"/>
      <c r="B285" s="181"/>
      <c r="C285" s="181"/>
      <c r="D285" s="181"/>
      <c r="E285" s="181"/>
      <c r="F285" s="181"/>
      <c r="G285" s="181"/>
      <c r="H285" s="181"/>
      <c r="I285" s="181"/>
      <c r="J285" s="181"/>
      <c r="K285" s="181"/>
      <c r="L285" s="181"/>
      <c r="M285" s="181"/>
      <c r="N285" s="181"/>
      <c r="O285" s="181"/>
      <c r="P285" s="181"/>
      <c r="Q285" s="181"/>
      <c r="R285" s="181"/>
      <c r="S285" s="181"/>
      <c r="T285" s="181"/>
      <c r="U285" s="181"/>
      <c r="V285" s="181"/>
      <c r="W285" s="181"/>
      <c r="X285" s="181"/>
      <c r="Y285" s="181"/>
      <c r="Z285" s="181"/>
    </row>
    <row r="286" ht="14.25" customHeight="1">
      <c r="A286" s="181"/>
      <c r="B286" s="181"/>
      <c r="C286" s="181"/>
      <c r="D286" s="181"/>
      <c r="E286" s="181"/>
      <c r="F286" s="181"/>
      <c r="G286" s="181"/>
      <c r="H286" s="181"/>
      <c r="I286" s="181"/>
      <c r="J286" s="181"/>
      <c r="K286" s="181"/>
      <c r="L286" s="181"/>
      <c r="M286" s="181"/>
      <c r="N286" s="181"/>
      <c r="O286" s="181"/>
      <c r="P286" s="181"/>
      <c r="Q286" s="181"/>
      <c r="R286" s="181"/>
      <c r="S286" s="181"/>
      <c r="T286" s="181"/>
      <c r="U286" s="181"/>
      <c r="V286" s="181"/>
      <c r="W286" s="181"/>
      <c r="X286" s="181"/>
      <c r="Y286" s="181"/>
      <c r="Z286" s="181"/>
    </row>
    <row r="287" ht="14.25" customHeight="1">
      <c r="A287" s="181"/>
      <c r="B287" s="181"/>
      <c r="C287" s="181"/>
      <c r="D287" s="181"/>
      <c r="E287" s="181"/>
      <c r="F287" s="181"/>
      <c r="G287" s="181"/>
      <c r="H287" s="181"/>
      <c r="I287" s="181"/>
      <c r="J287" s="181"/>
      <c r="K287" s="181"/>
      <c r="L287" s="181"/>
      <c r="M287" s="181"/>
      <c r="N287" s="181"/>
      <c r="O287" s="181"/>
      <c r="P287" s="181"/>
      <c r="Q287" s="181"/>
      <c r="R287" s="181"/>
      <c r="S287" s="181"/>
      <c r="T287" s="181"/>
      <c r="U287" s="181"/>
      <c r="V287" s="181"/>
      <c r="W287" s="181"/>
      <c r="X287" s="181"/>
      <c r="Y287" s="181"/>
      <c r="Z287" s="181"/>
    </row>
    <row r="288" ht="14.25" customHeight="1">
      <c r="A288" s="181"/>
      <c r="B288" s="181"/>
      <c r="C288" s="181"/>
      <c r="D288" s="181"/>
      <c r="E288" s="181"/>
      <c r="F288" s="181"/>
      <c r="G288" s="181"/>
      <c r="H288" s="181"/>
      <c r="I288" s="181"/>
      <c r="J288" s="181"/>
      <c r="K288" s="181"/>
      <c r="L288" s="181"/>
      <c r="M288" s="181"/>
      <c r="N288" s="181"/>
      <c r="O288" s="181"/>
      <c r="P288" s="181"/>
      <c r="Q288" s="181"/>
      <c r="R288" s="181"/>
      <c r="S288" s="181"/>
      <c r="T288" s="181"/>
      <c r="U288" s="181"/>
      <c r="V288" s="181"/>
      <c r="W288" s="181"/>
      <c r="X288" s="181"/>
      <c r="Y288" s="181"/>
      <c r="Z288" s="181"/>
    </row>
    <row r="289" ht="14.25" customHeight="1">
      <c r="A289" s="181"/>
      <c r="B289" s="181"/>
      <c r="C289" s="181"/>
      <c r="D289" s="181"/>
      <c r="E289" s="181"/>
      <c r="F289" s="181"/>
      <c r="G289" s="181"/>
      <c r="H289" s="181"/>
      <c r="I289" s="181"/>
      <c r="J289" s="181"/>
      <c r="K289" s="181"/>
      <c r="L289" s="181"/>
      <c r="M289" s="181"/>
      <c r="N289" s="181"/>
      <c r="O289" s="181"/>
      <c r="P289" s="181"/>
      <c r="Q289" s="181"/>
      <c r="R289" s="181"/>
      <c r="S289" s="181"/>
      <c r="T289" s="181"/>
      <c r="U289" s="181"/>
      <c r="V289" s="181"/>
      <c r="W289" s="181"/>
      <c r="X289" s="181"/>
      <c r="Y289" s="181"/>
      <c r="Z289" s="181"/>
    </row>
    <row r="290" ht="14.25" customHeight="1">
      <c r="A290" s="181"/>
      <c r="B290" s="181"/>
      <c r="C290" s="181"/>
      <c r="D290" s="181"/>
      <c r="E290" s="181"/>
      <c r="F290" s="181"/>
      <c r="G290" s="181"/>
      <c r="H290" s="181"/>
      <c r="I290" s="181"/>
      <c r="J290" s="181"/>
      <c r="K290" s="181"/>
      <c r="L290" s="181"/>
      <c r="M290" s="181"/>
      <c r="N290" s="181"/>
      <c r="O290" s="181"/>
      <c r="P290" s="181"/>
      <c r="Q290" s="181"/>
      <c r="R290" s="181"/>
      <c r="S290" s="181"/>
      <c r="T290" s="181"/>
      <c r="U290" s="181"/>
      <c r="V290" s="181"/>
      <c r="W290" s="181"/>
      <c r="X290" s="181"/>
      <c r="Y290" s="181"/>
      <c r="Z290" s="181"/>
    </row>
    <row r="291" ht="14.25" customHeight="1">
      <c r="A291" s="181"/>
      <c r="B291" s="181"/>
      <c r="C291" s="181"/>
      <c r="D291" s="181"/>
      <c r="E291" s="181"/>
      <c r="F291" s="181"/>
      <c r="G291" s="181"/>
      <c r="H291" s="181"/>
      <c r="I291" s="181"/>
      <c r="J291" s="181"/>
      <c r="K291" s="181"/>
      <c r="L291" s="181"/>
      <c r="M291" s="181"/>
      <c r="N291" s="181"/>
      <c r="O291" s="181"/>
      <c r="P291" s="181"/>
      <c r="Q291" s="181"/>
      <c r="R291" s="181"/>
      <c r="S291" s="181"/>
      <c r="T291" s="181"/>
      <c r="U291" s="181"/>
      <c r="V291" s="181"/>
      <c r="W291" s="181"/>
      <c r="X291" s="181"/>
      <c r="Y291" s="181"/>
      <c r="Z291" s="181"/>
    </row>
    <row r="292" ht="14.25" customHeight="1">
      <c r="A292" s="181"/>
      <c r="B292" s="181"/>
      <c r="C292" s="181"/>
      <c r="D292" s="181"/>
      <c r="E292" s="181"/>
      <c r="F292" s="181"/>
      <c r="G292" s="181"/>
      <c r="H292" s="181"/>
      <c r="I292" s="181"/>
      <c r="J292" s="181"/>
      <c r="K292" s="181"/>
      <c r="L292" s="181"/>
      <c r="M292" s="181"/>
      <c r="N292" s="181"/>
      <c r="O292" s="181"/>
      <c r="P292" s="181"/>
      <c r="Q292" s="181"/>
      <c r="R292" s="181"/>
      <c r="S292" s="181"/>
      <c r="T292" s="181"/>
      <c r="U292" s="181"/>
      <c r="V292" s="181"/>
      <c r="W292" s="181"/>
      <c r="X292" s="181"/>
      <c r="Y292" s="181"/>
      <c r="Z292" s="181"/>
    </row>
    <row r="293" ht="14.25" customHeight="1">
      <c r="A293" s="181"/>
      <c r="B293" s="181"/>
      <c r="C293" s="181"/>
      <c r="D293" s="181"/>
      <c r="E293" s="181"/>
      <c r="F293" s="181"/>
      <c r="G293" s="181"/>
      <c r="H293" s="181"/>
      <c r="I293" s="181"/>
      <c r="J293" s="181"/>
      <c r="K293" s="181"/>
      <c r="L293" s="181"/>
      <c r="M293" s="181"/>
      <c r="N293" s="181"/>
      <c r="O293" s="181"/>
      <c r="P293" s="181"/>
      <c r="Q293" s="181"/>
      <c r="R293" s="181"/>
      <c r="S293" s="181"/>
      <c r="T293" s="181"/>
      <c r="U293" s="181"/>
      <c r="V293" s="181"/>
      <c r="W293" s="181"/>
      <c r="X293" s="181"/>
      <c r="Y293" s="181"/>
      <c r="Z293" s="181"/>
    </row>
    <row r="294" ht="14.25" customHeight="1">
      <c r="A294" s="181"/>
      <c r="B294" s="181"/>
      <c r="C294" s="181"/>
      <c r="D294" s="181"/>
      <c r="E294" s="181"/>
      <c r="F294" s="181"/>
      <c r="G294" s="181"/>
      <c r="H294" s="181"/>
      <c r="I294" s="181"/>
      <c r="J294" s="181"/>
      <c r="K294" s="181"/>
      <c r="L294" s="181"/>
      <c r="M294" s="181"/>
      <c r="N294" s="181"/>
      <c r="O294" s="181"/>
      <c r="P294" s="181"/>
      <c r="Q294" s="181"/>
      <c r="R294" s="181"/>
      <c r="S294" s="181"/>
      <c r="T294" s="181"/>
      <c r="U294" s="181"/>
      <c r="V294" s="181"/>
      <c r="W294" s="181"/>
      <c r="X294" s="181"/>
      <c r="Y294" s="181"/>
      <c r="Z294" s="181"/>
    </row>
    <row r="295" ht="14.25" customHeight="1">
      <c r="A295" s="181"/>
      <c r="B295" s="181"/>
      <c r="C295" s="181"/>
      <c r="D295" s="181"/>
      <c r="E295" s="181"/>
      <c r="F295" s="181"/>
      <c r="G295" s="181"/>
      <c r="H295" s="181"/>
      <c r="I295" s="181"/>
      <c r="J295" s="181"/>
      <c r="K295" s="181"/>
      <c r="L295" s="181"/>
      <c r="M295" s="181"/>
      <c r="N295" s="181"/>
      <c r="O295" s="181"/>
      <c r="P295" s="181"/>
      <c r="Q295" s="181"/>
      <c r="R295" s="181"/>
      <c r="S295" s="181"/>
      <c r="T295" s="181"/>
      <c r="U295" s="181"/>
      <c r="V295" s="181"/>
      <c r="W295" s="181"/>
      <c r="X295" s="181"/>
      <c r="Y295" s="181"/>
      <c r="Z295" s="181"/>
    </row>
    <row r="296" ht="14.25" customHeight="1">
      <c r="A296" s="181"/>
      <c r="B296" s="181"/>
      <c r="C296" s="181"/>
      <c r="D296" s="181"/>
      <c r="E296" s="181"/>
      <c r="F296" s="181"/>
      <c r="G296" s="181"/>
      <c r="H296" s="181"/>
      <c r="I296" s="181"/>
      <c r="J296" s="181"/>
      <c r="K296" s="181"/>
      <c r="L296" s="181"/>
      <c r="M296" s="181"/>
      <c r="N296" s="181"/>
      <c r="O296" s="181"/>
      <c r="P296" s="181"/>
      <c r="Q296" s="181"/>
      <c r="R296" s="181"/>
      <c r="S296" s="181"/>
      <c r="T296" s="181"/>
      <c r="U296" s="181"/>
      <c r="V296" s="181"/>
      <c r="W296" s="181"/>
      <c r="X296" s="181"/>
      <c r="Y296" s="181"/>
      <c r="Z296" s="181"/>
    </row>
    <row r="297" ht="14.25" customHeight="1">
      <c r="A297" s="181"/>
      <c r="B297" s="181"/>
      <c r="C297" s="181"/>
      <c r="D297" s="181"/>
      <c r="E297" s="181"/>
      <c r="F297" s="181"/>
      <c r="G297" s="181"/>
      <c r="H297" s="181"/>
      <c r="I297" s="181"/>
      <c r="J297" s="181"/>
      <c r="K297" s="181"/>
      <c r="L297" s="181"/>
      <c r="M297" s="181"/>
      <c r="N297" s="181"/>
      <c r="O297" s="181"/>
      <c r="P297" s="181"/>
      <c r="Q297" s="181"/>
      <c r="R297" s="181"/>
      <c r="S297" s="181"/>
      <c r="T297" s="181"/>
      <c r="U297" s="181"/>
      <c r="V297" s="181"/>
      <c r="W297" s="181"/>
      <c r="X297" s="181"/>
      <c r="Y297" s="181"/>
      <c r="Z297" s="181"/>
    </row>
    <row r="298" ht="14.25" customHeight="1">
      <c r="A298" s="181"/>
      <c r="B298" s="181"/>
      <c r="C298" s="181"/>
      <c r="D298" s="181"/>
      <c r="E298" s="181"/>
      <c r="F298" s="181"/>
      <c r="G298" s="181"/>
      <c r="H298" s="181"/>
      <c r="I298" s="181"/>
      <c r="J298" s="181"/>
      <c r="K298" s="181"/>
      <c r="L298" s="181"/>
      <c r="M298" s="181"/>
      <c r="N298" s="181"/>
      <c r="O298" s="181"/>
      <c r="P298" s="181"/>
      <c r="Q298" s="181"/>
      <c r="R298" s="181"/>
      <c r="S298" s="181"/>
      <c r="T298" s="181"/>
      <c r="U298" s="181"/>
      <c r="V298" s="181"/>
      <c r="W298" s="181"/>
      <c r="X298" s="181"/>
      <c r="Y298" s="181"/>
      <c r="Z298" s="181"/>
    </row>
    <row r="299" ht="14.25" customHeight="1">
      <c r="A299" s="181"/>
      <c r="B299" s="181"/>
      <c r="C299" s="181"/>
      <c r="D299" s="181"/>
      <c r="E299" s="181"/>
      <c r="F299" s="181"/>
      <c r="G299" s="181"/>
      <c r="H299" s="181"/>
      <c r="I299" s="181"/>
      <c r="J299" s="181"/>
      <c r="K299" s="181"/>
      <c r="L299" s="181"/>
      <c r="M299" s="181"/>
      <c r="N299" s="181"/>
      <c r="O299" s="181"/>
      <c r="P299" s="181"/>
      <c r="Q299" s="181"/>
      <c r="R299" s="181"/>
      <c r="S299" s="181"/>
      <c r="T299" s="181"/>
      <c r="U299" s="181"/>
      <c r="V299" s="181"/>
      <c r="W299" s="181"/>
      <c r="X299" s="181"/>
      <c r="Y299" s="181"/>
      <c r="Z299" s="181"/>
    </row>
    <row r="300" ht="14.25" customHeight="1">
      <c r="A300" s="181"/>
      <c r="B300" s="181"/>
      <c r="C300" s="181"/>
      <c r="D300" s="181"/>
      <c r="E300" s="181"/>
      <c r="F300" s="181"/>
      <c r="G300" s="181"/>
      <c r="H300" s="181"/>
      <c r="I300" s="181"/>
      <c r="J300" s="181"/>
      <c r="K300" s="181"/>
      <c r="L300" s="181"/>
      <c r="M300" s="181"/>
      <c r="N300" s="181"/>
      <c r="O300" s="181"/>
      <c r="P300" s="181"/>
      <c r="Q300" s="181"/>
      <c r="R300" s="181"/>
      <c r="S300" s="181"/>
      <c r="T300" s="181"/>
      <c r="U300" s="181"/>
      <c r="V300" s="181"/>
      <c r="W300" s="181"/>
      <c r="X300" s="181"/>
      <c r="Y300" s="181"/>
      <c r="Z300" s="181"/>
    </row>
    <row r="301" ht="14.25" customHeight="1">
      <c r="A301" s="181"/>
      <c r="B301" s="181"/>
      <c r="C301" s="181"/>
      <c r="D301" s="181"/>
      <c r="E301" s="181"/>
      <c r="F301" s="181"/>
      <c r="G301" s="181"/>
      <c r="H301" s="181"/>
      <c r="I301" s="181"/>
      <c r="J301" s="181"/>
      <c r="K301" s="181"/>
      <c r="L301" s="181"/>
      <c r="M301" s="181"/>
      <c r="N301" s="181"/>
      <c r="O301" s="181"/>
      <c r="P301" s="181"/>
      <c r="Q301" s="181"/>
      <c r="R301" s="181"/>
      <c r="S301" s="181"/>
      <c r="T301" s="181"/>
      <c r="U301" s="181"/>
      <c r="V301" s="181"/>
      <c r="W301" s="181"/>
      <c r="X301" s="181"/>
      <c r="Y301" s="181"/>
      <c r="Z301" s="181"/>
    </row>
    <row r="302" ht="14.25" customHeight="1">
      <c r="A302" s="181"/>
      <c r="B302" s="181"/>
      <c r="C302" s="181"/>
      <c r="D302" s="181"/>
      <c r="E302" s="181"/>
      <c r="F302" s="181"/>
      <c r="G302" s="181"/>
      <c r="H302" s="181"/>
      <c r="I302" s="181"/>
      <c r="J302" s="181"/>
      <c r="K302" s="181"/>
      <c r="L302" s="181"/>
      <c r="M302" s="181"/>
      <c r="N302" s="181"/>
      <c r="O302" s="181"/>
      <c r="P302" s="181"/>
      <c r="Q302" s="181"/>
      <c r="R302" s="181"/>
      <c r="S302" s="181"/>
      <c r="T302" s="181"/>
      <c r="U302" s="181"/>
      <c r="V302" s="181"/>
      <c r="W302" s="181"/>
      <c r="X302" s="181"/>
      <c r="Y302" s="181"/>
      <c r="Z302" s="181"/>
    </row>
    <row r="303" ht="14.25" customHeight="1">
      <c r="A303" s="181"/>
      <c r="B303" s="181"/>
      <c r="C303" s="181"/>
      <c r="D303" s="181"/>
      <c r="E303" s="181"/>
      <c r="F303" s="181"/>
      <c r="G303" s="181"/>
      <c r="H303" s="181"/>
      <c r="I303" s="181"/>
      <c r="J303" s="181"/>
      <c r="K303" s="181"/>
      <c r="L303" s="181"/>
      <c r="M303" s="181"/>
      <c r="N303" s="181"/>
      <c r="O303" s="181"/>
      <c r="P303" s="181"/>
      <c r="Q303" s="181"/>
      <c r="R303" s="181"/>
      <c r="S303" s="181"/>
      <c r="T303" s="181"/>
      <c r="U303" s="181"/>
      <c r="V303" s="181"/>
      <c r="W303" s="181"/>
      <c r="X303" s="181"/>
      <c r="Y303" s="181"/>
      <c r="Z303" s="181"/>
    </row>
    <row r="304" ht="14.25" customHeight="1">
      <c r="A304" s="181"/>
      <c r="B304" s="181"/>
      <c r="C304" s="181"/>
      <c r="D304" s="181"/>
      <c r="E304" s="181"/>
      <c r="F304" s="181"/>
      <c r="G304" s="181"/>
      <c r="H304" s="181"/>
      <c r="I304" s="181"/>
      <c r="J304" s="181"/>
      <c r="K304" s="181"/>
      <c r="L304" s="181"/>
      <c r="M304" s="181"/>
      <c r="N304" s="181"/>
      <c r="O304" s="181"/>
      <c r="P304" s="181"/>
      <c r="Q304" s="181"/>
      <c r="R304" s="181"/>
      <c r="S304" s="181"/>
      <c r="T304" s="181"/>
      <c r="U304" s="181"/>
      <c r="V304" s="181"/>
      <c r="W304" s="181"/>
      <c r="X304" s="181"/>
      <c r="Y304" s="181"/>
      <c r="Z304" s="181"/>
    </row>
    <row r="305" ht="14.25" customHeight="1">
      <c r="A305" s="181"/>
      <c r="B305" s="181"/>
      <c r="C305" s="181"/>
      <c r="D305" s="181"/>
      <c r="E305" s="181"/>
      <c r="F305" s="181"/>
      <c r="G305" s="181"/>
      <c r="H305" s="181"/>
      <c r="I305" s="181"/>
      <c r="J305" s="181"/>
      <c r="K305" s="181"/>
      <c r="L305" s="181"/>
      <c r="M305" s="181"/>
      <c r="N305" s="181"/>
      <c r="O305" s="181"/>
      <c r="P305" s="181"/>
      <c r="Q305" s="181"/>
      <c r="R305" s="181"/>
      <c r="S305" s="181"/>
      <c r="T305" s="181"/>
      <c r="U305" s="181"/>
      <c r="V305" s="181"/>
      <c r="W305" s="181"/>
      <c r="X305" s="181"/>
      <c r="Y305" s="181"/>
      <c r="Z305" s="181"/>
    </row>
    <row r="306" ht="14.25" customHeight="1">
      <c r="A306" s="181"/>
      <c r="B306" s="181"/>
      <c r="C306" s="181"/>
      <c r="D306" s="181"/>
      <c r="E306" s="181"/>
      <c r="F306" s="181"/>
      <c r="G306" s="181"/>
      <c r="H306" s="181"/>
      <c r="I306" s="181"/>
      <c r="J306" s="181"/>
      <c r="K306" s="181"/>
      <c r="L306" s="181"/>
      <c r="M306" s="181"/>
      <c r="N306" s="181"/>
      <c r="O306" s="181"/>
      <c r="P306" s="181"/>
      <c r="Q306" s="181"/>
      <c r="R306" s="181"/>
      <c r="S306" s="181"/>
      <c r="T306" s="181"/>
      <c r="U306" s="181"/>
      <c r="V306" s="181"/>
      <c r="W306" s="181"/>
      <c r="X306" s="181"/>
      <c r="Y306" s="181"/>
      <c r="Z306" s="181"/>
    </row>
    <row r="307" ht="14.25" customHeight="1">
      <c r="A307" s="181"/>
      <c r="B307" s="181"/>
      <c r="C307" s="181"/>
      <c r="D307" s="181"/>
      <c r="E307" s="181"/>
      <c r="F307" s="181"/>
      <c r="G307" s="181"/>
      <c r="H307" s="181"/>
      <c r="I307" s="181"/>
      <c r="J307" s="181"/>
      <c r="K307" s="181"/>
      <c r="L307" s="181"/>
      <c r="M307" s="181"/>
      <c r="N307" s="181"/>
      <c r="O307" s="181"/>
      <c r="P307" s="181"/>
      <c r="Q307" s="181"/>
      <c r="R307" s="181"/>
      <c r="S307" s="181"/>
      <c r="T307" s="181"/>
      <c r="U307" s="181"/>
      <c r="V307" s="181"/>
      <c r="W307" s="181"/>
      <c r="X307" s="181"/>
      <c r="Y307" s="181"/>
      <c r="Z307" s="181"/>
    </row>
    <row r="308" ht="14.25" customHeight="1">
      <c r="A308" s="181"/>
      <c r="B308" s="181"/>
      <c r="C308" s="181"/>
      <c r="D308" s="181"/>
      <c r="E308" s="181"/>
      <c r="F308" s="181"/>
      <c r="G308" s="181"/>
      <c r="H308" s="181"/>
      <c r="I308" s="181"/>
      <c r="J308" s="181"/>
      <c r="K308" s="181"/>
      <c r="L308" s="181"/>
      <c r="M308" s="181"/>
      <c r="N308" s="181"/>
      <c r="O308" s="181"/>
      <c r="P308" s="181"/>
      <c r="Q308" s="181"/>
      <c r="R308" s="181"/>
      <c r="S308" s="181"/>
      <c r="T308" s="181"/>
      <c r="U308" s="181"/>
      <c r="V308" s="181"/>
      <c r="W308" s="181"/>
      <c r="X308" s="181"/>
      <c r="Y308" s="181"/>
      <c r="Z308" s="181"/>
    </row>
    <row r="309" ht="14.25" customHeight="1">
      <c r="A309" s="181"/>
      <c r="B309" s="181"/>
      <c r="C309" s="181"/>
      <c r="D309" s="181"/>
      <c r="E309" s="181"/>
      <c r="F309" s="181"/>
      <c r="G309" s="181"/>
      <c r="H309" s="181"/>
      <c r="I309" s="181"/>
      <c r="J309" s="181"/>
      <c r="K309" s="181"/>
      <c r="L309" s="181"/>
      <c r="M309" s="181"/>
      <c r="N309" s="181"/>
      <c r="O309" s="181"/>
      <c r="P309" s="181"/>
      <c r="Q309" s="181"/>
      <c r="R309" s="181"/>
      <c r="S309" s="181"/>
      <c r="T309" s="181"/>
      <c r="U309" s="181"/>
      <c r="V309" s="181"/>
      <c r="W309" s="181"/>
      <c r="X309" s="181"/>
      <c r="Y309" s="181"/>
      <c r="Z309" s="181"/>
    </row>
    <row r="310" ht="14.25" customHeight="1">
      <c r="A310" s="181"/>
      <c r="B310" s="181"/>
      <c r="C310" s="181"/>
      <c r="D310" s="181"/>
      <c r="E310" s="181"/>
      <c r="F310" s="181"/>
      <c r="G310" s="181"/>
      <c r="H310" s="181"/>
      <c r="I310" s="181"/>
      <c r="J310" s="181"/>
      <c r="K310" s="181"/>
      <c r="L310" s="181"/>
      <c r="M310" s="181"/>
      <c r="N310" s="181"/>
      <c r="O310" s="181"/>
      <c r="P310" s="181"/>
      <c r="Q310" s="181"/>
      <c r="R310" s="181"/>
      <c r="S310" s="181"/>
      <c r="T310" s="181"/>
      <c r="U310" s="181"/>
      <c r="V310" s="181"/>
      <c r="W310" s="181"/>
      <c r="X310" s="181"/>
      <c r="Y310" s="181"/>
      <c r="Z310" s="181"/>
    </row>
    <row r="311" ht="14.25" customHeight="1">
      <c r="A311" s="181"/>
      <c r="B311" s="181"/>
      <c r="C311" s="181"/>
      <c r="D311" s="181"/>
      <c r="E311" s="181"/>
      <c r="F311" s="181"/>
      <c r="G311" s="181"/>
      <c r="H311" s="181"/>
      <c r="I311" s="181"/>
      <c r="J311" s="181"/>
      <c r="K311" s="181"/>
      <c r="L311" s="181"/>
      <c r="M311" s="181"/>
      <c r="N311" s="181"/>
      <c r="O311" s="181"/>
      <c r="P311" s="181"/>
      <c r="Q311" s="181"/>
      <c r="R311" s="181"/>
      <c r="S311" s="181"/>
      <c r="T311" s="181"/>
      <c r="U311" s="181"/>
      <c r="V311" s="181"/>
      <c r="W311" s="181"/>
      <c r="X311" s="181"/>
      <c r="Y311" s="181"/>
      <c r="Z311" s="181"/>
    </row>
    <row r="312" ht="14.25" customHeight="1">
      <c r="A312" s="181"/>
      <c r="B312" s="181"/>
      <c r="C312" s="181"/>
      <c r="D312" s="181"/>
      <c r="E312" s="181"/>
      <c r="F312" s="181"/>
      <c r="G312" s="181"/>
      <c r="H312" s="181"/>
      <c r="I312" s="181"/>
      <c r="J312" s="181"/>
      <c r="K312" s="181"/>
      <c r="L312" s="181"/>
      <c r="M312" s="181"/>
      <c r="N312" s="181"/>
      <c r="O312" s="181"/>
      <c r="P312" s="181"/>
      <c r="Q312" s="181"/>
      <c r="R312" s="181"/>
      <c r="S312" s="181"/>
      <c r="T312" s="181"/>
      <c r="U312" s="181"/>
      <c r="V312" s="181"/>
      <c r="W312" s="181"/>
      <c r="X312" s="181"/>
      <c r="Y312" s="181"/>
      <c r="Z312" s="181"/>
    </row>
    <row r="313" ht="14.25" customHeight="1">
      <c r="A313" s="181"/>
      <c r="B313" s="181"/>
      <c r="C313" s="181"/>
      <c r="D313" s="181"/>
      <c r="E313" s="181"/>
      <c r="F313" s="181"/>
      <c r="G313" s="181"/>
      <c r="H313" s="181"/>
      <c r="I313" s="181"/>
      <c r="J313" s="181"/>
      <c r="K313" s="181"/>
      <c r="L313" s="181"/>
      <c r="M313" s="181"/>
      <c r="N313" s="181"/>
      <c r="O313" s="181"/>
      <c r="P313" s="181"/>
      <c r="Q313" s="181"/>
      <c r="R313" s="181"/>
      <c r="S313" s="181"/>
      <c r="T313" s="181"/>
      <c r="U313" s="181"/>
      <c r="V313" s="181"/>
      <c r="W313" s="181"/>
      <c r="X313" s="181"/>
      <c r="Y313" s="181"/>
      <c r="Z313" s="181"/>
    </row>
    <row r="314" ht="14.25" customHeight="1">
      <c r="A314" s="181"/>
      <c r="B314" s="181"/>
      <c r="C314" s="181"/>
      <c r="D314" s="181"/>
      <c r="E314" s="181"/>
      <c r="F314" s="181"/>
      <c r="G314" s="181"/>
      <c r="H314" s="181"/>
      <c r="I314" s="181"/>
      <c r="J314" s="181"/>
      <c r="K314" s="181"/>
      <c r="L314" s="181"/>
      <c r="M314" s="181"/>
      <c r="N314" s="181"/>
      <c r="O314" s="181"/>
      <c r="P314" s="181"/>
      <c r="Q314" s="181"/>
      <c r="R314" s="181"/>
      <c r="S314" s="181"/>
      <c r="T314" s="181"/>
      <c r="U314" s="181"/>
      <c r="V314" s="181"/>
      <c r="W314" s="181"/>
      <c r="X314" s="181"/>
      <c r="Y314" s="181"/>
      <c r="Z314" s="181"/>
    </row>
    <row r="315" ht="14.25" customHeight="1">
      <c r="A315" s="181"/>
      <c r="B315" s="181"/>
      <c r="C315" s="181"/>
      <c r="D315" s="181"/>
      <c r="E315" s="181"/>
      <c r="F315" s="181"/>
      <c r="G315" s="181"/>
      <c r="H315" s="181"/>
      <c r="I315" s="181"/>
      <c r="J315" s="181"/>
      <c r="K315" s="181"/>
      <c r="L315" s="181"/>
      <c r="M315" s="181"/>
      <c r="N315" s="181"/>
      <c r="O315" s="181"/>
      <c r="P315" s="181"/>
      <c r="Q315" s="181"/>
      <c r="R315" s="181"/>
      <c r="S315" s="181"/>
      <c r="T315" s="181"/>
      <c r="U315" s="181"/>
      <c r="V315" s="181"/>
      <c r="W315" s="181"/>
      <c r="X315" s="181"/>
      <c r="Y315" s="181"/>
      <c r="Z315" s="181"/>
    </row>
    <row r="316" ht="14.25" customHeight="1">
      <c r="A316" s="181"/>
      <c r="B316" s="181"/>
      <c r="C316" s="181"/>
      <c r="D316" s="181"/>
      <c r="E316" s="181"/>
      <c r="F316" s="181"/>
      <c r="G316" s="181"/>
      <c r="H316" s="181"/>
      <c r="I316" s="181"/>
      <c r="J316" s="181"/>
      <c r="K316" s="181"/>
      <c r="L316" s="181"/>
      <c r="M316" s="181"/>
      <c r="N316" s="181"/>
      <c r="O316" s="181"/>
      <c r="P316" s="181"/>
      <c r="Q316" s="181"/>
      <c r="R316" s="181"/>
      <c r="S316" s="181"/>
      <c r="T316" s="181"/>
      <c r="U316" s="181"/>
      <c r="V316" s="181"/>
      <c r="W316" s="181"/>
      <c r="X316" s="181"/>
      <c r="Y316" s="181"/>
      <c r="Z316" s="181"/>
    </row>
    <row r="317" ht="14.25" customHeight="1">
      <c r="A317" s="181"/>
      <c r="B317" s="181"/>
      <c r="C317" s="181"/>
      <c r="D317" s="181"/>
      <c r="E317" s="181"/>
      <c r="F317" s="181"/>
      <c r="G317" s="181"/>
      <c r="H317" s="181"/>
      <c r="I317" s="181"/>
      <c r="J317" s="181"/>
      <c r="K317" s="181"/>
      <c r="L317" s="181"/>
      <c r="M317" s="181"/>
      <c r="N317" s="181"/>
      <c r="O317" s="181"/>
      <c r="P317" s="181"/>
      <c r="Q317" s="181"/>
      <c r="R317" s="181"/>
      <c r="S317" s="181"/>
      <c r="T317" s="181"/>
      <c r="U317" s="181"/>
      <c r="V317" s="181"/>
      <c r="W317" s="181"/>
      <c r="X317" s="181"/>
      <c r="Y317" s="181"/>
      <c r="Z317" s="181"/>
    </row>
    <row r="318" ht="14.25" customHeight="1">
      <c r="A318" s="181"/>
      <c r="B318" s="181"/>
      <c r="C318" s="181"/>
      <c r="D318" s="181"/>
      <c r="E318" s="181"/>
      <c r="F318" s="181"/>
      <c r="G318" s="181"/>
      <c r="H318" s="181"/>
      <c r="I318" s="181"/>
      <c r="J318" s="181"/>
      <c r="K318" s="181"/>
      <c r="L318" s="181"/>
      <c r="M318" s="181"/>
      <c r="N318" s="181"/>
      <c r="O318" s="181"/>
      <c r="P318" s="181"/>
      <c r="Q318" s="181"/>
      <c r="R318" s="181"/>
      <c r="S318" s="181"/>
      <c r="T318" s="181"/>
      <c r="U318" s="181"/>
      <c r="V318" s="181"/>
      <c r="W318" s="181"/>
      <c r="X318" s="181"/>
      <c r="Y318" s="181"/>
      <c r="Z318" s="181"/>
    </row>
    <row r="319" ht="14.25" customHeight="1">
      <c r="A319" s="181"/>
      <c r="B319" s="181"/>
      <c r="C319" s="181"/>
      <c r="D319" s="181"/>
      <c r="E319" s="181"/>
      <c r="F319" s="181"/>
      <c r="G319" s="181"/>
      <c r="H319" s="181"/>
      <c r="I319" s="181"/>
      <c r="J319" s="181"/>
      <c r="K319" s="181"/>
      <c r="L319" s="181"/>
      <c r="M319" s="181"/>
      <c r="N319" s="181"/>
      <c r="O319" s="181"/>
      <c r="P319" s="181"/>
      <c r="Q319" s="181"/>
      <c r="R319" s="181"/>
      <c r="S319" s="181"/>
      <c r="T319" s="181"/>
      <c r="U319" s="181"/>
      <c r="V319" s="181"/>
      <c r="W319" s="181"/>
      <c r="X319" s="181"/>
      <c r="Y319" s="181"/>
      <c r="Z319" s="181"/>
    </row>
    <row r="320" ht="14.25" customHeight="1">
      <c r="A320" s="181"/>
      <c r="B320" s="181"/>
      <c r="C320" s="181"/>
      <c r="D320" s="181"/>
      <c r="E320" s="181"/>
      <c r="F320" s="181"/>
      <c r="G320" s="181"/>
      <c r="H320" s="181"/>
      <c r="I320" s="181"/>
      <c r="J320" s="181"/>
      <c r="K320" s="181"/>
      <c r="L320" s="181"/>
      <c r="M320" s="181"/>
      <c r="N320" s="181"/>
      <c r="O320" s="181"/>
      <c r="P320" s="181"/>
      <c r="Q320" s="181"/>
      <c r="R320" s="181"/>
      <c r="S320" s="181"/>
      <c r="T320" s="181"/>
      <c r="U320" s="181"/>
      <c r="V320" s="181"/>
      <c r="W320" s="181"/>
      <c r="X320" s="181"/>
      <c r="Y320" s="181"/>
      <c r="Z320" s="181"/>
    </row>
    <row r="321" ht="14.25" customHeight="1">
      <c r="A321" s="181"/>
      <c r="B321" s="181"/>
      <c r="C321" s="181"/>
      <c r="D321" s="181"/>
      <c r="E321" s="181"/>
      <c r="F321" s="181"/>
      <c r="G321" s="181"/>
      <c r="H321" s="181"/>
      <c r="I321" s="181"/>
      <c r="J321" s="181"/>
      <c r="K321" s="181"/>
      <c r="L321" s="181"/>
      <c r="M321" s="181"/>
      <c r="N321" s="181"/>
      <c r="O321" s="181"/>
      <c r="P321" s="181"/>
      <c r="Q321" s="181"/>
      <c r="R321" s="181"/>
      <c r="S321" s="181"/>
      <c r="T321" s="181"/>
      <c r="U321" s="181"/>
      <c r="V321" s="181"/>
      <c r="W321" s="181"/>
      <c r="X321" s="181"/>
      <c r="Y321" s="181"/>
      <c r="Z321" s="181"/>
    </row>
    <row r="322" ht="14.25" customHeight="1">
      <c r="A322" s="181"/>
      <c r="B322" s="181"/>
      <c r="C322" s="181"/>
      <c r="D322" s="181"/>
      <c r="E322" s="181"/>
      <c r="F322" s="181"/>
      <c r="G322" s="181"/>
      <c r="H322" s="181"/>
      <c r="I322" s="181"/>
      <c r="J322" s="181"/>
      <c r="K322" s="181"/>
      <c r="L322" s="181"/>
      <c r="M322" s="181"/>
      <c r="N322" s="181"/>
      <c r="O322" s="181"/>
      <c r="P322" s="181"/>
      <c r="Q322" s="181"/>
      <c r="R322" s="181"/>
      <c r="S322" s="181"/>
      <c r="T322" s="181"/>
      <c r="U322" s="181"/>
      <c r="V322" s="181"/>
      <c r="W322" s="181"/>
      <c r="X322" s="181"/>
      <c r="Y322" s="181"/>
      <c r="Z322" s="181"/>
    </row>
    <row r="323" ht="14.25" customHeight="1">
      <c r="A323" s="181"/>
      <c r="B323" s="181"/>
      <c r="C323" s="181"/>
      <c r="D323" s="181"/>
      <c r="E323" s="181"/>
      <c r="F323" s="181"/>
      <c r="G323" s="181"/>
      <c r="H323" s="181"/>
      <c r="I323" s="181"/>
      <c r="J323" s="181"/>
      <c r="K323" s="181"/>
      <c r="L323" s="181"/>
      <c r="M323" s="181"/>
      <c r="N323" s="181"/>
      <c r="O323" s="181"/>
      <c r="P323" s="181"/>
      <c r="Q323" s="181"/>
      <c r="R323" s="181"/>
      <c r="S323" s="181"/>
      <c r="T323" s="181"/>
      <c r="U323" s="181"/>
      <c r="V323" s="181"/>
      <c r="W323" s="181"/>
      <c r="X323" s="181"/>
      <c r="Y323" s="181"/>
      <c r="Z323" s="181"/>
    </row>
    <row r="324" ht="14.25" customHeight="1">
      <c r="A324" s="181"/>
      <c r="B324" s="181"/>
      <c r="C324" s="181"/>
      <c r="D324" s="181"/>
      <c r="E324" s="181"/>
      <c r="F324" s="181"/>
      <c r="G324" s="181"/>
      <c r="H324" s="181"/>
      <c r="I324" s="181"/>
      <c r="J324" s="181"/>
      <c r="K324" s="181"/>
      <c r="L324" s="181"/>
      <c r="M324" s="181"/>
      <c r="N324" s="181"/>
      <c r="O324" s="181"/>
      <c r="P324" s="181"/>
      <c r="Q324" s="181"/>
      <c r="R324" s="181"/>
      <c r="S324" s="181"/>
      <c r="T324" s="181"/>
      <c r="U324" s="181"/>
      <c r="V324" s="181"/>
      <c r="W324" s="181"/>
      <c r="X324" s="181"/>
      <c r="Y324" s="181"/>
      <c r="Z324" s="181"/>
    </row>
    <row r="325" ht="14.25" customHeight="1">
      <c r="A325" s="181"/>
      <c r="B325" s="181"/>
      <c r="C325" s="181"/>
      <c r="D325" s="181"/>
      <c r="E325" s="181"/>
      <c r="F325" s="181"/>
      <c r="G325" s="181"/>
      <c r="H325" s="181"/>
      <c r="I325" s="181"/>
      <c r="J325" s="181"/>
      <c r="K325" s="181"/>
      <c r="L325" s="181"/>
      <c r="M325" s="181"/>
      <c r="N325" s="181"/>
      <c r="O325" s="181"/>
      <c r="P325" s="181"/>
      <c r="Q325" s="181"/>
      <c r="R325" s="181"/>
      <c r="S325" s="181"/>
      <c r="T325" s="181"/>
      <c r="U325" s="181"/>
      <c r="V325" s="181"/>
      <c r="W325" s="181"/>
      <c r="X325" s="181"/>
      <c r="Y325" s="181"/>
      <c r="Z325" s="181"/>
    </row>
    <row r="326" ht="14.25" customHeight="1">
      <c r="A326" s="181"/>
      <c r="B326" s="181"/>
      <c r="C326" s="181"/>
      <c r="D326" s="181"/>
      <c r="E326" s="181"/>
      <c r="F326" s="181"/>
      <c r="G326" s="181"/>
      <c r="H326" s="181"/>
      <c r="I326" s="181"/>
      <c r="J326" s="181"/>
      <c r="K326" s="181"/>
      <c r="L326" s="181"/>
      <c r="M326" s="181"/>
      <c r="N326" s="181"/>
      <c r="O326" s="181"/>
      <c r="P326" s="181"/>
      <c r="Q326" s="181"/>
      <c r="R326" s="181"/>
      <c r="S326" s="181"/>
      <c r="T326" s="181"/>
      <c r="U326" s="181"/>
      <c r="V326" s="181"/>
      <c r="W326" s="181"/>
      <c r="X326" s="181"/>
      <c r="Y326" s="181"/>
      <c r="Z326" s="181"/>
    </row>
    <row r="327" ht="14.25" customHeight="1">
      <c r="A327" s="181"/>
      <c r="B327" s="181"/>
      <c r="C327" s="181"/>
      <c r="D327" s="181"/>
      <c r="E327" s="181"/>
      <c r="F327" s="181"/>
      <c r="G327" s="181"/>
      <c r="H327" s="181"/>
      <c r="I327" s="181"/>
      <c r="J327" s="181"/>
      <c r="K327" s="181"/>
      <c r="L327" s="181"/>
      <c r="M327" s="181"/>
      <c r="N327" s="181"/>
      <c r="O327" s="181"/>
      <c r="P327" s="181"/>
      <c r="Q327" s="181"/>
      <c r="R327" s="181"/>
      <c r="S327" s="181"/>
      <c r="T327" s="181"/>
      <c r="U327" s="181"/>
      <c r="V327" s="181"/>
      <c r="W327" s="181"/>
      <c r="X327" s="181"/>
      <c r="Y327" s="181"/>
      <c r="Z327" s="181"/>
    </row>
    <row r="328" ht="14.25" customHeight="1">
      <c r="A328" s="181"/>
      <c r="B328" s="181"/>
      <c r="C328" s="181"/>
      <c r="D328" s="181"/>
      <c r="E328" s="181"/>
      <c r="F328" s="181"/>
      <c r="G328" s="181"/>
      <c r="H328" s="181"/>
      <c r="I328" s="181"/>
      <c r="J328" s="181"/>
      <c r="K328" s="181"/>
      <c r="L328" s="181"/>
      <c r="M328" s="181"/>
      <c r="N328" s="181"/>
      <c r="O328" s="181"/>
      <c r="P328" s="181"/>
      <c r="Q328" s="181"/>
      <c r="R328" s="181"/>
      <c r="S328" s="181"/>
      <c r="T328" s="181"/>
      <c r="U328" s="181"/>
      <c r="V328" s="181"/>
      <c r="W328" s="181"/>
      <c r="X328" s="181"/>
      <c r="Y328" s="181"/>
      <c r="Z328" s="181"/>
    </row>
    <row r="329" ht="14.25" customHeight="1">
      <c r="A329" s="181"/>
      <c r="B329" s="181"/>
      <c r="C329" s="181"/>
      <c r="D329" s="181"/>
      <c r="E329" s="181"/>
      <c r="F329" s="181"/>
      <c r="G329" s="181"/>
      <c r="H329" s="181"/>
      <c r="I329" s="181"/>
      <c r="J329" s="181"/>
      <c r="K329" s="181"/>
      <c r="L329" s="181"/>
      <c r="M329" s="181"/>
      <c r="N329" s="181"/>
      <c r="O329" s="181"/>
      <c r="P329" s="181"/>
      <c r="Q329" s="181"/>
      <c r="R329" s="181"/>
      <c r="S329" s="181"/>
      <c r="T329" s="181"/>
      <c r="U329" s="181"/>
      <c r="V329" s="181"/>
      <c r="W329" s="181"/>
      <c r="X329" s="181"/>
      <c r="Y329" s="181"/>
      <c r="Z329" s="181"/>
    </row>
    <row r="330" ht="14.25" customHeight="1">
      <c r="A330" s="181"/>
      <c r="B330" s="181"/>
      <c r="C330" s="181"/>
      <c r="D330" s="181"/>
      <c r="E330" s="181"/>
      <c r="F330" s="181"/>
      <c r="G330" s="181"/>
      <c r="H330" s="181"/>
      <c r="I330" s="181"/>
      <c r="J330" s="181"/>
      <c r="K330" s="181"/>
      <c r="L330" s="181"/>
      <c r="M330" s="181"/>
      <c r="N330" s="181"/>
      <c r="O330" s="181"/>
      <c r="P330" s="181"/>
      <c r="Q330" s="181"/>
      <c r="R330" s="181"/>
      <c r="S330" s="181"/>
      <c r="T330" s="181"/>
      <c r="U330" s="181"/>
      <c r="V330" s="181"/>
      <c r="W330" s="181"/>
      <c r="X330" s="181"/>
      <c r="Y330" s="181"/>
      <c r="Z330" s="181"/>
    </row>
    <row r="331" ht="14.25" customHeight="1">
      <c r="A331" s="181"/>
      <c r="B331" s="181"/>
      <c r="C331" s="181"/>
      <c r="D331" s="181"/>
      <c r="E331" s="181"/>
      <c r="F331" s="181"/>
      <c r="G331" s="181"/>
      <c r="H331" s="181"/>
      <c r="I331" s="181"/>
      <c r="J331" s="181"/>
      <c r="K331" s="181"/>
      <c r="L331" s="181"/>
      <c r="M331" s="181"/>
      <c r="N331" s="181"/>
      <c r="O331" s="181"/>
      <c r="P331" s="181"/>
      <c r="Q331" s="181"/>
      <c r="R331" s="181"/>
      <c r="S331" s="181"/>
      <c r="T331" s="181"/>
      <c r="U331" s="181"/>
      <c r="V331" s="181"/>
      <c r="W331" s="181"/>
      <c r="X331" s="181"/>
      <c r="Y331" s="181"/>
      <c r="Z331" s="181"/>
    </row>
    <row r="332" ht="14.25" customHeight="1">
      <c r="A332" s="181"/>
      <c r="B332" s="181"/>
      <c r="C332" s="181"/>
      <c r="D332" s="181"/>
      <c r="E332" s="181"/>
      <c r="F332" s="181"/>
      <c r="G332" s="181"/>
      <c r="H332" s="181"/>
      <c r="I332" s="181"/>
      <c r="J332" s="181"/>
      <c r="K332" s="181"/>
      <c r="L332" s="181"/>
      <c r="M332" s="181"/>
      <c r="N332" s="181"/>
      <c r="O332" s="181"/>
      <c r="P332" s="181"/>
      <c r="Q332" s="181"/>
      <c r="R332" s="181"/>
      <c r="S332" s="181"/>
      <c r="T332" s="181"/>
      <c r="U332" s="181"/>
      <c r="V332" s="181"/>
      <c r="W332" s="181"/>
      <c r="X332" s="181"/>
      <c r="Y332" s="181"/>
      <c r="Z332" s="181"/>
    </row>
    <row r="333" ht="14.25" customHeight="1">
      <c r="A333" s="181"/>
      <c r="B333" s="181"/>
      <c r="C333" s="181"/>
      <c r="D333" s="181"/>
      <c r="E333" s="181"/>
      <c r="F333" s="181"/>
      <c r="G333" s="181"/>
      <c r="H333" s="181"/>
      <c r="I333" s="181"/>
      <c r="J333" s="181"/>
      <c r="K333" s="181"/>
      <c r="L333" s="181"/>
      <c r="M333" s="181"/>
      <c r="N333" s="181"/>
      <c r="O333" s="181"/>
      <c r="P333" s="181"/>
      <c r="Q333" s="181"/>
      <c r="R333" s="181"/>
      <c r="S333" s="181"/>
      <c r="T333" s="181"/>
      <c r="U333" s="181"/>
      <c r="V333" s="181"/>
      <c r="W333" s="181"/>
      <c r="X333" s="181"/>
      <c r="Y333" s="181"/>
      <c r="Z333" s="181"/>
    </row>
    <row r="334" ht="14.25" customHeight="1">
      <c r="A334" s="181"/>
      <c r="B334" s="181"/>
      <c r="C334" s="181"/>
      <c r="D334" s="181"/>
      <c r="E334" s="181"/>
      <c r="F334" s="181"/>
      <c r="G334" s="181"/>
      <c r="H334" s="181"/>
      <c r="I334" s="181"/>
      <c r="J334" s="181"/>
      <c r="K334" s="181"/>
      <c r="L334" s="181"/>
      <c r="M334" s="181"/>
      <c r="N334" s="181"/>
      <c r="O334" s="181"/>
      <c r="P334" s="181"/>
      <c r="Q334" s="181"/>
      <c r="R334" s="181"/>
      <c r="S334" s="181"/>
      <c r="T334" s="181"/>
      <c r="U334" s="181"/>
      <c r="V334" s="181"/>
      <c r="W334" s="181"/>
      <c r="X334" s="181"/>
      <c r="Y334" s="181"/>
      <c r="Z334" s="181"/>
    </row>
    <row r="335" ht="14.25" customHeight="1">
      <c r="A335" s="181"/>
      <c r="B335" s="181"/>
      <c r="C335" s="181"/>
      <c r="D335" s="181"/>
      <c r="E335" s="181"/>
      <c r="F335" s="181"/>
      <c r="G335" s="181"/>
      <c r="H335" s="181"/>
      <c r="I335" s="181"/>
      <c r="J335" s="181"/>
      <c r="K335" s="181"/>
      <c r="L335" s="181"/>
      <c r="M335" s="181"/>
      <c r="N335" s="181"/>
      <c r="O335" s="181"/>
      <c r="P335" s="181"/>
      <c r="Q335" s="181"/>
      <c r="R335" s="181"/>
      <c r="S335" s="181"/>
      <c r="T335" s="181"/>
      <c r="U335" s="181"/>
      <c r="V335" s="181"/>
      <c r="W335" s="181"/>
      <c r="X335" s="181"/>
      <c r="Y335" s="181"/>
      <c r="Z335" s="181"/>
    </row>
    <row r="336" ht="14.25" customHeight="1">
      <c r="A336" s="181"/>
      <c r="B336" s="181"/>
      <c r="C336" s="181"/>
      <c r="D336" s="181"/>
      <c r="E336" s="181"/>
      <c r="F336" s="181"/>
      <c r="G336" s="181"/>
      <c r="H336" s="181"/>
      <c r="I336" s="181"/>
      <c r="J336" s="181"/>
      <c r="K336" s="181"/>
      <c r="L336" s="181"/>
      <c r="M336" s="181"/>
      <c r="N336" s="181"/>
      <c r="O336" s="181"/>
      <c r="P336" s="181"/>
      <c r="Q336" s="181"/>
      <c r="R336" s="181"/>
      <c r="S336" s="181"/>
      <c r="T336" s="181"/>
      <c r="U336" s="181"/>
      <c r="V336" s="181"/>
      <c r="W336" s="181"/>
      <c r="X336" s="181"/>
      <c r="Y336" s="181"/>
      <c r="Z336" s="181"/>
    </row>
    <row r="337" ht="14.25" customHeight="1">
      <c r="A337" s="181"/>
      <c r="B337" s="181"/>
      <c r="C337" s="181"/>
      <c r="D337" s="181"/>
      <c r="E337" s="181"/>
      <c r="F337" s="181"/>
      <c r="G337" s="181"/>
      <c r="H337" s="181"/>
      <c r="I337" s="181"/>
      <c r="J337" s="181"/>
      <c r="K337" s="181"/>
      <c r="L337" s="181"/>
      <c r="M337" s="181"/>
      <c r="N337" s="181"/>
      <c r="O337" s="181"/>
      <c r="P337" s="181"/>
      <c r="Q337" s="181"/>
      <c r="R337" s="181"/>
      <c r="S337" s="181"/>
      <c r="T337" s="181"/>
      <c r="U337" s="181"/>
      <c r="V337" s="181"/>
      <c r="W337" s="181"/>
      <c r="X337" s="181"/>
      <c r="Y337" s="181"/>
      <c r="Z337" s="181"/>
    </row>
    <row r="338" ht="14.25" customHeight="1">
      <c r="A338" s="181"/>
      <c r="B338" s="181"/>
      <c r="C338" s="181"/>
      <c r="D338" s="181"/>
      <c r="E338" s="181"/>
      <c r="F338" s="181"/>
      <c r="G338" s="181"/>
      <c r="H338" s="181"/>
      <c r="I338" s="181"/>
      <c r="J338" s="181"/>
      <c r="K338" s="181"/>
      <c r="L338" s="181"/>
      <c r="M338" s="181"/>
      <c r="N338" s="181"/>
      <c r="O338" s="181"/>
      <c r="P338" s="181"/>
      <c r="Q338" s="181"/>
      <c r="R338" s="181"/>
      <c r="S338" s="181"/>
      <c r="T338" s="181"/>
      <c r="U338" s="181"/>
      <c r="V338" s="181"/>
      <c r="W338" s="181"/>
      <c r="X338" s="181"/>
      <c r="Y338" s="181"/>
      <c r="Z338" s="181"/>
    </row>
    <row r="339" ht="14.25" customHeight="1">
      <c r="A339" s="181"/>
      <c r="B339" s="181"/>
      <c r="C339" s="181"/>
      <c r="D339" s="181"/>
      <c r="E339" s="181"/>
      <c r="F339" s="181"/>
      <c r="G339" s="181"/>
      <c r="H339" s="181"/>
      <c r="I339" s="181"/>
      <c r="J339" s="181"/>
      <c r="K339" s="181"/>
      <c r="L339" s="181"/>
      <c r="M339" s="181"/>
      <c r="N339" s="181"/>
      <c r="O339" s="181"/>
      <c r="P339" s="181"/>
      <c r="Q339" s="181"/>
      <c r="R339" s="181"/>
      <c r="S339" s="181"/>
      <c r="T339" s="181"/>
      <c r="U339" s="181"/>
      <c r="V339" s="181"/>
      <c r="W339" s="181"/>
      <c r="X339" s="181"/>
      <c r="Y339" s="181"/>
      <c r="Z339" s="181"/>
    </row>
    <row r="340" ht="14.25" customHeight="1">
      <c r="A340" s="181"/>
      <c r="B340" s="181"/>
      <c r="C340" s="181"/>
      <c r="D340" s="181"/>
      <c r="E340" s="181"/>
      <c r="F340" s="181"/>
      <c r="G340" s="181"/>
      <c r="H340" s="181"/>
      <c r="I340" s="181"/>
      <c r="J340" s="181"/>
      <c r="K340" s="181"/>
      <c r="L340" s="181"/>
      <c r="M340" s="181"/>
      <c r="N340" s="181"/>
      <c r="O340" s="181"/>
      <c r="P340" s="181"/>
      <c r="Q340" s="181"/>
      <c r="R340" s="181"/>
      <c r="S340" s="181"/>
      <c r="T340" s="181"/>
      <c r="U340" s="181"/>
      <c r="V340" s="181"/>
      <c r="W340" s="181"/>
      <c r="X340" s="181"/>
      <c r="Y340" s="181"/>
      <c r="Z340" s="181"/>
    </row>
    <row r="341" ht="14.25" customHeight="1">
      <c r="A341" s="181"/>
      <c r="B341" s="181"/>
      <c r="C341" s="181"/>
      <c r="D341" s="181"/>
      <c r="E341" s="181"/>
      <c r="F341" s="181"/>
      <c r="G341" s="181"/>
      <c r="H341" s="181"/>
      <c r="I341" s="181"/>
      <c r="J341" s="181"/>
      <c r="K341" s="181"/>
      <c r="L341" s="181"/>
      <c r="M341" s="181"/>
      <c r="N341" s="181"/>
      <c r="O341" s="181"/>
      <c r="P341" s="181"/>
      <c r="Q341" s="181"/>
      <c r="R341" s="181"/>
      <c r="S341" s="181"/>
      <c r="T341" s="181"/>
      <c r="U341" s="181"/>
      <c r="V341" s="181"/>
      <c r="W341" s="181"/>
      <c r="X341" s="181"/>
      <c r="Y341" s="181"/>
      <c r="Z341" s="181"/>
    </row>
    <row r="342" ht="14.25" customHeight="1">
      <c r="A342" s="181"/>
      <c r="B342" s="181"/>
      <c r="C342" s="181"/>
      <c r="D342" s="181"/>
      <c r="E342" s="181"/>
      <c r="F342" s="181"/>
      <c r="G342" s="181"/>
      <c r="H342" s="181"/>
      <c r="I342" s="181"/>
      <c r="J342" s="181"/>
      <c r="K342" s="181"/>
      <c r="L342" s="181"/>
      <c r="M342" s="181"/>
      <c r="N342" s="181"/>
      <c r="O342" s="181"/>
      <c r="P342" s="181"/>
      <c r="Q342" s="181"/>
      <c r="R342" s="181"/>
      <c r="S342" s="181"/>
      <c r="T342" s="181"/>
      <c r="U342" s="181"/>
      <c r="V342" s="181"/>
      <c r="W342" s="181"/>
      <c r="X342" s="181"/>
      <c r="Y342" s="181"/>
      <c r="Z342" s="181"/>
    </row>
    <row r="343" ht="14.25" customHeight="1">
      <c r="A343" s="181"/>
      <c r="B343" s="181"/>
      <c r="C343" s="181"/>
      <c r="D343" s="181"/>
      <c r="E343" s="181"/>
      <c r="F343" s="181"/>
      <c r="G343" s="181"/>
      <c r="H343" s="181"/>
      <c r="I343" s="181"/>
      <c r="J343" s="181"/>
      <c r="K343" s="181"/>
      <c r="L343" s="181"/>
      <c r="M343" s="181"/>
      <c r="N343" s="181"/>
      <c r="O343" s="181"/>
      <c r="P343" s="181"/>
      <c r="Q343" s="181"/>
      <c r="R343" s="181"/>
      <c r="S343" s="181"/>
      <c r="T343" s="181"/>
      <c r="U343" s="181"/>
      <c r="V343" s="181"/>
      <c r="W343" s="181"/>
      <c r="X343" s="181"/>
      <c r="Y343" s="181"/>
      <c r="Z343" s="181"/>
    </row>
    <row r="344" ht="14.25" customHeight="1">
      <c r="A344" s="181"/>
      <c r="B344" s="181"/>
      <c r="C344" s="181"/>
      <c r="D344" s="181"/>
      <c r="E344" s="181"/>
      <c r="F344" s="181"/>
      <c r="G344" s="181"/>
      <c r="H344" s="181"/>
      <c r="I344" s="181"/>
      <c r="J344" s="181"/>
      <c r="K344" s="181"/>
      <c r="L344" s="181"/>
      <c r="M344" s="181"/>
      <c r="N344" s="181"/>
      <c r="O344" s="181"/>
      <c r="P344" s="181"/>
      <c r="Q344" s="181"/>
      <c r="R344" s="181"/>
      <c r="S344" s="181"/>
      <c r="T344" s="181"/>
      <c r="U344" s="181"/>
      <c r="V344" s="181"/>
      <c r="W344" s="181"/>
      <c r="X344" s="181"/>
      <c r="Y344" s="181"/>
      <c r="Z344" s="181"/>
    </row>
    <row r="345" ht="14.25" customHeight="1">
      <c r="A345" s="181"/>
      <c r="B345" s="181"/>
      <c r="C345" s="181"/>
      <c r="D345" s="181"/>
      <c r="E345" s="181"/>
      <c r="F345" s="181"/>
      <c r="G345" s="181"/>
      <c r="H345" s="181"/>
      <c r="I345" s="181"/>
      <c r="J345" s="181"/>
      <c r="K345" s="181"/>
      <c r="L345" s="181"/>
      <c r="M345" s="181"/>
      <c r="N345" s="181"/>
      <c r="O345" s="181"/>
      <c r="P345" s="181"/>
      <c r="Q345" s="181"/>
      <c r="R345" s="181"/>
      <c r="S345" s="181"/>
      <c r="T345" s="181"/>
      <c r="U345" s="181"/>
      <c r="V345" s="181"/>
      <c r="W345" s="181"/>
      <c r="X345" s="181"/>
      <c r="Y345" s="181"/>
      <c r="Z345" s="181"/>
    </row>
    <row r="346" ht="14.25" customHeight="1">
      <c r="A346" s="181"/>
      <c r="B346" s="181"/>
      <c r="C346" s="181"/>
      <c r="D346" s="181"/>
      <c r="E346" s="181"/>
      <c r="F346" s="181"/>
      <c r="G346" s="181"/>
      <c r="H346" s="181"/>
      <c r="I346" s="181"/>
      <c r="J346" s="181"/>
      <c r="K346" s="181"/>
      <c r="L346" s="181"/>
      <c r="M346" s="181"/>
      <c r="N346" s="181"/>
      <c r="O346" s="181"/>
      <c r="P346" s="181"/>
      <c r="Q346" s="181"/>
      <c r="R346" s="181"/>
      <c r="S346" s="181"/>
      <c r="T346" s="181"/>
      <c r="U346" s="181"/>
      <c r="V346" s="181"/>
      <c r="W346" s="181"/>
      <c r="X346" s="181"/>
      <c r="Y346" s="181"/>
      <c r="Z346" s="181"/>
    </row>
    <row r="347" ht="14.25" customHeight="1">
      <c r="A347" s="181"/>
      <c r="B347" s="181"/>
      <c r="C347" s="181"/>
      <c r="D347" s="181"/>
      <c r="E347" s="181"/>
      <c r="F347" s="181"/>
      <c r="G347" s="181"/>
      <c r="H347" s="181"/>
      <c r="I347" s="181"/>
      <c r="J347" s="181"/>
      <c r="K347" s="181"/>
      <c r="L347" s="181"/>
      <c r="M347" s="181"/>
      <c r="N347" s="181"/>
      <c r="O347" s="181"/>
      <c r="P347" s="181"/>
      <c r="Q347" s="181"/>
      <c r="R347" s="181"/>
      <c r="S347" s="181"/>
      <c r="T347" s="181"/>
      <c r="U347" s="181"/>
      <c r="V347" s="181"/>
      <c r="W347" s="181"/>
      <c r="X347" s="181"/>
      <c r="Y347" s="181"/>
      <c r="Z347" s="181"/>
    </row>
    <row r="348" ht="14.25" customHeight="1">
      <c r="A348" s="181"/>
      <c r="B348" s="181"/>
      <c r="C348" s="181"/>
      <c r="D348" s="181"/>
      <c r="E348" s="181"/>
      <c r="F348" s="181"/>
      <c r="G348" s="181"/>
      <c r="H348" s="181"/>
      <c r="I348" s="181"/>
      <c r="J348" s="181"/>
      <c r="K348" s="181"/>
      <c r="L348" s="181"/>
      <c r="M348" s="181"/>
      <c r="N348" s="181"/>
      <c r="O348" s="181"/>
      <c r="P348" s="181"/>
      <c r="Q348" s="181"/>
      <c r="R348" s="181"/>
      <c r="S348" s="181"/>
      <c r="T348" s="181"/>
      <c r="U348" s="181"/>
      <c r="V348" s="181"/>
      <c r="W348" s="181"/>
      <c r="X348" s="181"/>
      <c r="Y348" s="181"/>
      <c r="Z348" s="181"/>
    </row>
    <row r="349" ht="14.25" customHeight="1">
      <c r="A349" s="181"/>
      <c r="B349" s="181"/>
      <c r="C349" s="181"/>
      <c r="D349" s="181"/>
      <c r="E349" s="181"/>
      <c r="F349" s="181"/>
      <c r="G349" s="181"/>
      <c r="H349" s="181"/>
      <c r="I349" s="181"/>
      <c r="J349" s="181"/>
      <c r="K349" s="181"/>
      <c r="L349" s="181"/>
      <c r="M349" s="181"/>
      <c r="N349" s="181"/>
      <c r="O349" s="181"/>
      <c r="P349" s="181"/>
      <c r="Q349" s="181"/>
      <c r="R349" s="181"/>
      <c r="S349" s="181"/>
      <c r="T349" s="181"/>
      <c r="U349" s="181"/>
      <c r="V349" s="181"/>
      <c r="W349" s="181"/>
      <c r="X349" s="181"/>
      <c r="Y349" s="181"/>
      <c r="Z349" s="181"/>
    </row>
    <row r="350" ht="14.25" customHeight="1">
      <c r="A350" s="181"/>
      <c r="B350" s="181"/>
      <c r="C350" s="181"/>
      <c r="D350" s="181"/>
      <c r="E350" s="181"/>
      <c r="F350" s="181"/>
      <c r="G350" s="181"/>
      <c r="H350" s="181"/>
      <c r="I350" s="181"/>
      <c r="J350" s="181"/>
      <c r="K350" s="181"/>
      <c r="L350" s="181"/>
      <c r="M350" s="181"/>
      <c r="N350" s="181"/>
      <c r="O350" s="181"/>
      <c r="P350" s="181"/>
      <c r="Q350" s="181"/>
      <c r="R350" s="181"/>
      <c r="S350" s="181"/>
      <c r="T350" s="181"/>
      <c r="U350" s="181"/>
      <c r="V350" s="181"/>
      <c r="W350" s="181"/>
      <c r="X350" s="181"/>
      <c r="Y350" s="181"/>
      <c r="Z350" s="181"/>
    </row>
    <row r="351" ht="14.25" customHeight="1">
      <c r="A351" s="181"/>
      <c r="B351" s="181"/>
      <c r="C351" s="181"/>
      <c r="D351" s="181"/>
      <c r="E351" s="181"/>
      <c r="F351" s="181"/>
      <c r="G351" s="181"/>
      <c r="H351" s="181"/>
      <c r="I351" s="181"/>
      <c r="J351" s="181"/>
      <c r="K351" s="181"/>
      <c r="L351" s="181"/>
      <c r="M351" s="181"/>
      <c r="N351" s="181"/>
      <c r="O351" s="181"/>
      <c r="P351" s="181"/>
      <c r="Q351" s="181"/>
      <c r="R351" s="181"/>
      <c r="S351" s="181"/>
      <c r="T351" s="181"/>
      <c r="U351" s="181"/>
      <c r="V351" s="181"/>
      <c r="W351" s="181"/>
      <c r="X351" s="181"/>
      <c r="Y351" s="181"/>
      <c r="Z351" s="181"/>
    </row>
    <row r="352" ht="14.25" customHeight="1">
      <c r="A352" s="181"/>
      <c r="B352" s="181"/>
      <c r="C352" s="181"/>
      <c r="D352" s="181"/>
      <c r="E352" s="181"/>
      <c r="F352" s="181"/>
      <c r="G352" s="181"/>
      <c r="H352" s="181"/>
      <c r="I352" s="181"/>
      <c r="J352" s="181"/>
      <c r="K352" s="181"/>
      <c r="L352" s="181"/>
      <c r="M352" s="181"/>
      <c r="N352" s="181"/>
      <c r="O352" s="181"/>
      <c r="P352" s="181"/>
      <c r="Q352" s="181"/>
      <c r="R352" s="181"/>
      <c r="S352" s="181"/>
      <c r="T352" s="181"/>
      <c r="U352" s="181"/>
      <c r="V352" s="181"/>
      <c r="W352" s="181"/>
      <c r="X352" s="181"/>
      <c r="Y352" s="181"/>
      <c r="Z352" s="181"/>
    </row>
    <row r="353" ht="14.25" customHeight="1">
      <c r="A353" s="181"/>
      <c r="B353" s="181"/>
      <c r="C353" s="181"/>
      <c r="D353" s="181"/>
      <c r="E353" s="181"/>
      <c r="F353" s="181"/>
      <c r="G353" s="181"/>
      <c r="H353" s="181"/>
      <c r="I353" s="181"/>
      <c r="J353" s="181"/>
      <c r="K353" s="181"/>
      <c r="L353" s="181"/>
      <c r="M353" s="181"/>
      <c r="N353" s="181"/>
      <c r="O353" s="181"/>
      <c r="P353" s="181"/>
      <c r="Q353" s="181"/>
      <c r="R353" s="181"/>
      <c r="S353" s="181"/>
      <c r="T353" s="181"/>
      <c r="U353" s="181"/>
      <c r="V353" s="181"/>
      <c r="W353" s="181"/>
      <c r="X353" s="181"/>
      <c r="Y353" s="181"/>
      <c r="Z353" s="181"/>
    </row>
    <row r="354" ht="14.25" customHeight="1">
      <c r="A354" s="181"/>
      <c r="B354" s="181"/>
      <c r="C354" s="181"/>
      <c r="D354" s="181"/>
      <c r="E354" s="181"/>
      <c r="F354" s="181"/>
      <c r="G354" s="181"/>
      <c r="H354" s="181"/>
      <c r="I354" s="181"/>
      <c r="J354" s="181"/>
      <c r="K354" s="181"/>
      <c r="L354" s="181"/>
      <c r="M354" s="181"/>
      <c r="N354" s="181"/>
      <c r="O354" s="181"/>
      <c r="P354" s="181"/>
      <c r="Q354" s="181"/>
      <c r="R354" s="181"/>
      <c r="S354" s="181"/>
      <c r="T354" s="181"/>
      <c r="U354" s="181"/>
      <c r="V354" s="181"/>
      <c r="W354" s="181"/>
      <c r="X354" s="181"/>
      <c r="Y354" s="181"/>
      <c r="Z354" s="181"/>
    </row>
    <row r="355" ht="14.25" customHeight="1">
      <c r="A355" s="181"/>
      <c r="B355" s="181"/>
      <c r="C355" s="181"/>
      <c r="D355" s="181"/>
      <c r="E355" s="181"/>
      <c r="F355" s="181"/>
      <c r="G355" s="181"/>
      <c r="H355" s="181"/>
      <c r="I355" s="181"/>
      <c r="J355" s="181"/>
      <c r="K355" s="181"/>
      <c r="L355" s="181"/>
      <c r="M355" s="181"/>
      <c r="N355" s="181"/>
      <c r="O355" s="181"/>
      <c r="P355" s="181"/>
      <c r="Q355" s="181"/>
      <c r="R355" s="181"/>
      <c r="S355" s="181"/>
      <c r="T355" s="181"/>
      <c r="U355" s="181"/>
      <c r="V355" s="181"/>
      <c r="W355" s="181"/>
      <c r="X355" s="181"/>
      <c r="Y355" s="181"/>
      <c r="Z355" s="181"/>
    </row>
    <row r="356" ht="14.25" customHeight="1">
      <c r="A356" s="181"/>
      <c r="B356" s="181"/>
      <c r="C356" s="181"/>
      <c r="D356" s="181"/>
      <c r="E356" s="181"/>
      <c r="F356" s="181"/>
      <c r="G356" s="181"/>
      <c r="H356" s="181"/>
      <c r="I356" s="181"/>
      <c r="J356" s="181"/>
      <c r="K356" s="181"/>
      <c r="L356" s="181"/>
      <c r="M356" s="181"/>
      <c r="N356" s="181"/>
      <c r="O356" s="181"/>
      <c r="P356" s="181"/>
      <c r="Q356" s="181"/>
      <c r="R356" s="181"/>
      <c r="S356" s="181"/>
      <c r="T356" s="181"/>
      <c r="U356" s="181"/>
      <c r="V356" s="181"/>
      <c r="W356" s="181"/>
      <c r="X356" s="181"/>
      <c r="Y356" s="181"/>
      <c r="Z356" s="181"/>
    </row>
    <row r="357" ht="14.25" customHeight="1">
      <c r="A357" s="181"/>
      <c r="B357" s="181"/>
      <c r="C357" s="181"/>
      <c r="D357" s="181"/>
      <c r="E357" s="181"/>
      <c r="F357" s="181"/>
      <c r="G357" s="181"/>
      <c r="H357" s="181"/>
      <c r="I357" s="181"/>
      <c r="J357" s="181"/>
      <c r="K357" s="181"/>
      <c r="L357" s="181"/>
      <c r="M357" s="181"/>
      <c r="N357" s="181"/>
      <c r="O357" s="181"/>
      <c r="P357" s="181"/>
      <c r="Q357" s="181"/>
      <c r="R357" s="181"/>
      <c r="S357" s="181"/>
      <c r="T357" s="181"/>
      <c r="U357" s="181"/>
      <c r="V357" s="181"/>
      <c r="W357" s="181"/>
      <c r="X357" s="181"/>
      <c r="Y357" s="181"/>
      <c r="Z357" s="181"/>
    </row>
    <row r="358" ht="14.25" customHeight="1">
      <c r="A358" s="181"/>
      <c r="B358" s="181"/>
      <c r="C358" s="181"/>
      <c r="D358" s="181"/>
      <c r="E358" s="181"/>
      <c r="F358" s="181"/>
      <c r="G358" s="181"/>
      <c r="H358" s="181"/>
      <c r="I358" s="181"/>
      <c r="J358" s="181"/>
      <c r="K358" s="181"/>
      <c r="L358" s="181"/>
      <c r="M358" s="181"/>
      <c r="N358" s="181"/>
      <c r="O358" s="181"/>
      <c r="P358" s="181"/>
      <c r="Q358" s="181"/>
      <c r="R358" s="181"/>
      <c r="S358" s="181"/>
      <c r="T358" s="181"/>
      <c r="U358" s="181"/>
      <c r="V358" s="181"/>
      <c r="W358" s="181"/>
      <c r="X358" s="181"/>
      <c r="Y358" s="181"/>
      <c r="Z358" s="181"/>
    </row>
    <row r="359" ht="14.25" customHeight="1">
      <c r="A359" s="181"/>
      <c r="B359" s="181"/>
      <c r="C359" s="181"/>
      <c r="D359" s="181"/>
      <c r="E359" s="181"/>
      <c r="F359" s="181"/>
      <c r="G359" s="181"/>
      <c r="H359" s="181"/>
      <c r="I359" s="181"/>
      <c r="J359" s="181"/>
      <c r="K359" s="181"/>
      <c r="L359" s="181"/>
      <c r="M359" s="181"/>
      <c r="N359" s="181"/>
      <c r="O359" s="181"/>
      <c r="P359" s="181"/>
      <c r="Q359" s="181"/>
      <c r="R359" s="181"/>
      <c r="S359" s="181"/>
      <c r="T359" s="181"/>
      <c r="U359" s="181"/>
      <c r="V359" s="181"/>
      <c r="W359" s="181"/>
      <c r="X359" s="181"/>
      <c r="Y359" s="181"/>
      <c r="Z359" s="181"/>
    </row>
    <row r="360" ht="14.25" customHeight="1">
      <c r="A360" s="181"/>
      <c r="B360" s="181"/>
      <c r="C360" s="181"/>
      <c r="D360" s="181"/>
      <c r="E360" s="181"/>
      <c r="F360" s="181"/>
      <c r="G360" s="181"/>
      <c r="H360" s="181"/>
      <c r="I360" s="181"/>
      <c r="J360" s="181"/>
      <c r="K360" s="181"/>
      <c r="L360" s="181"/>
      <c r="M360" s="181"/>
      <c r="N360" s="181"/>
      <c r="O360" s="181"/>
      <c r="P360" s="181"/>
      <c r="Q360" s="181"/>
      <c r="R360" s="181"/>
      <c r="S360" s="181"/>
      <c r="T360" s="181"/>
      <c r="U360" s="181"/>
      <c r="V360" s="181"/>
      <c r="W360" s="181"/>
      <c r="X360" s="181"/>
      <c r="Y360" s="181"/>
      <c r="Z360" s="181"/>
    </row>
    <row r="361" ht="14.25" customHeight="1">
      <c r="A361" s="181"/>
      <c r="B361" s="181"/>
      <c r="C361" s="181"/>
      <c r="D361" s="181"/>
      <c r="E361" s="181"/>
      <c r="F361" s="181"/>
      <c r="G361" s="181"/>
      <c r="H361" s="181"/>
      <c r="I361" s="181"/>
      <c r="J361" s="181"/>
      <c r="K361" s="181"/>
      <c r="L361" s="181"/>
      <c r="M361" s="181"/>
      <c r="N361" s="181"/>
      <c r="O361" s="181"/>
      <c r="P361" s="181"/>
      <c r="Q361" s="181"/>
      <c r="R361" s="181"/>
      <c r="S361" s="181"/>
      <c r="T361" s="181"/>
      <c r="U361" s="181"/>
      <c r="V361" s="181"/>
      <c r="W361" s="181"/>
      <c r="X361" s="181"/>
      <c r="Y361" s="181"/>
      <c r="Z361" s="181"/>
    </row>
    <row r="362" ht="14.25" customHeight="1">
      <c r="A362" s="181"/>
      <c r="B362" s="181"/>
      <c r="C362" s="181"/>
      <c r="D362" s="181"/>
      <c r="E362" s="181"/>
      <c r="F362" s="181"/>
      <c r="G362" s="181"/>
      <c r="H362" s="181"/>
      <c r="I362" s="181"/>
      <c r="J362" s="181"/>
      <c r="K362" s="181"/>
      <c r="L362" s="181"/>
      <c r="M362" s="181"/>
      <c r="N362" s="181"/>
      <c r="O362" s="181"/>
      <c r="P362" s="181"/>
      <c r="Q362" s="181"/>
      <c r="R362" s="181"/>
      <c r="S362" s="181"/>
      <c r="T362" s="181"/>
      <c r="U362" s="181"/>
      <c r="V362" s="181"/>
      <c r="W362" s="181"/>
      <c r="X362" s="181"/>
      <c r="Y362" s="181"/>
      <c r="Z362" s="181"/>
    </row>
    <row r="363" ht="14.25" customHeight="1">
      <c r="A363" s="181"/>
      <c r="B363" s="181"/>
      <c r="C363" s="181"/>
      <c r="D363" s="181"/>
      <c r="E363" s="181"/>
      <c r="F363" s="181"/>
      <c r="G363" s="181"/>
      <c r="H363" s="181"/>
      <c r="I363" s="181"/>
      <c r="J363" s="181"/>
      <c r="K363" s="181"/>
      <c r="L363" s="181"/>
      <c r="M363" s="181"/>
      <c r="N363" s="181"/>
      <c r="O363" s="181"/>
      <c r="P363" s="181"/>
      <c r="Q363" s="181"/>
      <c r="R363" s="181"/>
      <c r="S363" s="181"/>
      <c r="T363" s="181"/>
      <c r="U363" s="181"/>
      <c r="V363" s="181"/>
      <c r="W363" s="181"/>
      <c r="X363" s="181"/>
      <c r="Y363" s="181"/>
      <c r="Z363" s="181"/>
    </row>
    <row r="364" ht="14.25" customHeight="1">
      <c r="A364" s="181"/>
      <c r="B364" s="181"/>
      <c r="C364" s="181"/>
      <c r="D364" s="181"/>
      <c r="E364" s="181"/>
      <c r="F364" s="181"/>
      <c r="G364" s="181"/>
      <c r="H364" s="181"/>
      <c r="I364" s="181"/>
      <c r="J364" s="181"/>
      <c r="K364" s="181"/>
      <c r="L364" s="181"/>
      <c r="M364" s="181"/>
      <c r="N364" s="181"/>
      <c r="O364" s="181"/>
      <c r="P364" s="181"/>
      <c r="Q364" s="181"/>
      <c r="R364" s="181"/>
      <c r="S364" s="181"/>
      <c r="T364" s="181"/>
      <c r="U364" s="181"/>
      <c r="V364" s="181"/>
      <c r="W364" s="181"/>
      <c r="X364" s="181"/>
      <c r="Y364" s="181"/>
      <c r="Z364" s="181"/>
    </row>
    <row r="365" ht="14.25" customHeight="1">
      <c r="A365" s="181"/>
      <c r="B365" s="181"/>
      <c r="C365" s="181"/>
      <c r="D365" s="181"/>
      <c r="E365" s="181"/>
      <c r="F365" s="181"/>
      <c r="G365" s="181"/>
      <c r="H365" s="181"/>
      <c r="I365" s="181"/>
      <c r="J365" s="181"/>
      <c r="K365" s="181"/>
      <c r="L365" s="181"/>
      <c r="M365" s="181"/>
      <c r="N365" s="181"/>
      <c r="O365" s="181"/>
      <c r="P365" s="181"/>
      <c r="Q365" s="181"/>
      <c r="R365" s="181"/>
      <c r="S365" s="181"/>
      <c r="T365" s="181"/>
      <c r="U365" s="181"/>
      <c r="V365" s="181"/>
      <c r="W365" s="181"/>
      <c r="X365" s="181"/>
      <c r="Y365" s="181"/>
      <c r="Z365" s="181"/>
    </row>
    <row r="366" ht="14.25" customHeight="1">
      <c r="A366" s="181"/>
      <c r="B366" s="181"/>
      <c r="C366" s="181"/>
      <c r="D366" s="181"/>
      <c r="E366" s="181"/>
      <c r="F366" s="181"/>
      <c r="G366" s="181"/>
      <c r="H366" s="181"/>
      <c r="I366" s="181"/>
      <c r="J366" s="181"/>
      <c r="K366" s="181"/>
      <c r="L366" s="181"/>
      <c r="M366" s="181"/>
      <c r="N366" s="181"/>
      <c r="O366" s="181"/>
      <c r="P366" s="181"/>
      <c r="Q366" s="181"/>
      <c r="R366" s="181"/>
      <c r="S366" s="181"/>
      <c r="T366" s="181"/>
      <c r="U366" s="181"/>
      <c r="V366" s="181"/>
      <c r="W366" s="181"/>
      <c r="X366" s="181"/>
      <c r="Y366" s="181"/>
      <c r="Z366" s="181"/>
    </row>
    <row r="367" ht="14.25" customHeight="1">
      <c r="A367" s="181"/>
      <c r="B367" s="181"/>
      <c r="C367" s="181"/>
      <c r="D367" s="181"/>
      <c r="E367" s="181"/>
      <c r="F367" s="181"/>
      <c r="G367" s="181"/>
      <c r="H367" s="181"/>
      <c r="I367" s="181"/>
      <c r="J367" s="181"/>
      <c r="K367" s="181"/>
      <c r="L367" s="181"/>
      <c r="M367" s="181"/>
      <c r="N367" s="181"/>
      <c r="O367" s="181"/>
      <c r="P367" s="181"/>
      <c r="Q367" s="181"/>
      <c r="R367" s="181"/>
      <c r="S367" s="181"/>
      <c r="T367" s="181"/>
      <c r="U367" s="181"/>
      <c r="V367" s="181"/>
      <c r="W367" s="181"/>
      <c r="X367" s="181"/>
      <c r="Y367" s="181"/>
      <c r="Z367" s="181"/>
    </row>
    <row r="368" ht="14.25" customHeight="1">
      <c r="A368" s="181"/>
      <c r="B368" s="181"/>
      <c r="C368" s="181"/>
      <c r="D368" s="181"/>
      <c r="E368" s="181"/>
      <c r="F368" s="181"/>
      <c r="G368" s="181"/>
      <c r="H368" s="181"/>
      <c r="I368" s="181"/>
      <c r="J368" s="181"/>
      <c r="K368" s="181"/>
      <c r="L368" s="181"/>
      <c r="M368" s="181"/>
      <c r="N368" s="181"/>
      <c r="O368" s="181"/>
      <c r="P368" s="181"/>
      <c r="Q368" s="181"/>
      <c r="R368" s="181"/>
      <c r="S368" s="181"/>
      <c r="T368" s="181"/>
      <c r="U368" s="181"/>
      <c r="V368" s="181"/>
      <c r="W368" s="181"/>
      <c r="X368" s="181"/>
      <c r="Y368" s="181"/>
      <c r="Z368" s="181"/>
    </row>
    <row r="369" ht="14.25" customHeight="1">
      <c r="A369" s="181"/>
      <c r="B369" s="181"/>
      <c r="C369" s="181"/>
      <c r="D369" s="181"/>
      <c r="E369" s="181"/>
      <c r="F369" s="181"/>
      <c r="G369" s="181"/>
      <c r="H369" s="181"/>
      <c r="I369" s="181"/>
      <c r="J369" s="181"/>
      <c r="K369" s="181"/>
      <c r="L369" s="181"/>
      <c r="M369" s="181"/>
      <c r="N369" s="181"/>
      <c r="O369" s="181"/>
      <c r="P369" s="181"/>
      <c r="Q369" s="181"/>
      <c r="R369" s="181"/>
      <c r="S369" s="181"/>
      <c r="T369" s="181"/>
      <c r="U369" s="181"/>
      <c r="V369" s="181"/>
      <c r="W369" s="181"/>
      <c r="X369" s="181"/>
      <c r="Y369" s="181"/>
      <c r="Z369" s="181"/>
    </row>
    <row r="370" ht="14.25" customHeight="1">
      <c r="A370" s="181"/>
      <c r="B370" s="181"/>
      <c r="C370" s="181"/>
      <c r="D370" s="181"/>
      <c r="E370" s="181"/>
      <c r="F370" s="181"/>
      <c r="G370" s="181"/>
      <c r="H370" s="181"/>
      <c r="I370" s="181"/>
      <c r="J370" s="181"/>
      <c r="K370" s="181"/>
      <c r="L370" s="181"/>
      <c r="M370" s="181"/>
      <c r="N370" s="181"/>
      <c r="O370" s="181"/>
      <c r="P370" s="181"/>
      <c r="Q370" s="181"/>
      <c r="R370" s="181"/>
      <c r="S370" s="181"/>
      <c r="T370" s="181"/>
      <c r="U370" s="181"/>
      <c r="V370" s="181"/>
      <c r="W370" s="181"/>
      <c r="X370" s="181"/>
      <c r="Y370" s="181"/>
      <c r="Z370" s="181"/>
    </row>
    <row r="371" ht="14.25" customHeight="1">
      <c r="A371" s="181"/>
      <c r="B371" s="181"/>
      <c r="C371" s="181"/>
      <c r="D371" s="181"/>
      <c r="E371" s="181"/>
      <c r="F371" s="181"/>
      <c r="G371" s="181"/>
      <c r="H371" s="181"/>
      <c r="I371" s="181"/>
      <c r="J371" s="181"/>
      <c r="K371" s="181"/>
      <c r="L371" s="181"/>
      <c r="M371" s="181"/>
      <c r="N371" s="181"/>
      <c r="O371" s="181"/>
      <c r="P371" s="181"/>
      <c r="Q371" s="181"/>
      <c r="R371" s="181"/>
      <c r="S371" s="181"/>
      <c r="T371" s="181"/>
      <c r="U371" s="181"/>
      <c r="V371" s="181"/>
      <c r="W371" s="181"/>
      <c r="X371" s="181"/>
      <c r="Y371" s="181"/>
      <c r="Z371" s="181"/>
    </row>
    <row r="372" ht="14.25" customHeight="1">
      <c r="A372" s="181"/>
      <c r="B372" s="181"/>
      <c r="C372" s="181"/>
      <c r="D372" s="181"/>
      <c r="E372" s="181"/>
      <c r="F372" s="181"/>
      <c r="G372" s="181"/>
      <c r="H372" s="181"/>
      <c r="I372" s="181"/>
      <c r="J372" s="181"/>
      <c r="K372" s="181"/>
      <c r="L372" s="181"/>
      <c r="M372" s="181"/>
      <c r="N372" s="181"/>
      <c r="O372" s="181"/>
      <c r="P372" s="181"/>
      <c r="Q372" s="181"/>
      <c r="R372" s="181"/>
      <c r="S372" s="181"/>
      <c r="T372" s="181"/>
      <c r="U372" s="181"/>
      <c r="V372" s="181"/>
      <c r="W372" s="181"/>
      <c r="X372" s="181"/>
      <c r="Y372" s="181"/>
      <c r="Z372" s="181"/>
    </row>
    <row r="373" ht="14.25" customHeight="1">
      <c r="A373" s="181"/>
      <c r="B373" s="181"/>
      <c r="C373" s="181"/>
      <c r="D373" s="181"/>
      <c r="E373" s="181"/>
      <c r="F373" s="181"/>
      <c r="G373" s="181"/>
      <c r="H373" s="181"/>
      <c r="I373" s="181"/>
      <c r="J373" s="181"/>
      <c r="K373" s="181"/>
      <c r="L373" s="181"/>
      <c r="M373" s="181"/>
      <c r="N373" s="181"/>
      <c r="O373" s="181"/>
      <c r="P373" s="181"/>
      <c r="Q373" s="181"/>
      <c r="R373" s="181"/>
      <c r="S373" s="181"/>
      <c r="T373" s="181"/>
      <c r="U373" s="181"/>
      <c r="V373" s="181"/>
      <c r="W373" s="181"/>
      <c r="X373" s="181"/>
      <c r="Y373" s="181"/>
      <c r="Z373" s="181"/>
    </row>
    <row r="374" ht="14.25" customHeight="1">
      <c r="A374" s="181"/>
      <c r="B374" s="181"/>
      <c r="C374" s="181"/>
      <c r="D374" s="181"/>
      <c r="E374" s="181"/>
      <c r="F374" s="181"/>
      <c r="G374" s="181"/>
      <c r="H374" s="181"/>
      <c r="I374" s="181"/>
      <c r="J374" s="181"/>
      <c r="K374" s="181"/>
      <c r="L374" s="181"/>
      <c r="M374" s="181"/>
      <c r="N374" s="181"/>
      <c r="O374" s="181"/>
      <c r="P374" s="181"/>
      <c r="Q374" s="181"/>
      <c r="R374" s="181"/>
      <c r="S374" s="181"/>
      <c r="T374" s="181"/>
      <c r="U374" s="181"/>
      <c r="V374" s="181"/>
      <c r="W374" s="181"/>
      <c r="X374" s="181"/>
      <c r="Y374" s="181"/>
      <c r="Z374" s="181"/>
    </row>
    <row r="375" ht="14.25" customHeight="1">
      <c r="A375" s="181"/>
      <c r="B375" s="181"/>
      <c r="C375" s="181"/>
      <c r="D375" s="181"/>
      <c r="E375" s="181"/>
      <c r="F375" s="181"/>
      <c r="G375" s="181"/>
      <c r="H375" s="181"/>
      <c r="I375" s="181"/>
      <c r="J375" s="181"/>
      <c r="K375" s="181"/>
      <c r="L375" s="181"/>
      <c r="M375" s="181"/>
      <c r="N375" s="181"/>
      <c r="O375" s="181"/>
      <c r="P375" s="181"/>
      <c r="Q375" s="181"/>
      <c r="R375" s="181"/>
      <c r="S375" s="181"/>
      <c r="T375" s="181"/>
      <c r="U375" s="181"/>
      <c r="V375" s="181"/>
      <c r="W375" s="181"/>
      <c r="X375" s="181"/>
      <c r="Y375" s="181"/>
      <c r="Z375" s="181"/>
    </row>
    <row r="376" ht="14.25" customHeight="1">
      <c r="A376" s="181"/>
      <c r="B376" s="181"/>
      <c r="C376" s="181"/>
      <c r="D376" s="181"/>
      <c r="E376" s="181"/>
      <c r="F376" s="181"/>
      <c r="G376" s="181"/>
      <c r="H376" s="181"/>
      <c r="I376" s="181"/>
      <c r="J376" s="181"/>
      <c r="K376" s="181"/>
      <c r="L376" s="181"/>
      <c r="M376" s="181"/>
      <c r="N376" s="181"/>
      <c r="O376" s="181"/>
      <c r="P376" s="181"/>
      <c r="Q376" s="181"/>
      <c r="R376" s="181"/>
      <c r="S376" s="181"/>
      <c r="T376" s="181"/>
      <c r="U376" s="181"/>
      <c r="V376" s="181"/>
      <c r="W376" s="181"/>
      <c r="X376" s="181"/>
      <c r="Y376" s="181"/>
      <c r="Z376" s="181"/>
    </row>
    <row r="377" ht="14.25" customHeight="1">
      <c r="A377" s="181"/>
      <c r="B377" s="181"/>
      <c r="C377" s="181"/>
      <c r="D377" s="181"/>
      <c r="E377" s="181"/>
      <c r="F377" s="181"/>
      <c r="G377" s="181"/>
      <c r="H377" s="181"/>
      <c r="I377" s="181"/>
      <c r="J377" s="181"/>
      <c r="K377" s="181"/>
      <c r="L377" s="181"/>
      <c r="M377" s="181"/>
      <c r="N377" s="181"/>
      <c r="O377" s="181"/>
      <c r="P377" s="181"/>
      <c r="Q377" s="181"/>
      <c r="R377" s="181"/>
      <c r="S377" s="181"/>
      <c r="T377" s="181"/>
      <c r="U377" s="181"/>
      <c r="V377" s="181"/>
      <c r="W377" s="181"/>
      <c r="X377" s="181"/>
      <c r="Y377" s="181"/>
      <c r="Z377" s="181"/>
    </row>
    <row r="378" ht="14.25" customHeight="1">
      <c r="A378" s="181"/>
      <c r="B378" s="181"/>
      <c r="C378" s="181"/>
      <c r="D378" s="181"/>
      <c r="E378" s="181"/>
      <c r="F378" s="181"/>
      <c r="G378" s="181"/>
      <c r="H378" s="181"/>
      <c r="I378" s="181"/>
      <c r="J378" s="181"/>
      <c r="K378" s="181"/>
      <c r="L378" s="181"/>
      <c r="M378" s="181"/>
      <c r="N378" s="181"/>
      <c r="O378" s="181"/>
      <c r="P378" s="181"/>
      <c r="Q378" s="181"/>
      <c r="R378" s="181"/>
      <c r="S378" s="181"/>
      <c r="T378" s="181"/>
      <c r="U378" s="181"/>
      <c r="V378" s="181"/>
      <c r="W378" s="181"/>
      <c r="X378" s="181"/>
      <c r="Y378" s="181"/>
      <c r="Z378" s="181"/>
    </row>
    <row r="379" ht="14.25" customHeight="1">
      <c r="A379" s="181"/>
      <c r="B379" s="181"/>
      <c r="C379" s="181"/>
      <c r="D379" s="181"/>
      <c r="E379" s="181"/>
      <c r="F379" s="181"/>
      <c r="G379" s="181"/>
      <c r="H379" s="181"/>
      <c r="I379" s="181"/>
      <c r="J379" s="181"/>
      <c r="K379" s="181"/>
      <c r="L379" s="181"/>
      <c r="M379" s="181"/>
      <c r="N379" s="181"/>
      <c r="O379" s="181"/>
      <c r="P379" s="181"/>
      <c r="Q379" s="181"/>
      <c r="R379" s="181"/>
      <c r="S379" s="181"/>
      <c r="T379" s="181"/>
      <c r="U379" s="181"/>
      <c r="V379" s="181"/>
      <c r="W379" s="181"/>
      <c r="X379" s="181"/>
      <c r="Y379" s="181"/>
      <c r="Z379" s="181"/>
    </row>
    <row r="380" ht="14.25" customHeight="1">
      <c r="A380" s="181"/>
      <c r="B380" s="181"/>
      <c r="C380" s="181"/>
      <c r="D380" s="181"/>
      <c r="E380" s="181"/>
      <c r="F380" s="181"/>
      <c r="G380" s="181"/>
      <c r="H380" s="181"/>
      <c r="I380" s="181"/>
      <c r="J380" s="181"/>
      <c r="K380" s="181"/>
      <c r="L380" s="181"/>
      <c r="M380" s="181"/>
      <c r="N380" s="181"/>
      <c r="O380" s="181"/>
      <c r="P380" s="181"/>
      <c r="Q380" s="181"/>
      <c r="R380" s="181"/>
      <c r="S380" s="181"/>
      <c r="T380" s="181"/>
      <c r="U380" s="181"/>
      <c r="V380" s="181"/>
      <c r="W380" s="181"/>
      <c r="X380" s="181"/>
      <c r="Y380" s="181"/>
      <c r="Z380" s="181"/>
    </row>
    <row r="381" ht="14.25" customHeight="1">
      <c r="A381" s="181"/>
      <c r="B381" s="181"/>
      <c r="C381" s="181"/>
      <c r="D381" s="181"/>
      <c r="E381" s="181"/>
      <c r="F381" s="181"/>
      <c r="G381" s="181"/>
      <c r="H381" s="181"/>
      <c r="I381" s="181"/>
      <c r="J381" s="181"/>
      <c r="K381" s="181"/>
      <c r="L381" s="181"/>
      <c r="M381" s="181"/>
      <c r="N381" s="181"/>
      <c r="O381" s="181"/>
      <c r="P381" s="181"/>
      <c r="Q381" s="181"/>
      <c r="R381" s="181"/>
      <c r="S381" s="181"/>
      <c r="T381" s="181"/>
      <c r="U381" s="181"/>
      <c r="V381" s="181"/>
      <c r="W381" s="181"/>
      <c r="X381" s="181"/>
      <c r="Y381" s="181"/>
      <c r="Z381" s="181"/>
    </row>
    <row r="382" ht="14.25" customHeight="1">
      <c r="A382" s="181"/>
      <c r="B382" s="181"/>
      <c r="C382" s="181"/>
      <c r="D382" s="181"/>
      <c r="E382" s="181"/>
      <c r="F382" s="181"/>
      <c r="G382" s="181"/>
      <c r="H382" s="181"/>
      <c r="I382" s="181"/>
      <c r="J382" s="181"/>
      <c r="K382" s="181"/>
      <c r="L382" s="181"/>
      <c r="M382" s="181"/>
      <c r="N382" s="181"/>
      <c r="O382" s="181"/>
      <c r="P382" s="181"/>
      <c r="Q382" s="181"/>
      <c r="R382" s="181"/>
      <c r="S382" s="181"/>
      <c r="T382" s="181"/>
      <c r="U382" s="181"/>
      <c r="V382" s="181"/>
      <c r="W382" s="181"/>
      <c r="X382" s="181"/>
      <c r="Y382" s="181"/>
      <c r="Z382" s="181"/>
    </row>
    <row r="383" ht="14.25" customHeight="1">
      <c r="A383" s="181"/>
      <c r="B383" s="181"/>
      <c r="C383" s="181"/>
      <c r="D383" s="181"/>
      <c r="E383" s="181"/>
      <c r="F383" s="181"/>
      <c r="G383" s="181"/>
      <c r="H383" s="181"/>
      <c r="I383" s="181"/>
      <c r="J383" s="181"/>
      <c r="K383" s="181"/>
      <c r="L383" s="181"/>
      <c r="M383" s="181"/>
      <c r="N383" s="181"/>
      <c r="O383" s="181"/>
      <c r="P383" s="181"/>
      <c r="Q383" s="181"/>
      <c r="R383" s="181"/>
      <c r="S383" s="181"/>
      <c r="T383" s="181"/>
      <c r="U383" s="181"/>
      <c r="V383" s="181"/>
      <c r="W383" s="181"/>
      <c r="X383" s="181"/>
      <c r="Y383" s="181"/>
      <c r="Z383" s="181"/>
    </row>
    <row r="384" ht="14.25" customHeight="1">
      <c r="A384" s="181"/>
      <c r="B384" s="181"/>
      <c r="C384" s="181"/>
      <c r="D384" s="181"/>
      <c r="E384" s="181"/>
      <c r="F384" s="181"/>
      <c r="G384" s="181"/>
      <c r="H384" s="181"/>
      <c r="I384" s="181"/>
      <c r="J384" s="181"/>
      <c r="K384" s="181"/>
      <c r="L384" s="181"/>
      <c r="M384" s="181"/>
      <c r="N384" s="181"/>
      <c r="O384" s="181"/>
      <c r="P384" s="181"/>
      <c r="Q384" s="181"/>
      <c r="R384" s="181"/>
      <c r="S384" s="181"/>
      <c r="T384" s="181"/>
      <c r="U384" s="181"/>
      <c r="V384" s="181"/>
      <c r="W384" s="181"/>
      <c r="X384" s="181"/>
      <c r="Y384" s="181"/>
      <c r="Z384" s="181"/>
    </row>
    <row r="385" ht="14.25" customHeight="1">
      <c r="A385" s="181"/>
      <c r="B385" s="181"/>
      <c r="C385" s="181"/>
      <c r="D385" s="181"/>
      <c r="E385" s="181"/>
      <c r="F385" s="181"/>
      <c r="G385" s="181"/>
      <c r="H385" s="181"/>
      <c r="I385" s="181"/>
      <c r="J385" s="181"/>
      <c r="K385" s="181"/>
      <c r="L385" s="181"/>
      <c r="M385" s="181"/>
      <c r="N385" s="181"/>
      <c r="O385" s="181"/>
      <c r="P385" s="181"/>
      <c r="Q385" s="181"/>
      <c r="R385" s="181"/>
      <c r="S385" s="181"/>
      <c r="T385" s="181"/>
      <c r="U385" s="181"/>
      <c r="V385" s="181"/>
      <c r="W385" s="181"/>
      <c r="X385" s="181"/>
      <c r="Y385" s="181"/>
      <c r="Z385" s="181"/>
    </row>
    <row r="386" ht="14.25" customHeight="1">
      <c r="A386" s="181"/>
      <c r="B386" s="181"/>
      <c r="C386" s="181"/>
      <c r="D386" s="181"/>
      <c r="E386" s="181"/>
      <c r="F386" s="181"/>
      <c r="G386" s="181"/>
      <c r="H386" s="181"/>
      <c r="I386" s="181"/>
      <c r="J386" s="181"/>
      <c r="K386" s="181"/>
      <c r="L386" s="181"/>
      <c r="M386" s="181"/>
      <c r="N386" s="181"/>
      <c r="O386" s="181"/>
      <c r="P386" s="181"/>
      <c r="Q386" s="181"/>
      <c r="R386" s="181"/>
      <c r="S386" s="181"/>
      <c r="T386" s="181"/>
      <c r="U386" s="181"/>
      <c r="V386" s="181"/>
      <c r="W386" s="181"/>
      <c r="X386" s="181"/>
      <c r="Y386" s="181"/>
      <c r="Z386" s="181"/>
    </row>
    <row r="387" ht="14.25" customHeight="1">
      <c r="A387" s="181"/>
      <c r="B387" s="181"/>
      <c r="C387" s="181"/>
      <c r="D387" s="181"/>
      <c r="E387" s="181"/>
      <c r="F387" s="181"/>
      <c r="G387" s="181"/>
      <c r="H387" s="181"/>
      <c r="I387" s="181"/>
      <c r="J387" s="181"/>
      <c r="K387" s="181"/>
      <c r="L387" s="181"/>
      <c r="M387" s="181"/>
      <c r="N387" s="181"/>
      <c r="O387" s="181"/>
      <c r="P387" s="181"/>
      <c r="Q387" s="181"/>
      <c r="R387" s="181"/>
      <c r="S387" s="181"/>
      <c r="T387" s="181"/>
      <c r="U387" s="181"/>
      <c r="V387" s="181"/>
      <c r="W387" s="181"/>
      <c r="X387" s="181"/>
      <c r="Y387" s="181"/>
      <c r="Z387" s="181"/>
    </row>
    <row r="388" ht="14.25" customHeight="1">
      <c r="A388" s="181"/>
      <c r="B388" s="181"/>
      <c r="C388" s="181"/>
      <c r="D388" s="181"/>
      <c r="E388" s="181"/>
      <c r="F388" s="181"/>
      <c r="G388" s="181"/>
      <c r="H388" s="181"/>
      <c r="I388" s="181"/>
      <c r="J388" s="181"/>
      <c r="K388" s="181"/>
      <c r="L388" s="181"/>
      <c r="M388" s="181"/>
      <c r="N388" s="181"/>
      <c r="O388" s="181"/>
      <c r="P388" s="181"/>
      <c r="Q388" s="181"/>
      <c r="R388" s="181"/>
      <c r="S388" s="181"/>
      <c r="T388" s="181"/>
      <c r="U388" s="181"/>
      <c r="V388" s="181"/>
      <c r="W388" s="181"/>
      <c r="X388" s="181"/>
      <c r="Y388" s="181"/>
      <c r="Z388" s="181"/>
    </row>
    <row r="389" ht="14.25" customHeight="1">
      <c r="A389" s="181"/>
      <c r="B389" s="181"/>
      <c r="C389" s="181"/>
      <c r="D389" s="181"/>
      <c r="E389" s="181"/>
      <c r="F389" s="181"/>
      <c r="G389" s="181"/>
      <c r="H389" s="181"/>
      <c r="I389" s="181"/>
      <c r="J389" s="181"/>
      <c r="K389" s="181"/>
      <c r="L389" s="181"/>
      <c r="M389" s="181"/>
      <c r="N389" s="181"/>
      <c r="O389" s="181"/>
      <c r="P389" s="181"/>
      <c r="Q389" s="181"/>
      <c r="R389" s="181"/>
      <c r="S389" s="181"/>
      <c r="T389" s="181"/>
      <c r="U389" s="181"/>
      <c r="V389" s="181"/>
      <c r="W389" s="181"/>
      <c r="X389" s="181"/>
      <c r="Y389" s="181"/>
      <c r="Z389" s="181"/>
    </row>
    <row r="390" ht="14.25" customHeight="1">
      <c r="A390" s="181"/>
      <c r="B390" s="181"/>
      <c r="C390" s="181"/>
      <c r="D390" s="181"/>
      <c r="E390" s="181"/>
      <c r="F390" s="181"/>
      <c r="G390" s="181"/>
      <c r="H390" s="181"/>
      <c r="I390" s="181"/>
      <c r="J390" s="181"/>
      <c r="K390" s="181"/>
      <c r="L390" s="181"/>
      <c r="M390" s="181"/>
      <c r="N390" s="181"/>
      <c r="O390" s="181"/>
      <c r="P390" s="181"/>
      <c r="Q390" s="181"/>
      <c r="R390" s="181"/>
      <c r="S390" s="181"/>
      <c r="T390" s="181"/>
      <c r="U390" s="181"/>
      <c r="V390" s="181"/>
      <c r="W390" s="181"/>
      <c r="X390" s="181"/>
      <c r="Y390" s="181"/>
      <c r="Z390" s="181"/>
    </row>
    <row r="391" ht="14.25" customHeight="1">
      <c r="A391" s="181"/>
      <c r="B391" s="181"/>
      <c r="C391" s="181"/>
      <c r="D391" s="181"/>
      <c r="E391" s="181"/>
      <c r="F391" s="181"/>
      <c r="G391" s="181"/>
      <c r="H391" s="181"/>
      <c r="I391" s="181"/>
      <c r="J391" s="181"/>
      <c r="K391" s="181"/>
      <c r="L391" s="181"/>
      <c r="M391" s="181"/>
      <c r="N391" s="181"/>
      <c r="O391" s="181"/>
      <c r="P391" s="181"/>
      <c r="Q391" s="181"/>
      <c r="R391" s="181"/>
      <c r="S391" s="181"/>
      <c r="T391" s="181"/>
      <c r="U391" s="181"/>
      <c r="V391" s="181"/>
      <c r="W391" s="181"/>
      <c r="X391" s="181"/>
      <c r="Y391" s="181"/>
      <c r="Z391" s="181"/>
    </row>
    <row r="392" ht="14.25" customHeight="1">
      <c r="A392" s="181"/>
      <c r="B392" s="181"/>
      <c r="C392" s="181"/>
      <c r="D392" s="181"/>
      <c r="E392" s="181"/>
      <c r="F392" s="181"/>
      <c r="G392" s="181"/>
      <c r="H392" s="181"/>
      <c r="I392" s="181"/>
      <c r="J392" s="181"/>
      <c r="K392" s="181"/>
      <c r="L392" s="181"/>
      <c r="M392" s="181"/>
      <c r="N392" s="181"/>
      <c r="O392" s="181"/>
      <c r="P392" s="181"/>
      <c r="Q392" s="181"/>
      <c r="R392" s="181"/>
      <c r="S392" s="181"/>
      <c r="T392" s="181"/>
      <c r="U392" s="181"/>
      <c r="V392" s="181"/>
      <c r="W392" s="181"/>
      <c r="X392" s="181"/>
      <c r="Y392" s="181"/>
      <c r="Z392" s="181"/>
    </row>
    <row r="393" ht="14.25" customHeight="1">
      <c r="A393" s="181"/>
      <c r="B393" s="181"/>
      <c r="C393" s="181"/>
      <c r="D393" s="181"/>
      <c r="E393" s="181"/>
      <c r="F393" s="181"/>
      <c r="G393" s="181"/>
      <c r="H393" s="181"/>
      <c r="I393" s="181"/>
      <c r="J393" s="181"/>
      <c r="K393" s="181"/>
      <c r="L393" s="181"/>
      <c r="M393" s="181"/>
      <c r="N393" s="181"/>
      <c r="O393" s="181"/>
      <c r="P393" s="181"/>
      <c r="Q393" s="181"/>
      <c r="R393" s="181"/>
      <c r="S393" s="181"/>
      <c r="T393" s="181"/>
      <c r="U393" s="181"/>
      <c r="V393" s="181"/>
      <c r="W393" s="181"/>
      <c r="X393" s="181"/>
      <c r="Y393" s="181"/>
      <c r="Z393" s="181"/>
    </row>
    <row r="394" ht="14.25" customHeight="1">
      <c r="A394" s="181"/>
      <c r="B394" s="181"/>
      <c r="C394" s="181"/>
      <c r="D394" s="181"/>
      <c r="E394" s="181"/>
      <c r="F394" s="181"/>
      <c r="G394" s="181"/>
      <c r="H394" s="181"/>
      <c r="I394" s="181"/>
      <c r="J394" s="181"/>
      <c r="K394" s="181"/>
      <c r="L394" s="181"/>
      <c r="M394" s="181"/>
      <c r="N394" s="181"/>
      <c r="O394" s="181"/>
      <c r="P394" s="181"/>
      <c r="Q394" s="181"/>
      <c r="R394" s="181"/>
      <c r="S394" s="181"/>
      <c r="T394" s="181"/>
      <c r="U394" s="181"/>
      <c r="V394" s="181"/>
      <c r="W394" s="181"/>
      <c r="X394" s="181"/>
      <c r="Y394" s="181"/>
      <c r="Z394" s="181"/>
    </row>
    <row r="395" ht="14.25" customHeight="1">
      <c r="A395" s="181"/>
      <c r="B395" s="181"/>
      <c r="C395" s="181"/>
      <c r="D395" s="181"/>
      <c r="E395" s="181"/>
      <c r="F395" s="181"/>
      <c r="G395" s="181"/>
      <c r="H395" s="181"/>
      <c r="I395" s="181"/>
      <c r="J395" s="181"/>
      <c r="K395" s="181"/>
      <c r="L395" s="181"/>
      <c r="M395" s="181"/>
      <c r="N395" s="181"/>
      <c r="O395" s="181"/>
      <c r="P395" s="181"/>
      <c r="Q395" s="181"/>
      <c r="R395" s="181"/>
      <c r="S395" s="181"/>
      <c r="T395" s="181"/>
      <c r="U395" s="181"/>
      <c r="V395" s="181"/>
      <c r="W395" s="181"/>
      <c r="X395" s="181"/>
      <c r="Y395" s="181"/>
      <c r="Z395" s="181"/>
    </row>
    <row r="396" ht="14.25" customHeight="1">
      <c r="A396" s="181"/>
      <c r="B396" s="181"/>
      <c r="C396" s="181"/>
      <c r="D396" s="181"/>
      <c r="E396" s="181"/>
      <c r="F396" s="181"/>
      <c r="G396" s="181"/>
      <c r="H396" s="181"/>
      <c r="I396" s="181"/>
      <c r="J396" s="181"/>
      <c r="K396" s="181"/>
      <c r="L396" s="181"/>
      <c r="M396" s="181"/>
      <c r="N396" s="181"/>
      <c r="O396" s="181"/>
      <c r="P396" s="181"/>
      <c r="Q396" s="181"/>
      <c r="R396" s="181"/>
      <c r="S396" s="181"/>
      <c r="T396" s="181"/>
      <c r="U396" s="181"/>
      <c r="V396" s="181"/>
      <c r="W396" s="181"/>
      <c r="X396" s="181"/>
      <c r="Y396" s="181"/>
      <c r="Z396" s="181"/>
    </row>
    <row r="397" ht="14.25" customHeight="1">
      <c r="A397" s="181"/>
      <c r="B397" s="181"/>
      <c r="C397" s="181"/>
      <c r="D397" s="181"/>
      <c r="E397" s="181"/>
      <c r="F397" s="181"/>
      <c r="G397" s="181"/>
      <c r="H397" s="181"/>
      <c r="I397" s="181"/>
      <c r="J397" s="181"/>
      <c r="K397" s="181"/>
      <c r="L397" s="181"/>
      <c r="M397" s="181"/>
      <c r="N397" s="181"/>
      <c r="O397" s="181"/>
      <c r="P397" s="181"/>
      <c r="Q397" s="181"/>
      <c r="R397" s="181"/>
      <c r="S397" s="181"/>
      <c r="T397" s="181"/>
      <c r="U397" s="181"/>
      <c r="V397" s="181"/>
      <c r="W397" s="181"/>
      <c r="X397" s="181"/>
      <c r="Y397" s="181"/>
      <c r="Z397" s="181"/>
    </row>
    <row r="398" ht="14.25" customHeight="1">
      <c r="A398" s="181"/>
      <c r="B398" s="181"/>
      <c r="C398" s="181"/>
      <c r="D398" s="181"/>
      <c r="E398" s="181"/>
      <c r="F398" s="181"/>
      <c r="G398" s="181"/>
      <c r="H398" s="181"/>
      <c r="I398" s="181"/>
      <c r="J398" s="181"/>
      <c r="K398" s="181"/>
      <c r="L398" s="181"/>
      <c r="M398" s="181"/>
      <c r="N398" s="181"/>
      <c r="O398" s="181"/>
      <c r="P398" s="181"/>
      <c r="Q398" s="181"/>
      <c r="R398" s="181"/>
      <c r="S398" s="181"/>
      <c r="T398" s="181"/>
      <c r="U398" s="181"/>
      <c r="V398" s="181"/>
      <c r="W398" s="181"/>
      <c r="X398" s="181"/>
      <c r="Y398" s="181"/>
      <c r="Z398" s="181"/>
    </row>
    <row r="399" ht="14.25" customHeight="1">
      <c r="A399" s="181"/>
      <c r="B399" s="181"/>
      <c r="C399" s="181"/>
      <c r="D399" s="181"/>
      <c r="E399" s="181"/>
      <c r="F399" s="181"/>
      <c r="G399" s="181"/>
      <c r="H399" s="181"/>
      <c r="I399" s="181"/>
      <c r="J399" s="181"/>
      <c r="K399" s="181"/>
      <c r="L399" s="181"/>
      <c r="M399" s="181"/>
      <c r="N399" s="181"/>
      <c r="O399" s="181"/>
      <c r="P399" s="181"/>
      <c r="Q399" s="181"/>
      <c r="R399" s="181"/>
      <c r="S399" s="181"/>
      <c r="T399" s="181"/>
      <c r="U399" s="181"/>
      <c r="V399" s="181"/>
      <c r="W399" s="181"/>
      <c r="X399" s="181"/>
      <c r="Y399" s="181"/>
      <c r="Z399" s="181"/>
    </row>
    <row r="400" ht="14.25" customHeight="1">
      <c r="A400" s="181"/>
      <c r="B400" s="181"/>
      <c r="C400" s="181"/>
      <c r="D400" s="181"/>
      <c r="E400" s="181"/>
      <c r="F400" s="181"/>
      <c r="G400" s="181"/>
      <c r="H400" s="181"/>
      <c r="I400" s="181"/>
      <c r="J400" s="181"/>
      <c r="K400" s="181"/>
      <c r="L400" s="181"/>
      <c r="M400" s="181"/>
      <c r="N400" s="181"/>
      <c r="O400" s="181"/>
      <c r="P400" s="181"/>
      <c r="Q400" s="181"/>
      <c r="R400" s="181"/>
      <c r="S400" s="181"/>
      <c r="T400" s="181"/>
      <c r="U400" s="181"/>
      <c r="V400" s="181"/>
      <c r="W400" s="181"/>
      <c r="X400" s="181"/>
      <c r="Y400" s="181"/>
      <c r="Z400" s="181"/>
    </row>
    <row r="401" ht="14.25" customHeight="1">
      <c r="A401" s="181"/>
      <c r="B401" s="181"/>
      <c r="C401" s="181"/>
      <c r="D401" s="181"/>
      <c r="E401" s="181"/>
      <c r="F401" s="181"/>
      <c r="G401" s="181"/>
      <c r="H401" s="181"/>
      <c r="I401" s="181"/>
      <c r="J401" s="181"/>
      <c r="K401" s="181"/>
      <c r="L401" s="181"/>
      <c r="M401" s="181"/>
      <c r="N401" s="181"/>
      <c r="O401" s="181"/>
      <c r="P401" s="181"/>
      <c r="Q401" s="181"/>
      <c r="R401" s="181"/>
      <c r="S401" s="181"/>
      <c r="T401" s="181"/>
      <c r="U401" s="181"/>
      <c r="V401" s="181"/>
      <c r="W401" s="181"/>
      <c r="X401" s="181"/>
      <c r="Y401" s="181"/>
      <c r="Z401" s="181"/>
    </row>
    <row r="402" ht="14.25" customHeight="1">
      <c r="A402" s="181"/>
      <c r="B402" s="181"/>
      <c r="C402" s="181"/>
      <c r="D402" s="181"/>
      <c r="E402" s="181"/>
      <c r="F402" s="181"/>
      <c r="G402" s="181"/>
      <c r="H402" s="181"/>
      <c r="I402" s="181"/>
      <c r="J402" s="181"/>
      <c r="K402" s="181"/>
      <c r="L402" s="181"/>
      <c r="M402" s="181"/>
      <c r="N402" s="181"/>
      <c r="O402" s="181"/>
      <c r="P402" s="181"/>
      <c r="Q402" s="181"/>
      <c r="R402" s="181"/>
      <c r="S402" s="181"/>
      <c r="T402" s="181"/>
      <c r="U402" s="181"/>
      <c r="V402" s="181"/>
      <c r="W402" s="181"/>
      <c r="X402" s="181"/>
      <c r="Y402" s="181"/>
      <c r="Z402" s="181"/>
    </row>
    <row r="403" ht="14.25" customHeight="1">
      <c r="A403" s="181"/>
      <c r="B403" s="181"/>
      <c r="C403" s="181"/>
      <c r="D403" s="181"/>
      <c r="E403" s="181"/>
      <c r="F403" s="181"/>
      <c r="G403" s="181"/>
      <c r="H403" s="181"/>
      <c r="I403" s="181"/>
      <c r="J403" s="181"/>
      <c r="K403" s="181"/>
      <c r="L403" s="181"/>
      <c r="M403" s="181"/>
      <c r="N403" s="181"/>
      <c r="O403" s="181"/>
      <c r="P403" s="181"/>
      <c r="Q403" s="181"/>
      <c r="R403" s="181"/>
      <c r="S403" s="181"/>
      <c r="T403" s="181"/>
      <c r="U403" s="181"/>
      <c r="V403" s="181"/>
      <c r="W403" s="181"/>
      <c r="X403" s="181"/>
      <c r="Y403" s="181"/>
      <c r="Z403" s="181"/>
    </row>
    <row r="404" ht="14.25" customHeight="1">
      <c r="A404" s="181"/>
      <c r="B404" s="181"/>
      <c r="C404" s="181"/>
      <c r="D404" s="181"/>
      <c r="E404" s="181"/>
      <c r="F404" s="181"/>
      <c r="G404" s="181"/>
      <c r="H404" s="181"/>
      <c r="I404" s="181"/>
      <c r="J404" s="181"/>
      <c r="K404" s="181"/>
      <c r="L404" s="181"/>
      <c r="M404" s="181"/>
      <c r="N404" s="181"/>
      <c r="O404" s="181"/>
      <c r="P404" s="181"/>
      <c r="Q404" s="181"/>
      <c r="R404" s="181"/>
      <c r="S404" s="181"/>
      <c r="T404" s="181"/>
      <c r="U404" s="181"/>
      <c r="V404" s="181"/>
      <c r="W404" s="181"/>
      <c r="X404" s="181"/>
      <c r="Y404" s="181"/>
      <c r="Z404" s="181"/>
    </row>
    <row r="405" ht="14.25" customHeight="1">
      <c r="A405" s="181"/>
      <c r="B405" s="181"/>
      <c r="C405" s="181"/>
      <c r="D405" s="181"/>
      <c r="E405" s="181"/>
      <c r="F405" s="181"/>
      <c r="G405" s="181"/>
      <c r="H405" s="181"/>
      <c r="I405" s="181"/>
      <c r="J405" s="181"/>
      <c r="K405" s="181"/>
      <c r="L405" s="181"/>
      <c r="M405" s="181"/>
      <c r="N405" s="181"/>
      <c r="O405" s="181"/>
      <c r="P405" s="181"/>
      <c r="Q405" s="181"/>
      <c r="R405" s="181"/>
      <c r="S405" s="181"/>
      <c r="T405" s="181"/>
      <c r="U405" s="181"/>
      <c r="V405" s="181"/>
      <c r="W405" s="181"/>
      <c r="X405" s="181"/>
      <c r="Y405" s="181"/>
      <c r="Z405" s="181"/>
    </row>
    <row r="406" ht="14.25" customHeight="1">
      <c r="A406" s="181"/>
      <c r="B406" s="181"/>
      <c r="C406" s="181"/>
      <c r="D406" s="181"/>
      <c r="E406" s="181"/>
      <c r="F406" s="181"/>
      <c r="G406" s="181"/>
      <c r="H406" s="181"/>
      <c r="I406" s="181"/>
      <c r="J406" s="181"/>
      <c r="K406" s="181"/>
      <c r="L406" s="181"/>
      <c r="M406" s="181"/>
      <c r="N406" s="181"/>
      <c r="O406" s="181"/>
      <c r="P406" s="181"/>
      <c r="Q406" s="181"/>
      <c r="R406" s="181"/>
      <c r="S406" s="181"/>
      <c r="T406" s="181"/>
      <c r="U406" s="181"/>
      <c r="V406" s="181"/>
      <c r="W406" s="181"/>
      <c r="X406" s="181"/>
      <c r="Y406" s="181"/>
      <c r="Z406" s="181"/>
    </row>
    <row r="407" ht="14.25" customHeight="1">
      <c r="A407" s="181"/>
      <c r="B407" s="181"/>
      <c r="C407" s="181"/>
      <c r="D407" s="181"/>
      <c r="E407" s="181"/>
      <c r="F407" s="181"/>
      <c r="G407" s="181"/>
      <c r="H407" s="181"/>
      <c r="I407" s="181"/>
      <c r="J407" s="181"/>
      <c r="K407" s="181"/>
      <c r="L407" s="181"/>
      <c r="M407" s="181"/>
      <c r="N407" s="181"/>
      <c r="O407" s="181"/>
      <c r="P407" s="181"/>
      <c r="Q407" s="181"/>
      <c r="R407" s="181"/>
      <c r="S407" s="181"/>
      <c r="T407" s="181"/>
      <c r="U407" s="181"/>
      <c r="V407" s="181"/>
      <c r="W407" s="181"/>
      <c r="X407" s="181"/>
      <c r="Y407" s="181"/>
      <c r="Z407" s="181"/>
    </row>
    <row r="408" ht="14.25" customHeight="1">
      <c r="A408" s="181"/>
      <c r="B408" s="181"/>
      <c r="C408" s="181"/>
      <c r="D408" s="181"/>
      <c r="E408" s="181"/>
      <c r="F408" s="181"/>
      <c r="G408" s="181"/>
      <c r="H408" s="181"/>
      <c r="I408" s="181"/>
      <c r="J408" s="181"/>
      <c r="K408" s="181"/>
      <c r="L408" s="181"/>
      <c r="M408" s="181"/>
      <c r="N408" s="181"/>
      <c r="O408" s="181"/>
      <c r="P408" s="181"/>
      <c r="Q408" s="181"/>
      <c r="R408" s="181"/>
      <c r="S408" s="181"/>
      <c r="T408" s="181"/>
      <c r="U408" s="181"/>
      <c r="V408" s="181"/>
      <c r="W408" s="181"/>
      <c r="X408" s="181"/>
      <c r="Y408" s="181"/>
      <c r="Z408" s="181"/>
    </row>
    <row r="409" ht="14.25" customHeight="1">
      <c r="A409" s="181"/>
      <c r="B409" s="181"/>
      <c r="C409" s="181"/>
      <c r="D409" s="181"/>
      <c r="E409" s="181"/>
      <c r="F409" s="181"/>
      <c r="G409" s="181"/>
      <c r="H409" s="181"/>
      <c r="I409" s="181"/>
      <c r="J409" s="181"/>
      <c r="K409" s="181"/>
      <c r="L409" s="181"/>
      <c r="M409" s="181"/>
      <c r="N409" s="181"/>
      <c r="O409" s="181"/>
      <c r="P409" s="181"/>
      <c r="Q409" s="181"/>
      <c r="R409" s="181"/>
      <c r="S409" s="181"/>
      <c r="T409" s="181"/>
      <c r="U409" s="181"/>
      <c r="V409" s="181"/>
      <c r="W409" s="181"/>
      <c r="X409" s="181"/>
      <c r="Y409" s="181"/>
      <c r="Z409" s="181"/>
    </row>
    <row r="410" ht="14.25" customHeight="1">
      <c r="A410" s="181"/>
      <c r="B410" s="181"/>
      <c r="C410" s="181"/>
      <c r="D410" s="181"/>
      <c r="E410" s="181"/>
      <c r="F410" s="181"/>
      <c r="G410" s="181"/>
      <c r="H410" s="181"/>
      <c r="I410" s="181"/>
      <c r="J410" s="181"/>
      <c r="K410" s="181"/>
      <c r="L410" s="181"/>
      <c r="M410" s="181"/>
      <c r="N410" s="181"/>
      <c r="O410" s="181"/>
      <c r="P410" s="181"/>
      <c r="Q410" s="181"/>
      <c r="R410" s="181"/>
      <c r="S410" s="181"/>
      <c r="T410" s="181"/>
      <c r="U410" s="181"/>
      <c r="V410" s="181"/>
      <c r="W410" s="181"/>
      <c r="X410" s="181"/>
      <c r="Y410" s="181"/>
      <c r="Z410" s="181"/>
    </row>
    <row r="411" ht="14.25" customHeight="1">
      <c r="A411" s="181"/>
      <c r="B411" s="181"/>
      <c r="C411" s="181"/>
      <c r="D411" s="181"/>
      <c r="E411" s="181"/>
      <c r="F411" s="181"/>
      <c r="G411" s="181"/>
      <c r="H411" s="181"/>
      <c r="I411" s="181"/>
      <c r="J411" s="181"/>
      <c r="K411" s="181"/>
      <c r="L411" s="181"/>
      <c r="M411" s="181"/>
      <c r="N411" s="181"/>
      <c r="O411" s="181"/>
      <c r="P411" s="181"/>
      <c r="Q411" s="181"/>
      <c r="R411" s="181"/>
      <c r="S411" s="181"/>
      <c r="T411" s="181"/>
      <c r="U411" s="181"/>
      <c r="V411" s="181"/>
      <c r="W411" s="181"/>
      <c r="X411" s="181"/>
      <c r="Y411" s="181"/>
      <c r="Z411" s="181"/>
    </row>
    <row r="412" ht="14.25" customHeight="1">
      <c r="A412" s="181"/>
      <c r="B412" s="181"/>
      <c r="C412" s="181"/>
      <c r="D412" s="181"/>
      <c r="E412" s="181"/>
      <c r="F412" s="181"/>
      <c r="G412" s="181"/>
      <c r="H412" s="181"/>
      <c r="I412" s="181"/>
      <c r="J412" s="181"/>
      <c r="K412" s="181"/>
      <c r="L412" s="181"/>
      <c r="M412" s="181"/>
      <c r="N412" s="181"/>
      <c r="O412" s="181"/>
      <c r="P412" s="181"/>
      <c r="Q412" s="181"/>
      <c r="R412" s="181"/>
      <c r="S412" s="181"/>
      <c r="T412" s="181"/>
      <c r="U412" s="181"/>
      <c r="V412" s="181"/>
      <c r="W412" s="181"/>
      <c r="X412" s="181"/>
      <c r="Y412" s="181"/>
      <c r="Z412" s="181"/>
    </row>
    <row r="413" ht="14.25" customHeight="1">
      <c r="A413" s="181"/>
      <c r="B413" s="181"/>
      <c r="C413" s="181"/>
      <c r="D413" s="181"/>
      <c r="E413" s="181"/>
      <c r="F413" s="181"/>
      <c r="G413" s="181"/>
      <c r="H413" s="181"/>
      <c r="I413" s="181"/>
      <c r="J413" s="181"/>
      <c r="K413" s="181"/>
      <c r="L413" s="181"/>
      <c r="M413" s="181"/>
      <c r="N413" s="181"/>
      <c r="O413" s="181"/>
      <c r="P413" s="181"/>
      <c r="Q413" s="181"/>
      <c r="R413" s="181"/>
      <c r="S413" s="181"/>
      <c r="T413" s="181"/>
      <c r="U413" s="181"/>
      <c r="V413" s="181"/>
      <c r="W413" s="181"/>
      <c r="X413" s="181"/>
      <c r="Y413" s="181"/>
      <c r="Z413" s="181"/>
    </row>
    <row r="414" ht="14.25" customHeight="1">
      <c r="A414" s="181"/>
      <c r="B414" s="181"/>
      <c r="C414" s="181"/>
      <c r="D414" s="181"/>
      <c r="E414" s="181"/>
      <c r="F414" s="181"/>
      <c r="G414" s="181"/>
      <c r="H414" s="181"/>
      <c r="I414" s="181"/>
      <c r="J414" s="181"/>
      <c r="K414" s="181"/>
      <c r="L414" s="181"/>
      <c r="M414" s="181"/>
      <c r="N414" s="181"/>
      <c r="O414" s="181"/>
      <c r="P414" s="181"/>
      <c r="Q414" s="181"/>
      <c r="R414" s="181"/>
      <c r="S414" s="181"/>
      <c r="T414" s="181"/>
      <c r="U414" s="181"/>
      <c r="V414" s="181"/>
      <c r="W414" s="181"/>
      <c r="X414" s="181"/>
      <c r="Y414" s="181"/>
      <c r="Z414" s="181"/>
    </row>
    <row r="415" ht="14.25" customHeight="1">
      <c r="A415" s="181"/>
      <c r="B415" s="181"/>
      <c r="C415" s="181"/>
      <c r="D415" s="181"/>
      <c r="E415" s="181"/>
      <c r="F415" s="181"/>
      <c r="G415" s="181"/>
      <c r="H415" s="181"/>
      <c r="I415" s="181"/>
      <c r="J415" s="181"/>
      <c r="K415" s="181"/>
      <c r="L415" s="181"/>
      <c r="M415" s="181"/>
      <c r="N415" s="181"/>
      <c r="O415" s="181"/>
      <c r="P415" s="181"/>
      <c r="Q415" s="181"/>
      <c r="R415" s="181"/>
      <c r="S415" s="181"/>
      <c r="T415" s="181"/>
      <c r="U415" s="181"/>
      <c r="V415" s="181"/>
      <c r="W415" s="181"/>
      <c r="X415" s="181"/>
      <c r="Y415" s="181"/>
      <c r="Z415" s="181"/>
    </row>
    <row r="416" ht="14.25" customHeight="1">
      <c r="A416" s="181"/>
      <c r="B416" s="181"/>
      <c r="C416" s="181"/>
      <c r="D416" s="181"/>
      <c r="E416" s="181"/>
      <c r="F416" s="181"/>
      <c r="G416" s="181"/>
      <c r="H416" s="181"/>
      <c r="I416" s="181"/>
      <c r="J416" s="181"/>
      <c r="K416" s="181"/>
      <c r="L416" s="181"/>
      <c r="M416" s="181"/>
      <c r="N416" s="181"/>
      <c r="O416" s="181"/>
      <c r="P416" s="181"/>
      <c r="Q416" s="181"/>
      <c r="R416" s="181"/>
      <c r="S416" s="181"/>
      <c r="T416" s="181"/>
      <c r="U416" s="181"/>
      <c r="V416" s="181"/>
      <c r="W416" s="181"/>
      <c r="X416" s="181"/>
      <c r="Y416" s="181"/>
      <c r="Z416" s="181"/>
    </row>
    <row r="417" ht="14.25" customHeight="1">
      <c r="A417" s="181"/>
      <c r="B417" s="181"/>
      <c r="C417" s="181"/>
      <c r="D417" s="181"/>
      <c r="E417" s="181"/>
      <c r="F417" s="181"/>
      <c r="G417" s="181"/>
      <c r="H417" s="181"/>
      <c r="I417" s="181"/>
      <c r="J417" s="181"/>
      <c r="K417" s="181"/>
      <c r="L417" s="181"/>
      <c r="M417" s="181"/>
      <c r="N417" s="181"/>
      <c r="O417" s="181"/>
      <c r="P417" s="181"/>
      <c r="Q417" s="181"/>
      <c r="R417" s="181"/>
      <c r="S417" s="181"/>
      <c r="T417" s="181"/>
      <c r="U417" s="181"/>
      <c r="V417" s="181"/>
      <c r="W417" s="181"/>
      <c r="X417" s="181"/>
      <c r="Y417" s="181"/>
      <c r="Z417" s="181"/>
    </row>
    <row r="418" ht="14.25" customHeight="1">
      <c r="A418" s="181"/>
      <c r="B418" s="181"/>
      <c r="C418" s="181"/>
      <c r="D418" s="181"/>
      <c r="E418" s="181"/>
      <c r="F418" s="181"/>
      <c r="G418" s="181"/>
      <c r="H418" s="181"/>
      <c r="I418" s="181"/>
      <c r="J418" s="181"/>
      <c r="K418" s="181"/>
      <c r="L418" s="181"/>
      <c r="M418" s="181"/>
      <c r="N418" s="181"/>
      <c r="O418" s="181"/>
      <c r="P418" s="181"/>
      <c r="Q418" s="181"/>
      <c r="R418" s="181"/>
      <c r="S418" s="181"/>
      <c r="T418" s="181"/>
      <c r="U418" s="181"/>
      <c r="V418" s="181"/>
      <c r="W418" s="181"/>
      <c r="X418" s="181"/>
      <c r="Y418" s="181"/>
      <c r="Z418" s="181"/>
    </row>
    <row r="419" ht="14.25" customHeight="1">
      <c r="A419" s="181"/>
      <c r="B419" s="181"/>
      <c r="C419" s="181"/>
      <c r="D419" s="181"/>
      <c r="E419" s="181"/>
      <c r="F419" s="181"/>
      <c r="G419" s="181"/>
      <c r="H419" s="181"/>
      <c r="I419" s="181"/>
      <c r="J419" s="181"/>
      <c r="K419" s="181"/>
      <c r="L419" s="181"/>
      <c r="M419" s="181"/>
      <c r="N419" s="181"/>
      <c r="O419" s="181"/>
      <c r="P419" s="181"/>
      <c r="Q419" s="181"/>
      <c r="R419" s="181"/>
      <c r="S419" s="181"/>
      <c r="T419" s="181"/>
      <c r="U419" s="181"/>
      <c r="V419" s="181"/>
      <c r="W419" s="181"/>
      <c r="X419" s="181"/>
      <c r="Y419" s="181"/>
      <c r="Z419" s="181"/>
    </row>
    <row r="420" ht="14.25" customHeight="1">
      <c r="A420" s="181"/>
      <c r="B420" s="181"/>
      <c r="C420" s="181"/>
      <c r="D420" s="181"/>
      <c r="E420" s="181"/>
      <c r="F420" s="181"/>
      <c r="G420" s="181"/>
      <c r="H420" s="181"/>
      <c r="I420" s="181"/>
      <c r="J420" s="181"/>
      <c r="K420" s="181"/>
      <c r="L420" s="181"/>
      <c r="M420" s="181"/>
      <c r="N420" s="181"/>
      <c r="O420" s="181"/>
      <c r="P420" s="181"/>
      <c r="Q420" s="181"/>
      <c r="R420" s="181"/>
      <c r="S420" s="181"/>
      <c r="T420" s="181"/>
      <c r="U420" s="181"/>
      <c r="V420" s="181"/>
      <c r="W420" s="181"/>
      <c r="X420" s="181"/>
      <c r="Y420" s="181"/>
      <c r="Z420" s="181"/>
    </row>
    <row r="421" ht="14.25" customHeight="1">
      <c r="A421" s="181"/>
      <c r="B421" s="181"/>
      <c r="C421" s="181"/>
      <c r="D421" s="181"/>
      <c r="E421" s="181"/>
      <c r="F421" s="181"/>
      <c r="G421" s="181"/>
      <c r="H421" s="181"/>
      <c r="I421" s="181"/>
      <c r="J421" s="181"/>
      <c r="K421" s="181"/>
      <c r="L421" s="181"/>
      <c r="M421" s="181"/>
      <c r="N421" s="181"/>
      <c r="O421" s="181"/>
      <c r="P421" s="181"/>
      <c r="Q421" s="181"/>
      <c r="R421" s="181"/>
      <c r="S421" s="181"/>
      <c r="T421" s="181"/>
      <c r="U421" s="181"/>
      <c r="V421" s="181"/>
      <c r="W421" s="181"/>
      <c r="X421" s="181"/>
      <c r="Y421" s="181"/>
      <c r="Z421" s="181"/>
    </row>
    <row r="422" ht="14.25" customHeight="1">
      <c r="A422" s="181"/>
      <c r="B422" s="181"/>
      <c r="C422" s="181"/>
      <c r="D422" s="181"/>
      <c r="E422" s="181"/>
      <c r="F422" s="181"/>
      <c r="G422" s="181"/>
      <c r="H422" s="181"/>
      <c r="I422" s="181"/>
      <c r="J422" s="181"/>
      <c r="K422" s="181"/>
      <c r="L422" s="181"/>
      <c r="M422" s="181"/>
      <c r="N422" s="181"/>
      <c r="O422" s="181"/>
      <c r="P422" s="181"/>
      <c r="Q422" s="181"/>
      <c r="R422" s="181"/>
      <c r="S422" s="181"/>
      <c r="T422" s="181"/>
      <c r="U422" s="181"/>
      <c r="V422" s="181"/>
      <c r="W422" s="181"/>
      <c r="X422" s="181"/>
      <c r="Y422" s="181"/>
      <c r="Z422" s="181"/>
    </row>
    <row r="423" ht="14.25" customHeight="1">
      <c r="A423" s="181"/>
      <c r="B423" s="181"/>
      <c r="C423" s="181"/>
      <c r="D423" s="181"/>
      <c r="E423" s="181"/>
      <c r="F423" s="181"/>
      <c r="G423" s="181"/>
      <c r="H423" s="181"/>
      <c r="I423" s="181"/>
      <c r="J423" s="181"/>
      <c r="K423" s="181"/>
      <c r="L423" s="181"/>
      <c r="M423" s="181"/>
      <c r="N423" s="181"/>
      <c r="O423" s="181"/>
      <c r="P423" s="181"/>
      <c r="Q423" s="181"/>
      <c r="R423" s="181"/>
      <c r="S423" s="181"/>
      <c r="T423" s="181"/>
      <c r="U423" s="181"/>
      <c r="V423" s="181"/>
      <c r="W423" s="181"/>
      <c r="X423" s="181"/>
      <c r="Y423" s="181"/>
      <c r="Z423" s="181"/>
    </row>
    <row r="424" ht="14.25" customHeight="1">
      <c r="A424" s="181"/>
      <c r="B424" s="181"/>
      <c r="C424" s="181"/>
      <c r="D424" s="181"/>
      <c r="E424" s="181"/>
      <c r="F424" s="181"/>
      <c r="G424" s="181"/>
      <c r="H424" s="181"/>
      <c r="I424" s="181"/>
      <c r="J424" s="181"/>
      <c r="K424" s="181"/>
      <c r="L424" s="181"/>
      <c r="M424" s="181"/>
      <c r="N424" s="181"/>
      <c r="O424" s="181"/>
      <c r="P424" s="181"/>
      <c r="Q424" s="181"/>
      <c r="R424" s="181"/>
      <c r="S424" s="181"/>
      <c r="T424" s="181"/>
      <c r="U424" s="181"/>
      <c r="V424" s="181"/>
      <c r="W424" s="181"/>
      <c r="X424" s="181"/>
      <c r="Y424" s="181"/>
      <c r="Z424" s="181"/>
    </row>
    <row r="425" ht="14.25" customHeight="1">
      <c r="A425" s="181"/>
      <c r="B425" s="181"/>
      <c r="C425" s="181"/>
      <c r="D425" s="181"/>
      <c r="E425" s="181"/>
      <c r="F425" s="181"/>
      <c r="G425" s="181"/>
      <c r="H425" s="181"/>
      <c r="I425" s="181"/>
      <c r="J425" s="181"/>
      <c r="K425" s="181"/>
      <c r="L425" s="181"/>
      <c r="M425" s="181"/>
      <c r="N425" s="181"/>
      <c r="O425" s="181"/>
      <c r="P425" s="181"/>
      <c r="Q425" s="181"/>
      <c r="R425" s="181"/>
      <c r="S425" s="181"/>
      <c r="T425" s="181"/>
      <c r="U425" s="181"/>
      <c r="V425" s="181"/>
      <c r="W425" s="181"/>
      <c r="X425" s="181"/>
      <c r="Y425" s="181"/>
      <c r="Z425" s="181"/>
    </row>
    <row r="426" ht="14.25" customHeight="1">
      <c r="A426" s="181"/>
      <c r="B426" s="181"/>
      <c r="C426" s="181"/>
      <c r="D426" s="181"/>
      <c r="E426" s="181"/>
      <c r="F426" s="181"/>
      <c r="G426" s="181"/>
      <c r="H426" s="181"/>
      <c r="I426" s="181"/>
      <c r="J426" s="181"/>
      <c r="K426" s="181"/>
      <c r="L426" s="181"/>
      <c r="M426" s="181"/>
      <c r="N426" s="181"/>
      <c r="O426" s="181"/>
      <c r="P426" s="181"/>
      <c r="Q426" s="181"/>
      <c r="R426" s="181"/>
      <c r="S426" s="181"/>
      <c r="T426" s="181"/>
      <c r="U426" s="181"/>
      <c r="V426" s="181"/>
      <c r="W426" s="181"/>
      <c r="X426" s="181"/>
      <c r="Y426" s="181"/>
      <c r="Z426" s="181"/>
    </row>
    <row r="427" ht="14.25" customHeight="1">
      <c r="A427" s="181"/>
      <c r="B427" s="181"/>
      <c r="C427" s="181"/>
      <c r="D427" s="181"/>
      <c r="E427" s="181"/>
      <c r="F427" s="181"/>
      <c r="G427" s="181"/>
      <c r="H427" s="181"/>
      <c r="I427" s="181"/>
      <c r="J427" s="181"/>
      <c r="K427" s="181"/>
      <c r="L427" s="181"/>
      <c r="M427" s="181"/>
      <c r="N427" s="181"/>
      <c r="O427" s="181"/>
      <c r="P427" s="181"/>
      <c r="Q427" s="181"/>
      <c r="R427" s="181"/>
      <c r="S427" s="181"/>
      <c r="T427" s="181"/>
      <c r="U427" s="181"/>
      <c r="V427" s="181"/>
      <c r="W427" s="181"/>
      <c r="X427" s="181"/>
      <c r="Y427" s="181"/>
      <c r="Z427" s="181"/>
    </row>
    <row r="428" ht="14.25" customHeight="1">
      <c r="A428" s="181"/>
      <c r="B428" s="181"/>
      <c r="C428" s="181"/>
      <c r="D428" s="181"/>
      <c r="E428" s="181"/>
      <c r="F428" s="181"/>
      <c r="G428" s="181"/>
      <c r="H428" s="181"/>
      <c r="I428" s="181"/>
      <c r="J428" s="181"/>
      <c r="K428" s="181"/>
      <c r="L428" s="181"/>
      <c r="M428" s="181"/>
      <c r="N428" s="181"/>
      <c r="O428" s="181"/>
      <c r="P428" s="181"/>
      <c r="Q428" s="181"/>
      <c r="R428" s="181"/>
      <c r="S428" s="181"/>
      <c r="T428" s="181"/>
      <c r="U428" s="181"/>
      <c r="V428" s="181"/>
      <c r="W428" s="181"/>
      <c r="X428" s="181"/>
      <c r="Y428" s="181"/>
      <c r="Z428" s="181"/>
    </row>
    <row r="429" ht="14.25" customHeight="1">
      <c r="A429" s="181"/>
      <c r="B429" s="181"/>
      <c r="C429" s="181"/>
      <c r="D429" s="181"/>
      <c r="E429" s="181"/>
      <c r="F429" s="181"/>
      <c r="G429" s="181"/>
      <c r="H429" s="181"/>
      <c r="I429" s="181"/>
      <c r="J429" s="181"/>
      <c r="K429" s="181"/>
      <c r="L429" s="181"/>
      <c r="M429" s="181"/>
      <c r="N429" s="181"/>
      <c r="O429" s="181"/>
      <c r="P429" s="181"/>
      <c r="Q429" s="181"/>
      <c r="R429" s="181"/>
      <c r="S429" s="181"/>
      <c r="T429" s="181"/>
      <c r="U429" s="181"/>
      <c r="V429" s="181"/>
      <c r="W429" s="181"/>
      <c r="X429" s="181"/>
      <c r="Y429" s="181"/>
      <c r="Z429" s="181"/>
    </row>
    <row r="430" ht="14.25" customHeight="1">
      <c r="A430" s="181"/>
      <c r="B430" s="181"/>
      <c r="C430" s="181"/>
      <c r="D430" s="181"/>
      <c r="E430" s="181"/>
      <c r="F430" s="181"/>
      <c r="G430" s="181"/>
      <c r="H430" s="181"/>
      <c r="I430" s="181"/>
      <c r="J430" s="181"/>
      <c r="K430" s="181"/>
      <c r="L430" s="181"/>
      <c r="M430" s="181"/>
      <c r="N430" s="181"/>
      <c r="O430" s="181"/>
      <c r="P430" s="181"/>
      <c r="Q430" s="181"/>
      <c r="R430" s="181"/>
      <c r="S430" s="181"/>
      <c r="T430" s="181"/>
      <c r="U430" s="181"/>
      <c r="V430" s="181"/>
      <c r="W430" s="181"/>
      <c r="X430" s="181"/>
      <c r="Y430" s="181"/>
      <c r="Z430" s="181"/>
    </row>
    <row r="431" ht="14.25" customHeight="1">
      <c r="A431" s="181"/>
      <c r="B431" s="181"/>
      <c r="C431" s="181"/>
      <c r="D431" s="181"/>
      <c r="E431" s="181"/>
      <c r="F431" s="181"/>
      <c r="G431" s="181"/>
      <c r="H431" s="181"/>
      <c r="I431" s="181"/>
      <c r="J431" s="181"/>
      <c r="K431" s="181"/>
      <c r="L431" s="181"/>
      <c r="M431" s="181"/>
      <c r="N431" s="181"/>
      <c r="O431" s="181"/>
      <c r="P431" s="181"/>
      <c r="Q431" s="181"/>
      <c r="R431" s="181"/>
      <c r="S431" s="181"/>
      <c r="T431" s="181"/>
      <c r="U431" s="181"/>
      <c r="V431" s="181"/>
      <c r="W431" s="181"/>
      <c r="X431" s="181"/>
      <c r="Y431" s="181"/>
      <c r="Z431" s="181"/>
    </row>
    <row r="432" ht="14.25" customHeight="1">
      <c r="A432" s="181"/>
      <c r="B432" s="181"/>
      <c r="C432" s="181"/>
      <c r="D432" s="181"/>
      <c r="E432" s="181"/>
      <c r="F432" s="181"/>
      <c r="G432" s="181"/>
      <c r="H432" s="181"/>
      <c r="I432" s="181"/>
      <c r="J432" s="181"/>
      <c r="K432" s="181"/>
      <c r="L432" s="181"/>
      <c r="M432" s="181"/>
      <c r="N432" s="181"/>
      <c r="O432" s="181"/>
      <c r="P432" s="181"/>
      <c r="Q432" s="181"/>
      <c r="R432" s="181"/>
      <c r="S432" s="181"/>
      <c r="T432" s="181"/>
      <c r="U432" s="181"/>
      <c r="V432" s="181"/>
      <c r="W432" s="181"/>
      <c r="X432" s="181"/>
      <c r="Y432" s="181"/>
      <c r="Z432" s="181"/>
    </row>
    <row r="433" ht="14.25" customHeight="1">
      <c r="A433" s="181"/>
      <c r="B433" s="181"/>
      <c r="C433" s="181"/>
      <c r="D433" s="181"/>
      <c r="E433" s="181"/>
      <c r="F433" s="181"/>
      <c r="G433" s="181"/>
      <c r="H433" s="181"/>
      <c r="I433" s="181"/>
      <c r="J433" s="181"/>
      <c r="K433" s="181"/>
      <c r="L433" s="181"/>
      <c r="M433" s="181"/>
      <c r="N433" s="181"/>
      <c r="O433" s="181"/>
      <c r="P433" s="181"/>
      <c r="Q433" s="181"/>
      <c r="R433" s="181"/>
      <c r="S433" s="181"/>
      <c r="T433" s="181"/>
      <c r="U433" s="181"/>
      <c r="V433" s="181"/>
      <c r="W433" s="181"/>
      <c r="X433" s="181"/>
      <c r="Y433" s="181"/>
      <c r="Z433" s="181"/>
    </row>
    <row r="434" ht="14.25" customHeight="1">
      <c r="A434" s="181"/>
      <c r="B434" s="181"/>
      <c r="C434" s="181"/>
      <c r="D434" s="181"/>
      <c r="E434" s="181"/>
      <c r="F434" s="181"/>
      <c r="G434" s="181"/>
      <c r="H434" s="181"/>
      <c r="I434" s="181"/>
      <c r="J434" s="181"/>
      <c r="K434" s="181"/>
      <c r="L434" s="181"/>
      <c r="M434" s="181"/>
      <c r="N434" s="181"/>
      <c r="O434" s="181"/>
      <c r="P434" s="181"/>
      <c r="Q434" s="181"/>
      <c r="R434" s="181"/>
      <c r="S434" s="181"/>
      <c r="T434" s="181"/>
      <c r="U434" s="181"/>
      <c r="V434" s="181"/>
      <c r="W434" s="181"/>
      <c r="X434" s="181"/>
      <c r="Y434" s="181"/>
      <c r="Z434" s="181"/>
    </row>
    <row r="435" ht="14.25" customHeight="1">
      <c r="A435" s="181"/>
      <c r="B435" s="181"/>
      <c r="C435" s="181"/>
      <c r="D435" s="181"/>
      <c r="E435" s="181"/>
      <c r="F435" s="181"/>
      <c r="G435" s="181"/>
      <c r="H435" s="181"/>
      <c r="I435" s="181"/>
      <c r="J435" s="181"/>
      <c r="K435" s="181"/>
      <c r="L435" s="181"/>
      <c r="M435" s="181"/>
      <c r="N435" s="181"/>
      <c r="O435" s="181"/>
      <c r="P435" s="181"/>
      <c r="Q435" s="181"/>
      <c r="R435" s="181"/>
      <c r="S435" s="181"/>
      <c r="T435" s="181"/>
      <c r="U435" s="181"/>
      <c r="V435" s="181"/>
      <c r="W435" s="181"/>
      <c r="X435" s="181"/>
      <c r="Y435" s="181"/>
      <c r="Z435" s="181"/>
    </row>
    <row r="436" ht="14.25" customHeight="1">
      <c r="A436" s="181"/>
      <c r="B436" s="181"/>
      <c r="C436" s="181"/>
      <c r="D436" s="181"/>
      <c r="E436" s="181"/>
      <c r="F436" s="181"/>
      <c r="G436" s="181"/>
      <c r="H436" s="181"/>
      <c r="I436" s="181"/>
      <c r="J436" s="181"/>
      <c r="K436" s="181"/>
      <c r="L436" s="181"/>
      <c r="M436" s="181"/>
      <c r="N436" s="181"/>
      <c r="O436" s="181"/>
      <c r="P436" s="181"/>
      <c r="Q436" s="181"/>
      <c r="R436" s="181"/>
      <c r="S436" s="181"/>
      <c r="T436" s="181"/>
      <c r="U436" s="181"/>
      <c r="V436" s="181"/>
      <c r="W436" s="181"/>
      <c r="X436" s="181"/>
      <c r="Y436" s="181"/>
      <c r="Z436" s="181"/>
    </row>
    <row r="437" ht="14.25" customHeight="1">
      <c r="A437" s="181"/>
      <c r="B437" s="181"/>
      <c r="C437" s="181"/>
      <c r="D437" s="181"/>
      <c r="E437" s="181"/>
      <c r="F437" s="181"/>
      <c r="G437" s="181"/>
      <c r="H437" s="181"/>
      <c r="I437" s="181"/>
      <c r="J437" s="181"/>
      <c r="K437" s="181"/>
      <c r="L437" s="181"/>
      <c r="M437" s="181"/>
      <c r="N437" s="181"/>
      <c r="O437" s="181"/>
      <c r="P437" s="181"/>
      <c r="Q437" s="181"/>
      <c r="R437" s="181"/>
      <c r="S437" s="181"/>
      <c r="T437" s="181"/>
      <c r="U437" s="181"/>
      <c r="V437" s="181"/>
      <c r="W437" s="181"/>
      <c r="X437" s="181"/>
      <c r="Y437" s="181"/>
      <c r="Z437" s="181"/>
    </row>
    <row r="438" ht="14.25" customHeight="1">
      <c r="A438" s="181"/>
      <c r="B438" s="181"/>
      <c r="C438" s="181"/>
      <c r="D438" s="181"/>
      <c r="E438" s="181"/>
      <c r="F438" s="181"/>
      <c r="G438" s="181"/>
      <c r="H438" s="181"/>
      <c r="I438" s="181"/>
      <c r="J438" s="181"/>
      <c r="K438" s="181"/>
      <c r="L438" s="181"/>
      <c r="M438" s="181"/>
      <c r="N438" s="181"/>
      <c r="O438" s="181"/>
      <c r="P438" s="181"/>
      <c r="Q438" s="181"/>
      <c r="R438" s="181"/>
      <c r="S438" s="181"/>
      <c r="T438" s="181"/>
      <c r="U438" s="181"/>
      <c r="V438" s="181"/>
      <c r="W438" s="181"/>
      <c r="X438" s="181"/>
      <c r="Y438" s="181"/>
      <c r="Z438" s="181"/>
    </row>
    <row r="439" ht="14.25" customHeight="1">
      <c r="A439" s="181"/>
      <c r="B439" s="181"/>
      <c r="C439" s="181"/>
      <c r="D439" s="181"/>
      <c r="E439" s="181"/>
      <c r="F439" s="181"/>
      <c r="G439" s="181"/>
      <c r="H439" s="181"/>
      <c r="I439" s="181"/>
      <c r="J439" s="181"/>
      <c r="K439" s="181"/>
      <c r="L439" s="181"/>
      <c r="M439" s="181"/>
      <c r="N439" s="181"/>
      <c r="O439" s="181"/>
      <c r="P439" s="181"/>
      <c r="Q439" s="181"/>
      <c r="R439" s="181"/>
      <c r="S439" s="181"/>
      <c r="T439" s="181"/>
      <c r="U439" s="181"/>
      <c r="V439" s="181"/>
      <c r="W439" s="181"/>
      <c r="X439" s="181"/>
      <c r="Y439" s="181"/>
      <c r="Z439" s="181"/>
    </row>
    <row r="440" ht="14.25" customHeight="1">
      <c r="A440" s="181"/>
      <c r="B440" s="181"/>
      <c r="C440" s="181"/>
      <c r="D440" s="181"/>
      <c r="E440" s="181"/>
      <c r="F440" s="181"/>
      <c r="G440" s="181"/>
      <c r="H440" s="181"/>
      <c r="I440" s="181"/>
      <c r="J440" s="181"/>
      <c r="K440" s="181"/>
      <c r="L440" s="181"/>
      <c r="M440" s="181"/>
      <c r="N440" s="181"/>
      <c r="O440" s="181"/>
      <c r="P440" s="181"/>
      <c r="Q440" s="181"/>
      <c r="R440" s="181"/>
      <c r="S440" s="181"/>
      <c r="T440" s="181"/>
      <c r="U440" s="181"/>
      <c r="V440" s="181"/>
      <c r="W440" s="181"/>
      <c r="X440" s="181"/>
      <c r="Y440" s="181"/>
      <c r="Z440" s="181"/>
    </row>
    <row r="441" ht="14.25" customHeight="1">
      <c r="A441" s="181"/>
      <c r="B441" s="181"/>
      <c r="C441" s="181"/>
      <c r="D441" s="181"/>
      <c r="E441" s="181"/>
      <c r="F441" s="181"/>
      <c r="G441" s="181"/>
      <c r="H441" s="181"/>
      <c r="I441" s="181"/>
      <c r="J441" s="181"/>
      <c r="K441" s="181"/>
      <c r="L441" s="181"/>
      <c r="M441" s="181"/>
      <c r="N441" s="181"/>
      <c r="O441" s="181"/>
      <c r="P441" s="181"/>
      <c r="Q441" s="181"/>
      <c r="R441" s="181"/>
      <c r="S441" s="181"/>
      <c r="T441" s="181"/>
      <c r="U441" s="181"/>
      <c r="V441" s="181"/>
      <c r="W441" s="181"/>
      <c r="X441" s="181"/>
      <c r="Y441" s="181"/>
      <c r="Z441" s="181"/>
    </row>
    <row r="442" ht="14.25" customHeight="1">
      <c r="A442" s="181"/>
      <c r="B442" s="181"/>
      <c r="C442" s="181"/>
      <c r="D442" s="181"/>
      <c r="E442" s="181"/>
      <c r="F442" s="181"/>
      <c r="G442" s="181"/>
      <c r="H442" s="181"/>
      <c r="I442" s="181"/>
      <c r="J442" s="181"/>
      <c r="K442" s="181"/>
      <c r="L442" s="181"/>
      <c r="M442" s="181"/>
      <c r="N442" s="181"/>
      <c r="O442" s="181"/>
      <c r="P442" s="181"/>
      <c r="Q442" s="181"/>
      <c r="R442" s="181"/>
      <c r="S442" s="181"/>
      <c r="T442" s="181"/>
      <c r="U442" s="181"/>
      <c r="V442" s="181"/>
      <c r="W442" s="181"/>
      <c r="X442" s="181"/>
      <c r="Y442" s="181"/>
      <c r="Z442" s="181"/>
    </row>
    <row r="443" ht="14.25" customHeight="1">
      <c r="A443" s="181"/>
      <c r="B443" s="181"/>
      <c r="C443" s="181"/>
      <c r="D443" s="181"/>
      <c r="E443" s="181"/>
      <c r="F443" s="181"/>
      <c r="G443" s="181"/>
      <c r="H443" s="181"/>
      <c r="I443" s="181"/>
      <c r="J443" s="181"/>
      <c r="K443" s="181"/>
      <c r="L443" s="181"/>
      <c r="M443" s="181"/>
      <c r="N443" s="181"/>
      <c r="O443" s="181"/>
      <c r="P443" s="181"/>
      <c r="Q443" s="181"/>
      <c r="R443" s="181"/>
      <c r="S443" s="181"/>
      <c r="T443" s="181"/>
      <c r="U443" s="181"/>
      <c r="V443" s="181"/>
      <c r="W443" s="181"/>
      <c r="X443" s="181"/>
      <c r="Y443" s="181"/>
      <c r="Z443" s="181"/>
    </row>
    <row r="444" ht="14.25" customHeight="1">
      <c r="A444" s="181"/>
      <c r="B444" s="181"/>
      <c r="C444" s="181"/>
      <c r="D444" s="181"/>
      <c r="E444" s="181"/>
      <c r="F444" s="181"/>
      <c r="G444" s="181"/>
      <c r="H444" s="181"/>
      <c r="I444" s="181"/>
      <c r="J444" s="181"/>
      <c r="K444" s="181"/>
      <c r="L444" s="181"/>
      <c r="M444" s="181"/>
      <c r="N444" s="181"/>
      <c r="O444" s="181"/>
      <c r="P444" s="181"/>
      <c r="Q444" s="181"/>
      <c r="R444" s="181"/>
      <c r="S444" s="181"/>
      <c r="T444" s="181"/>
      <c r="U444" s="181"/>
      <c r="V444" s="181"/>
      <c r="W444" s="181"/>
      <c r="X444" s="181"/>
      <c r="Y444" s="181"/>
      <c r="Z444" s="181"/>
    </row>
    <row r="445" ht="14.25" customHeight="1">
      <c r="A445" s="181"/>
      <c r="B445" s="181"/>
      <c r="C445" s="181"/>
      <c r="D445" s="181"/>
      <c r="E445" s="181"/>
      <c r="F445" s="181"/>
      <c r="G445" s="181"/>
      <c r="H445" s="181"/>
      <c r="I445" s="181"/>
      <c r="J445" s="181"/>
      <c r="K445" s="181"/>
      <c r="L445" s="181"/>
      <c r="M445" s="181"/>
      <c r="N445" s="181"/>
      <c r="O445" s="181"/>
      <c r="P445" s="181"/>
      <c r="Q445" s="181"/>
      <c r="R445" s="181"/>
      <c r="S445" s="181"/>
      <c r="T445" s="181"/>
      <c r="U445" s="181"/>
      <c r="V445" s="181"/>
      <c r="W445" s="181"/>
      <c r="X445" s="181"/>
      <c r="Y445" s="181"/>
      <c r="Z445" s="181"/>
    </row>
    <row r="446" ht="14.25" customHeight="1">
      <c r="A446" s="181"/>
      <c r="B446" s="181"/>
      <c r="C446" s="181"/>
      <c r="D446" s="181"/>
      <c r="E446" s="181"/>
      <c r="F446" s="181"/>
      <c r="G446" s="181"/>
      <c r="H446" s="181"/>
      <c r="I446" s="181"/>
      <c r="J446" s="181"/>
      <c r="K446" s="181"/>
      <c r="L446" s="181"/>
      <c r="M446" s="181"/>
      <c r="N446" s="181"/>
      <c r="O446" s="181"/>
      <c r="P446" s="181"/>
      <c r="Q446" s="181"/>
      <c r="R446" s="181"/>
      <c r="S446" s="181"/>
      <c r="T446" s="181"/>
      <c r="U446" s="181"/>
      <c r="V446" s="181"/>
      <c r="W446" s="181"/>
      <c r="X446" s="181"/>
      <c r="Y446" s="181"/>
      <c r="Z446" s="181"/>
    </row>
    <row r="447" ht="14.25" customHeight="1">
      <c r="A447" s="181"/>
      <c r="B447" s="181"/>
      <c r="C447" s="181"/>
      <c r="D447" s="181"/>
      <c r="E447" s="181"/>
      <c r="F447" s="181"/>
      <c r="G447" s="181"/>
      <c r="H447" s="181"/>
      <c r="I447" s="181"/>
      <c r="J447" s="181"/>
      <c r="K447" s="181"/>
      <c r="L447" s="181"/>
      <c r="M447" s="181"/>
      <c r="N447" s="181"/>
      <c r="O447" s="181"/>
      <c r="P447" s="181"/>
      <c r="Q447" s="181"/>
      <c r="R447" s="181"/>
      <c r="S447" s="181"/>
      <c r="T447" s="181"/>
      <c r="U447" s="181"/>
      <c r="V447" s="181"/>
      <c r="W447" s="181"/>
      <c r="X447" s="181"/>
      <c r="Y447" s="181"/>
      <c r="Z447" s="181"/>
    </row>
    <row r="448" ht="14.25" customHeight="1">
      <c r="A448" s="181"/>
      <c r="B448" s="181"/>
      <c r="C448" s="181"/>
      <c r="D448" s="181"/>
      <c r="E448" s="181"/>
      <c r="F448" s="181"/>
      <c r="G448" s="181"/>
      <c r="H448" s="181"/>
      <c r="I448" s="181"/>
      <c r="J448" s="181"/>
      <c r="K448" s="181"/>
      <c r="L448" s="181"/>
      <c r="M448" s="181"/>
      <c r="N448" s="181"/>
      <c r="O448" s="181"/>
      <c r="P448" s="181"/>
      <c r="Q448" s="181"/>
      <c r="R448" s="181"/>
      <c r="S448" s="181"/>
      <c r="T448" s="181"/>
      <c r="U448" s="181"/>
      <c r="V448" s="181"/>
      <c r="W448" s="181"/>
      <c r="X448" s="181"/>
      <c r="Y448" s="181"/>
      <c r="Z448" s="181"/>
    </row>
    <row r="449" ht="14.25" customHeight="1">
      <c r="A449" s="181"/>
      <c r="B449" s="181"/>
      <c r="C449" s="181"/>
      <c r="D449" s="181"/>
      <c r="E449" s="181"/>
      <c r="F449" s="181"/>
      <c r="G449" s="181"/>
      <c r="H449" s="181"/>
      <c r="I449" s="181"/>
      <c r="J449" s="181"/>
      <c r="K449" s="181"/>
      <c r="L449" s="181"/>
      <c r="M449" s="181"/>
      <c r="N449" s="181"/>
      <c r="O449" s="181"/>
      <c r="P449" s="181"/>
      <c r="Q449" s="181"/>
      <c r="R449" s="181"/>
      <c r="S449" s="181"/>
      <c r="T449" s="181"/>
      <c r="U449" s="181"/>
      <c r="V449" s="181"/>
      <c r="W449" s="181"/>
      <c r="X449" s="181"/>
      <c r="Y449" s="181"/>
      <c r="Z449" s="181"/>
    </row>
    <row r="450" ht="14.25" customHeight="1">
      <c r="A450" s="181"/>
      <c r="B450" s="181"/>
      <c r="C450" s="181"/>
      <c r="D450" s="181"/>
      <c r="E450" s="181"/>
      <c r="F450" s="181"/>
      <c r="G450" s="181"/>
      <c r="H450" s="181"/>
      <c r="I450" s="181"/>
      <c r="J450" s="181"/>
      <c r="K450" s="181"/>
      <c r="L450" s="181"/>
      <c r="M450" s="181"/>
      <c r="N450" s="181"/>
      <c r="O450" s="181"/>
      <c r="P450" s="181"/>
      <c r="Q450" s="181"/>
      <c r="R450" s="181"/>
      <c r="S450" s="181"/>
      <c r="T450" s="181"/>
      <c r="U450" s="181"/>
      <c r="V450" s="181"/>
      <c r="W450" s="181"/>
      <c r="X450" s="181"/>
      <c r="Y450" s="181"/>
      <c r="Z450" s="181"/>
    </row>
    <row r="451" ht="14.25" customHeight="1">
      <c r="A451" s="181"/>
      <c r="B451" s="181"/>
      <c r="C451" s="181"/>
      <c r="D451" s="181"/>
      <c r="E451" s="181"/>
      <c r="F451" s="181"/>
      <c r="G451" s="181"/>
      <c r="H451" s="181"/>
      <c r="I451" s="181"/>
      <c r="J451" s="181"/>
      <c r="K451" s="181"/>
      <c r="L451" s="181"/>
      <c r="M451" s="181"/>
      <c r="N451" s="181"/>
      <c r="O451" s="181"/>
      <c r="P451" s="181"/>
      <c r="Q451" s="181"/>
      <c r="R451" s="181"/>
      <c r="S451" s="181"/>
      <c r="T451" s="181"/>
      <c r="U451" s="181"/>
      <c r="V451" s="181"/>
      <c r="W451" s="181"/>
      <c r="X451" s="181"/>
      <c r="Y451" s="181"/>
      <c r="Z451" s="181"/>
    </row>
    <row r="452" ht="14.25" customHeight="1">
      <c r="A452" s="181"/>
      <c r="B452" s="181"/>
      <c r="C452" s="181"/>
      <c r="D452" s="181"/>
      <c r="E452" s="181"/>
      <c r="F452" s="181"/>
      <c r="G452" s="181"/>
      <c r="H452" s="181"/>
      <c r="I452" s="181"/>
      <c r="J452" s="181"/>
      <c r="K452" s="181"/>
      <c r="L452" s="181"/>
      <c r="M452" s="181"/>
      <c r="N452" s="181"/>
      <c r="O452" s="181"/>
      <c r="P452" s="181"/>
      <c r="Q452" s="181"/>
      <c r="R452" s="181"/>
      <c r="S452" s="181"/>
      <c r="T452" s="181"/>
      <c r="U452" s="181"/>
      <c r="V452" s="181"/>
      <c r="W452" s="181"/>
      <c r="X452" s="181"/>
      <c r="Y452" s="181"/>
      <c r="Z452" s="181"/>
    </row>
    <row r="453" ht="14.25" customHeight="1">
      <c r="A453" s="181"/>
      <c r="B453" s="181"/>
      <c r="C453" s="181"/>
      <c r="D453" s="181"/>
      <c r="E453" s="181"/>
      <c r="F453" s="181"/>
      <c r="G453" s="181"/>
      <c r="H453" s="181"/>
      <c r="I453" s="181"/>
      <c r="J453" s="181"/>
      <c r="K453" s="181"/>
      <c r="L453" s="181"/>
      <c r="M453" s="181"/>
      <c r="N453" s="181"/>
      <c r="O453" s="181"/>
      <c r="P453" s="181"/>
      <c r="Q453" s="181"/>
      <c r="R453" s="181"/>
      <c r="S453" s="181"/>
      <c r="T453" s="181"/>
      <c r="U453" s="181"/>
      <c r="V453" s="181"/>
      <c r="W453" s="181"/>
      <c r="X453" s="181"/>
      <c r="Y453" s="181"/>
      <c r="Z453" s="181"/>
    </row>
    <row r="454" ht="14.25" customHeight="1">
      <c r="A454" s="181"/>
      <c r="B454" s="181"/>
      <c r="C454" s="181"/>
      <c r="D454" s="181"/>
      <c r="E454" s="181"/>
      <c r="F454" s="181"/>
      <c r="G454" s="181"/>
      <c r="H454" s="181"/>
      <c r="I454" s="181"/>
      <c r="J454" s="181"/>
      <c r="K454" s="181"/>
      <c r="L454" s="181"/>
      <c r="M454" s="181"/>
      <c r="N454" s="181"/>
      <c r="O454" s="181"/>
      <c r="P454" s="181"/>
      <c r="Q454" s="181"/>
      <c r="R454" s="181"/>
      <c r="S454" s="181"/>
      <c r="T454" s="181"/>
      <c r="U454" s="181"/>
      <c r="V454" s="181"/>
      <c r="W454" s="181"/>
      <c r="X454" s="181"/>
      <c r="Y454" s="181"/>
      <c r="Z454" s="181"/>
    </row>
    <row r="455" ht="14.25" customHeight="1">
      <c r="A455" s="181"/>
      <c r="B455" s="181"/>
      <c r="C455" s="181"/>
      <c r="D455" s="181"/>
      <c r="E455" s="181"/>
      <c r="F455" s="181"/>
      <c r="G455" s="181"/>
      <c r="H455" s="181"/>
      <c r="I455" s="181"/>
      <c r="J455" s="181"/>
      <c r="K455" s="181"/>
      <c r="L455" s="181"/>
      <c r="M455" s="181"/>
      <c r="N455" s="181"/>
      <c r="O455" s="181"/>
      <c r="P455" s="181"/>
      <c r="Q455" s="181"/>
      <c r="R455" s="181"/>
      <c r="S455" s="181"/>
      <c r="T455" s="181"/>
      <c r="U455" s="181"/>
      <c r="V455" s="181"/>
      <c r="W455" s="181"/>
      <c r="X455" s="181"/>
      <c r="Y455" s="181"/>
      <c r="Z455" s="181"/>
    </row>
    <row r="456" ht="14.25" customHeight="1">
      <c r="A456" s="181"/>
      <c r="B456" s="181"/>
      <c r="C456" s="181"/>
      <c r="D456" s="181"/>
      <c r="E456" s="181"/>
      <c r="F456" s="181"/>
      <c r="G456" s="181"/>
      <c r="H456" s="181"/>
      <c r="I456" s="181"/>
      <c r="J456" s="181"/>
      <c r="K456" s="181"/>
      <c r="L456" s="181"/>
      <c r="M456" s="181"/>
      <c r="N456" s="181"/>
      <c r="O456" s="181"/>
      <c r="P456" s="181"/>
      <c r="Q456" s="181"/>
      <c r="R456" s="181"/>
      <c r="S456" s="181"/>
      <c r="T456" s="181"/>
      <c r="U456" s="181"/>
      <c r="V456" s="181"/>
      <c r="W456" s="181"/>
      <c r="X456" s="181"/>
      <c r="Y456" s="181"/>
      <c r="Z456" s="181"/>
    </row>
    <row r="457" ht="14.25" customHeight="1">
      <c r="A457" s="181"/>
      <c r="B457" s="181"/>
      <c r="C457" s="181"/>
      <c r="D457" s="181"/>
      <c r="E457" s="181"/>
      <c r="F457" s="181"/>
      <c r="G457" s="181"/>
      <c r="H457" s="181"/>
      <c r="I457" s="181"/>
      <c r="J457" s="181"/>
      <c r="K457" s="181"/>
      <c r="L457" s="181"/>
      <c r="M457" s="181"/>
      <c r="N457" s="181"/>
      <c r="O457" s="181"/>
      <c r="P457" s="181"/>
      <c r="Q457" s="181"/>
      <c r="R457" s="181"/>
      <c r="S457" s="181"/>
      <c r="T457" s="181"/>
      <c r="U457" s="181"/>
      <c r="V457" s="181"/>
      <c r="W457" s="181"/>
      <c r="X457" s="181"/>
      <c r="Y457" s="181"/>
      <c r="Z457" s="181"/>
    </row>
    <row r="458" ht="14.25" customHeight="1">
      <c r="A458" s="181"/>
      <c r="B458" s="181"/>
      <c r="C458" s="181"/>
      <c r="D458" s="181"/>
      <c r="E458" s="181"/>
      <c r="F458" s="181"/>
      <c r="G458" s="181"/>
      <c r="H458" s="181"/>
      <c r="I458" s="181"/>
      <c r="J458" s="181"/>
      <c r="K458" s="181"/>
      <c r="L458" s="181"/>
      <c r="M458" s="181"/>
      <c r="N458" s="181"/>
      <c r="O458" s="181"/>
      <c r="P458" s="181"/>
      <c r="Q458" s="181"/>
      <c r="R458" s="181"/>
      <c r="S458" s="181"/>
      <c r="T458" s="181"/>
      <c r="U458" s="181"/>
      <c r="V458" s="181"/>
      <c r="W458" s="181"/>
      <c r="X458" s="181"/>
      <c r="Y458" s="181"/>
      <c r="Z458" s="181"/>
    </row>
    <row r="459" ht="14.25" customHeight="1">
      <c r="A459" s="181"/>
      <c r="B459" s="181"/>
      <c r="C459" s="181"/>
      <c r="D459" s="181"/>
      <c r="E459" s="181"/>
      <c r="F459" s="181"/>
      <c r="G459" s="181"/>
      <c r="H459" s="181"/>
      <c r="I459" s="181"/>
      <c r="J459" s="181"/>
      <c r="K459" s="181"/>
      <c r="L459" s="181"/>
      <c r="M459" s="181"/>
      <c r="N459" s="181"/>
      <c r="O459" s="181"/>
      <c r="P459" s="181"/>
      <c r="Q459" s="181"/>
      <c r="R459" s="181"/>
      <c r="S459" s="181"/>
      <c r="T459" s="181"/>
      <c r="U459" s="181"/>
      <c r="V459" s="181"/>
      <c r="W459" s="181"/>
      <c r="X459" s="181"/>
      <c r="Y459" s="181"/>
      <c r="Z459" s="181"/>
    </row>
    <row r="460" ht="14.25" customHeight="1">
      <c r="A460" s="181"/>
      <c r="B460" s="181"/>
      <c r="C460" s="181"/>
      <c r="D460" s="181"/>
      <c r="E460" s="181"/>
      <c r="F460" s="181"/>
      <c r="G460" s="181"/>
      <c r="H460" s="181"/>
      <c r="I460" s="181"/>
      <c r="J460" s="181"/>
      <c r="K460" s="181"/>
      <c r="L460" s="181"/>
      <c r="M460" s="181"/>
      <c r="N460" s="181"/>
      <c r="O460" s="181"/>
      <c r="P460" s="181"/>
      <c r="Q460" s="181"/>
      <c r="R460" s="181"/>
      <c r="S460" s="181"/>
      <c r="T460" s="181"/>
      <c r="U460" s="181"/>
      <c r="V460" s="181"/>
      <c r="W460" s="181"/>
      <c r="X460" s="181"/>
      <c r="Y460" s="181"/>
      <c r="Z460" s="181"/>
    </row>
    <row r="461" ht="14.25" customHeight="1">
      <c r="A461" s="181"/>
      <c r="B461" s="181"/>
      <c r="C461" s="181"/>
      <c r="D461" s="181"/>
      <c r="E461" s="181"/>
      <c r="F461" s="181"/>
      <c r="G461" s="181"/>
      <c r="H461" s="181"/>
      <c r="I461" s="181"/>
      <c r="J461" s="181"/>
      <c r="K461" s="181"/>
      <c r="L461" s="181"/>
      <c r="M461" s="181"/>
      <c r="N461" s="181"/>
      <c r="O461" s="181"/>
      <c r="P461" s="181"/>
      <c r="Q461" s="181"/>
      <c r="R461" s="181"/>
      <c r="S461" s="181"/>
      <c r="T461" s="181"/>
      <c r="U461" s="181"/>
      <c r="V461" s="181"/>
      <c r="W461" s="181"/>
      <c r="X461" s="181"/>
      <c r="Y461" s="181"/>
      <c r="Z461" s="181"/>
    </row>
    <row r="462" ht="14.25" customHeight="1">
      <c r="A462" s="181"/>
      <c r="B462" s="181"/>
      <c r="C462" s="181"/>
      <c r="D462" s="181"/>
      <c r="E462" s="181"/>
      <c r="F462" s="181"/>
      <c r="G462" s="181"/>
      <c r="H462" s="181"/>
      <c r="I462" s="181"/>
      <c r="J462" s="181"/>
      <c r="K462" s="181"/>
      <c r="L462" s="181"/>
      <c r="M462" s="181"/>
      <c r="N462" s="181"/>
      <c r="O462" s="181"/>
      <c r="P462" s="181"/>
      <c r="Q462" s="181"/>
      <c r="R462" s="181"/>
      <c r="S462" s="181"/>
      <c r="T462" s="181"/>
      <c r="U462" s="181"/>
      <c r="V462" s="181"/>
      <c r="W462" s="181"/>
      <c r="X462" s="181"/>
      <c r="Y462" s="181"/>
      <c r="Z462" s="181"/>
    </row>
    <row r="463" ht="14.25" customHeight="1">
      <c r="A463" s="181"/>
      <c r="B463" s="181"/>
      <c r="C463" s="181"/>
      <c r="D463" s="181"/>
      <c r="E463" s="181"/>
      <c r="F463" s="181"/>
      <c r="G463" s="181"/>
      <c r="H463" s="181"/>
      <c r="I463" s="181"/>
      <c r="J463" s="181"/>
      <c r="K463" s="181"/>
      <c r="L463" s="181"/>
      <c r="M463" s="181"/>
      <c r="N463" s="181"/>
      <c r="O463" s="181"/>
      <c r="P463" s="181"/>
      <c r="Q463" s="181"/>
      <c r="R463" s="181"/>
      <c r="S463" s="181"/>
      <c r="T463" s="181"/>
      <c r="U463" s="181"/>
      <c r="V463" s="181"/>
      <c r="W463" s="181"/>
      <c r="X463" s="181"/>
      <c r="Y463" s="181"/>
      <c r="Z463" s="181"/>
    </row>
    <row r="464" ht="14.25" customHeight="1">
      <c r="A464" s="181"/>
      <c r="B464" s="181"/>
      <c r="C464" s="181"/>
      <c r="D464" s="181"/>
      <c r="E464" s="181"/>
      <c r="F464" s="181"/>
      <c r="G464" s="181"/>
      <c r="H464" s="181"/>
      <c r="I464" s="181"/>
      <c r="J464" s="181"/>
      <c r="K464" s="181"/>
      <c r="L464" s="181"/>
      <c r="M464" s="181"/>
      <c r="N464" s="181"/>
      <c r="O464" s="181"/>
      <c r="P464" s="181"/>
      <c r="Q464" s="181"/>
      <c r="R464" s="181"/>
      <c r="S464" s="181"/>
      <c r="T464" s="181"/>
      <c r="U464" s="181"/>
      <c r="V464" s="181"/>
      <c r="W464" s="181"/>
      <c r="X464" s="181"/>
      <c r="Y464" s="181"/>
      <c r="Z464" s="181"/>
    </row>
    <row r="465" ht="14.25" customHeight="1">
      <c r="A465" s="181"/>
      <c r="B465" s="181"/>
      <c r="C465" s="181"/>
      <c r="D465" s="181"/>
      <c r="E465" s="181"/>
      <c r="F465" s="181"/>
      <c r="G465" s="181"/>
      <c r="H465" s="181"/>
      <c r="I465" s="181"/>
      <c r="J465" s="181"/>
      <c r="K465" s="181"/>
      <c r="L465" s="181"/>
      <c r="M465" s="181"/>
      <c r="N465" s="181"/>
      <c r="O465" s="181"/>
      <c r="P465" s="181"/>
      <c r="Q465" s="181"/>
      <c r="R465" s="181"/>
      <c r="S465" s="181"/>
      <c r="T465" s="181"/>
      <c r="U465" s="181"/>
      <c r="V465" s="181"/>
      <c r="W465" s="181"/>
      <c r="X465" s="181"/>
      <c r="Y465" s="181"/>
      <c r="Z465" s="181"/>
    </row>
    <row r="466" ht="14.25" customHeight="1">
      <c r="A466" s="181"/>
      <c r="B466" s="181"/>
      <c r="C466" s="181"/>
      <c r="D466" s="181"/>
      <c r="E466" s="181"/>
      <c r="F466" s="181"/>
      <c r="G466" s="181"/>
      <c r="H466" s="181"/>
      <c r="I466" s="181"/>
      <c r="J466" s="181"/>
      <c r="K466" s="181"/>
      <c r="L466" s="181"/>
      <c r="M466" s="181"/>
      <c r="N466" s="181"/>
      <c r="O466" s="181"/>
      <c r="P466" s="181"/>
      <c r="Q466" s="181"/>
      <c r="R466" s="181"/>
      <c r="S466" s="181"/>
      <c r="T466" s="181"/>
      <c r="U466" s="181"/>
      <c r="V466" s="181"/>
      <c r="W466" s="181"/>
      <c r="X466" s="181"/>
      <c r="Y466" s="181"/>
      <c r="Z466" s="181"/>
    </row>
    <row r="467" ht="14.25" customHeight="1">
      <c r="A467" s="181"/>
      <c r="B467" s="181"/>
      <c r="C467" s="181"/>
      <c r="D467" s="181"/>
      <c r="E467" s="181"/>
      <c r="F467" s="181"/>
      <c r="G467" s="181"/>
      <c r="H467" s="181"/>
      <c r="I467" s="181"/>
      <c r="J467" s="181"/>
      <c r="K467" s="181"/>
      <c r="L467" s="181"/>
      <c r="M467" s="181"/>
      <c r="N467" s="181"/>
      <c r="O467" s="181"/>
      <c r="P467" s="181"/>
      <c r="Q467" s="181"/>
      <c r="R467" s="181"/>
      <c r="S467" s="181"/>
      <c r="T467" s="181"/>
      <c r="U467" s="181"/>
      <c r="V467" s="181"/>
      <c r="W467" s="181"/>
      <c r="X467" s="181"/>
      <c r="Y467" s="181"/>
      <c r="Z467" s="181"/>
    </row>
    <row r="468" ht="14.25" customHeight="1">
      <c r="A468" s="181"/>
      <c r="B468" s="181"/>
      <c r="C468" s="181"/>
      <c r="D468" s="181"/>
      <c r="E468" s="181"/>
      <c r="F468" s="181"/>
      <c r="G468" s="181"/>
      <c r="H468" s="181"/>
      <c r="I468" s="181"/>
      <c r="J468" s="181"/>
      <c r="K468" s="181"/>
      <c r="L468" s="181"/>
      <c r="M468" s="181"/>
      <c r="N468" s="181"/>
      <c r="O468" s="181"/>
      <c r="P468" s="181"/>
      <c r="Q468" s="181"/>
      <c r="R468" s="181"/>
      <c r="S468" s="181"/>
      <c r="T468" s="181"/>
      <c r="U468" s="181"/>
      <c r="V468" s="181"/>
      <c r="W468" s="181"/>
      <c r="X468" s="181"/>
      <c r="Y468" s="181"/>
      <c r="Z468" s="181"/>
    </row>
    <row r="469" ht="14.25" customHeight="1">
      <c r="A469" s="181"/>
      <c r="B469" s="181"/>
      <c r="C469" s="181"/>
      <c r="D469" s="181"/>
      <c r="E469" s="181"/>
      <c r="F469" s="181"/>
      <c r="G469" s="181"/>
      <c r="H469" s="181"/>
      <c r="I469" s="181"/>
      <c r="J469" s="181"/>
      <c r="K469" s="181"/>
      <c r="L469" s="181"/>
      <c r="M469" s="181"/>
      <c r="N469" s="181"/>
      <c r="O469" s="181"/>
      <c r="P469" s="181"/>
      <c r="Q469" s="181"/>
      <c r="R469" s="181"/>
      <c r="S469" s="181"/>
      <c r="T469" s="181"/>
      <c r="U469" s="181"/>
      <c r="V469" s="181"/>
      <c r="W469" s="181"/>
      <c r="X469" s="181"/>
      <c r="Y469" s="181"/>
      <c r="Z469" s="181"/>
    </row>
    <row r="470" ht="14.25" customHeight="1">
      <c r="A470" s="181"/>
      <c r="B470" s="181"/>
      <c r="C470" s="181"/>
      <c r="D470" s="181"/>
      <c r="E470" s="181"/>
      <c r="F470" s="181"/>
      <c r="G470" s="181"/>
      <c r="H470" s="181"/>
      <c r="I470" s="181"/>
      <c r="J470" s="181"/>
      <c r="K470" s="181"/>
      <c r="L470" s="181"/>
      <c r="M470" s="181"/>
      <c r="N470" s="181"/>
      <c r="O470" s="181"/>
      <c r="P470" s="181"/>
      <c r="Q470" s="181"/>
      <c r="R470" s="181"/>
      <c r="S470" s="181"/>
      <c r="T470" s="181"/>
      <c r="U470" s="181"/>
      <c r="V470" s="181"/>
      <c r="W470" s="181"/>
      <c r="X470" s="181"/>
      <c r="Y470" s="181"/>
      <c r="Z470" s="181"/>
    </row>
    <row r="471" ht="14.25" customHeight="1">
      <c r="A471" s="181"/>
      <c r="B471" s="181"/>
      <c r="C471" s="181"/>
      <c r="D471" s="181"/>
      <c r="E471" s="181"/>
      <c r="F471" s="181"/>
      <c r="G471" s="181"/>
      <c r="H471" s="181"/>
      <c r="I471" s="181"/>
      <c r="J471" s="181"/>
      <c r="K471" s="181"/>
      <c r="L471" s="181"/>
      <c r="M471" s="181"/>
      <c r="N471" s="181"/>
      <c r="O471" s="181"/>
      <c r="P471" s="181"/>
      <c r="Q471" s="181"/>
      <c r="R471" s="181"/>
      <c r="S471" s="181"/>
      <c r="T471" s="181"/>
      <c r="U471" s="181"/>
      <c r="V471" s="181"/>
      <c r="W471" s="181"/>
      <c r="X471" s="181"/>
      <c r="Y471" s="181"/>
      <c r="Z471" s="181"/>
    </row>
    <row r="472" ht="14.25" customHeight="1">
      <c r="A472" s="181"/>
      <c r="B472" s="181"/>
      <c r="C472" s="181"/>
      <c r="D472" s="181"/>
      <c r="E472" s="181"/>
      <c r="F472" s="181"/>
      <c r="G472" s="181"/>
      <c r="H472" s="181"/>
      <c r="I472" s="181"/>
      <c r="J472" s="181"/>
      <c r="K472" s="181"/>
      <c r="L472" s="181"/>
      <c r="M472" s="181"/>
      <c r="N472" s="181"/>
      <c r="O472" s="181"/>
      <c r="P472" s="181"/>
      <c r="Q472" s="181"/>
      <c r="R472" s="181"/>
      <c r="S472" s="181"/>
      <c r="T472" s="181"/>
      <c r="U472" s="181"/>
      <c r="V472" s="181"/>
      <c r="W472" s="181"/>
      <c r="X472" s="181"/>
      <c r="Y472" s="181"/>
      <c r="Z472" s="181"/>
    </row>
    <row r="473" ht="14.25" customHeight="1">
      <c r="A473" s="181"/>
      <c r="B473" s="181"/>
      <c r="C473" s="181"/>
      <c r="D473" s="181"/>
      <c r="E473" s="181"/>
      <c r="F473" s="181"/>
      <c r="G473" s="181"/>
      <c r="H473" s="181"/>
      <c r="I473" s="181"/>
      <c r="J473" s="181"/>
      <c r="K473" s="181"/>
      <c r="L473" s="181"/>
      <c r="M473" s="181"/>
      <c r="N473" s="181"/>
      <c r="O473" s="181"/>
      <c r="P473" s="181"/>
      <c r="Q473" s="181"/>
      <c r="R473" s="181"/>
      <c r="S473" s="181"/>
      <c r="T473" s="181"/>
      <c r="U473" s="181"/>
      <c r="V473" s="181"/>
      <c r="W473" s="181"/>
      <c r="X473" s="181"/>
      <c r="Y473" s="181"/>
      <c r="Z473" s="181"/>
    </row>
    <row r="474" ht="14.25" customHeight="1">
      <c r="A474" s="181"/>
      <c r="B474" s="181"/>
      <c r="C474" s="181"/>
      <c r="D474" s="181"/>
      <c r="E474" s="181"/>
      <c r="F474" s="181"/>
      <c r="G474" s="181"/>
      <c r="H474" s="181"/>
      <c r="I474" s="181"/>
      <c r="J474" s="181"/>
      <c r="K474" s="181"/>
      <c r="L474" s="181"/>
      <c r="M474" s="181"/>
      <c r="N474" s="181"/>
      <c r="O474" s="181"/>
      <c r="P474" s="181"/>
      <c r="Q474" s="181"/>
      <c r="R474" s="181"/>
      <c r="S474" s="181"/>
      <c r="T474" s="181"/>
      <c r="U474" s="181"/>
      <c r="V474" s="181"/>
      <c r="W474" s="181"/>
      <c r="X474" s="181"/>
      <c r="Y474" s="181"/>
      <c r="Z474" s="181"/>
    </row>
    <row r="475" ht="14.25" customHeight="1">
      <c r="A475" s="181"/>
      <c r="B475" s="181"/>
      <c r="C475" s="181"/>
      <c r="D475" s="181"/>
      <c r="E475" s="181"/>
      <c r="F475" s="181"/>
      <c r="G475" s="181"/>
      <c r="H475" s="181"/>
      <c r="I475" s="181"/>
      <c r="J475" s="181"/>
      <c r="K475" s="181"/>
      <c r="L475" s="181"/>
      <c r="M475" s="181"/>
      <c r="N475" s="181"/>
      <c r="O475" s="181"/>
      <c r="P475" s="181"/>
      <c r="Q475" s="181"/>
      <c r="R475" s="181"/>
      <c r="S475" s="181"/>
      <c r="T475" s="181"/>
      <c r="U475" s="181"/>
      <c r="V475" s="181"/>
      <c r="W475" s="181"/>
      <c r="X475" s="181"/>
      <c r="Y475" s="181"/>
      <c r="Z475" s="181"/>
    </row>
    <row r="476" ht="14.25" customHeight="1">
      <c r="A476" s="181"/>
      <c r="B476" s="181"/>
      <c r="C476" s="181"/>
      <c r="D476" s="181"/>
      <c r="E476" s="181"/>
      <c r="F476" s="181"/>
      <c r="G476" s="181"/>
      <c r="H476" s="181"/>
      <c r="I476" s="181"/>
      <c r="J476" s="181"/>
      <c r="K476" s="181"/>
      <c r="L476" s="181"/>
      <c r="M476" s="181"/>
      <c r="N476" s="181"/>
      <c r="O476" s="181"/>
      <c r="P476" s="181"/>
      <c r="Q476" s="181"/>
      <c r="R476" s="181"/>
      <c r="S476" s="181"/>
      <c r="T476" s="181"/>
      <c r="U476" s="181"/>
      <c r="V476" s="181"/>
      <c r="W476" s="181"/>
      <c r="X476" s="181"/>
      <c r="Y476" s="181"/>
      <c r="Z476" s="181"/>
    </row>
    <row r="477" ht="14.25" customHeight="1">
      <c r="A477" s="181"/>
      <c r="B477" s="181"/>
      <c r="C477" s="181"/>
      <c r="D477" s="181"/>
      <c r="E477" s="181"/>
      <c r="F477" s="181"/>
      <c r="G477" s="181"/>
      <c r="H477" s="181"/>
      <c r="I477" s="181"/>
      <c r="J477" s="181"/>
      <c r="K477" s="181"/>
      <c r="L477" s="181"/>
      <c r="M477" s="181"/>
      <c r="N477" s="181"/>
      <c r="O477" s="181"/>
      <c r="P477" s="181"/>
      <c r="Q477" s="181"/>
      <c r="R477" s="181"/>
      <c r="S477" s="181"/>
      <c r="T477" s="181"/>
      <c r="U477" s="181"/>
      <c r="V477" s="181"/>
      <c r="W477" s="181"/>
      <c r="X477" s="181"/>
      <c r="Y477" s="181"/>
      <c r="Z477" s="181"/>
    </row>
    <row r="478" ht="14.25" customHeight="1">
      <c r="A478" s="181"/>
      <c r="B478" s="181"/>
      <c r="C478" s="181"/>
      <c r="D478" s="181"/>
      <c r="E478" s="181"/>
      <c r="F478" s="181"/>
      <c r="G478" s="181"/>
      <c r="H478" s="181"/>
      <c r="I478" s="181"/>
      <c r="J478" s="181"/>
      <c r="K478" s="181"/>
      <c r="L478" s="181"/>
      <c r="M478" s="181"/>
      <c r="N478" s="181"/>
      <c r="O478" s="181"/>
      <c r="P478" s="181"/>
      <c r="Q478" s="181"/>
      <c r="R478" s="181"/>
      <c r="S478" s="181"/>
      <c r="T478" s="181"/>
      <c r="U478" s="181"/>
      <c r="V478" s="181"/>
      <c r="W478" s="181"/>
      <c r="X478" s="181"/>
      <c r="Y478" s="181"/>
      <c r="Z478" s="181"/>
    </row>
    <row r="479" ht="14.25" customHeight="1">
      <c r="A479" s="181"/>
      <c r="B479" s="181"/>
      <c r="C479" s="181"/>
      <c r="D479" s="181"/>
      <c r="E479" s="181"/>
      <c r="F479" s="181"/>
      <c r="G479" s="181"/>
      <c r="H479" s="181"/>
      <c r="I479" s="181"/>
      <c r="J479" s="181"/>
      <c r="K479" s="181"/>
      <c r="L479" s="181"/>
      <c r="M479" s="181"/>
      <c r="N479" s="181"/>
      <c r="O479" s="181"/>
      <c r="P479" s="181"/>
      <c r="Q479" s="181"/>
      <c r="R479" s="181"/>
      <c r="S479" s="181"/>
      <c r="T479" s="181"/>
      <c r="U479" s="181"/>
      <c r="V479" s="181"/>
      <c r="W479" s="181"/>
      <c r="X479" s="181"/>
      <c r="Y479" s="181"/>
      <c r="Z479" s="181"/>
    </row>
    <row r="480" ht="14.25" customHeight="1">
      <c r="A480" s="181"/>
      <c r="B480" s="181"/>
      <c r="C480" s="181"/>
      <c r="D480" s="181"/>
      <c r="E480" s="181"/>
      <c r="F480" s="181"/>
      <c r="G480" s="181"/>
      <c r="H480" s="181"/>
      <c r="I480" s="181"/>
      <c r="J480" s="181"/>
      <c r="K480" s="181"/>
      <c r="L480" s="181"/>
      <c r="M480" s="181"/>
      <c r="N480" s="181"/>
      <c r="O480" s="181"/>
      <c r="P480" s="181"/>
      <c r="Q480" s="181"/>
      <c r="R480" s="181"/>
      <c r="S480" s="181"/>
      <c r="T480" s="181"/>
      <c r="U480" s="181"/>
      <c r="V480" s="181"/>
      <c r="W480" s="181"/>
      <c r="X480" s="181"/>
      <c r="Y480" s="181"/>
      <c r="Z480" s="181"/>
    </row>
    <row r="481" ht="14.25" customHeight="1">
      <c r="A481" s="181"/>
      <c r="B481" s="181"/>
      <c r="C481" s="181"/>
      <c r="D481" s="181"/>
      <c r="E481" s="181"/>
      <c r="F481" s="181"/>
      <c r="G481" s="181"/>
      <c r="H481" s="181"/>
      <c r="I481" s="181"/>
      <c r="J481" s="181"/>
      <c r="K481" s="181"/>
      <c r="L481" s="181"/>
      <c r="M481" s="181"/>
      <c r="N481" s="181"/>
      <c r="O481" s="181"/>
      <c r="P481" s="181"/>
      <c r="Q481" s="181"/>
      <c r="R481" s="181"/>
      <c r="S481" s="181"/>
      <c r="T481" s="181"/>
      <c r="U481" s="181"/>
      <c r="V481" s="181"/>
      <c r="W481" s="181"/>
      <c r="X481" s="181"/>
      <c r="Y481" s="181"/>
      <c r="Z481" s="181"/>
    </row>
    <row r="482" ht="14.25" customHeight="1">
      <c r="A482" s="181"/>
      <c r="B482" s="181"/>
      <c r="C482" s="181"/>
      <c r="D482" s="181"/>
      <c r="E482" s="181"/>
      <c r="F482" s="181"/>
      <c r="G482" s="181"/>
      <c r="H482" s="181"/>
      <c r="I482" s="181"/>
      <c r="J482" s="181"/>
      <c r="K482" s="181"/>
      <c r="L482" s="181"/>
      <c r="M482" s="181"/>
      <c r="N482" s="181"/>
      <c r="O482" s="181"/>
      <c r="P482" s="181"/>
      <c r="Q482" s="181"/>
      <c r="R482" s="181"/>
      <c r="S482" s="181"/>
      <c r="T482" s="181"/>
      <c r="U482" s="181"/>
      <c r="V482" s="181"/>
      <c r="W482" s="181"/>
      <c r="X482" s="181"/>
      <c r="Y482" s="181"/>
      <c r="Z482" s="181"/>
    </row>
    <row r="483" ht="14.25" customHeight="1">
      <c r="A483" s="181"/>
      <c r="B483" s="181"/>
      <c r="C483" s="181"/>
      <c r="D483" s="181"/>
      <c r="E483" s="181"/>
      <c r="F483" s="181"/>
      <c r="G483" s="181"/>
      <c r="H483" s="181"/>
      <c r="I483" s="181"/>
      <c r="J483" s="181"/>
      <c r="K483" s="181"/>
      <c r="L483" s="181"/>
      <c r="M483" s="181"/>
      <c r="N483" s="181"/>
      <c r="O483" s="181"/>
      <c r="P483" s="181"/>
      <c r="Q483" s="181"/>
      <c r="R483" s="181"/>
      <c r="S483" s="181"/>
      <c r="T483" s="181"/>
      <c r="U483" s="181"/>
      <c r="V483" s="181"/>
      <c r="W483" s="181"/>
      <c r="X483" s="181"/>
      <c r="Y483" s="181"/>
      <c r="Z483" s="181"/>
    </row>
    <row r="484" ht="14.25" customHeight="1">
      <c r="A484" s="181"/>
      <c r="B484" s="181"/>
      <c r="C484" s="181"/>
      <c r="D484" s="181"/>
      <c r="E484" s="181"/>
      <c r="F484" s="181"/>
      <c r="G484" s="181"/>
      <c r="H484" s="181"/>
      <c r="I484" s="181"/>
      <c r="J484" s="181"/>
      <c r="K484" s="181"/>
      <c r="L484" s="181"/>
      <c r="M484" s="181"/>
      <c r="N484" s="181"/>
      <c r="O484" s="181"/>
      <c r="P484" s="181"/>
      <c r="Q484" s="181"/>
      <c r="R484" s="181"/>
      <c r="S484" s="181"/>
      <c r="T484" s="181"/>
      <c r="U484" s="181"/>
      <c r="V484" s="181"/>
      <c r="W484" s="181"/>
      <c r="X484" s="181"/>
      <c r="Y484" s="181"/>
      <c r="Z484" s="181"/>
    </row>
    <row r="485" ht="14.25" customHeight="1">
      <c r="A485" s="181"/>
      <c r="B485" s="181"/>
      <c r="C485" s="181"/>
      <c r="D485" s="181"/>
      <c r="E485" s="181"/>
      <c r="F485" s="181"/>
      <c r="G485" s="181"/>
      <c r="H485" s="181"/>
      <c r="I485" s="181"/>
      <c r="J485" s="181"/>
      <c r="K485" s="181"/>
      <c r="L485" s="181"/>
      <c r="M485" s="181"/>
      <c r="N485" s="181"/>
      <c r="O485" s="181"/>
      <c r="P485" s="181"/>
      <c r="Q485" s="181"/>
      <c r="R485" s="181"/>
      <c r="S485" s="181"/>
      <c r="T485" s="181"/>
      <c r="U485" s="181"/>
      <c r="V485" s="181"/>
      <c r="W485" s="181"/>
      <c r="X485" s="181"/>
      <c r="Y485" s="181"/>
      <c r="Z485" s="181"/>
    </row>
    <row r="486" ht="14.25" customHeight="1">
      <c r="A486" s="181"/>
      <c r="B486" s="181"/>
      <c r="C486" s="181"/>
      <c r="D486" s="181"/>
      <c r="E486" s="181"/>
      <c r="F486" s="181"/>
      <c r="G486" s="181"/>
      <c r="H486" s="181"/>
      <c r="I486" s="181"/>
      <c r="J486" s="181"/>
      <c r="K486" s="181"/>
      <c r="L486" s="181"/>
      <c r="M486" s="181"/>
      <c r="N486" s="181"/>
      <c r="O486" s="181"/>
      <c r="P486" s="181"/>
      <c r="Q486" s="181"/>
      <c r="R486" s="181"/>
      <c r="S486" s="181"/>
      <c r="T486" s="181"/>
      <c r="U486" s="181"/>
      <c r="V486" s="181"/>
      <c r="W486" s="181"/>
      <c r="X486" s="181"/>
      <c r="Y486" s="181"/>
      <c r="Z486" s="181"/>
    </row>
    <row r="487" ht="14.25" customHeight="1">
      <c r="A487" s="181"/>
      <c r="B487" s="181"/>
      <c r="C487" s="181"/>
      <c r="D487" s="181"/>
      <c r="E487" s="181"/>
      <c r="F487" s="181"/>
      <c r="G487" s="181"/>
      <c r="H487" s="181"/>
      <c r="I487" s="181"/>
      <c r="J487" s="181"/>
      <c r="K487" s="181"/>
      <c r="L487" s="181"/>
      <c r="M487" s="181"/>
      <c r="N487" s="181"/>
      <c r="O487" s="181"/>
      <c r="P487" s="181"/>
      <c r="Q487" s="181"/>
      <c r="R487" s="181"/>
      <c r="S487" s="181"/>
      <c r="T487" s="181"/>
      <c r="U487" s="181"/>
      <c r="V487" s="181"/>
      <c r="W487" s="181"/>
      <c r="X487" s="181"/>
      <c r="Y487" s="181"/>
      <c r="Z487" s="181"/>
    </row>
    <row r="488" ht="14.25" customHeight="1">
      <c r="A488" s="181"/>
      <c r="B488" s="181"/>
      <c r="C488" s="181"/>
      <c r="D488" s="181"/>
      <c r="E488" s="181"/>
      <c r="F488" s="181"/>
      <c r="G488" s="181"/>
      <c r="H488" s="181"/>
      <c r="I488" s="181"/>
      <c r="J488" s="181"/>
      <c r="K488" s="181"/>
      <c r="L488" s="181"/>
      <c r="M488" s="181"/>
      <c r="N488" s="181"/>
      <c r="O488" s="181"/>
      <c r="P488" s="181"/>
      <c r="Q488" s="181"/>
      <c r="R488" s="181"/>
      <c r="S488" s="181"/>
      <c r="T488" s="181"/>
      <c r="U488" s="181"/>
      <c r="V488" s="181"/>
      <c r="W488" s="181"/>
      <c r="X488" s="181"/>
      <c r="Y488" s="181"/>
      <c r="Z488" s="181"/>
    </row>
    <row r="489" ht="14.25" customHeight="1">
      <c r="A489" s="181"/>
      <c r="B489" s="181"/>
      <c r="C489" s="181"/>
      <c r="D489" s="181"/>
      <c r="E489" s="181"/>
      <c r="F489" s="181"/>
      <c r="G489" s="181"/>
      <c r="H489" s="181"/>
      <c r="I489" s="181"/>
      <c r="J489" s="181"/>
      <c r="K489" s="181"/>
      <c r="L489" s="181"/>
      <c r="M489" s="181"/>
      <c r="N489" s="181"/>
      <c r="O489" s="181"/>
      <c r="P489" s="181"/>
      <c r="Q489" s="181"/>
      <c r="R489" s="181"/>
      <c r="S489" s="181"/>
      <c r="T489" s="181"/>
      <c r="U489" s="181"/>
      <c r="V489" s="181"/>
      <c r="W489" s="181"/>
      <c r="X489" s="181"/>
      <c r="Y489" s="181"/>
      <c r="Z489" s="181"/>
    </row>
    <row r="490" ht="14.25" customHeight="1">
      <c r="A490" s="181"/>
      <c r="B490" s="181"/>
      <c r="C490" s="181"/>
      <c r="D490" s="181"/>
      <c r="E490" s="181"/>
      <c r="F490" s="181"/>
      <c r="G490" s="181"/>
      <c r="H490" s="181"/>
      <c r="I490" s="181"/>
      <c r="J490" s="181"/>
      <c r="K490" s="181"/>
      <c r="L490" s="181"/>
      <c r="M490" s="181"/>
      <c r="N490" s="181"/>
      <c r="O490" s="181"/>
      <c r="P490" s="181"/>
      <c r="Q490" s="181"/>
      <c r="R490" s="181"/>
      <c r="S490" s="181"/>
      <c r="T490" s="181"/>
      <c r="U490" s="181"/>
      <c r="V490" s="181"/>
      <c r="W490" s="181"/>
      <c r="X490" s="181"/>
      <c r="Y490" s="181"/>
      <c r="Z490" s="181"/>
    </row>
    <row r="491" ht="14.25" customHeight="1">
      <c r="A491" s="181"/>
      <c r="B491" s="181"/>
      <c r="C491" s="181"/>
      <c r="D491" s="181"/>
      <c r="E491" s="181"/>
      <c r="F491" s="181"/>
      <c r="G491" s="181"/>
      <c r="H491" s="181"/>
      <c r="I491" s="181"/>
      <c r="J491" s="181"/>
      <c r="K491" s="181"/>
      <c r="L491" s="181"/>
      <c r="M491" s="181"/>
      <c r="N491" s="181"/>
      <c r="O491" s="181"/>
      <c r="P491" s="181"/>
      <c r="Q491" s="181"/>
      <c r="R491" s="181"/>
      <c r="S491" s="181"/>
      <c r="T491" s="181"/>
      <c r="U491" s="181"/>
      <c r="V491" s="181"/>
      <c r="W491" s="181"/>
      <c r="X491" s="181"/>
      <c r="Y491" s="181"/>
      <c r="Z491" s="181"/>
    </row>
    <row r="492" ht="14.25" customHeight="1">
      <c r="A492" s="181"/>
      <c r="B492" s="181"/>
      <c r="C492" s="181"/>
      <c r="D492" s="181"/>
      <c r="E492" s="181"/>
      <c r="F492" s="181"/>
      <c r="G492" s="181"/>
      <c r="H492" s="181"/>
      <c r="I492" s="181"/>
      <c r="J492" s="181"/>
      <c r="K492" s="181"/>
      <c r="L492" s="181"/>
      <c r="M492" s="181"/>
      <c r="N492" s="181"/>
      <c r="O492" s="181"/>
      <c r="P492" s="181"/>
      <c r="Q492" s="181"/>
      <c r="R492" s="181"/>
      <c r="S492" s="181"/>
      <c r="T492" s="181"/>
      <c r="U492" s="181"/>
      <c r="V492" s="181"/>
      <c r="W492" s="181"/>
      <c r="X492" s="181"/>
      <c r="Y492" s="181"/>
      <c r="Z492" s="181"/>
    </row>
    <row r="493" ht="14.25" customHeight="1">
      <c r="A493" s="181"/>
      <c r="B493" s="181"/>
      <c r="C493" s="181"/>
      <c r="D493" s="181"/>
      <c r="E493" s="181"/>
      <c r="F493" s="181"/>
      <c r="G493" s="181"/>
      <c r="H493" s="181"/>
      <c r="I493" s="181"/>
      <c r="J493" s="181"/>
      <c r="K493" s="181"/>
      <c r="L493" s="181"/>
      <c r="M493" s="181"/>
      <c r="N493" s="181"/>
      <c r="O493" s="181"/>
      <c r="P493" s="181"/>
      <c r="Q493" s="181"/>
      <c r="R493" s="181"/>
      <c r="S493" s="181"/>
      <c r="T493" s="181"/>
      <c r="U493" s="181"/>
      <c r="V493" s="181"/>
      <c r="W493" s="181"/>
      <c r="X493" s="181"/>
      <c r="Y493" s="181"/>
      <c r="Z493" s="181"/>
    </row>
    <row r="494" ht="14.25" customHeight="1">
      <c r="A494" s="181"/>
      <c r="B494" s="181"/>
      <c r="C494" s="181"/>
      <c r="D494" s="181"/>
      <c r="E494" s="181"/>
      <c r="F494" s="181"/>
      <c r="G494" s="181"/>
      <c r="H494" s="181"/>
      <c r="I494" s="181"/>
      <c r="J494" s="181"/>
      <c r="K494" s="181"/>
      <c r="L494" s="181"/>
      <c r="M494" s="181"/>
      <c r="N494" s="181"/>
      <c r="O494" s="181"/>
      <c r="P494" s="181"/>
      <c r="Q494" s="181"/>
      <c r="R494" s="181"/>
      <c r="S494" s="181"/>
      <c r="T494" s="181"/>
      <c r="U494" s="181"/>
      <c r="V494" s="181"/>
      <c r="W494" s="181"/>
      <c r="X494" s="181"/>
      <c r="Y494" s="181"/>
      <c r="Z494" s="181"/>
    </row>
    <row r="495" ht="14.25" customHeight="1">
      <c r="A495" s="181"/>
      <c r="B495" s="181"/>
      <c r="C495" s="181"/>
      <c r="D495" s="181"/>
      <c r="E495" s="181"/>
      <c r="F495" s="181"/>
      <c r="G495" s="181"/>
      <c r="H495" s="181"/>
      <c r="I495" s="181"/>
      <c r="J495" s="181"/>
      <c r="K495" s="181"/>
      <c r="L495" s="181"/>
      <c r="M495" s="181"/>
      <c r="N495" s="181"/>
      <c r="O495" s="181"/>
      <c r="P495" s="181"/>
      <c r="Q495" s="181"/>
      <c r="R495" s="181"/>
      <c r="S495" s="181"/>
      <c r="T495" s="181"/>
      <c r="U495" s="181"/>
      <c r="V495" s="181"/>
      <c r="W495" s="181"/>
      <c r="X495" s="181"/>
      <c r="Y495" s="181"/>
      <c r="Z495" s="181"/>
    </row>
    <row r="496" ht="14.25" customHeight="1">
      <c r="A496" s="181"/>
      <c r="B496" s="181"/>
      <c r="C496" s="181"/>
      <c r="D496" s="181"/>
      <c r="E496" s="181"/>
      <c r="F496" s="181"/>
      <c r="G496" s="181"/>
      <c r="H496" s="181"/>
      <c r="I496" s="181"/>
      <c r="J496" s="181"/>
      <c r="K496" s="181"/>
      <c r="L496" s="181"/>
      <c r="M496" s="181"/>
      <c r="N496" s="181"/>
      <c r="O496" s="181"/>
      <c r="P496" s="181"/>
      <c r="Q496" s="181"/>
      <c r="R496" s="181"/>
      <c r="S496" s="181"/>
      <c r="T496" s="181"/>
      <c r="U496" s="181"/>
      <c r="V496" s="181"/>
      <c r="W496" s="181"/>
      <c r="X496" s="181"/>
      <c r="Y496" s="181"/>
      <c r="Z496" s="181"/>
    </row>
    <row r="497" ht="14.25" customHeight="1">
      <c r="A497" s="181"/>
      <c r="B497" s="181"/>
      <c r="C497" s="181"/>
      <c r="D497" s="181"/>
      <c r="E497" s="181"/>
      <c r="F497" s="181"/>
      <c r="G497" s="181"/>
      <c r="H497" s="181"/>
      <c r="I497" s="181"/>
      <c r="J497" s="181"/>
      <c r="K497" s="181"/>
      <c r="L497" s="181"/>
      <c r="M497" s="181"/>
      <c r="N497" s="181"/>
      <c r="O497" s="181"/>
      <c r="P497" s="181"/>
      <c r="Q497" s="181"/>
      <c r="R497" s="181"/>
      <c r="S497" s="181"/>
      <c r="T497" s="181"/>
      <c r="U497" s="181"/>
      <c r="V497" s="181"/>
      <c r="W497" s="181"/>
      <c r="X497" s="181"/>
      <c r="Y497" s="181"/>
      <c r="Z497" s="181"/>
    </row>
    <row r="498" ht="14.25" customHeight="1">
      <c r="A498" s="181"/>
      <c r="B498" s="181"/>
      <c r="C498" s="181"/>
      <c r="D498" s="181"/>
      <c r="E498" s="181"/>
      <c r="F498" s="181"/>
      <c r="G498" s="181"/>
      <c r="H498" s="181"/>
      <c r="I498" s="181"/>
      <c r="J498" s="181"/>
      <c r="K498" s="181"/>
      <c r="L498" s="181"/>
      <c r="M498" s="181"/>
      <c r="N498" s="181"/>
      <c r="O498" s="181"/>
      <c r="P498" s="181"/>
      <c r="Q498" s="181"/>
      <c r="R498" s="181"/>
      <c r="S498" s="181"/>
      <c r="T498" s="181"/>
      <c r="U498" s="181"/>
      <c r="V498" s="181"/>
      <c r="W498" s="181"/>
      <c r="X498" s="181"/>
      <c r="Y498" s="181"/>
      <c r="Z498" s="181"/>
    </row>
    <row r="499" ht="14.25" customHeight="1">
      <c r="A499" s="181"/>
      <c r="B499" s="181"/>
      <c r="C499" s="181"/>
      <c r="D499" s="181"/>
      <c r="E499" s="181"/>
      <c r="F499" s="181"/>
      <c r="G499" s="181"/>
      <c r="H499" s="181"/>
      <c r="I499" s="181"/>
      <c r="J499" s="181"/>
      <c r="K499" s="181"/>
      <c r="L499" s="181"/>
      <c r="M499" s="181"/>
      <c r="N499" s="181"/>
      <c r="O499" s="181"/>
      <c r="P499" s="181"/>
      <c r="Q499" s="181"/>
      <c r="R499" s="181"/>
      <c r="S499" s="181"/>
      <c r="T499" s="181"/>
      <c r="U499" s="181"/>
      <c r="V499" s="181"/>
      <c r="W499" s="181"/>
      <c r="X499" s="181"/>
      <c r="Y499" s="181"/>
      <c r="Z499" s="181"/>
    </row>
    <row r="500" ht="14.25" customHeight="1">
      <c r="A500" s="181"/>
      <c r="B500" s="181"/>
      <c r="C500" s="181"/>
      <c r="D500" s="181"/>
      <c r="E500" s="181"/>
      <c r="F500" s="181"/>
      <c r="G500" s="181"/>
      <c r="H500" s="181"/>
      <c r="I500" s="181"/>
      <c r="J500" s="181"/>
      <c r="K500" s="181"/>
      <c r="L500" s="181"/>
      <c r="M500" s="181"/>
      <c r="N500" s="181"/>
      <c r="O500" s="181"/>
      <c r="P500" s="181"/>
      <c r="Q500" s="181"/>
      <c r="R500" s="181"/>
      <c r="S500" s="181"/>
      <c r="T500" s="181"/>
      <c r="U500" s="181"/>
      <c r="V500" s="181"/>
      <c r="W500" s="181"/>
      <c r="X500" s="181"/>
      <c r="Y500" s="181"/>
      <c r="Z500" s="181"/>
    </row>
    <row r="501" ht="14.25" customHeight="1">
      <c r="A501" s="181"/>
      <c r="B501" s="181"/>
      <c r="C501" s="181"/>
      <c r="D501" s="181"/>
      <c r="E501" s="181"/>
      <c r="F501" s="181"/>
      <c r="G501" s="181"/>
      <c r="H501" s="181"/>
      <c r="I501" s="181"/>
      <c r="J501" s="181"/>
      <c r="K501" s="181"/>
      <c r="L501" s="181"/>
      <c r="M501" s="181"/>
      <c r="N501" s="181"/>
      <c r="O501" s="181"/>
      <c r="P501" s="181"/>
      <c r="Q501" s="181"/>
      <c r="R501" s="181"/>
      <c r="S501" s="181"/>
      <c r="T501" s="181"/>
      <c r="U501" s="181"/>
      <c r="V501" s="181"/>
      <c r="W501" s="181"/>
      <c r="X501" s="181"/>
      <c r="Y501" s="181"/>
      <c r="Z501" s="181"/>
    </row>
    <row r="502" ht="14.25" customHeight="1">
      <c r="A502" s="181"/>
      <c r="B502" s="181"/>
      <c r="C502" s="181"/>
      <c r="D502" s="181"/>
      <c r="E502" s="181"/>
      <c r="F502" s="181"/>
      <c r="G502" s="181"/>
      <c r="H502" s="181"/>
      <c r="I502" s="181"/>
      <c r="J502" s="181"/>
      <c r="K502" s="181"/>
      <c r="L502" s="181"/>
      <c r="M502" s="181"/>
      <c r="N502" s="181"/>
      <c r="O502" s="181"/>
      <c r="P502" s="181"/>
      <c r="Q502" s="181"/>
      <c r="R502" s="181"/>
      <c r="S502" s="181"/>
      <c r="T502" s="181"/>
      <c r="U502" s="181"/>
      <c r="V502" s="181"/>
      <c r="W502" s="181"/>
      <c r="X502" s="181"/>
      <c r="Y502" s="181"/>
      <c r="Z502" s="181"/>
    </row>
    <row r="503" ht="14.25" customHeight="1">
      <c r="A503" s="181"/>
      <c r="B503" s="181"/>
      <c r="C503" s="181"/>
      <c r="D503" s="181"/>
      <c r="E503" s="181"/>
      <c r="F503" s="181"/>
      <c r="G503" s="181"/>
      <c r="H503" s="181"/>
      <c r="I503" s="181"/>
      <c r="J503" s="181"/>
      <c r="K503" s="181"/>
      <c r="L503" s="181"/>
      <c r="M503" s="181"/>
      <c r="N503" s="181"/>
      <c r="O503" s="181"/>
      <c r="P503" s="181"/>
      <c r="Q503" s="181"/>
      <c r="R503" s="181"/>
      <c r="S503" s="181"/>
      <c r="T503" s="181"/>
      <c r="U503" s="181"/>
      <c r="V503" s="181"/>
      <c r="W503" s="181"/>
      <c r="X503" s="181"/>
      <c r="Y503" s="181"/>
      <c r="Z503" s="181"/>
    </row>
    <row r="504" ht="14.25" customHeight="1">
      <c r="A504" s="181"/>
      <c r="B504" s="181"/>
      <c r="C504" s="181"/>
      <c r="D504" s="181"/>
      <c r="E504" s="181"/>
      <c r="F504" s="181"/>
      <c r="G504" s="181"/>
      <c r="H504" s="181"/>
      <c r="I504" s="181"/>
      <c r="J504" s="181"/>
      <c r="K504" s="181"/>
      <c r="L504" s="181"/>
      <c r="M504" s="181"/>
      <c r="N504" s="181"/>
      <c r="O504" s="181"/>
      <c r="P504" s="181"/>
      <c r="Q504" s="181"/>
      <c r="R504" s="181"/>
      <c r="S504" s="181"/>
      <c r="T504" s="181"/>
      <c r="U504" s="181"/>
      <c r="V504" s="181"/>
      <c r="W504" s="181"/>
      <c r="X504" s="181"/>
      <c r="Y504" s="181"/>
      <c r="Z504" s="181"/>
    </row>
    <row r="505" ht="14.25" customHeight="1">
      <c r="A505" s="181"/>
      <c r="B505" s="181"/>
      <c r="C505" s="181"/>
      <c r="D505" s="181"/>
      <c r="E505" s="181"/>
      <c r="F505" s="181"/>
      <c r="G505" s="181"/>
      <c r="H505" s="181"/>
      <c r="I505" s="181"/>
      <c r="J505" s="181"/>
      <c r="K505" s="181"/>
      <c r="L505" s="181"/>
      <c r="M505" s="181"/>
      <c r="N505" s="181"/>
      <c r="O505" s="181"/>
      <c r="P505" s="181"/>
      <c r="Q505" s="181"/>
      <c r="R505" s="181"/>
      <c r="S505" s="181"/>
      <c r="T505" s="181"/>
      <c r="U505" s="181"/>
      <c r="V505" s="181"/>
      <c r="W505" s="181"/>
      <c r="X505" s="181"/>
      <c r="Y505" s="181"/>
      <c r="Z505" s="181"/>
    </row>
    <row r="506" ht="14.25" customHeight="1">
      <c r="A506" s="181"/>
      <c r="B506" s="181"/>
      <c r="C506" s="181"/>
      <c r="D506" s="181"/>
      <c r="E506" s="181"/>
      <c r="F506" s="181"/>
      <c r="G506" s="181"/>
      <c r="H506" s="181"/>
      <c r="I506" s="181"/>
      <c r="J506" s="181"/>
      <c r="K506" s="181"/>
      <c r="L506" s="181"/>
      <c r="M506" s="181"/>
      <c r="N506" s="181"/>
      <c r="O506" s="181"/>
      <c r="P506" s="181"/>
      <c r="Q506" s="181"/>
      <c r="R506" s="181"/>
      <c r="S506" s="181"/>
      <c r="T506" s="181"/>
      <c r="U506" s="181"/>
      <c r="V506" s="181"/>
      <c r="W506" s="181"/>
      <c r="X506" s="181"/>
      <c r="Y506" s="181"/>
      <c r="Z506" s="181"/>
    </row>
    <row r="507" ht="14.25" customHeight="1">
      <c r="A507" s="181"/>
      <c r="B507" s="181"/>
      <c r="C507" s="181"/>
      <c r="D507" s="181"/>
      <c r="E507" s="181"/>
      <c r="F507" s="181"/>
      <c r="G507" s="181"/>
      <c r="H507" s="181"/>
      <c r="I507" s="181"/>
      <c r="J507" s="181"/>
      <c r="K507" s="181"/>
      <c r="L507" s="181"/>
      <c r="M507" s="181"/>
      <c r="N507" s="181"/>
      <c r="O507" s="181"/>
      <c r="P507" s="181"/>
      <c r="Q507" s="181"/>
      <c r="R507" s="181"/>
      <c r="S507" s="181"/>
      <c r="T507" s="181"/>
      <c r="U507" s="181"/>
      <c r="V507" s="181"/>
      <c r="W507" s="181"/>
      <c r="X507" s="181"/>
      <c r="Y507" s="181"/>
      <c r="Z507" s="181"/>
    </row>
    <row r="508" ht="14.25" customHeight="1">
      <c r="A508" s="181"/>
      <c r="B508" s="181"/>
      <c r="C508" s="181"/>
      <c r="D508" s="181"/>
      <c r="E508" s="181"/>
      <c r="F508" s="181"/>
      <c r="G508" s="181"/>
      <c r="H508" s="181"/>
      <c r="I508" s="181"/>
      <c r="J508" s="181"/>
      <c r="K508" s="181"/>
      <c r="L508" s="181"/>
      <c r="M508" s="181"/>
      <c r="N508" s="181"/>
      <c r="O508" s="181"/>
      <c r="P508" s="181"/>
      <c r="Q508" s="181"/>
      <c r="R508" s="181"/>
      <c r="S508" s="181"/>
      <c r="T508" s="181"/>
      <c r="U508" s="181"/>
      <c r="V508" s="181"/>
      <c r="W508" s="181"/>
      <c r="X508" s="181"/>
      <c r="Y508" s="181"/>
      <c r="Z508" s="181"/>
    </row>
    <row r="509" ht="14.25" customHeight="1">
      <c r="A509" s="181"/>
      <c r="B509" s="181"/>
      <c r="C509" s="181"/>
      <c r="D509" s="181"/>
      <c r="E509" s="181"/>
      <c r="F509" s="181"/>
      <c r="G509" s="181"/>
      <c r="H509" s="181"/>
      <c r="I509" s="181"/>
      <c r="J509" s="181"/>
      <c r="K509" s="181"/>
      <c r="L509" s="181"/>
      <c r="M509" s="181"/>
      <c r="N509" s="181"/>
      <c r="O509" s="181"/>
      <c r="P509" s="181"/>
      <c r="Q509" s="181"/>
      <c r="R509" s="181"/>
      <c r="S509" s="181"/>
      <c r="T509" s="181"/>
      <c r="U509" s="181"/>
      <c r="V509" s="181"/>
      <c r="W509" s="181"/>
      <c r="X509" s="181"/>
      <c r="Y509" s="181"/>
      <c r="Z509" s="181"/>
    </row>
    <row r="510" ht="14.25" customHeight="1">
      <c r="A510" s="181"/>
      <c r="B510" s="181"/>
      <c r="C510" s="181"/>
      <c r="D510" s="181"/>
      <c r="E510" s="181"/>
      <c r="F510" s="181"/>
      <c r="G510" s="181"/>
      <c r="H510" s="181"/>
      <c r="I510" s="181"/>
      <c r="J510" s="181"/>
      <c r="K510" s="181"/>
      <c r="L510" s="181"/>
      <c r="M510" s="181"/>
      <c r="N510" s="181"/>
      <c r="O510" s="181"/>
      <c r="P510" s="181"/>
      <c r="Q510" s="181"/>
      <c r="R510" s="181"/>
      <c r="S510" s="181"/>
      <c r="T510" s="181"/>
      <c r="U510" s="181"/>
      <c r="V510" s="181"/>
      <c r="W510" s="181"/>
      <c r="X510" s="181"/>
      <c r="Y510" s="181"/>
      <c r="Z510" s="181"/>
    </row>
    <row r="511" ht="14.25" customHeight="1">
      <c r="A511" s="181"/>
      <c r="B511" s="181"/>
      <c r="C511" s="181"/>
      <c r="D511" s="181"/>
      <c r="E511" s="181"/>
      <c r="F511" s="181"/>
      <c r="G511" s="181"/>
      <c r="H511" s="181"/>
      <c r="I511" s="181"/>
      <c r="J511" s="181"/>
      <c r="K511" s="181"/>
      <c r="L511" s="181"/>
      <c r="M511" s="181"/>
      <c r="N511" s="181"/>
      <c r="O511" s="181"/>
      <c r="P511" s="181"/>
      <c r="Q511" s="181"/>
      <c r="R511" s="181"/>
      <c r="S511" s="181"/>
      <c r="T511" s="181"/>
      <c r="U511" s="181"/>
      <c r="V511" s="181"/>
      <c r="W511" s="181"/>
      <c r="X511" s="181"/>
      <c r="Y511" s="181"/>
      <c r="Z511" s="181"/>
    </row>
    <row r="512" ht="14.25" customHeight="1">
      <c r="A512" s="181"/>
      <c r="B512" s="181"/>
      <c r="C512" s="181"/>
      <c r="D512" s="181"/>
      <c r="E512" s="181"/>
      <c r="F512" s="181"/>
      <c r="G512" s="181"/>
      <c r="H512" s="181"/>
      <c r="I512" s="181"/>
      <c r="J512" s="181"/>
      <c r="K512" s="181"/>
      <c r="L512" s="181"/>
      <c r="M512" s="181"/>
      <c r="N512" s="181"/>
      <c r="O512" s="181"/>
      <c r="P512" s="181"/>
      <c r="Q512" s="181"/>
      <c r="R512" s="181"/>
      <c r="S512" s="181"/>
      <c r="T512" s="181"/>
      <c r="U512" s="181"/>
      <c r="V512" s="181"/>
      <c r="W512" s="181"/>
      <c r="X512" s="181"/>
      <c r="Y512" s="181"/>
      <c r="Z512" s="181"/>
    </row>
    <row r="513" ht="14.25" customHeight="1">
      <c r="A513" s="181"/>
      <c r="B513" s="181"/>
      <c r="C513" s="181"/>
      <c r="D513" s="181"/>
      <c r="E513" s="181"/>
      <c r="F513" s="181"/>
      <c r="G513" s="181"/>
      <c r="H513" s="181"/>
      <c r="I513" s="181"/>
      <c r="J513" s="181"/>
      <c r="K513" s="181"/>
      <c r="L513" s="181"/>
      <c r="M513" s="181"/>
      <c r="N513" s="181"/>
      <c r="O513" s="181"/>
      <c r="P513" s="181"/>
      <c r="Q513" s="181"/>
      <c r="R513" s="181"/>
      <c r="S513" s="181"/>
      <c r="T513" s="181"/>
      <c r="U513" s="181"/>
      <c r="V513" s="181"/>
      <c r="W513" s="181"/>
      <c r="X513" s="181"/>
      <c r="Y513" s="181"/>
      <c r="Z513" s="181"/>
    </row>
    <row r="514" ht="14.25" customHeight="1">
      <c r="A514" s="181"/>
      <c r="B514" s="181"/>
      <c r="C514" s="181"/>
      <c r="D514" s="181"/>
      <c r="E514" s="181"/>
      <c r="F514" s="181"/>
      <c r="G514" s="181"/>
      <c r="H514" s="181"/>
      <c r="I514" s="181"/>
      <c r="J514" s="181"/>
      <c r="K514" s="181"/>
      <c r="L514" s="181"/>
      <c r="M514" s="181"/>
      <c r="N514" s="181"/>
      <c r="O514" s="181"/>
      <c r="P514" s="181"/>
      <c r="Q514" s="181"/>
      <c r="R514" s="181"/>
      <c r="S514" s="181"/>
      <c r="T514" s="181"/>
      <c r="U514" s="181"/>
      <c r="V514" s="181"/>
      <c r="W514" s="181"/>
      <c r="X514" s="181"/>
      <c r="Y514" s="181"/>
      <c r="Z514" s="181"/>
    </row>
    <row r="515" ht="14.25" customHeight="1">
      <c r="A515" s="181"/>
      <c r="B515" s="181"/>
      <c r="C515" s="181"/>
      <c r="D515" s="181"/>
      <c r="E515" s="181"/>
      <c r="F515" s="181"/>
      <c r="G515" s="181"/>
      <c r="H515" s="181"/>
      <c r="I515" s="181"/>
      <c r="J515" s="181"/>
      <c r="K515" s="181"/>
      <c r="L515" s="181"/>
      <c r="M515" s="181"/>
      <c r="N515" s="181"/>
      <c r="O515" s="181"/>
      <c r="P515" s="181"/>
      <c r="Q515" s="181"/>
      <c r="R515" s="181"/>
      <c r="S515" s="181"/>
      <c r="T515" s="181"/>
      <c r="U515" s="181"/>
      <c r="V515" s="181"/>
      <c r="W515" s="181"/>
      <c r="X515" s="181"/>
      <c r="Y515" s="181"/>
      <c r="Z515" s="181"/>
    </row>
    <row r="516" ht="14.25" customHeight="1">
      <c r="A516" s="181"/>
      <c r="B516" s="181"/>
      <c r="C516" s="181"/>
      <c r="D516" s="181"/>
      <c r="E516" s="181"/>
      <c r="F516" s="181"/>
      <c r="G516" s="181"/>
      <c r="H516" s="181"/>
      <c r="I516" s="181"/>
      <c r="J516" s="181"/>
      <c r="K516" s="181"/>
      <c r="L516" s="181"/>
      <c r="M516" s="181"/>
      <c r="N516" s="181"/>
      <c r="O516" s="181"/>
      <c r="P516" s="181"/>
      <c r="Q516" s="181"/>
      <c r="R516" s="181"/>
      <c r="S516" s="181"/>
      <c r="T516" s="181"/>
      <c r="U516" s="181"/>
      <c r="V516" s="181"/>
      <c r="W516" s="181"/>
      <c r="X516" s="181"/>
      <c r="Y516" s="181"/>
      <c r="Z516" s="181"/>
    </row>
    <row r="517" ht="14.25" customHeight="1">
      <c r="A517" s="181"/>
      <c r="B517" s="181"/>
      <c r="C517" s="181"/>
      <c r="D517" s="181"/>
      <c r="E517" s="181"/>
      <c r="F517" s="181"/>
      <c r="G517" s="181"/>
      <c r="H517" s="181"/>
      <c r="I517" s="181"/>
      <c r="J517" s="181"/>
      <c r="K517" s="181"/>
      <c r="L517" s="181"/>
      <c r="M517" s="181"/>
      <c r="N517" s="181"/>
      <c r="O517" s="181"/>
      <c r="P517" s="181"/>
      <c r="Q517" s="181"/>
      <c r="R517" s="181"/>
      <c r="S517" s="181"/>
      <c r="T517" s="181"/>
      <c r="U517" s="181"/>
      <c r="V517" s="181"/>
      <c r="W517" s="181"/>
      <c r="X517" s="181"/>
      <c r="Y517" s="181"/>
      <c r="Z517" s="181"/>
    </row>
    <row r="518" ht="14.25" customHeight="1">
      <c r="A518" s="181"/>
      <c r="B518" s="181"/>
      <c r="C518" s="181"/>
      <c r="D518" s="181"/>
      <c r="E518" s="181"/>
      <c r="F518" s="181"/>
      <c r="G518" s="181"/>
      <c r="H518" s="181"/>
      <c r="I518" s="181"/>
      <c r="J518" s="181"/>
      <c r="K518" s="181"/>
      <c r="L518" s="181"/>
      <c r="M518" s="181"/>
      <c r="N518" s="181"/>
      <c r="O518" s="181"/>
      <c r="P518" s="181"/>
      <c r="Q518" s="181"/>
      <c r="R518" s="181"/>
      <c r="S518" s="181"/>
      <c r="T518" s="181"/>
      <c r="U518" s="181"/>
      <c r="V518" s="181"/>
      <c r="W518" s="181"/>
      <c r="X518" s="181"/>
      <c r="Y518" s="181"/>
      <c r="Z518" s="181"/>
    </row>
    <row r="519" ht="14.25" customHeight="1">
      <c r="A519" s="181"/>
      <c r="B519" s="181"/>
      <c r="C519" s="181"/>
      <c r="D519" s="181"/>
      <c r="E519" s="181"/>
      <c r="F519" s="181"/>
      <c r="G519" s="181"/>
      <c r="H519" s="181"/>
      <c r="I519" s="181"/>
      <c r="J519" s="181"/>
      <c r="K519" s="181"/>
      <c r="L519" s="181"/>
      <c r="M519" s="181"/>
      <c r="N519" s="181"/>
      <c r="O519" s="181"/>
      <c r="P519" s="181"/>
      <c r="Q519" s="181"/>
      <c r="R519" s="181"/>
      <c r="S519" s="181"/>
      <c r="T519" s="181"/>
      <c r="U519" s="181"/>
      <c r="V519" s="181"/>
      <c r="W519" s="181"/>
      <c r="X519" s="181"/>
      <c r="Y519" s="181"/>
      <c r="Z519" s="181"/>
    </row>
    <row r="520" ht="14.25" customHeight="1">
      <c r="A520" s="181"/>
      <c r="B520" s="181"/>
      <c r="C520" s="181"/>
      <c r="D520" s="181"/>
      <c r="E520" s="181"/>
      <c r="F520" s="181"/>
      <c r="G520" s="181"/>
      <c r="H520" s="181"/>
      <c r="I520" s="181"/>
      <c r="J520" s="181"/>
      <c r="K520" s="181"/>
      <c r="L520" s="181"/>
      <c r="M520" s="181"/>
      <c r="N520" s="181"/>
      <c r="O520" s="181"/>
      <c r="P520" s="181"/>
      <c r="Q520" s="181"/>
      <c r="R520" s="181"/>
      <c r="S520" s="181"/>
      <c r="T520" s="181"/>
      <c r="U520" s="181"/>
      <c r="V520" s="181"/>
      <c r="W520" s="181"/>
      <c r="X520" s="181"/>
      <c r="Y520" s="181"/>
      <c r="Z520" s="181"/>
    </row>
    <row r="521" ht="14.25" customHeight="1">
      <c r="A521" s="181"/>
      <c r="B521" s="181"/>
      <c r="C521" s="181"/>
      <c r="D521" s="181"/>
      <c r="E521" s="181"/>
      <c r="F521" s="181"/>
      <c r="G521" s="181"/>
      <c r="H521" s="181"/>
      <c r="I521" s="181"/>
      <c r="J521" s="181"/>
      <c r="K521" s="181"/>
      <c r="L521" s="181"/>
      <c r="M521" s="181"/>
      <c r="N521" s="181"/>
      <c r="O521" s="181"/>
      <c r="P521" s="181"/>
      <c r="Q521" s="181"/>
      <c r="R521" s="181"/>
      <c r="S521" s="181"/>
      <c r="T521" s="181"/>
      <c r="U521" s="181"/>
      <c r="V521" s="181"/>
      <c r="W521" s="181"/>
      <c r="X521" s="181"/>
      <c r="Y521" s="181"/>
      <c r="Z521" s="181"/>
    </row>
    <row r="522" ht="14.25" customHeight="1">
      <c r="A522" s="181"/>
      <c r="B522" s="181"/>
      <c r="C522" s="181"/>
      <c r="D522" s="181"/>
      <c r="E522" s="181"/>
      <c r="F522" s="181"/>
      <c r="G522" s="181"/>
      <c r="H522" s="181"/>
      <c r="I522" s="181"/>
      <c r="J522" s="181"/>
      <c r="K522" s="181"/>
      <c r="L522" s="181"/>
      <c r="M522" s="181"/>
      <c r="N522" s="181"/>
      <c r="O522" s="181"/>
      <c r="P522" s="181"/>
      <c r="Q522" s="181"/>
      <c r="R522" s="181"/>
      <c r="S522" s="181"/>
      <c r="T522" s="181"/>
      <c r="U522" s="181"/>
      <c r="V522" s="181"/>
      <c r="W522" s="181"/>
      <c r="X522" s="181"/>
      <c r="Y522" s="181"/>
      <c r="Z522" s="181"/>
    </row>
    <row r="523" ht="14.25" customHeight="1">
      <c r="A523" s="181"/>
      <c r="B523" s="181"/>
      <c r="C523" s="181"/>
      <c r="D523" s="181"/>
      <c r="E523" s="181"/>
      <c r="F523" s="181"/>
      <c r="G523" s="181"/>
      <c r="H523" s="181"/>
      <c r="I523" s="181"/>
      <c r="J523" s="181"/>
      <c r="K523" s="181"/>
      <c r="L523" s="181"/>
      <c r="M523" s="181"/>
      <c r="N523" s="181"/>
      <c r="O523" s="181"/>
      <c r="P523" s="181"/>
      <c r="Q523" s="181"/>
      <c r="R523" s="181"/>
      <c r="S523" s="181"/>
      <c r="T523" s="181"/>
      <c r="U523" s="181"/>
      <c r="V523" s="181"/>
      <c r="W523" s="181"/>
      <c r="X523" s="181"/>
      <c r="Y523" s="181"/>
      <c r="Z523" s="181"/>
    </row>
    <row r="524" ht="14.25" customHeight="1">
      <c r="A524" s="181"/>
      <c r="B524" s="181"/>
      <c r="C524" s="181"/>
      <c r="D524" s="181"/>
      <c r="E524" s="181"/>
      <c r="F524" s="181"/>
      <c r="G524" s="181"/>
      <c r="H524" s="181"/>
      <c r="I524" s="181"/>
      <c r="J524" s="181"/>
      <c r="K524" s="181"/>
      <c r="L524" s="181"/>
      <c r="M524" s="181"/>
      <c r="N524" s="181"/>
      <c r="O524" s="181"/>
      <c r="P524" s="181"/>
      <c r="Q524" s="181"/>
      <c r="R524" s="181"/>
      <c r="S524" s="181"/>
      <c r="T524" s="181"/>
      <c r="U524" s="181"/>
      <c r="V524" s="181"/>
      <c r="W524" s="181"/>
      <c r="X524" s="181"/>
      <c r="Y524" s="181"/>
      <c r="Z524" s="181"/>
    </row>
    <row r="525" ht="14.25" customHeight="1">
      <c r="A525" s="181"/>
      <c r="B525" s="181"/>
      <c r="C525" s="181"/>
      <c r="D525" s="181"/>
      <c r="E525" s="181"/>
      <c r="F525" s="181"/>
      <c r="G525" s="181"/>
      <c r="H525" s="181"/>
      <c r="I525" s="181"/>
      <c r="J525" s="181"/>
      <c r="K525" s="181"/>
      <c r="L525" s="181"/>
      <c r="M525" s="181"/>
      <c r="N525" s="181"/>
      <c r="O525" s="181"/>
      <c r="P525" s="181"/>
      <c r="Q525" s="181"/>
      <c r="R525" s="181"/>
      <c r="S525" s="181"/>
      <c r="T525" s="181"/>
      <c r="U525" s="181"/>
      <c r="V525" s="181"/>
      <c r="W525" s="181"/>
      <c r="X525" s="181"/>
      <c r="Y525" s="181"/>
      <c r="Z525" s="181"/>
    </row>
    <row r="526" ht="14.25" customHeight="1">
      <c r="A526" s="181"/>
      <c r="B526" s="181"/>
      <c r="C526" s="181"/>
      <c r="D526" s="181"/>
      <c r="E526" s="181"/>
      <c r="F526" s="181"/>
      <c r="G526" s="181"/>
      <c r="H526" s="181"/>
      <c r="I526" s="181"/>
      <c r="J526" s="181"/>
      <c r="K526" s="181"/>
      <c r="L526" s="181"/>
      <c r="M526" s="181"/>
      <c r="N526" s="181"/>
      <c r="O526" s="181"/>
      <c r="P526" s="181"/>
      <c r="Q526" s="181"/>
      <c r="R526" s="181"/>
      <c r="S526" s="181"/>
      <c r="T526" s="181"/>
      <c r="U526" s="181"/>
      <c r="V526" s="181"/>
      <c r="W526" s="181"/>
      <c r="X526" s="181"/>
      <c r="Y526" s="181"/>
      <c r="Z526" s="181"/>
    </row>
    <row r="527" ht="14.25" customHeight="1">
      <c r="A527" s="181"/>
      <c r="B527" s="181"/>
      <c r="C527" s="181"/>
      <c r="D527" s="181"/>
      <c r="E527" s="181"/>
      <c r="F527" s="181"/>
      <c r="G527" s="181"/>
      <c r="H527" s="181"/>
      <c r="I527" s="181"/>
      <c r="J527" s="181"/>
      <c r="K527" s="181"/>
      <c r="L527" s="181"/>
      <c r="M527" s="181"/>
      <c r="N527" s="181"/>
      <c r="O527" s="181"/>
      <c r="P527" s="181"/>
      <c r="Q527" s="181"/>
      <c r="R527" s="181"/>
      <c r="S527" s="181"/>
      <c r="T527" s="181"/>
      <c r="U527" s="181"/>
      <c r="V527" s="181"/>
      <c r="W527" s="181"/>
      <c r="X527" s="181"/>
      <c r="Y527" s="181"/>
      <c r="Z527" s="181"/>
    </row>
    <row r="528" ht="14.25" customHeight="1">
      <c r="A528" s="181"/>
      <c r="B528" s="181"/>
      <c r="C528" s="181"/>
      <c r="D528" s="181"/>
      <c r="E528" s="181"/>
      <c r="F528" s="181"/>
      <c r="G528" s="181"/>
      <c r="H528" s="181"/>
      <c r="I528" s="181"/>
      <c r="J528" s="181"/>
      <c r="K528" s="181"/>
      <c r="L528" s="181"/>
      <c r="M528" s="181"/>
      <c r="N528" s="181"/>
      <c r="O528" s="181"/>
      <c r="P528" s="181"/>
      <c r="Q528" s="181"/>
      <c r="R528" s="181"/>
      <c r="S528" s="181"/>
      <c r="T528" s="181"/>
      <c r="U528" s="181"/>
      <c r="V528" s="181"/>
      <c r="W528" s="181"/>
      <c r="X528" s="181"/>
      <c r="Y528" s="181"/>
      <c r="Z528" s="181"/>
    </row>
    <row r="529" ht="14.25" customHeight="1">
      <c r="A529" s="181"/>
      <c r="B529" s="181"/>
      <c r="C529" s="181"/>
      <c r="D529" s="181"/>
      <c r="E529" s="181"/>
      <c r="F529" s="181"/>
      <c r="G529" s="181"/>
      <c r="H529" s="181"/>
      <c r="I529" s="181"/>
      <c r="J529" s="181"/>
      <c r="K529" s="181"/>
      <c r="L529" s="181"/>
      <c r="M529" s="181"/>
      <c r="N529" s="181"/>
      <c r="O529" s="181"/>
      <c r="P529" s="181"/>
      <c r="Q529" s="181"/>
      <c r="R529" s="181"/>
      <c r="S529" s="181"/>
      <c r="T529" s="181"/>
      <c r="U529" s="181"/>
      <c r="V529" s="181"/>
      <c r="W529" s="181"/>
      <c r="X529" s="181"/>
      <c r="Y529" s="181"/>
      <c r="Z529" s="181"/>
    </row>
    <row r="530" ht="14.25" customHeight="1">
      <c r="A530" s="181"/>
      <c r="B530" s="181"/>
      <c r="C530" s="181"/>
      <c r="D530" s="181"/>
      <c r="E530" s="181"/>
      <c r="F530" s="181"/>
      <c r="G530" s="181"/>
      <c r="H530" s="181"/>
      <c r="I530" s="181"/>
      <c r="J530" s="181"/>
      <c r="K530" s="181"/>
      <c r="L530" s="181"/>
      <c r="M530" s="181"/>
      <c r="N530" s="181"/>
      <c r="O530" s="181"/>
      <c r="P530" s="181"/>
      <c r="Q530" s="181"/>
      <c r="R530" s="181"/>
      <c r="S530" s="181"/>
      <c r="T530" s="181"/>
      <c r="U530" s="181"/>
      <c r="V530" s="181"/>
      <c r="W530" s="181"/>
      <c r="X530" s="181"/>
      <c r="Y530" s="181"/>
      <c r="Z530" s="181"/>
    </row>
    <row r="531" ht="14.25" customHeight="1">
      <c r="A531" s="181"/>
      <c r="B531" s="181"/>
      <c r="C531" s="181"/>
      <c r="D531" s="181"/>
      <c r="E531" s="181"/>
      <c r="F531" s="181"/>
      <c r="G531" s="181"/>
      <c r="H531" s="181"/>
      <c r="I531" s="181"/>
      <c r="J531" s="181"/>
      <c r="K531" s="181"/>
      <c r="L531" s="181"/>
      <c r="M531" s="181"/>
      <c r="N531" s="181"/>
      <c r="O531" s="181"/>
      <c r="P531" s="181"/>
      <c r="Q531" s="181"/>
      <c r="R531" s="181"/>
      <c r="S531" s="181"/>
      <c r="T531" s="181"/>
      <c r="U531" s="181"/>
      <c r="V531" s="181"/>
      <c r="W531" s="181"/>
      <c r="X531" s="181"/>
      <c r="Y531" s="181"/>
      <c r="Z531" s="181"/>
    </row>
    <row r="532" ht="14.25" customHeight="1">
      <c r="A532" s="181"/>
      <c r="B532" s="181"/>
      <c r="C532" s="181"/>
      <c r="D532" s="181"/>
      <c r="E532" s="181"/>
      <c r="F532" s="181"/>
      <c r="G532" s="181"/>
      <c r="H532" s="181"/>
      <c r="I532" s="181"/>
      <c r="J532" s="181"/>
      <c r="K532" s="181"/>
      <c r="L532" s="181"/>
      <c r="M532" s="181"/>
      <c r="N532" s="181"/>
      <c r="O532" s="181"/>
      <c r="P532" s="181"/>
      <c r="Q532" s="181"/>
      <c r="R532" s="181"/>
      <c r="S532" s="181"/>
      <c r="T532" s="181"/>
      <c r="U532" s="181"/>
      <c r="V532" s="181"/>
      <c r="W532" s="181"/>
      <c r="X532" s="181"/>
      <c r="Y532" s="181"/>
      <c r="Z532" s="181"/>
    </row>
    <row r="533" ht="14.25" customHeight="1">
      <c r="A533" s="181"/>
      <c r="B533" s="181"/>
      <c r="C533" s="181"/>
      <c r="D533" s="181"/>
      <c r="E533" s="181"/>
      <c r="F533" s="181"/>
      <c r="G533" s="181"/>
      <c r="H533" s="181"/>
      <c r="I533" s="181"/>
      <c r="J533" s="181"/>
      <c r="K533" s="181"/>
      <c r="L533" s="181"/>
      <c r="M533" s="181"/>
      <c r="N533" s="181"/>
      <c r="O533" s="181"/>
      <c r="P533" s="181"/>
      <c r="Q533" s="181"/>
      <c r="R533" s="181"/>
      <c r="S533" s="181"/>
      <c r="T533" s="181"/>
      <c r="U533" s="181"/>
      <c r="V533" s="181"/>
      <c r="W533" s="181"/>
      <c r="X533" s="181"/>
      <c r="Y533" s="181"/>
      <c r="Z533" s="181"/>
    </row>
    <row r="534" ht="14.25" customHeight="1">
      <c r="A534" s="181"/>
      <c r="B534" s="181"/>
      <c r="C534" s="181"/>
      <c r="D534" s="181"/>
      <c r="E534" s="181"/>
      <c r="F534" s="181"/>
      <c r="G534" s="181"/>
      <c r="H534" s="181"/>
      <c r="I534" s="181"/>
      <c r="J534" s="181"/>
      <c r="K534" s="181"/>
      <c r="L534" s="181"/>
      <c r="M534" s="181"/>
      <c r="N534" s="181"/>
      <c r="O534" s="181"/>
      <c r="P534" s="181"/>
      <c r="Q534" s="181"/>
      <c r="R534" s="181"/>
      <c r="S534" s="181"/>
      <c r="T534" s="181"/>
      <c r="U534" s="181"/>
      <c r="V534" s="181"/>
      <c r="W534" s="181"/>
      <c r="X534" s="181"/>
      <c r="Y534" s="181"/>
      <c r="Z534" s="181"/>
    </row>
    <row r="535" ht="14.25" customHeight="1">
      <c r="A535" s="181"/>
      <c r="B535" s="181"/>
      <c r="C535" s="181"/>
      <c r="D535" s="181"/>
      <c r="E535" s="181"/>
      <c r="F535" s="181"/>
      <c r="G535" s="181"/>
      <c r="H535" s="181"/>
      <c r="I535" s="181"/>
      <c r="J535" s="181"/>
      <c r="K535" s="181"/>
      <c r="L535" s="181"/>
      <c r="M535" s="181"/>
      <c r="N535" s="181"/>
      <c r="O535" s="181"/>
      <c r="P535" s="181"/>
      <c r="Q535" s="181"/>
      <c r="R535" s="181"/>
      <c r="S535" s="181"/>
      <c r="T535" s="181"/>
      <c r="U535" s="181"/>
      <c r="V535" s="181"/>
      <c r="W535" s="181"/>
      <c r="X535" s="181"/>
      <c r="Y535" s="181"/>
      <c r="Z535" s="181"/>
    </row>
    <row r="536" ht="14.25" customHeight="1">
      <c r="A536" s="181"/>
      <c r="B536" s="181"/>
      <c r="C536" s="181"/>
      <c r="D536" s="181"/>
      <c r="E536" s="181"/>
      <c r="F536" s="181"/>
      <c r="G536" s="181"/>
      <c r="H536" s="181"/>
      <c r="I536" s="181"/>
      <c r="J536" s="181"/>
      <c r="K536" s="181"/>
      <c r="L536" s="181"/>
      <c r="M536" s="181"/>
      <c r="N536" s="181"/>
      <c r="O536" s="181"/>
      <c r="P536" s="181"/>
      <c r="Q536" s="181"/>
      <c r="R536" s="181"/>
      <c r="S536" s="181"/>
      <c r="T536" s="181"/>
      <c r="U536" s="181"/>
      <c r="V536" s="181"/>
      <c r="W536" s="181"/>
      <c r="X536" s="181"/>
      <c r="Y536" s="181"/>
      <c r="Z536" s="181"/>
    </row>
    <row r="537" ht="14.25" customHeight="1">
      <c r="A537" s="181"/>
      <c r="B537" s="181"/>
      <c r="C537" s="181"/>
      <c r="D537" s="181"/>
      <c r="E537" s="181"/>
      <c r="F537" s="181"/>
      <c r="G537" s="181"/>
      <c r="H537" s="181"/>
      <c r="I537" s="181"/>
      <c r="J537" s="181"/>
      <c r="K537" s="181"/>
      <c r="L537" s="181"/>
      <c r="M537" s="181"/>
      <c r="N537" s="181"/>
      <c r="O537" s="181"/>
      <c r="P537" s="181"/>
      <c r="Q537" s="181"/>
      <c r="R537" s="181"/>
      <c r="S537" s="181"/>
      <c r="T537" s="181"/>
      <c r="U537" s="181"/>
      <c r="V537" s="181"/>
      <c r="W537" s="181"/>
      <c r="X537" s="181"/>
      <c r="Y537" s="181"/>
      <c r="Z537" s="181"/>
    </row>
    <row r="538" ht="14.25" customHeight="1">
      <c r="A538" s="181"/>
      <c r="B538" s="181"/>
      <c r="C538" s="181"/>
      <c r="D538" s="181"/>
      <c r="E538" s="181"/>
      <c r="F538" s="181"/>
      <c r="G538" s="181"/>
      <c r="H538" s="181"/>
      <c r="I538" s="181"/>
      <c r="J538" s="181"/>
      <c r="K538" s="181"/>
      <c r="L538" s="181"/>
      <c r="M538" s="181"/>
      <c r="N538" s="181"/>
      <c r="O538" s="181"/>
      <c r="P538" s="181"/>
      <c r="Q538" s="181"/>
      <c r="R538" s="181"/>
      <c r="S538" s="181"/>
      <c r="T538" s="181"/>
      <c r="U538" s="181"/>
      <c r="V538" s="181"/>
      <c r="W538" s="181"/>
      <c r="X538" s="181"/>
      <c r="Y538" s="181"/>
      <c r="Z538" s="181"/>
    </row>
    <row r="539" ht="14.25" customHeight="1">
      <c r="A539" s="181"/>
      <c r="B539" s="181"/>
      <c r="C539" s="181"/>
      <c r="D539" s="181"/>
      <c r="E539" s="181"/>
      <c r="F539" s="181"/>
      <c r="G539" s="181"/>
      <c r="H539" s="181"/>
      <c r="I539" s="181"/>
      <c r="J539" s="181"/>
      <c r="K539" s="181"/>
      <c r="L539" s="181"/>
      <c r="M539" s="181"/>
      <c r="N539" s="181"/>
      <c r="O539" s="181"/>
      <c r="P539" s="181"/>
      <c r="Q539" s="181"/>
      <c r="R539" s="181"/>
      <c r="S539" s="181"/>
      <c r="T539" s="181"/>
      <c r="U539" s="181"/>
      <c r="V539" s="181"/>
      <c r="W539" s="181"/>
      <c r="X539" s="181"/>
      <c r="Y539" s="181"/>
      <c r="Z539" s="181"/>
    </row>
    <row r="540" ht="14.25" customHeight="1">
      <c r="A540" s="181"/>
      <c r="B540" s="181"/>
      <c r="C540" s="181"/>
      <c r="D540" s="181"/>
      <c r="E540" s="181"/>
      <c r="F540" s="181"/>
      <c r="G540" s="181"/>
      <c r="H540" s="181"/>
      <c r="I540" s="181"/>
      <c r="J540" s="181"/>
      <c r="K540" s="181"/>
      <c r="L540" s="181"/>
      <c r="M540" s="181"/>
      <c r="N540" s="181"/>
      <c r="O540" s="181"/>
      <c r="P540" s="181"/>
      <c r="Q540" s="181"/>
      <c r="R540" s="181"/>
      <c r="S540" s="181"/>
      <c r="T540" s="181"/>
      <c r="U540" s="181"/>
      <c r="V540" s="181"/>
      <c r="W540" s="181"/>
      <c r="X540" s="181"/>
      <c r="Y540" s="181"/>
      <c r="Z540" s="181"/>
    </row>
    <row r="541" ht="14.25" customHeight="1">
      <c r="A541" s="181"/>
      <c r="B541" s="181"/>
      <c r="C541" s="181"/>
      <c r="D541" s="181"/>
      <c r="E541" s="181"/>
      <c r="F541" s="181"/>
      <c r="G541" s="181"/>
      <c r="H541" s="181"/>
      <c r="I541" s="181"/>
      <c r="J541" s="181"/>
      <c r="K541" s="181"/>
      <c r="L541" s="181"/>
      <c r="M541" s="181"/>
      <c r="N541" s="181"/>
      <c r="O541" s="181"/>
      <c r="P541" s="181"/>
      <c r="Q541" s="181"/>
      <c r="R541" s="181"/>
      <c r="S541" s="181"/>
      <c r="T541" s="181"/>
      <c r="U541" s="181"/>
      <c r="V541" s="181"/>
      <c r="W541" s="181"/>
      <c r="X541" s="181"/>
      <c r="Y541" s="181"/>
      <c r="Z541" s="181"/>
    </row>
    <row r="542" ht="14.25" customHeight="1">
      <c r="A542" s="181"/>
      <c r="B542" s="181"/>
      <c r="C542" s="181"/>
      <c r="D542" s="181"/>
      <c r="E542" s="181"/>
      <c r="F542" s="181"/>
      <c r="G542" s="181"/>
      <c r="H542" s="181"/>
      <c r="I542" s="181"/>
      <c r="J542" s="181"/>
      <c r="K542" s="181"/>
      <c r="L542" s="181"/>
      <c r="M542" s="181"/>
      <c r="N542" s="181"/>
      <c r="O542" s="181"/>
      <c r="P542" s="181"/>
      <c r="Q542" s="181"/>
      <c r="R542" s="181"/>
      <c r="S542" s="181"/>
      <c r="T542" s="181"/>
      <c r="U542" s="181"/>
      <c r="V542" s="181"/>
      <c r="W542" s="181"/>
      <c r="X542" s="181"/>
      <c r="Y542" s="181"/>
      <c r="Z542" s="181"/>
    </row>
    <row r="543" ht="14.25" customHeight="1">
      <c r="A543" s="181"/>
      <c r="B543" s="181"/>
      <c r="C543" s="181"/>
      <c r="D543" s="181"/>
      <c r="E543" s="181"/>
      <c r="F543" s="181"/>
      <c r="G543" s="181"/>
      <c r="H543" s="181"/>
      <c r="I543" s="181"/>
      <c r="J543" s="181"/>
      <c r="K543" s="181"/>
      <c r="L543" s="181"/>
      <c r="M543" s="181"/>
      <c r="N543" s="181"/>
      <c r="O543" s="181"/>
      <c r="P543" s="181"/>
      <c r="Q543" s="181"/>
      <c r="R543" s="181"/>
      <c r="S543" s="181"/>
      <c r="T543" s="181"/>
      <c r="U543" s="181"/>
      <c r="V543" s="181"/>
      <c r="W543" s="181"/>
      <c r="X543" s="181"/>
      <c r="Y543" s="181"/>
      <c r="Z543" s="181"/>
    </row>
    <row r="544" ht="14.25" customHeight="1">
      <c r="A544" s="181"/>
      <c r="B544" s="181"/>
      <c r="C544" s="181"/>
      <c r="D544" s="181"/>
      <c r="E544" s="181"/>
      <c r="F544" s="181"/>
      <c r="G544" s="181"/>
      <c r="H544" s="181"/>
      <c r="I544" s="181"/>
      <c r="J544" s="181"/>
      <c r="K544" s="181"/>
      <c r="L544" s="181"/>
      <c r="M544" s="181"/>
      <c r="N544" s="181"/>
      <c r="O544" s="181"/>
      <c r="P544" s="181"/>
      <c r="Q544" s="181"/>
      <c r="R544" s="181"/>
      <c r="S544" s="181"/>
      <c r="T544" s="181"/>
      <c r="U544" s="181"/>
      <c r="V544" s="181"/>
      <c r="W544" s="181"/>
      <c r="X544" s="181"/>
      <c r="Y544" s="181"/>
      <c r="Z544" s="181"/>
    </row>
    <row r="545" ht="14.25" customHeight="1">
      <c r="A545" s="181"/>
      <c r="B545" s="181"/>
      <c r="C545" s="181"/>
      <c r="D545" s="181"/>
      <c r="E545" s="181"/>
      <c r="F545" s="181"/>
      <c r="G545" s="181"/>
      <c r="H545" s="181"/>
      <c r="I545" s="181"/>
      <c r="J545" s="181"/>
      <c r="K545" s="181"/>
      <c r="L545" s="181"/>
      <c r="M545" s="181"/>
      <c r="N545" s="181"/>
      <c r="O545" s="181"/>
      <c r="P545" s="181"/>
      <c r="Q545" s="181"/>
      <c r="R545" s="181"/>
      <c r="S545" s="181"/>
      <c r="T545" s="181"/>
      <c r="U545" s="181"/>
      <c r="V545" s="181"/>
      <c r="W545" s="181"/>
      <c r="X545" s="181"/>
      <c r="Y545" s="181"/>
      <c r="Z545" s="181"/>
    </row>
    <row r="546" ht="14.25" customHeight="1">
      <c r="A546" s="181"/>
      <c r="B546" s="181"/>
      <c r="C546" s="181"/>
      <c r="D546" s="181"/>
      <c r="E546" s="181"/>
      <c r="F546" s="181"/>
      <c r="G546" s="181"/>
      <c r="H546" s="181"/>
      <c r="I546" s="181"/>
      <c r="J546" s="181"/>
      <c r="K546" s="181"/>
      <c r="L546" s="181"/>
      <c r="M546" s="181"/>
      <c r="N546" s="181"/>
      <c r="O546" s="181"/>
      <c r="P546" s="181"/>
      <c r="Q546" s="181"/>
      <c r="R546" s="181"/>
      <c r="S546" s="181"/>
      <c r="T546" s="181"/>
      <c r="U546" s="181"/>
      <c r="V546" s="181"/>
      <c r="W546" s="181"/>
      <c r="X546" s="181"/>
      <c r="Y546" s="181"/>
      <c r="Z546" s="181"/>
    </row>
    <row r="547" ht="14.25" customHeight="1">
      <c r="A547" s="181"/>
      <c r="B547" s="181"/>
      <c r="C547" s="181"/>
      <c r="D547" s="181"/>
      <c r="E547" s="181"/>
      <c r="F547" s="181"/>
      <c r="G547" s="181"/>
      <c r="H547" s="181"/>
      <c r="I547" s="181"/>
      <c r="J547" s="181"/>
      <c r="K547" s="181"/>
      <c r="L547" s="181"/>
      <c r="M547" s="181"/>
      <c r="N547" s="181"/>
      <c r="O547" s="181"/>
      <c r="P547" s="181"/>
      <c r="Q547" s="181"/>
      <c r="R547" s="181"/>
      <c r="S547" s="181"/>
      <c r="T547" s="181"/>
      <c r="U547" s="181"/>
      <c r="V547" s="181"/>
      <c r="W547" s="181"/>
      <c r="X547" s="181"/>
      <c r="Y547" s="181"/>
      <c r="Z547" s="181"/>
    </row>
    <row r="548" ht="14.25" customHeight="1">
      <c r="A548" s="181"/>
      <c r="B548" s="181"/>
      <c r="C548" s="181"/>
      <c r="D548" s="181"/>
      <c r="E548" s="181"/>
      <c r="F548" s="181"/>
      <c r="G548" s="181"/>
      <c r="H548" s="181"/>
      <c r="I548" s="181"/>
      <c r="J548" s="181"/>
      <c r="K548" s="181"/>
      <c r="L548" s="181"/>
      <c r="M548" s="181"/>
      <c r="N548" s="181"/>
      <c r="O548" s="181"/>
      <c r="P548" s="181"/>
      <c r="Q548" s="181"/>
      <c r="R548" s="181"/>
      <c r="S548" s="181"/>
      <c r="T548" s="181"/>
      <c r="U548" s="181"/>
      <c r="V548" s="181"/>
      <c r="W548" s="181"/>
      <c r="X548" s="181"/>
      <c r="Y548" s="181"/>
      <c r="Z548" s="181"/>
    </row>
    <row r="549" ht="14.25" customHeight="1">
      <c r="A549" s="181"/>
      <c r="B549" s="181"/>
      <c r="C549" s="181"/>
      <c r="D549" s="181"/>
      <c r="E549" s="181"/>
      <c r="F549" s="181"/>
      <c r="G549" s="181"/>
      <c r="H549" s="181"/>
      <c r="I549" s="181"/>
      <c r="J549" s="181"/>
      <c r="K549" s="181"/>
      <c r="L549" s="181"/>
      <c r="M549" s="181"/>
      <c r="N549" s="181"/>
      <c r="O549" s="181"/>
      <c r="P549" s="181"/>
      <c r="Q549" s="181"/>
      <c r="R549" s="181"/>
      <c r="S549" s="181"/>
      <c r="T549" s="181"/>
      <c r="U549" s="181"/>
      <c r="V549" s="181"/>
      <c r="W549" s="181"/>
      <c r="X549" s="181"/>
      <c r="Y549" s="181"/>
      <c r="Z549" s="181"/>
    </row>
    <row r="550" ht="14.25" customHeight="1">
      <c r="A550" s="181"/>
      <c r="B550" s="181"/>
      <c r="C550" s="181"/>
      <c r="D550" s="181"/>
      <c r="E550" s="181"/>
      <c r="F550" s="181"/>
      <c r="G550" s="181"/>
      <c r="H550" s="181"/>
      <c r="I550" s="181"/>
      <c r="J550" s="181"/>
      <c r="K550" s="181"/>
      <c r="L550" s="181"/>
      <c r="M550" s="181"/>
      <c r="N550" s="181"/>
      <c r="O550" s="181"/>
      <c r="P550" s="181"/>
      <c r="Q550" s="181"/>
      <c r="R550" s="181"/>
      <c r="S550" s="181"/>
      <c r="T550" s="181"/>
      <c r="U550" s="181"/>
      <c r="V550" s="181"/>
      <c r="W550" s="181"/>
      <c r="X550" s="181"/>
      <c r="Y550" s="181"/>
      <c r="Z550" s="181"/>
    </row>
    <row r="551" ht="14.25" customHeight="1">
      <c r="A551" s="181"/>
      <c r="B551" s="181"/>
      <c r="C551" s="181"/>
      <c r="D551" s="181"/>
      <c r="E551" s="181"/>
      <c r="F551" s="181"/>
      <c r="G551" s="181"/>
      <c r="H551" s="181"/>
      <c r="I551" s="181"/>
      <c r="J551" s="181"/>
      <c r="K551" s="181"/>
      <c r="L551" s="181"/>
      <c r="M551" s="181"/>
      <c r="N551" s="181"/>
      <c r="O551" s="181"/>
      <c r="P551" s="181"/>
      <c r="Q551" s="181"/>
      <c r="R551" s="181"/>
      <c r="S551" s="181"/>
      <c r="T551" s="181"/>
      <c r="U551" s="181"/>
      <c r="V551" s="181"/>
      <c r="W551" s="181"/>
      <c r="X551" s="181"/>
      <c r="Y551" s="181"/>
      <c r="Z551" s="181"/>
    </row>
    <row r="552" ht="14.25" customHeight="1">
      <c r="A552" s="181"/>
      <c r="B552" s="181"/>
      <c r="C552" s="181"/>
      <c r="D552" s="181"/>
      <c r="E552" s="181"/>
      <c r="F552" s="181"/>
      <c r="G552" s="181"/>
      <c r="H552" s="181"/>
      <c r="I552" s="181"/>
      <c r="J552" s="181"/>
      <c r="K552" s="181"/>
      <c r="L552" s="181"/>
      <c r="M552" s="181"/>
      <c r="N552" s="181"/>
      <c r="O552" s="181"/>
      <c r="P552" s="181"/>
      <c r="Q552" s="181"/>
      <c r="R552" s="181"/>
      <c r="S552" s="181"/>
      <c r="T552" s="181"/>
      <c r="U552" s="181"/>
      <c r="V552" s="181"/>
      <c r="W552" s="181"/>
      <c r="X552" s="181"/>
      <c r="Y552" s="181"/>
      <c r="Z552" s="181"/>
    </row>
    <row r="553" ht="14.25" customHeight="1">
      <c r="A553" s="181"/>
      <c r="B553" s="181"/>
      <c r="C553" s="181"/>
      <c r="D553" s="181"/>
      <c r="E553" s="181"/>
      <c r="F553" s="181"/>
      <c r="G553" s="181"/>
      <c r="H553" s="181"/>
      <c r="I553" s="181"/>
      <c r="J553" s="181"/>
      <c r="K553" s="181"/>
      <c r="L553" s="181"/>
      <c r="M553" s="181"/>
      <c r="N553" s="181"/>
      <c r="O553" s="181"/>
      <c r="P553" s="181"/>
      <c r="Q553" s="181"/>
      <c r="R553" s="181"/>
      <c r="S553" s="181"/>
      <c r="T553" s="181"/>
      <c r="U553" s="181"/>
      <c r="V553" s="181"/>
      <c r="W553" s="181"/>
      <c r="X553" s="181"/>
      <c r="Y553" s="181"/>
      <c r="Z553" s="181"/>
    </row>
    <row r="554" ht="14.25" customHeight="1">
      <c r="A554" s="181"/>
      <c r="B554" s="181"/>
      <c r="C554" s="181"/>
      <c r="D554" s="181"/>
      <c r="E554" s="181"/>
      <c r="F554" s="181"/>
      <c r="G554" s="181"/>
      <c r="H554" s="181"/>
      <c r="I554" s="181"/>
      <c r="J554" s="181"/>
      <c r="K554" s="181"/>
      <c r="L554" s="181"/>
      <c r="M554" s="181"/>
      <c r="N554" s="181"/>
      <c r="O554" s="181"/>
      <c r="P554" s="181"/>
      <c r="Q554" s="181"/>
      <c r="R554" s="181"/>
      <c r="S554" s="181"/>
      <c r="T554" s="181"/>
      <c r="U554" s="181"/>
      <c r="V554" s="181"/>
      <c r="W554" s="181"/>
      <c r="X554" s="181"/>
      <c r="Y554" s="181"/>
      <c r="Z554" s="181"/>
    </row>
    <row r="555" ht="14.25" customHeight="1">
      <c r="A555" s="181"/>
      <c r="B555" s="181"/>
      <c r="C555" s="181"/>
      <c r="D555" s="181"/>
      <c r="E555" s="181"/>
      <c r="F555" s="181"/>
      <c r="G555" s="181"/>
      <c r="H555" s="181"/>
      <c r="I555" s="181"/>
      <c r="J555" s="181"/>
      <c r="K555" s="181"/>
      <c r="L555" s="181"/>
      <c r="M555" s="181"/>
      <c r="N555" s="181"/>
      <c r="O555" s="181"/>
      <c r="P555" s="181"/>
      <c r="Q555" s="181"/>
      <c r="R555" s="181"/>
      <c r="S555" s="181"/>
      <c r="T555" s="181"/>
      <c r="U555" s="181"/>
      <c r="V555" s="181"/>
      <c r="W555" s="181"/>
      <c r="X555" s="181"/>
      <c r="Y555" s="181"/>
      <c r="Z555" s="181"/>
    </row>
    <row r="556" ht="14.25" customHeight="1">
      <c r="A556" s="181"/>
      <c r="B556" s="181"/>
      <c r="C556" s="181"/>
      <c r="D556" s="181"/>
      <c r="E556" s="181"/>
      <c r="F556" s="181"/>
      <c r="G556" s="181"/>
      <c r="H556" s="181"/>
      <c r="I556" s="181"/>
      <c r="J556" s="181"/>
      <c r="K556" s="181"/>
      <c r="L556" s="181"/>
      <c r="M556" s="181"/>
      <c r="N556" s="181"/>
      <c r="O556" s="181"/>
      <c r="P556" s="181"/>
      <c r="Q556" s="181"/>
      <c r="R556" s="181"/>
      <c r="S556" s="181"/>
      <c r="T556" s="181"/>
      <c r="U556" s="181"/>
      <c r="V556" s="181"/>
      <c r="W556" s="181"/>
      <c r="X556" s="181"/>
      <c r="Y556" s="181"/>
      <c r="Z556" s="181"/>
    </row>
    <row r="557" ht="14.25" customHeight="1">
      <c r="A557" s="181"/>
      <c r="B557" s="181"/>
      <c r="C557" s="181"/>
      <c r="D557" s="181"/>
      <c r="E557" s="181"/>
      <c r="F557" s="181"/>
      <c r="G557" s="181"/>
      <c r="H557" s="181"/>
      <c r="I557" s="181"/>
      <c r="J557" s="181"/>
      <c r="K557" s="181"/>
      <c r="L557" s="181"/>
      <c r="M557" s="181"/>
      <c r="N557" s="181"/>
      <c r="O557" s="181"/>
      <c r="P557" s="181"/>
      <c r="Q557" s="181"/>
      <c r="R557" s="181"/>
      <c r="S557" s="181"/>
      <c r="T557" s="181"/>
      <c r="U557" s="181"/>
      <c r="V557" s="181"/>
      <c r="W557" s="181"/>
      <c r="X557" s="181"/>
      <c r="Y557" s="181"/>
      <c r="Z557" s="181"/>
    </row>
    <row r="558" ht="14.25" customHeight="1">
      <c r="A558" s="181"/>
      <c r="B558" s="181"/>
      <c r="C558" s="181"/>
      <c r="D558" s="181"/>
      <c r="E558" s="181"/>
      <c r="F558" s="181"/>
      <c r="G558" s="181"/>
      <c r="H558" s="181"/>
      <c r="I558" s="181"/>
      <c r="J558" s="181"/>
      <c r="K558" s="181"/>
      <c r="L558" s="181"/>
      <c r="M558" s="181"/>
      <c r="N558" s="181"/>
      <c r="O558" s="181"/>
      <c r="P558" s="181"/>
      <c r="Q558" s="181"/>
      <c r="R558" s="181"/>
      <c r="S558" s="181"/>
      <c r="T558" s="181"/>
      <c r="U558" s="181"/>
      <c r="V558" s="181"/>
      <c r="W558" s="181"/>
      <c r="X558" s="181"/>
      <c r="Y558" s="181"/>
      <c r="Z558" s="181"/>
    </row>
    <row r="559" ht="14.25" customHeight="1">
      <c r="A559" s="181"/>
      <c r="B559" s="181"/>
      <c r="C559" s="181"/>
      <c r="D559" s="181"/>
      <c r="E559" s="181"/>
      <c r="F559" s="181"/>
      <c r="G559" s="181"/>
      <c r="H559" s="181"/>
      <c r="I559" s="181"/>
      <c r="J559" s="181"/>
      <c r="K559" s="181"/>
      <c r="L559" s="181"/>
      <c r="M559" s="181"/>
      <c r="N559" s="181"/>
      <c r="O559" s="181"/>
      <c r="P559" s="181"/>
      <c r="Q559" s="181"/>
      <c r="R559" s="181"/>
      <c r="S559" s="181"/>
      <c r="T559" s="181"/>
      <c r="U559" s="181"/>
      <c r="V559" s="181"/>
      <c r="W559" s="181"/>
      <c r="X559" s="181"/>
      <c r="Y559" s="181"/>
      <c r="Z559" s="181"/>
    </row>
    <row r="560" ht="14.25" customHeight="1">
      <c r="A560" s="181"/>
      <c r="B560" s="181"/>
      <c r="C560" s="181"/>
      <c r="D560" s="181"/>
      <c r="E560" s="181"/>
      <c r="F560" s="181"/>
      <c r="G560" s="181"/>
      <c r="H560" s="181"/>
      <c r="I560" s="181"/>
      <c r="J560" s="181"/>
      <c r="K560" s="181"/>
      <c r="L560" s="181"/>
      <c r="M560" s="181"/>
      <c r="N560" s="181"/>
      <c r="O560" s="181"/>
      <c r="P560" s="181"/>
      <c r="Q560" s="181"/>
      <c r="R560" s="181"/>
      <c r="S560" s="181"/>
      <c r="T560" s="181"/>
      <c r="U560" s="181"/>
      <c r="V560" s="181"/>
      <c r="W560" s="181"/>
      <c r="X560" s="181"/>
      <c r="Y560" s="181"/>
      <c r="Z560" s="181"/>
    </row>
    <row r="561" ht="14.25" customHeight="1">
      <c r="A561" s="181"/>
      <c r="B561" s="181"/>
      <c r="C561" s="181"/>
      <c r="D561" s="181"/>
      <c r="E561" s="181"/>
      <c r="F561" s="181"/>
      <c r="G561" s="181"/>
      <c r="H561" s="181"/>
      <c r="I561" s="181"/>
      <c r="J561" s="181"/>
      <c r="K561" s="181"/>
      <c r="L561" s="181"/>
      <c r="M561" s="181"/>
      <c r="N561" s="181"/>
      <c r="O561" s="181"/>
      <c r="P561" s="181"/>
      <c r="Q561" s="181"/>
      <c r="R561" s="181"/>
      <c r="S561" s="181"/>
      <c r="T561" s="181"/>
      <c r="U561" s="181"/>
      <c r="V561" s="181"/>
      <c r="W561" s="181"/>
      <c r="X561" s="181"/>
      <c r="Y561" s="181"/>
      <c r="Z561" s="181"/>
    </row>
    <row r="562" ht="14.25" customHeight="1">
      <c r="A562" s="181"/>
      <c r="B562" s="181"/>
      <c r="C562" s="181"/>
      <c r="D562" s="181"/>
      <c r="E562" s="181"/>
      <c r="F562" s="181"/>
      <c r="G562" s="181"/>
      <c r="H562" s="181"/>
      <c r="I562" s="181"/>
      <c r="J562" s="181"/>
      <c r="K562" s="181"/>
      <c r="L562" s="181"/>
      <c r="M562" s="181"/>
      <c r="N562" s="181"/>
      <c r="O562" s="181"/>
      <c r="P562" s="181"/>
      <c r="Q562" s="181"/>
      <c r="R562" s="181"/>
      <c r="S562" s="181"/>
      <c r="T562" s="181"/>
      <c r="U562" s="181"/>
      <c r="V562" s="181"/>
      <c r="W562" s="181"/>
      <c r="X562" s="181"/>
      <c r="Y562" s="181"/>
      <c r="Z562" s="181"/>
    </row>
    <row r="563" ht="14.25" customHeight="1">
      <c r="A563" s="181"/>
      <c r="B563" s="181"/>
      <c r="C563" s="181"/>
      <c r="D563" s="181"/>
      <c r="E563" s="181"/>
      <c r="F563" s="181"/>
      <c r="G563" s="181"/>
      <c r="H563" s="181"/>
      <c r="I563" s="181"/>
      <c r="J563" s="181"/>
      <c r="K563" s="181"/>
      <c r="L563" s="181"/>
      <c r="M563" s="181"/>
      <c r="N563" s="181"/>
      <c r="O563" s="181"/>
      <c r="P563" s="181"/>
      <c r="Q563" s="181"/>
      <c r="R563" s="181"/>
      <c r="S563" s="181"/>
      <c r="T563" s="181"/>
      <c r="U563" s="181"/>
      <c r="V563" s="181"/>
      <c r="W563" s="181"/>
      <c r="X563" s="181"/>
      <c r="Y563" s="181"/>
      <c r="Z563" s="181"/>
    </row>
    <row r="564" ht="14.25" customHeight="1">
      <c r="A564" s="181"/>
      <c r="B564" s="181"/>
      <c r="C564" s="181"/>
      <c r="D564" s="181"/>
      <c r="E564" s="181"/>
      <c r="F564" s="181"/>
      <c r="G564" s="181"/>
      <c r="H564" s="181"/>
      <c r="I564" s="181"/>
      <c r="J564" s="181"/>
      <c r="K564" s="181"/>
      <c r="L564" s="181"/>
      <c r="M564" s="181"/>
      <c r="N564" s="181"/>
      <c r="O564" s="181"/>
      <c r="P564" s="181"/>
      <c r="Q564" s="181"/>
      <c r="R564" s="181"/>
      <c r="S564" s="181"/>
      <c r="T564" s="181"/>
      <c r="U564" s="181"/>
      <c r="V564" s="181"/>
      <c r="W564" s="181"/>
      <c r="X564" s="181"/>
      <c r="Y564" s="181"/>
      <c r="Z564" s="181"/>
    </row>
    <row r="565" ht="14.25" customHeight="1">
      <c r="A565" s="181"/>
      <c r="B565" s="181"/>
      <c r="C565" s="181"/>
      <c r="D565" s="181"/>
      <c r="E565" s="181"/>
      <c r="F565" s="181"/>
      <c r="G565" s="181"/>
      <c r="H565" s="181"/>
      <c r="I565" s="181"/>
      <c r="J565" s="181"/>
      <c r="K565" s="181"/>
      <c r="L565" s="181"/>
      <c r="M565" s="181"/>
      <c r="N565" s="181"/>
      <c r="O565" s="181"/>
      <c r="P565" s="181"/>
      <c r="Q565" s="181"/>
      <c r="R565" s="181"/>
      <c r="S565" s="181"/>
      <c r="T565" s="181"/>
      <c r="U565" s="181"/>
      <c r="V565" s="181"/>
      <c r="W565" s="181"/>
      <c r="X565" s="181"/>
      <c r="Y565" s="181"/>
      <c r="Z565" s="181"/>
    </row>
    <row r="566" ht="14.25" customHeight="1">
      <c r="A566" s="181"/>
      <c r="B566" s="181"/>
      <c r="C566" s="181"/>
      <c r="D566" s="181"/>
      <c r="E566" s="181"/>
      <c r="F566" s="181"/>
      <c r="G566" s="181"/>
      <c r="H566" s="181"/>
      <c r="I566" s="181"/>
      <c r="J566" s="181"/>
      <c r="K566" s="181"/>
      <c r="L566" s="181"/>
      <c r="M566" s="181"/>
      <c r="N566" s="181"/>
      <c r="O566" s="181"/>
      <c r="P566" s="181"/>
      <c r="Q566" s="181"/>
      <c r="R566" s="181"/>
      <c r="S566" s="181"/>
      <c r="T566" s="181"/>
      <c r="U566" s="181"/>
      <c r="V566" s="181"/>
      <c r="W566" s="181"/>
      <c r="X566" s="181"/>
      <c r="Y566" s="181"/>
      <c r="Z566" s="181"/>
    </row>
    <row r="567" ht="14.25" customHeight="1">
      <c r="A567" s="181"/>
      <c r="B567" s="181"/>
      <c r="C567" s="181"/>
      <c r="D567" s="181"/>
      <c r="E567" s="181"/>
      <c r="F567" s="181"/>
      <c r="G567" s="181"/>
      <c r="H567" s="181"/>
      <c r="I567" s="181"/>
      <c r="J567" s="181"/>
      <c r="K567" s="181"/>
      <c r="L567" s="181"/>
      <c r="M567" s="181"/>
      <c r="N567" s="181"/>
      <c r="O567" s="181"/>
      <c r="P567" s="181"/>
      <c r="Q567" s="181"/>
      <c r="R567" s="181"/>
      <c r="S567" s="181"/>
      <c r="T567" s="181"/>
      <c r="U567" s="181"/>
      <c r="V567" s="181"/>
      <c r="W567" s="181"/>
      <c r="X567" s="181"/>
      <c r="Y567" s="181"/>
      <c r="Z567" s="181"/>
    </row>
    <row r="568" ht="14.25" customHeight="1">
      <c r="A568" s="181"/>
      <c r="B568" s="181"/>
      <c r="C568" s="181"/>
      <c r="D568" s="181"/>
      <c r="E568" s="181"/>
      <c r="F568" s="181"/>
      <c r="G568" s="181"/>
      <c r="H568" s="181"/>
      <c r="I568" s="181"/>
      <c r="J568" s="181"/>
      <c r="K568" s="181"/>
      <c r="L568" s="181"/>
      <c r="M568" s="181"/>
      <c r="N568" s="181"/>
      <c r="O568" s="181"/>
      <c r="P568" s="181"/>
      <c r="Q568" s="181"/>
      <c r="R568" s="181"/>
      <c r="S568" s="181"/>
      <c r="T568" s="181"/>
      <c r="U568" s="181"/>
      <c r="V568" s="181"/>
      <c r="W568" s="181"/>
      <c r="X568" s="181"/>
      <c r="Y568" s="181"/>
      <c r="Z568" s="181"/>
    </row>
    <row r="569" ht="14.25" customHeight="1">
      <c r="A569" s="181"/>
      <c r="B569" s="181"/>
      <c r="C569" s="181"/>
      <c r="D569" s="181"/>
      <c r="E569" s="181"/>
      <c r="F569" s="181"/>
      <c r="G569" s="181"/>
      <c r="H569" s="181"/>
      <c r="I569" s="181"/>
      <c r="J569" s="181"/>
      <c r="K569" s="181"/>
      <c r="L569" s="181"/>
      <c r="M569" s="181"/>
      <c r="N569" s="181"/>
      <c r="O569" s="181"/>
      <c r="P569" s="181"/>
      <c r="Q569" s="181"/>
      <c r="R569" s="181"/>
      <c r="S569" s="181"/>
      <c r="T569" s="181"/>
      <c r="U569" s="181"/>
      <c r="V569" s="181"/>
      <c r="W569" s="181"/>
      <c r="X569" s="181"/>
      <c r="Y569" s="181"/>
      <c r="Z569" s="181"/>
    </row>
    <row r="570" ht="14.25" customHeight="1">
      <c r="A570" s="181"/>
      <c r="B570" s="181"/>
      <c r="C570" s="181"/>
      <c r="D570" s="181"/>
      <c r="E570" s="181"/>
      <c r="F570" s="181"/>
      <c r="G570" s="181"/>
      <c r="H570" s="181"/>
      <c r="I570" s="181"/>
      <c r="J570" s="181"/>
      <c r="K570" s="181"/>
      <c r="L570" s="181"/>
      <c r="M570" s="181"/>
      <c r="N570" s="181"/>
      <c r="O570" s="181"/>
      <c r="P570" s="181"/>
      <c r="Q570" s="181"/>
      <c r="R570" s="181"/>
      <c r="S570" s="181"/>
      <c r="T570" s="181"/>
      <c r="U570" s="181"/>
      <c r="V570" s="181"/>
      <c r="W570" s="181"/>
      <c r="X570" s="181"/>
      <c r="Y570" s="181"/>
      <c r="Z570" s="181"/>
    </row>
    <row r="571" ht="14.25" customHeight="1">
      <c r="A571" s="181"/>
      <c r="B571" s="181"/>
      <c r="C571" s="181"/>
      <c r="D571" s="181"/>
      <c r="E571" s="181"/>
      <c r="F571" s="181"/>
      <c r="G571" s="181"/>
      <c r="H571" s="181"/>
      <c r="I571" s="181"/>
      <c r="J571" s="181"/>
      <c r="K571" s="181"/>
      <c r="L571" s="181"/>
      <c r="M571" s="181"/>
      <c r="N571" s="181"/>
      <c r="O571" s="181"/>
      <c r="P571" s="181"/>
      <c r="Q571" s="181"/>
      <c r="R571" s="181"/>
      <c r="S571" s="181"/>
      <c r="T571" s="181"/>
      <c r="U571" s="181"/>
      <c r="V571" s="181"/>
      <c r="W571" s="181"/>
      <c r="X571" s="181"/>
      <c r="Y571" s="181"/>
      <c r="Z571" s="181"/>
    </row>
    <row r="572" ht="14.25" customHeight="1">
      <c r="A572" s="181"/>
      <c r="B572" s="181"/>
      <c r="C572" s="181"/>
      <c r="D572" s="181"/>
      <c r="E572" s="181"/>
      <c r="F572" s="181"/>
      <c r="G572" s="181"/>
      <c r="H572" s="181"/>
      <c r="I572" s="181"/>
      <c r="J572" s="181"/>
      <c r="K572" s="181"/>
      <c r="L572" s="181"/>
      <c r="M572" s="181"/>
      <c r="N572" s="181"/>
      <c r="O572" s="181"/>
      <c r="P572" s="181"/>
      <c r="Q572" s="181"/>
      <c r="R572" s="181"/>
      <c r="S572" s="181"/>
      <c r="T572" s="181"/>
      <c r="U572" s="181"/>
      <c r="V572" s="181"/>
      <c r="W572" s="181"/>
      <c r="X572" s="181"/>
      <c r="Y572" s="181"/>
      <c r="Z572" s="181"/>
    </row>
    <row r="573" ht="14.25" customHeight="1">
      <c r="A573" s="181"/>
      <c r="B573" s="181"/>
      <c r="C573" s="181"/>
      <c r="D573" s="181"/>
      <c r="E573" s="181"/>
      <c r="F573" s="181"/>
      <c r="G573" s="181"/>
      <c r="H573" s="181"/>
      <c r="I573" s="181"/>
      <c r="J573" s="181"/>
      <c r="K573" s="181"/>
      <c r="L573" s="181"/>
      <c r="M573" s="181"/>
      <c r="N573" s="181"/>
      <c r="O573" s="181"/>
      <c r="P573" s="181"/>
      <c r="Q573" s="181"/>
      <c r="R573" s="181"/>
      <c r="S573" s="181"/>
      <c r="T573" s="181"/>
      <c r="U573" s="181"/>
      <c r="V573" s="181"/>
      <c r="W573" s="181"/>
      <c r="X573" s="181"/>
      <c r="Y573" s="181"/>
      <c r="Z573" s="181"/>
    </row>
    <row r="574" ht="14.25" customHeight="1">
      <c r="A574" s="181"/>
      <c r="B574" s="181"/>
      <c r="C574" s="181"/>
      <c r="D574" s="181"/>
      <c r="E574" s="181"/>
      <c r="F574" s="181"/>
      <c r="G574" s="181"/>
      <c r="H574" s="181"/>
      <c r="I574" s="181"/>
      <c r="J574" s="181"/>
      <c r="K574" s="181"/>
      <c r="L574" s="181"/>
      <c r="M574" s="181"/>
      <c r="N574" s="181"/>
      <c r="O574" s="181"/>
      <c r="P574" s="181"/>
      <c r="Q574" s="181"/>
      <c r="R574" s="181"/>
      <c r="S574" s="181"/>
      <c r="T574" s="181"/>
      <c r="U574" s="181"/>
      <c r="V574" s="181"/>
      <c r="W574" s="181"/>
      <c r="X574" s="181"/>
      <c r="Y574" s="181"/>
      <c r="Z574" s="181"/>
    </row>
    <row r="575" ht="14.25" customHeight="1">
      <c r="A575" s="181"/>
      <c r="B575" s="181"/>
      <c r="C575" s="181"/>
      <c r="D575" s="181"/>
      <c r="E575" s="181"/>
      <c r="F575" s="181"/>
      <c r="G575" s="181"/>
      <c r="H575" s="181"/>
      <c r="I575" s="181"/>
      <c r="J575" s="181"/>
      <c r="K575" s="181"/>
      <c r="L575" s="181"/>
      <c r="M575" s="181"/>
      <c r="N575" s="181"/>
      <c r="O575" s="181"/>
      <c r="P575" s="181"/>
      <c r="Q575" s="181"/>
      <c r="R575" s="181"/>
      <c r="S575" s="181"/>
      <c r="T575" s="181"/>
      <c r="U575" s="181"/>
      <c r="V575" s="181"/>
      <c r="W575" s="181"/>
      <c r="X575" s="181"/>
      <c r="Y575" s="181"/>
      <c r="Z575" s="181"/>
    </row>
    <row r="576" ht="14.25" customHeight="1">
      <c r="A576" s="181"/>
      <c r="B576" s="181"/>
      <c r="C576" s="181"/>
      <c r="D576" s="181"/>
      <c r="E576" s="181"/>
      <c r="F576" s="181"/>
      <c r="G576" s="181"/>
      <c r="H576" s="181"/>
      <c r="I576" s="181"/>
      <c r="J576" s="181"/>
      <c r="K576" s="181"/>
      <c r="L576" s="181"/>
      <c r="M576" s="181"/>
      <c r="N576" s="181"/>
      <c r="O576" s="181"/>
      <c r="P576" s="181"/>
      <c r="Q576" s="181"/>
      <c r="R576" s="181"/>
      <c r="S576" s="181"/>
      <c r="T576" s="181"/>
      <c r="U576" s="181"/>
      <c r="V576" s="181"/>
      <c r="W576" s="181"/>
      <c r="X576" s="181"/>
      <c r="Y576" s="181"/>
      <c r="Z576" s="181"/>
    </row>
    <row r="577" ht="14.25" customHeight="1">
      <c r="A577" s="181"/>
      <c r="B577" s="181"/>
      <c r="C577" s="181"/>
      <c r="D577" s="181"/>
      <c r="E577" s="181"/>
      <c r="F577" s="181"/>
      <c r="G577" s="181"/>
      <c r="H577" s="181"/>
      <c r="I577" s="181"/>
      <c r="J577" s="181"/>
      <c r="K577" s="181"/>
      <c r="L577" s="181"/>
      <c r="M577" s="181"/>
      <c r="N577" s="181"/>
      <c r="O577" s="181"/>
      <c r="P577" s="181"/>
      <c r="Q577" s="181"/>
      <c r="R577" s="181"/>
      <c r="S577" s="181"/>
      <c r="T577" s="181"/>
      <c r="U577" s="181"/>
      <c r="V577" s="181"/>
      <c r="W577" s="181"/>
      <c r="X577" s="181"/>
      <c r="Y577" s="181"/>
      <c r="Z577" s="181"/>
    </row>
    <row r="578" ht="14.25" customHeight="1">
      <c r="A578" s="181"/>
      <c r="B578" s="181"/>
      <c r="C578" s="181"/>
      <c r="D578" s="181"/>
      <c r="E578" s="181"/>
      <c r="F578" s="181"/>
      <c r="G578" s="181"/>
      <c r="H578" s="181"/>
      <c r="I578" s="181"/>
      <c r="J578" s="181"/>
      <c r="K578" s="181"/>
      <c r="L578" s="181"/>
      <c r="M578" s="181"/>
      <c r="N578" s="181"/>
      <c r="O578" s="181"/>
      <c r="P578" s="181"/>
      <c r="Q578" s="181"/>
      <c r="R578" s="181"/>
      <c r="S578" s="181"/>
      <c r="T578" s="181"/>
      <c r="U578" s="181"/>
      <c r="V578" s="181"/>
      <c r="W578" s="181"/>
      <c r="X578" s="181"/>
      <c r="Y578" s="181"/>
      <c r="Z578" s="181"/>
    </row>
    <row r="579" ht="14.25" customHeight="1">
      <c r="A579" s="181"/>
      <c r="B579" s="181"/>
      <c r="C579" s="181"/>
      <c r="D579" s="181"/>
      <c r="E579" s="181"/>
      <c r="F579" s="181"/>
      <c r="G579" s="181"/>
      <c r="H579" s="181"/>
      <c r="I579" s="181"/>
      <c r="J579" s="181"/>
      <c r="K579" s="181"/>
      <c r="L579" s="181"/>
      <c r="M579" s="181"/>
      <c r="N579" s="181"/>
      <c r="O579" s="181"/>
      <c r="P579" s="181"/>
      <c r="Q579" s="181"/>
      <c r="R579" s="181"/>
      <c r="S579" s="181"/>
      <c r="T579" s="181"/>
      <c r="U579" s="181"/>
      <c r="V579" s="181"/>
      <c r="W579" s="181"/>
      <c r="X579" s="181"/>
      <c r="Y579" s="181"/>
      <c r="Z579" s="181"/>
    </row>
    <row r="580" ht="14.25" customHeight="1">
      <c r="A580" s="181"/>
      <c r="B580" s="181"/>
      <c r="C580" s="181"/>
      <c r="D580" s="181"/>
      <c r="E580" s="181"/>
      <c r="F580" s="181"/>
      <c r="G580" s="181"/>
      <c r="H580" s="181"/>
      <c r="I580" s="181"/>
      <c r="J580" s="181"/>
      <c r="K580" s="181"/>
      <c r="L580" s="181"/>
      <c r="M580" s="181"/>
      <c r="N580" s="181"/>
      <c r="O580" s="181"/>
      <c r="P580" s="181"/>
      <c r="Q580" s="181"/>
      <c r="R580" s="181"/>
      <c r="S580" s="181"/>
      <c r="T580" s="181"/>
      <c r="U580" s="181"/>
      <c r="V580" s="181"/>
      <c r="W580" s="181"/>
      <c r="X580" s="181"/>
      <c r="Y580" s="181"/>
      <c r="Z580" s="181"/>
    </row>
    <row r="581" ht="14.25" customHeight="1">
      <c r="A581" s="181"/>
      <c r="B581" s="181"/>
      <c r="C581" s="181"/>
      <c r="D581" s="181"/>
      <c r="E581" s="181"/>
      <c r="F581" s="181"/>
      <c r="G581" s="181"/>
      <c r="H581" s="181"/>
      <c r="I581" s="181"/>
      <c r="J581" s="181"/>
      <c r="K581" s="181"/>
      <c r="L581" s="181"/>
      <c r="M581" s="181"/>
      <c r="N581" s="181"/>
      <c r="O581" s="181"/>
      <c r="P581" s="181"/>
      <c r="Q581" s="181"/>
      <c r="R581" s="181"/>
      <c r="S581" s="181"/>
      <c r="T581" s="181"/>
      <c r="U581" s="181"/>
      <c r="V581" s="181"/>
      <c r="W581" s="181"/>
      <c r="X581" s="181"/>
      <c r="Y581" s="181"/>
      <c r="Z581" s="181"/>
    </row>
    <row r="582" ht="14.25" customHeight="1">
      <c r="A582" s="181"/>
      <c r="B582" s="181"/>
      <c r="C582" s="181"/>
      <c r="D582" s="181"/>
      <c r="E582" s="181"/>
      <c r="F582" s="181"/>
      <c r="G582" s="181"/>
      <c r="H582" s="181"/>
      <c r="I582" s="181"/>
      <c r="J582" s="181"/>
      <c r="K582" s="181"/>
      <c r="L582" s="181"/>
      <c r="M582" s="181"/>
      <c r="N582" s="181"/>
      <c r="O582" s="181"/>
      <c r="P582" s="181"/>
      <c r="Q582" s="181"/>
      <c r="R582" s="181"/>
      <c r="S582" s="181"/>
      <c r="T582" s="181"/>
      <c r="U582" s="181"/>
      <c r="V582" s="181"/>
      <c r="W582" s="181"/>
      <c r="X582" s="181"/>
      <c r="Y582" s="181"/>
      <c r="Z582" s="181"/>
    </row>
    <row r="583" ht="14.25" customHeight="1">
      <c r="A583" s="181"/>
      <c r="B583" s="181"/>
      <c r="C583" s="181"/>
      <c r="D583" s="181"/>
      <c r="E583" s="181"/>
      <c r="F583" s="181"/>
      <c r="G583" s="181"/>
      <c r="H583" s="181"/>
      <c r="I583" s="181"/>
      <c r="J583" s="181"/>
      <c r="K583" s="181"/>
      <c r="L583" s="181"/>
      <c r="M583" s="181"/>
      <c r="N583" s="181"/>
      <c r="O583" s="181"/>
      <c r="P583" s="181"/>
      <c r="Q583" s="181"/>
      <c r="R583" s="181"/>
      <c r="S583" s="181"/>
      <c r="T583" s="181"/>
      <c r="U583" s="181"/>
      <c r="V583" s="181"/>
      <c r="W583" s="181"/>
      <c r="X583" s="181"/>
      <c r="Y583" s="181"/>
      <c r="Z583" s="181"/>
    </row>
    <row r="584" ht="14.25" customHeight="1">
      <c r="A584" s="181"/>
      <c r="B584" s="181"/>
      <c r="C584" s="181"/>
      <c r="D584" s="181"/>
      <c r="E584" s="181"/>
      <c r="F584" s="181"/>
      <c r="G584" s="181"/>
      <c r="H584" s="181"/>
      <c r="I584" s="181"/>
      <c r="J584" s="181"/>
      <c r="K584" s="181"/>
      <c r="L584" s="181"/>
      <c r="M584" s="181"/>
      <c r="N584" s="181"/>
      <c r="O584" s="181"/>
      <c r="P584" s="181"/>
      <c r="Q584" s="181"/>
      <c r="R584" s="181"/>
      <c r="S584" s="181"/>
      <c r="T584" s="181"/>
      <c r="U584" s="181"/>
      <c r="V584" s="181"/>
      <c r="W584" s="181"/>
      <c r="X584" s="181"/>
      <c r="Y584" s="181"/>
      <c r="Z584" s="181"/>
    </row>
    <row r="585" ht="14.25" customHeight="1">
      <c r="A585" s="181"/>
      <c r="B585" s="181"/>
      <c r="C585" s="181"/>
      <c r="D585" s="181"/>
      <c r="E585" s="181"/>
      <c r="F585" s="181"/>
      <c r="G585" s="181"/>
      <c r="H585" s="181"/>
      <c r="I585" s="181"/>
      <c r="J585" s="181"/>
      <c r="K585" s="181"/>
      <c r="L585" s="181"/>
      <c r="M585" s="181"/>
      <c r="N585" s="181"/>
      <c r="O585" s="181"/>
      <c r="P585" s="181"/>
      <c r="Q585" s="181"/>
      <c r="R585" s="181"/>
      <c r="S585" s="181"/>
      <c r="T585" s="181"/>
      <c r="U585" s="181"/>
      <c r="V585" s="181"/>
      <c r="W585" s="181"/>
      <c r="X585" s="181"/>
      <c r="Y585" s="181"/>
      <c r="Z585" s="181"/>
    </row>
    <row r="586" ht="14.25" customHeight="1">
      <c r="A586" s="181"/>
      <c r="B586" s="181"/>
      <c r="C586" s="181"/>
      <c r="D586" s="181"/>
      <c r="E586" s="181"/>
      <c r="F586" s="181"/>
      <c r="G586" s="181"/>
      <c r="H586" s="181"/>
      <c r="I586" s="181"/>
      <c r="J586" s="181"/>
      <c r="K586" s="181"/>
      <c r="L586" s="181"/>
      <c r="M586" s="181"/>
      <c r="N586" s="181"/>
      <c r="O586" s="181"/>
      <c r="P586" s="181"/>
      <c r="Q586" s="181"/>
      <c r="R586" s="181"/>
      <c r="S586" s="181"/>
      <c r="T586" s="181"/>
      <c r="U586" s="181"/>
      <c r="V586" s="181"/>
      <c r="W586" s="181"/>
      <c r="X586" s="181"/>
      <c r="Y586" s="181"/>
      <c r="Z586" s="181"/>
    </row>
    <row r="587" ht="14.25" customHeight="1">
      <c r="A587" s="181"/>
      <c r="B587" s="181"/>
      <c r="C587" s="181"/>
      <c r="D587" s="181"/>
      <c r="E587" s="181"/>
      <c r="F587" s="181"/>
      <c r="G587" s="181"/>
      <c r="H587" s="181"/>
      <c r="I587" s="181"/>
      <c r="J587" s="181"/>
      <c r="K587" s="181"/>
      <c r="L587" s="181"/>
      <c r="M587" s="181"/>
      <c r="N587" s="181"/>
      <c r="O587" s="181"/>
      <c r="P587" s="181"/>
      <c r="Q587" s="181"/>
      <c r="R587" s="181"/>
      <c r="S587" s="181"/>
      <c r="T587" s="181"/>
      <c r="U587" s="181"/>
      <c r="V587" s="181"/>
      <c r="W587" s="181"/>
      <c r="X587" s="181"/>
      <c r="Y587" s="181"/>
      <c r="Z587" s="181"/>
    </row>
    <row r="588" ht="14.25" customHeight="1">
      <c r="A588" s="181"/>
      <c r="B588" s="181"/>
      <c r="C588" s="181"/>
      <c r="D588" s="181"/>
      <c r="E588" s="181"/>
      <c r="F588" s="181"/>
      <c r="G588" s="181"/>
      <c r="H588" s="181"/>
      <c r="I588" s="181"/>
      <c r="J588" s="181"/>
      <c r="K588" s="181"/>
      <c r="L588" s="181"/>
      <c r="M588" s="181"/>
      <c r="N588" s="181"/>
      <c r="O588" s="181"/>
      <c r="P588" s="181"/>
      <c r="Q588" s="181"/>
      <c r="R588" s="181"/>
      <c r="S588" s="181"/>
      <c r="T588" s="181"/>
      <c r="U588" s="181"/>
      <c r="V588" s="181"/>
      <c r="W588" s="181"/>
      <c r="X588" s="181"/>
      <c r="Y588" s="181"/>
      <c r="Z588" s="181"/>
    </row>
    <row r="589" ht="14.25" customHeight="1">
      <c r="A589" s="181"/>
      <c r="B589" s="181"/>
      <c r="C589" s="181"/>
      <c r="D589" s="181"/>
      <c r="E589" s="181"/>
      <c r="F589" s="181"/>
      <c r="G589" s="181"/>
      <c r="H589" s="181"/>
      <c r="I589" s="181"/>
      <c r="J589" s="181"/>
      <c r="K589" s="181"/>
      <c r="L589" s="181"/>
      <c r="M589" s="181"/>
      <c r="N589" s="181"/>
      <c r="O589" s="181"/>
      <c r="P589" s="181"/>
      <c r="Q589" s="181"/>
      <c r="R589" s="181"/>
      <c r="S589" s="181"/>
      <c r="T589" s="181"/>
      <c r="U589" s="181"/>
      <c r="V589" s="181"/>
      <c r="W589" s="181"/>
      <c r="X589" s="181"/>
      <c r="Y589" s="181"/>
      <c r="Z589" s="181"/>
    </row>
    <row r="590" ht="14.25" customHeight="1">
      <c r="A590" s="181"/>
      <c r="B590" s="181"/>
      <c r="C590" s="181"/>
      <c r="D590" s="181"/>
      <c r="E590" s="181"/>
      <c r="F590" s="181"/>
      <c r="G590" s="181"/>
      <c r="H590" s="181"/>
      <c r="I590" s="181"/>
      <c r="J590" s="181"/>
      <c r="K590" s="181"/>
      <c r="L590" s="181"/>
      <c r="M590" s="181"/>
      <c r="N590" s="181"/>
      <c r="O590" s="181"/>
      <c r="P590" s="181"/>
      <c r="Q590" s="181"/>
      <c r="R590" s="181"/>
      <c r="S590" s="181"/>
      <c r="T590" s="181"/>
      <c r="U590" s="181"/>
      <c r="V590" s="181"/>
      <c r="W590" s="181"/>
      <c r="X590" s="181"/>
      <c r="Y590" s="181"/>
      <c r="Z590" s="181"/>
    </row>
    <row r="591" ht="14.25" customHeight="1">
      <c r="A591" s="181"/>
      <c r="B591" s="181"/>
      <c r="C591" s="181"/>
      <c r="D591" s="181"/>
      <c r="E591" s="181"/>
      <c r="F591" s="181"/>
      <c r="G591" s="181"/>
      <c r="H591" s="181"/>
      <c r="I591" s="181"/>
      <c r="J591" s="181"/>
      <c r="K591" s="181"/>
      <c r="L591" s="181"/>
      <c r="M591" s="181"/>
      <c r="N591" s="181"/>
      <c r="O591" s="181"/>
      <c r="P591" s="181"/>
      <c r="Q591" s="181"/>
      <c r="R591" s="181"/>
      <c r="S591" s="181"/>
      <c r="T591" s="181"/>
      <c r="U591" s="181"/>
      <c r="V591" s="181"/>
      <c r="W591" s="181"/>
      <c r="X591" s="181"/>
      <c r="Y591" s="181"/>
      <c r="Z591" s="181"/>
    </row>
    <row r="592" ht="14.25" customHeight="1">
      <c r="A592" s="181"/>
      <c r="B592" s="181"/>
      <c r="C592" s="181"/>
      <c r="D592" s="181"/>
      <c r="E592" s="181"/>
      <c r="F592" s="181"/>
      <c r="G592" s="181"/>
      <c r="H592" s="181"/>
      <c r="I592" s="181"/>
      <c r="J592" s="181"/>
      <c r="K592" s="181"/>
      <c r="L592" s="181"/>
      <c r="M592" s="181"/>
      <c r="N592" s="181"/>
      <c r="O592" s="181"/>
      <c r="P592" s="181"/>
      <c r="Q592" s="181"/>
      <c r="R592" s="181"/>
      <c r="S592" s="181"/>
      <c r="T592" s="181"/>
      <c r="U592" s="181"/>
      <c r="V592" s="181"/>
      <c r="W592" s="181"/>
      <c r="X592" s="181"/>
      <c r="Y592" s="181"/>
      <c r="Z592" s="181"/>
    </row>
    <row r="593" ht="14.25" customHeight="1">
      <c r="A593" s="181"/>
      <c r="B593" s="181"/>
      <c r="C593" s="181"/>
      <c r="D593" s="181"/>
      <c r="E593" s="181"/>
      <c r="F593" s="181"/>
      <c r="G593" s="181"/>
      <c r="H593" s="181"/>
      <c r="I593" s="181"/>
      <c r="J593" s="181"/>
      <c r="K593" s="181"/>
      <c r="L593" s="181"/>
      <c r="M593" s="181"/>
      <c r="N593" s="181"/>
      <c r="O593" s="181"/>
      <c r="P593" s="181"/>
      <c r="Q593" s="181"/>
      <c r="R593" s="181"/>
      <c r="S593" s="181"/>
      <c r="T593" s="181"/>
      <c r="U593" s="181"/>
      <c r="V593" s="181"/>
      <c r="W593" s="181"/>
      <c r="X593" s="181"/>
      <c r="Y593" s="181"/>
      <c r="Z593" s="181"/>
    </row>
    <row r="594" ht="14.25" customHeight="1">
      <c r="A594" s="181"/>
      <c r="B594" s="181"/>
      <c r="C594" s="181"/>
      <c r="D594" s="181"/>
      <c r="E594" s="181"/>
      <c r="F594" s="181"/>
      <c r="G594" s="181"/>
      <c r="H594" s="181"/>
      <c r="I594" s="181"/>
      <c r="J594" s="181"/>
      <c r="K594" s="181"/>
      <c r="L594" s="181"/>
      <c r="M594" s="181"/>
      <c r="N594" s="181"/>
      <c r="O594" s="181"/>
      <c r="P594" s="181"/>
      <c r="Q594" s="181"/>
      <c r="R594" s="181"/>
      <c r="S594" s="181"/>
      <c r="T594" s="181"/>
      <c r="U594" s="181"/>
      <c r="V594" s="181"/>
      <c r="W594" s="181"/>
      <c r="X594" s="181"/>
      <c r="Y594" s="181"/>
      <c r="Z594" s="181"/>
    </row>
    <row r="595" ht="14.25" customHeight="1">
      <c r="A595" s="181"/>
      <c r="B595" s="181"/>
      <c r="C595" s="181"/>
      <c r="D595" s="181"/>
      <c r="E595" s="181"/>
      <c r="F595" s="181"/>
      <c r="G595" s="181"/>
      <c r="H595" s="181"/>
      <c r="I595" s="181"/>
      <c r="J595" s="181"/>
      <c r="K595" s="181"/>
      <c r="L595" s="181"/>
      <c r="M595" s="181"/>
      <c r="N595" s="181"/>
      <c r="O595" s="181"/>
      <c r="P595" s="181"/>
      <c r="Q595" s="181"/>
      <c r="R595" s="181"/>
      <c r="S595" s="181"/>
      <c r="T595" s="181"/>
      <c r="U595" s="181"/>
      <c r="V595" s="181"/>
      <c r="W595" s="181"/>
      <c r="X595" s="181"/>
      <c r="Y595" s="181"/>
      <c r="Z595" s="181"/>
    </row>
    <row r="596" ht="14.25" customHeight="1">
      <c r="A596" s="181"/>
      <c r="B596" s="181"/>
      <c r="C596" s="181"/>
      <c r="D596" s="181"/>
      <c r="E596" s="181"/>
      <c r="F596" s="181"/>
      <c r="G596" s="181"/>
      <c r="H596" s="181"/>
      <c r="I596" s="181"/>
      <c r="J596" s="181"/>
      <c r="K596" s="181"/>
      <c r="L596" s="181"/>
      <c r="M596" s="181"/>
      <c r="N596" s="181"/>
      <c r="O596" s="181"/>
      <c r="P596" s="181"/>
      <c r="Q596" s="181"/>
      <c r="R596" s="181"/>
      <c r="S596" s="181"/>
      <c r="T596" s="181"/>
      <c r="U596" s="181"/>
      <c r="V596" s="181"/>
      <c r="W596" s="181"/>
      <c r="X596" s="181"/>
      <c r="Y596" s="181"/>
      <c r="Z596" s="181"/>
    </row>
    <row r="597" ht="14.25" customHeight="1">
      <c r="A597" s="181"/>
      <c r="B597" s="181"/>
      <c r="C597" s="181"/>
      <c r="D597" s="181"/>
      <c r="E597" s="181"/>
      <c r="F597" s="181"/>
      <c r="G597" s="181"/>
      <c r="H597" s="181"/>
      <c r="I597" s="181"/>
      <c r="J597" s="181"/>
      <c r="K597" s="181"/>
      <c r="L597" s="181"/>
      <c r="M597" s="181"/>
      <c r="N597" s="181"/>
      <c r="O597" s="181"/>
      <c r="P597" s="181"/>
      <c r="Q597" s="181"/>
      <c r="R597" s="181"/>
      <c r="S597" s="181"/>
      <c r="T597" s="181"/>
      <c r="U597" s="181"/>
      <c r="V597" s="181"/>
      <c r="W597" s="181"/>
      <c r="X597" s="181"/>
      <c r="Y597" s="181"/>
      <c r="Z597" s="181"/>
    </row>
    <row r="598" ht="14.25" customHeight="1">
      <c r="A598" s="181"/>
      <c r="B598" s="181"/>
      <c r="C598" s="181"/>
      <c r="D598" s="181"/>
      <c r="E598" s="181"/>
      <c r="F598" s="181"/>
      <c r="G598" s="181"/>
      <c r="H598" s="181"/>
      <c r="I598" s="181"/>
      <c r="J598" s="181"/>
      <c r="K598" s="181"/>
      <c r="L598" s="181"/>
      <c r="M598" s="181"/>
      <c r="N598" s="181"/>
      <c r="O598" s="181"/>
      <c r="P598" s="181"/>
      <c r="Q598" s="181"/>
      <c r="R598" s="181"/>
      <c r="S598" s="181"/>
      <c r="T598" s="181"/>
      <c r="U598" s="181"/>
      <c r="V598" s="181"/>
      <c r="W598" s="181"/>
      <c r="X598" s="181"/>
      <c r="Y598" s="181"/>
      <c r="Z598" s="181"/>
    </row>
    <row r="599" ht="14.25" customHeight="1">
      <c r="A599" s="181"/>
      <c r="B599" s="181"/>
      <c r="C599" s="181"/>
      <c r="D599" s="181"/>
      <c r="E599" s="181"/>
      <c r="F599" s="181"/>
      <c r="G599" s="181"/>
      <c r="H599" s="181"/>
      <c r="I599" s="181"/>
      <c r="J599" s="181"/>
      <c r="K599" s="181"/>
      <c r="L599" s="181"/>
      <c r="M599" s="181"/>
      <c r="N599" s="181"/>
      <c r="O599" s="181"/>
      <c r="P599" s="181"/>
      <c r="Q599" s="181"/>
      <c r="R599" s="181"/>
      <c r="S599" s="181"/>
      <c r="T599" s="181"/>
      <c r="U599" s="181"/>
      <c r="V599" s="181"/>
      <c r="W599" s="181"/>
      <c r="X599" s="181"/>
      <c r="Y599" s="181"/>
      <c r="Z599" s="181"/>
    </row>
    <row r="600" ht="14.25" customHeight="1">
      <c r="A600" s="181"/>
      <c r="B600" s="181"/>
      <c r="C600" s="181"/>
      <c r="D600" s="181"/>
      <c r="E600" s="181"/>
      <c r="F600" s="181"/>
      <c r="G600" s="181"/>
      <c r="H600" s="181"/>
      <c r="I600" s="181"/>
      <c r="J600" s="181"/>
      <c r="K600" s="181"/>
      <c r="L600" s="181"/>
      <c r="M600" s="181"/>
      <c r="N600" s="181"/>
      <c r="O600" s="181"/>
      <c r="P600" s="181"/>
      <c r="Q600" s="181"/>
      <c r="R600" s="181"/>
      <c r="S600" s="181"/>
      <c r="T600" s="181"/>
      <c r="U600" s="181"/>
      <c r="V600" s="181"/>
      <c r="W600" s="181"/>
      <c r="X600" s="181"/>
      <c r="Y600" s="181"/>
      <c r="Z600" s="181"/>
    </row>
    <row r="601" ht="14.25" customHeight="1">
      <c r="A601" s="181"/>
      <c r="B601" s="181"/>
      <c r="C601" s="181"/>
      <c r="D601" s="181"/>
      <c r="E601" s="181"/>
      <c r="F601" s="181"/>
      <c r="G601" s="181"/>
      <c r="H601" s="181"/>
      <c r="I601" s="181"/>
      <c r="J601" s="181"/>
      <c r="K601" s="181"/>
      <c r="L601" s="181"/>
      <c r="M601" s="181"/>
      <c r="N601" s="181"/>
      <c r="O601" s="181"/>
      <c r="P601" s="181"/>
      <c r="Q601" s="181"/>
      <c r="R601" s="181"/>
      <c r="S601" s="181"/>
      <c r="T601" s="181"/>
      <c r="U601" s="181"/>
      <c r="V601" s="181"/>
      <c r="W601" s="181"/>
      <c r="X601" s="181"/>
      <c r="Y601" s="181"/>
      <c r="Z601" s="181"/>
    </row>
    <row r="602" ht="14.25" customHeight="1">
      <c r="A602" s="181"/>
      <c r="B602" s="181"/>
      <c r="C602" s="181"/>
      <c r="D602" s="181"/>
      <c r="E602" s="181"/>
      <c r="F602" s="181"/>
      <c r="G602" s="181"/>
      <c r="H602" s="181"/>
      <c r="I602" s="181"/>
      <c r="J602" s="181"/>
      <c r="K602" s="181"/>
      <c r="L602" s="181"/>
      <c r="M602" s="181"/>
      <c r="N602" s="181"/>
      <c r="O602" s="181"/>
      <c r="P602" s="181"/>
      <c r="Q602" s="181"/>
      <c r="R602" s="181"/>
      <c r="S602" s="181"/>
      <c r="T602" s="181"/>
      <c r="U602" s="181"/>
      <c r="V602" s="181"/>
      <c r="W602" s="181"/>
      <c r="X602" s="181"/>
      <c r="Y602" s="181"/>
      <c r="Z602" s="181"/>
    </row>
    <row r="603" ht="14.25" customHeight="1">
      <c r="A603" s="181"/>
      <c r="B603" s="181"/>
      <c r="C603" s="181"/>
      <c r="D603" s="181"/>
      <c r="E603" s="181"/>
      <c r="F603" s="181"/>
      <c r="G603" s="181"/>
      <c r="H603" s="181"/>
      <c r="I603" s="181"/>
      <c r="J603" s="181"/>
      <c r="K603" s="181"/>
      <c r="L603" s="181"/>
      <c r="M603" s="181"/>
      <c r="N603" s="181"/>
      <c r="O603" s="181"/>
      <c r="P603" s="181"/>
      <c r="Q603" s="181"/>
      <c r="R603" s="181"/>
      <c r="S603" s="181"/>
      <c r="T603" s="181"/>
      <c r="U603" s="181"/>
      <c r="V603" s="181"/>
      <c r="W603" s="181"/>
      <c r="X603" s="181"/>
      <c r="Y603" s="181"/>
      <c r="Z603" s="181"/>
    </row>
    <row r="604" ht="14.25" customHeight="1">
      <c r="A604" s="181"/>
      <c r="B604" s="181"/>
      <c r="C604" s="181"/>
      <c r="D604" s="181"/>
      <c r="E604" s="181"/>
      <c r="F604" s="181"/>
      <c r="G604" s="181"/>
      <c r="H604" s="181"/>
      <c r="I604" s="181"/>
      <c r="J604" s="181"/>
      <c r="K604" s="181"/>
      <c r="L604" s="181"/>
      <c r="M604" s="181"/>
      <c r="N604" s="181"/>
      <c r="O604" s="181"/>
      <c r="P604" s="181"/>
      <c r="Q604" s="181"/>
      <c r="R604" s="181"/>
      <c r="S604" s="181"/>
      <c r="T604" s="181"/>
      <c r="U604" s="181"/>
      <c r="V604" s="181"/>
      <c r="W604" s="181"/>
      <c r="X604" s="181"/>
      <c r="Y604" s="181"/>
      <c r="Z604" s="181"/>
    </row>
    <row r="605" ht="14.25" customHeight="1">
      <c r="A605" s="181"/>
      <c r="B605" s="181"/>
      <c r="C605" s="181"/>
      <c r="D605" s="181"/>
      <c r="E605" s="181"/>
      <c r="F605" s="181"/>
      <c r="G605" s="181"/>
      <c r="H605" s="181"/>
      <c r="I605" s="181"/>
      <c r="J605" s="181"/>
      <c r="K605" s="181"/>
      <c r="L605" s="181"/>
      <c r="M605" s="181"/>
      <c r="N605" s="181"/>
      <c r="O605" s="181"/>
      <c r="P605" s="181"/>
      <c r="Q605" s="181"/>
      <c r="R605" s="181"/>
      <c r="S605" s="181"/>
      <c r="T605" s="181"/>
      <c r="U605" s="181"/>
      <c r="V605" s="181"/>
      <c r="W605" s="181"/>
      <c r="X605" s="181"/>
      <c r="Y605" s="181"/>
      <c r="Z605" s="181"/>
    </row>
    <row r="606" ht="14.25" customHeight="1">
      <c r="A606" s="181"/>
      <c r="B606" s="181"/>
      <c r="C606" s="181"/>
      <c r="D606" s="181"/>
      <c r="E606" s="181"/>
      <c r="F606" s="181"/>
      <c r="G606" s="181"/>
      <c r="H606" s="181"/>
      <c r="I606" s="181"/>
      <c r="J606" s="181"/>
      <c r="K606" s="181"/>
      <c r="L606" s="181"/>
      <c r="M606" s="181"/>
      <c r="N606" s="181"/>
      <c r="O606" s="181"/>
      <c r="P606" s="181"/>
      <c r="Q606" s="181"/>
      <c r="R606" s="181"/>
      <c r="S606" s="181"/>
      <c r="T606" s="181"/>
      <c r="U606" s="181"/>
      <c r="V606" s="181"/>
      <c r="W606" s="181"/>
      <c r="X606" s="181"/>
      <c r="Y606" s="181"/>
      <c r="Z606" s="181"/>
    </row>
    <row r="607" ht="14.25" customHeight="1">
      <c r="A607" s="181"/>
      <c r="B607" s="181"/>
      <c r="C607" s="181"/>
      <c r="D607" s="181"/>
      <c r="E607" s="181"/>
      <c r="F607" s="181"/>
      <c r="G607" s="181"/>
      <c r="H607" s="181"/>
      <c r="I607" s="181"/>
      <c r="J607" s="181"/>
      <c r="K607" s="181"/>
      <c r="L607" s="181"/>
      <c r="M607" s="181"/>
      <c r="N607" s="181"/>
      <c r="O607" s="181"/>
      <c r="P607" s="181"/>
      <c r="Q607" s="181"/>
      <c r="R607" s="181"/>
      <c r="S607" s="181"/>
      <c r="T607" s="181"/>
      <c r="U607" s="181"/>
      <c r="V607" s="181"/>
      <c r="W607" s="181"/>
      <c r="X607" s="181"/>
      <c r="Y607" s="181"/>
      <c r="Z607" s="181"/>
    </row>
    <row r="608" ht="14.25" customHeight="1">
      <c r="A608" s="181"/>
      <c r="B608" s="181"/>
      <c r="C608" s="181"/>
      <c r="D608" s="181"/>
      <c r="E608" s="181"/>
      <c r="F608" s="181"/>
      <c r="G608" s="181"/>
      <c r="H608" s="181"/>
      <c r="I608" s="181"/>
      <c r="J608" s="181"/>
      <c r="K608" s="181"/>
      <c r="L608" s="181"/>
      <c r="M608" s="181"/>
      <c r="N608" s="181"/>
      <c r="O608" s="181"/>
      <c r="P608" s="181"/>
      <c r="Q608" s="181"/>
      <c r="R608" s="181"/>
      <c r="S608" s="181"/>
      <c r="T608" s="181"/>
      <c r="U608" s="181"/>
      <c r="V608" s="181"/>
      <c r="W608" s="181"/>
      <c r="X608" s="181"/>
      <c r="Y608" s="181"/>
      <c r="Z608" s="181"/>
    </row>
    <row r="609" ht="14.25" customHeight="1">
      <c r="A609" s="181"/>
      <c r="B609" s="181"/>
      <c r="C609" s="181"/>
      <c r="D609" s="181"/>
      <c r="E609" s="181"/>
      <c r="F609" s="181"/>
      <c r="G609" s="181"/>
      <c r="H609" s="181"/>
      <c r="I609" s="181"/>
      <c r="J609" s="181"/>
      <c r="K609" s="181"/>
      <c r="L609" s="181"/>
      <c r="M609" s="181"/>
      <c r="N609" s="181"/>
      <c r="O609" s="181"/>
      <c r="P609" s="181"/>
      <c r="Q609" s="181"/>
      <c r="R609" s="181"/>
      <c r="S609" s="181"/>
      <c r="T609" s="181"/>
      <c r="U609" s="181"/>
      <c r="V609" s="181"/>
      <c r="W609" s="181"/>
      <c r="X609" s="181"/>
      <c r="Y609" s="181"/>
      <c r="Z609" s="181"/>
    </row>
    <row r="610" ht="14.25" customHeight="1">
      <c r="A610" s="181"/>
      <c r="B610" s="181"/>
      <c r="C610" s="181"/>
      <c r="D610" s="181"/>
      <c r="E610" s="181"/>
      <c r="F610" s="181"/>
      <c r="G610" s="181"/>
      <c r="H610" s="181"/>
      <c r="I610" s="181"/>
      <c r="J610" s="181"/>
      <c r="K610" s="181"/>
      <c r="L610" s="181"/>
      <c r="M610" s="181"/>
      <c r="N610" s="181"/>
      <c r="O610" s="181"/>
      <c r="P610" s="181"/>
      <c r="Q610" s="181"/>
      <c r="R610" s="181"/>
      <c r="S610" s="181"/>
      <c r="T610" s="181"/>
      <c r="U610" s="181"/>
      <c r="V610" s="181"/>
      <c r="W610" s="181"/>
      <c r="X610" s="181"/>
      <c r="Y610" s="181"/>
      <c r="Z610" s="181"/>
    </row>
    <row r="611" ht="14.25" customHeight="1">
      <c r="A611" s="181"/>
      <c r="B611" s="181"/>
      <c r="C611" s="181"/>
      <c r="D611" s="181"/>
      <c r="E611" s="181"/>
      <c r="F611" s="181"/>
      <c r="G611" s="181"/>
      <c r="H611" s="181"/>
      <c r="I611" s="181"/>
      <c r="J611" s="181"/>
      <c r="K611" s="181"/>
      <c r="L611" s="181"/>
      <c r="M611" s="181"/>
      <c r="N611" s="181"/>
      <c r="O611" s="181"/>
      <c r="P611" s="181"/>
      <c r="Q611" s="181"/>
      <c r="R611" s="181"/>
      <c r="S611" s="181"/>
      <c r="T611" s="181"/>
      <c r="U611" s="181"/>
      <c r="V611" s="181"/>
      <c r="W611" s="181"/>
      <c r="X611" s="181"/>
      <c r="Y611" s="181"/>
      <c r="Z611" s="181"/>
    </row>
    <row r="612" ht="14.25" customHeight="1">
      <c r="A612" s="181"/>
      <c r="B612" s="181"/>
      <c r="C612" s="181"/>
      <c r="D612" s="181"/>
      <c r="E612" s="181"/>
      <c r="F612" s="181"/>
      <c r="G612" s="181"/>
      <c r="H612" s="181"/>
      <c r="I612" s="181"/>
      <c r="J612" s="181"/>
      <c r="K612" s="181"/>
      <c r="L612" s="181"/>
      <c r="M612" s="181"/>
      <c r="N612" s="181"/>
      <c r="O612" s="181"/>
      <c r="P612" s="181"/>
      <c r="Q612" s="181"/>
      <c r="R612" s="181"/>
      <c r="S612" s="181"/>
      <c r="T612" s="181"/>
      <c r="U612" s="181"/>
      <c r="V612" s="181"/>
      <c r="W612" s="181"/>
      <c r="X612" s="181"/>
      <c r="Y612" s="181"/>
      <c r="Z612" s="181"/>
    </row>
    <row r="613" ht="14.25" customHeight="1">
      <c r="A613" s="181"/>
      <c r="B613" s="181"/>
      <c r="C613" s="181"/>
      <c r="D613" s="181"/>
      <c r="E613" s="181"/>
      <c r="F613" s="181"/>
      <c r="G613" s="181"/>
      <c r="H613" s="181"/>
      <c r="I613" s="181"/>
      <c r="J613" s="181"/>
      <c r="K613" s="181"/>
      <c r="L613" s="181"/>
      <c r="M613" s="181"/>
      <c r="N613" s="181"/>
      <c r="O613" s="181"/>
      <c r="P613" s="181"/>
      <c r="Q613" s="181"/>
      <c r="R613" s="181"/>
      <c r="S613" s="181"/>
      <c r="T613" s="181"/>
      <c r="U613" s="181"/>
      <c r="V613" s="181"/>
      <c r="W613" s="181"/>
      <c r="X613" s="181"/>
      <c r="Y613" s="181"/>
      <c r="Z613" s="181"/>
    </row>
    <row r="614" ht="14.25" customHeight="1">
      <c r="A614" s="181"/>
      <c r="B614" s="181"/>
      <c r="C614" s="181"/>
      <c r="D614" s="181"/>
      <c r="E614" s="181"/>
      <c r="F614" s="181"/>
      <c r="G614" s="181"/>
      <c r="H614" s="181"/>
      <c r="I614" s="181"/>
      <c r="J614" s="181"/>
      <c r="K614" s="181"/>
      <c r="L614" s="181"/>
      <c r="M614" s="181"/>
      <c r="N614" s="181"/>
      <c r="O614" s="181"/>
      <c r="P614" s="181"/>
      <c r="Q614" s="181"/>
      <c r="R614" s="181"/>
      <c r="S614" s="181"/>
      <c r="T614" s="181"/>
      <c r="U614" s="181"/>
      <c r="V614" s="181"/>
      <c r="W614" s="181"/>
      <c r="X614" s="181"/>
      <c r="Y614" s="181"/>
      <c r="Z614" s="181"/>
    </row>
    <row r="615" ht="14.25" customHeight="1">
      <c r="A615" s="181"/>
      <c r="B615" s="181"/>
      <c r="C615" s="181"/>
      <c r="D615" s="181"/>
      <c r="E615" s="181"/>
      <c r="F615" s="181"/>
      <c r="G615" s="181"/>
      <c r="H615" s="181"/>
      <c r="I615" s="181"/>
      <c r="J615" s="181"/>
      <c r="K615" s="181"/>
      <c r="L615" s="181"/>
      <c r="M615" s="181"/>
      <c r="N615" s="181"/>
      <c r="O615" s="181"/>
      <c r="P615" s="181"/>
      <c r="Q615" s="181"/>
      <c r="R615" s="181"/>
      <c r="S615" s="181"/>
      <c r="T615" s="181"/>
      <c r="U615" s="181"/>
      <c r="V615" s="181"/>
      <c r="W615" s="181"/>
      <c r="X615" s="181"/>
      <c r="Y615" s="181"/>
      <c r="Z615" s="181"/>
    </row>
    <row r="616" ht="14.25" customHeight="1">
      <c r="A616" s="181"/>
      <c r="B616" s="181"/>
      <c r="C616" s="181"/>
      <c r="D616" s="181"/>
      <c r="E616" s="181"/>
      <c r="F616" s="181"/>
      <c r="G616" s="181"/>
      <c r="H616" s="181"/>
      <c r="I616" s="181"/>
      <c r="J616" s="181"/>
      <c r="K616" s="181"/>
      <c r="L616" s="181"/>
      <c r="M616" s="181"/>
      <c r="N616" s="181"/>
      <c r="O616" s="181"/>
      <c r="P616" s="181"/>
      <c r="Q616" s="181"/>
      <c r="R616" s="181"/>
      <c r="S616" s="181"/>
      <c r="T616" s="181"/>
      <c r="U616" s="181"/>
      <c r="V616" s="181"/>
      <c r="W616" s="181"/>
      <c r="X616" s="181"/>
      <c r="Y616" s="181"/>
      <c r="Z616" s="181"/>
    </row>
    <row r="617" ht="14.25" customHeight="1">
      <c r="A617" s="181"/>
      <c r="B617" s="181"/>
      <c r="C617" s="181"/>
      <c r="D617" s="181"/>
      <c r="E617" s="181"/>
      <c r="F617" s="181"/>
      <c r="G617" s="181"/>
      <c r="H617" s="181"/>
      <c r="I617" s="181"/>
      <c r="J617" s="181"/>
      <c r="K617" s="181"/>
      <c r="L617" s="181"/>
      <c r="M617" s="181"/>
      <c r="N617" s="181"/>
      <c r="O617" s="181"/>
      <c r="P617" s="181"/>
      <c r="Q617" s="181"/>
      <c r="R617" s="181"/>
      <c r="S617" s="181"/>
      <c r="T617" s="181"/>
      <c r="U617" s="181"/>
      <c r="V617" s="181"/>
      <c r="W617" s="181"/>
      <c r="X617" s="181"/>
      <c r="Y617" s="181"/>
      <c r="Z617" s="181"/>
    </row>
    <row r="618" ht="14.25" customHeight="1">
      <c r="A618" s="181"/>
      <c r="B618" s="181"/>
      <c r="C618" s="181"/>
      <c r="D618" s="181"/>
      <c r="E618" s="181"/>
      <c r="F618" s="181"/>
      <c r="G618" s="181"/>
      <c r="H618" s="181"/>
      <c r="I618" s="181"/>
      <c r="J618" s="181"/>
      <c r="K618" s="181"/>
      <c r="L618" s="181"/>
      <c r="M618" s="181"/>
      <c r="N618" s="181"/>
      <c r="O618" s="181"/>
      <c r="P618" s="181"/>
      <c r="Q618" s="181"/>
      <c r="R618" s="181"/>
      <c r="S618" s="181"/>
      <c r="T618" s="181"/>
      <c r="U618" s="181"/>
      <c r="V618" s="181"/>
      <c r="W618" s="181"/>
      <c r="X618" s="181"/>
      <c r="Y618" s="181"/>
      <c r="Z618" s="181"/>
    </row>
    <row r="619" ht="14.25" customHeight="1">
      <c r="A619" s="181"/>
      <c r="B619" s="181"/>
      <c r="C619" s="181"/>
      <c r="D619" s="181"/>
      <c r="E619" s="181"/>
      <c r="F619" s="181"/>
      <c r="G619" s="181"/>
      <c r="H619" s="181"/>
      <c r="I619" s="181"/>
      <c r="J619" s="181"/>
      <c r="K619" s="181"/>
      <c r="L619" s="181"/>
      <c r="M619" s="181"/>
      <c r="N619" s="181"/>
      <c r="O619" s="181"/>
      <c r="P619" s="181"/>
      <c r="Q619" s="181"/>
      <c r="R619" s="181"/>
      <c r="S619" s="181"/>
      <c r="T619" s="181"/>
      <c r="U619" s="181"/>
      <c r="V619" s="181"/>
      <c r="W619" s="181"/>
      <c r="X619" s="181"/>
      <c r="Y619" s="181"/>
      <c r="Z619" s="181"/>
    </row>
    <row r="620" ht="14.25" customHeight="1">
      <c r="A620" s="181"/>
      <c r="B620" s="181"/>
      <c r="C620" s="181"/>
      <c r="D620" s="181"/>
      <c r="E620" s="181"/>
      <c r="F620" s="181"/>
      <c r="G620" s="181"/>
      <c r="H620" s="181"/>
      <c r="I620" s="181"/>
      <c r="J620" s="181"/>
      <c r="K620" s="181"/>
      <c r="L620" s="181"/>
      <c r="M620" s="181"/>
      <c r="N620" s="181"/>
      <c r="O620" s="181"/>
      <c r="P620" s="181"/>
      <c r="Q620" s="181"/>
      <c r="R620" s="181"/>
      <c r="S620" s="181"/>
      <c r="T620" s="181"/>
      <c r="U620" s="181"/>
      <c r="V620" s="181"/>
      <c r="W620" s="181"/>
      <c r="X620" s="181"/>
      <c r="Y620" s="181"/>
      <c r="Z620" s="181"/>
    </row>
    <row r="621" ht="14.25" customHeight="1">
      <c r="A621" s="181"/>
      <c r="B621" s="181"/>
      <c r="C621" s="181"/>
      <c r="D621" s="181"/>
      <c r="E621" s="181"/>
      <c r="F621" s="181"/>
      <c r="G621" s="181"/>
      <c r="H621" s="181"/>
      <c r="I621" s="181"/>
      <c r="J621" s="181"/>
      <c r="K621" s="181"/>
      <c r="L621" s="181"/>
      <c r="M621" s="181"/>
      <c r="N621" s="181"/>
      <c r="O621" s="181"/>
      <c r="P621" s="181"/>
      <c r="Q621" s="181"/>
      <c r="R621" s="181"/>
      <c r="S621" s="181"/>
      <c r="T621" s="181"/>
      <c r="U621" s="181"/>
      <c r="V621" s="181"/>
      <c r="W621" s="181"/>
      <c r="X621" s="181"/>
      <c r="Y621" s="181"/>
      <c r="Z621" s="181"/>
    </row>
    <row r="622" ht="14.25" customHeight="1">
      <c r="A622" s="181"/>
      <c r="B622" s="181"/>
      <c r="C622" s="181"/>
      <c r="D622" s="181"/>
      <c r="E622" s="181"/>
      <c r="F622" s="181"/>
      <c r="G622" s="181"/>
      <c r="H622" s="181"/>
      <c r="I622" s="181"/>
      <c r="J622" s="181"/>
      <c r="K622" s="181"/>
      <c r="L622" s="181"/>
      <c r="M622" s="181"/>
      <c r="N622" s="181"/>
      <c r="O622" s="181"/>
      <c r="P622" s="181"/>
      <c r="Q622" s="181"/>
      <c r="R622" s="181"/>
      <c r="S622" s="181"/>
      <c r="T622" s="181"/>
      <c r="U622" s="181"/>
      <c r="V622" s="181"/>
      <c r="W622" s="181"/>
      <c r="X622" s="181"/>
      <c r="Y622" s="181"/>
      <c r="Z622" s="181"/>
    </row>
    <row r="623" ht="14.25" customHeight="1">
      <c r="A623" s="181"/>
      <c r="B623" s="181"/>
      <c r="C623" s="181"/>
      <c r="D623" s="181"/>
      <c r="E623" s="181"/>
      <c r="F623" s="181"/>
      <c r="G623" s="181"/>
      <c r="H623" s="181"/>
      <c r="I623" s="181"/>
      <c r="J623" s="181"/>
      <c r="K623" s="181"/>
      <c r="L623" s="181"/>
      <c r="M623" s="181"/>
      <c r="N623" s="181"/>
      <c r="O623" s="181"/>
      <c r="P623" s="181"/>
      <c r="Q623" s="181"/>
      <c r="R623" s="181"/>
      <c r="S623" s="181"/>
      <c r="T623" s="181"/>
      <c r="U623" s="181"/>
      <c r="V623" s="181"/>
      <c r="W623" s="181"/>
      <c r="X623" s="181"/>
      <c r="Y623" s="181"/>
      <c r="Z623" s="181"/>
    </row>
    <row r="624" ht="14.25" customHeight="1">
      <c r="A624" s="181"/>
      <c r="B624" s="181"/>
      <c r="C624" s="181"/>
      <c r="D624" s="181"/>
      <c r="E624" s="181"/>
      <c r="F624" s="181"/>
      <c r="G624" s="181"/>
      <c r="H624" s="181"/>
      <c r="I624" s="181"/>
      <c r="J624" s="181"/>
      <c r="K624" s="181"/>
      <c r="L624" s="181"/>
      <c r="M624" s="181"/>
      <c r="N624" s="181"/>
      <c r="O624" s="181"/>
      <c r="P624" s="181"/>
      <c r="Q624" s="181"/>
      <c r="R624" s="181"/>
      <c r="S624" s="181"/>
      <c r="T624" s="181"/>
      <c r="U624" s="181"/>
      <c r="V624" s="181"/>
      <c r="W624" s="181"/>
      <c r="X624" s="181"/>
      <c r="Y624" s="181"/>
      <c r="Z624" s="181"/>
    </row>
    <row r="625" ht="14.25" customHeight="1">
      <c r="A625" s="181"/>
      <c r="B625" s="181"/>
      <c r="C625" s="181"/>
      <c r="D625" s="181"/>
      <c r="E625" s="181"/>
      <c r="F625" s="181"/>
      <c r="G625" s="181"/>
      <c r="H625" s="181"/>
      <c r="I625" s="181"/>
      <c r="J625" s="181"/>
      <c r="K625" s="181"/>
      <c r="L625" s="181"/>
      <c r="M625" s="181"/>
      <c r="N625" s="181"/>
      <c r="O625" s="181"/>
      <c r="P625" s="181"/>
      <c r="Q625" s="181"/>
      <c r="R625" s="181"/>
      <c r="S625" s="181"/>
      <c r="T625" s="181"/>
      <c r="U625" s="181"/>
      <c r="V625" s="181"/>
      <c r="W625" s="181"/>
      <c r="X625" s="181"/>
      <c r="Y625" s="181"/>
      <c r="Z625" s="181"/>
    </row>
    <row r="626" ht="14.25" customHeight="1">
      <c r="A626" s="181"/>
      <c r="B626" s="181"/>
      <c r="C626" s="181"/>
      <c r="D626" s="181"/>
      <c r="E626" s="181"/>
      <c r="F626" s="181"/>
      <c r="G626" s="181"/>
      <c r="H626" s="181"/>
      <c r="I626" s="181"/>
      <c r="J626" s="181"/>
      <c r="K626" s="181"/>
      <c r="L626" s="181"/>
      <c r="M626" s="181"/>
      <c r="N626" s="181"/>
      <c r="O626" s="181"/>
      <c r="P626" s="181"/>
      <c r="Q626" s="181"/>
      <c r="R626" s="181"/>
      <c r="S626" s="181"/>
      <c r="T626" s="181"/>
      <c r="U626" s="181"/>
      <c r="V626" s="181"/>
      <c r="W626" s="181"/>
      <c r="X626" s="181"/>
      <c r="Y626" s="181"/>
      <c r="Z626" s="181"/>
    </row>
    <row r="627" ht="14.25" customHeight="1">
      <c r="A627" s="181"/>
      <c r="B627" s="181"/>
      <c r="C627" s="181"/>
      <c r="D627" s="181"/>
      <c r="E627" s="181"/>
      <c r="F627" s="181"/>
      <c r="G627" s="181"/>
      <c r="H627" s="181"/>
      <c r="I627" s="181"/>
      <c r="J627" s="181"/>
      <c r="K627" s="181"/>
      <c r="L627" s="181"/>
      <c r="M627" s="181"/>
      <c r="N627" s="181"/>
      <c r="O627" s="181"/>
      <c r="P627" s="181"/>
      <c r="Q627" s="181"/>
      <c r="R627" s="181"/>
      <c r="S627" s="181"/>
      <c r="T627" s="181"/>
      <c r="U627" s="181"/>
      <c r="V627" s="181"/>
      <c r="W627" s="181"/>
      <c r="X627" s="181"/>
      <c r="Y627" s="181"/>
      <c r="Z627" s="181"/>
    </row>
    <row r="628" ht="14.25" customHeight="1">
      <c r="A628" s="181"/>
      <c r="B628" s="181"/>
      <c r="C628" s="181"/>
      <c r="D628" s="181"/>
      <c r="E628" s="181"/>
      <c r="F628" s="181"/>
      <c r="G628" s="181"/>
      <c r="H628" s="181"/>
      <c r="I628" s="181"/>
      <c r="J628" s="181"/>
      <c r="K628" s="181"/>
      <c r="L628" s="181"/>
      <c r="M628" s="181"/>
      <c r="N628" s="181"/>
      <c r="O628" s="181"/>
      <c r="P628" s="181"/>
      <c r="Q628" s="181"/>
      <c r="R628" s="181"/>
      <c r="S628" s="181"/>
      <c r="T628" s="181"/>
      <c r="U628" s="181"/>
      <c r="V628" s="181"/>
      <c r="W628" s="181"/>
      <c r="X628" s="181"/>
      <c r="Y628" s="181"/>
      <c r="Z628" s="181"/>
    </row>
    <row r="629" ht="14.25" customHeight="1">
      <c r="A629" s="181"/>
      <c r="B629" s="181"/>
      <c r="C629" s="181"/>
      <c r="D629" s="181"/>
      <c r="E629" s="181"/>
      <c r="F629" s="181"/>
      <c r="G629" s="181"/>
      <c r="H629" s="181"/>
      <c r="I629" s="181"/>
      <c r="J629" s="181"/>
      <c r="K629" s="181"/>
      <c r="L629" s="181"/>
      <c r="M629" s="181"/>
      <c r="N629" s="181"/>
      <c r="O629" s="181"/>
      <c r="P629" s="181"/>
      <c r="Q629" s="181"/>
      <c r="R629" s="181"/>
      <c r="S629" s="181"/>
      <c r="T629" s="181"/>
      <c r="U629" s="181"/>
      <c r="V629" s="181"/>
      <c r="W629" s="181"/>
      <c r="X629" s="181"/>
      <c r="Y629" s="181"/>
      <c r="Z629" s="181"/>
    </row>
    <row r="630" ht="14.25" customHeight="1">
      <c r="A630" s="181"/>
      <c r="B630" s="181"/>
      <c r="C630" s="181"/>
      <c r="D630" s="181"/>
      <c r="E630" s="181"/>
      <c r="F630" s="181"/>
      <c r="G630" s="181"/>
      <c r="H630" s="181"/>
      <c r="I630" s="181"/>
      <c r="J630" s="181"/>
      <c r="K630" s="181"/>
      <c r="L630" s="181"/>
      <c r="M630" s="181"/>
      <c r="N630" s="181"/>
      <c r="O630" s="181"/>
      <c r="P630" s="181"/>
      <c r="Q630" s="181"/>
      <c r="R630" s="181"/>
      <c r="S630" s="181"/>
      <c r="T630" s="181"/>
      <c r="U630" s="181"/>
      <c r="V630" s="181"/>
      <c r="W630" s="181"/>
      <c r="X630" s="181"/>
      <c r="Y630" s="181"/>
      <c r="Z630" s="181"/>
    </row>
    <row r="631" ht="14.25" customHeight="1">
      <c r="A631" s="181"/>
      <c r="B631" s="181"/>
      <c r="C631" s="181"/>
      <c r="D631" s="181"/>
      <c r="E631" s="181"/>
      <c r="F631" s="181"/>
      <c r="G631" s="181"/>
      <c r="H631" s="181"/>
      <c r="I631" s="181"/>
      <c r="J631" s="181"/>
      <c r="K631" s="181"/>
      <c r="L631" s="181"/>
      <c r="M631" s="181"/>
      <c r="N631" s="181"/>
      <c r="O631" s="181"/>
      <c r="P631" s="181"/>
      <c r="Q631" s="181"/>
      <c r="R631" s="181"/>
      <c r="S631" s="181"/>
      <c r="T631" s="181"/>
      <c r="U631" s="181"/>
      <c r="V631" s="181"/>
      <c r="W631" s="181"/>
      <c r="X631" s="181"/>
      <c r="Y631" s="181"/>
      <c r="Z631" s="181"/>
    </row>
    <row r="632" ht="14.25" customHeight="1">
      <c r="A632" s="181"/>
      <c r="B632" s="181"/>
      <c r="C632" s="181"/>
      <c r="D632" s="181"/>
      <c r="E632" s="181"/>
      <c r="F632" s="181"/>
      <c r="G632" s="181"/>
      <c r="H632" s="181"/>
      <c r="I632" s="181"/>
      <c r="J632" s="181"/>
      <c r="K632" s="181"/>
      <c r="L632" s="181"/>
      <c r="M632" s="181"/>
      <c r="N632" s="181"/>
      <c r="O632" s="181"/>
      <c r="P632" s="181"/>
      <c r="Q632" s="181"/>
      <c r="R632" s="181"/>
      <c r="S632" s="181"/>
      <c r="T632" s="181"/>
      <c r="U632" s="181"/>
      <c r="V632" s="181"/>
      <c r="W632" s="181"/>
      <c r="X632" s="181"/>
      <c r="Y632" s="181"/>
      <c r="Z632" s="181"/>
    </row>
    <row r="633" ht="14.25" customHeight="1">
      <c r="A633" s="181"/>
      <c r="B633" s="181"/>
      <c r="C633" s="181"/>
      <c r="D633" s="181"/>
      <c r="E633" s="181"/>
      <c r="F633" s="181"/>
      <c r="G633" s="181"/>
      <c r="H633" s="181"/>
      <c r="I633" s="181"/>
      <c r="J633" s="181"/>
      <c r="K633" s="181"/>
      <c r="L633" s="181"/>
      <c r="M633" s="181"/>
      <c r="N633" s="181"/>
      <c r="O633" s="181"/>
      <c r="P633" s="181"/>
      <c r="Q633" s="181"/>
      <c r="R633" s="181"/>
      <c r="S633" s="181"/>
      <c r="T633" s="181"/>
      <c r="U633" s="181"/>
      <c r="V633" s="181"/>
      <c r="W633" s="181"/>
      <c r="X633" s="181"/>
      <c r="Y633" s="181"/>
      <c r="Z633" s="181"/>
    </row>
    <row r="634" ht="14.25" customHeight="1">
      <c r="A634" s="181"/>
      <c r="B634" s="181"/>
      <c r="C634" s="181"/>
      <c r="D634" s="181"/>
      <c r="E634" s="181"/>
      <c r="F634" s="181"/>
      <c r="G634" s="181"/>
      <c r="H634" s="181"/>
      <c r="I634" s="181"/>
      <c r="J634" s="181"/>
      <c r="K634" s="181"/>
      <c r="L634" s="181"/>
      <c r="M634" s="181"/>
      <c r="N634" s="181"/>
      <c r="O634" s="181"/>
      <c r="P634" s="181"/>
      <c r="Q634" s="181"/>
      <c r="R634" s="181"/>
      <c r="S634" s="181"/>
      <c r="T634" s="181"/>
      <c r="U634" s="181"/>
      <c r="V634" s="181"/>
      <c r="W634" s="181"/>
      <c r="X634" s="181"/>
      <c r="Y634" s="181"/>
      <c r="Z634" s="181"/>
    </row>
    <row r="635" ht="14.25" customHeight="1">
      <c r="A635" s="181"/>
      <c r="B635" s="181"/>
      <c r="C635" s="181"/>
      <c r="D635" s="181"/>
      <c r="E635" s="181"/>
      <c r="F635" s="181"/>
      <c r="G635" s="181"/>
      <c r="H635" s="181"/>
      <c r="I635" s="181"/>
      <c r="J635" s="181"/>
      <c r="K635" s="181"/>
      <c r="L635" s="181"/>
      <c r="M635" s="181"/>
      <c r="N635" s="181"/>
      <c r="O635" s="181"/>
      <c r="P635" s="181"/>
      <c r="Q635" s="181"/>
      <c r="R635" s="181"/>
      <c r="S635" s="181"/>
      <c r="T635" s="181"/>
      <c r="U635" s="181"/>
      <c r="V635" s="181"/>
      <c r="W635" s="181"/>
      <c r="X635" s="181"/>
      <c r="Y635" s="181"/>
      <c r="Z635" s="181"/>
    </row>
    <row r="636" ht="14.25" customHeight="1">
      <c r="A636" s="181"/>
      <c r="B636" s="181"/>
      <c r="C636" s="181"/>
      <c r="D636" s="181"/>
      <c r="E636" s="181"/>
      <c r="F636" s="181"/>
      <c r="G636" s="181"/>
      <c r="H636" s="181"/>
      <c r="I636" s="181"/>
      <c r="J636" s="181"/>
      <c r="K636" s="181"/>
      <c r="L636" s="181"/>
      <c r="M636" s="181"/>
      <c r="N636" s="181"/>
      <c r="O636" s="181"/>
      <c r="P636" s="181"/>
      <c r="Q636" s="181"/>
      <c r="R636" s="181"/>
      <c r="S636" s="181"/>
      <c r="T636" s="181"/>
      <c r="U636" s="181"/>
      <c r="V636" s="181"/>
      <c r="W636" s="181"/>
      <c r="X636" s="181"/>
      <c r="Y636" s="181"/>
      <c r="Z636" s="181"/>
    </row>
    <row r="637" ht="14.25" customHeight="1">
      <c r="A637" s="181"/>
      <c r="B637" s="181"/>
      <c r="C637" s="181"/>
      <c r="D637" s="181"/>
      <c r="E637" s="181"/>
      <c r="F637" s="181"/>
      <c r="G637" s="181"/>
      <c r="H637" s="181"/>
      <c r="I637" s="181"/>
      <c r="J637" s="181"/>
      <c r="K637" s="181"/>
      <c r="L637" s="181"/>
      <c r="M637" s="181"/>
      <c r="N637" s="181"/>
      <c r="O637" s="181"/>
      <c r="P637" s="181"/>
      <c r="Q637" s="181"/>
      <c r="R637" s="181"/>
      <c r="S637" s="181"/>
      <c r="T637" s="181"/>
      <c r="U637" s="181"/>
      <c r="V637" s="181"/>
      <c r="W637" s="181"/>
      <c r="X637" s="181"/>
      <c r="Y637" s="181"/>
      <c r="Z637" s="181"/>
    </row>
    <row r="638" ht="14.25" customHeight="1">
      <c r="A638" s="181"/>
      <c r="B638" s="181"/>
      <c r="C638" s="181"/>
      <c r="D638" s="181"/>
      <c r="E638" s="181"/>
      <c r="F638" s="181"/>
      <c r="G638" s="181"/>
      <c r="H638" s="181"/>
      <c r="I638" s="181"/>
      <c r="J638" s="181"/>
      <c r="K638" s="181"/>
      <c r="L638" s="181"/>
      <c r="M638" s="181"/>
      <c r="N638" s="181"/>
      <c r="O638" s="181"/>
      <c r="P638" s="181"/>
      <c r="Q638" s="181"/>
      <c r="R638" s="181"/>
      <c r="S638" s="181"/>
      <c r="T638" s="181"/>
      <c r="U638" s="181"/>
      <c r="V638" s="181"/>
      <c r="W638" s="181"/>
      <c r="X638" s="181"/>
      <c r="Y638" s="181"/>
      <c r="Z638" s="181"/>
    </row>
    <row r="639" ht="14.25" customHeight="1">
      <c r="A639" s="181"/>
      <c r="B639" s="181"/>
      <c r="C639" s="181"/>
      <c r="D639" s="181"/>
      <c r="E639" s="181"/>
      <c r="F639" s="181"/>
      <c r="G639" s="181"/>
      <c r="H639" s="181"/>
      <c r="I639" s="181"/>
      <c r="J639" s="181"/>
      <c r="K639" s="181"/>
      <c r="L639" s="181"/>
      <c r="M639" s="181"/>
      <c r="N639" s="181"/>
      <c r="O639" s="181"/>
      <c r="P639" s="181"/>
      <c r="Q639" s="181"/>
      <c r="R639" s="181"/>
      <c r="S639" s="181"/>
      <c r="T639" s="181"/>
      <c r="U639" s="181"/>
      <c r="V639" s="181"/>
      <c r="W639" s="181"/>
      <c r="X639" s="181"/>
      <c r="Y639" s="181"/>
      <c r="Z639" s="181"/>
    </row>
    <row r="640" ht="14.25" customHeight="1">
      <c r="A640" s="181"/>
      <c r="B640" s="181"/>
      <c r="C640" s="181"/>
      <c r="D640" s="181"/>
      <c r="E640" s="181"/>
      <c r="F640" s="181"/>
      <c r="G640" s="181"/>
      <c r="H640" s="181"/>
      <c r="I640" s="181"/>
      <c r="J640" s="181"/>
      <c r="K640" s="181"/>
      <c r="L640" s="181"/>
      <c r="M640" s="181"/>
      <c r="N640" s="181"/>
      <c r="O640" s="181"/>
      <c r="P640" s="181"/>
      <c r="Q640" s="181"/>
      <c r="R640" s="181"/>
      <c r="S640" s="181"/>
      <c r="T640" s="181"/>
      <c r="U640" s="181"/>
      <c r="V640" s="181"/>
      <c r="W640" s="181"/>
      <c r="X640" s="181"/>
      <c r="Y640" s="181"/>
      <c r="Z640" s="181"/>
    </row>
    <row r="641" ht="14.25" customHeight="1">
      <c r="A641" s="181"/>
      <c r="B641" s="181"/>
      <c r="C641" s="181"/>
      <c r="D641" s="181"/>
      <c r="E641" s="181"/>
      <c r="F641" s="181"/>
      <c r="G641" s="181"/>
      <c r="H641" s="181"/>
      <c r="I641" s="181"/>
      <c r="J641" s="181"/>
      <c r="K641" s="181"/>
      <c r="L641" s="181"/>
      <c r="M641" s="181"/>
      <c r="N641" s="181"/>
      <c r="O641" s="181"/>
      <c r="P641" s="181"/>
      <c r="Q641" s="181"/>
      <c r="R641" s="181"/>
      <c r="S641" s="181"/>
      <c r="T641" s="181"/>
      <c r="U641" s="181"/>
      <c r="V641" s="181"/>
      <c r="W641" s="181"/>
      <c r="X641" s="181"/>
      <c r="Y641" s="181"/>
      <c r="Z641" s="181"/>
    </row>
    <row r="642" ht="14.25" customHeight="1">
      <c r="A642" s="181"/>
      <c r="B642" s="181"/>
      <c r="C642" s="181"/>
      <c r="D642" s="181"/>
      <c r="E642" s="181"/>
      <c r="F642" s="181"/>
      <c r="G642" s="181"/>
      <c r="H642" s="181"/>
      <c r="I642" s="181"/>
      <c r="J642" s="181"/>
      <c r="K642" s="181"/>
      <c r="L642" s="181"/>
      <c r="M642" s="181"/>
      <c r="N642" s="181"/>
      <c r="O642" s="181"/>
      <c r="P642" s="181"/>
      <c r="Q642" s="181"/>
      <c r="R642" s="181"/>
      <c r="S642" s="181"/>
      <c r="T642" s="181"/>
      <c r="U642" s="181"/>
      <c r="V642" s="181"/>
      <c r="W642" s="181"/>
      <c r="X642" s="181"/>
      <c r="Y642" s="181"/>
      <c r="Z642" s="181"/>
    </row>
    <row r="643" ht="14.25" customHeight="1">
      <c r="A643" s="181"/>
      <c r="B643" s="181"/>
      <c r="C643" s="181"/>
      <c r="D643" s="181"/>
      <c r="E643" s="181"/>
      <c r="F643" s="181"/>
      <c r="G643" s="181"/>
      <c r="H643" s="181"/>
      <c r="I643" s="181"/>
      <c r="J643" s="181"/>
      <c r="K643" s="181"/>
      <c r="L643" s="181"/>
      <c r="M643" s="181"/>
      <c r="N643" s="181"/>
      <c r="O643" s="181"/>
      <c r="P643" s="181"/>
      <c r="Q643" s="181"/>
      <c r="R643" s="181"/>
      <c r="S643" s="181"/>
      <c r="T643" s="181"/>
      <c r="U643" s="181"/>
      <c r="V643" s="181"/>
      <c r="W643" s="181"/>
      <c r="X643" s="181"/>
      <c r="Y643" s="181"/>
      <c r="Z643" s="181"/>
    </row>
    <row r="644" ht="14.25" customHeight="1">
      <c r="A644" s="181"/>
      <c r="B644" s="181"/>
      <c r="C644" s="181"/>
      <c r="D644" s="181"/>
      <c r="E644" s="181"/>
      <c r="F644" s="181"/>
      <c r="G644" s="181"/>
      <c r="H644" s="181"/>
      <c r="I644" s="181"/>
      <c r="J644" s="181"/>
      <c r="K644" s="181"/>
      <c r="L644" s="181"/>
      <c r="M644" s="181"/>
      <c r="N644" s="181"/>
      <c r="O644" s="181"/>
      <c r="P644" s="181"/>
      <c r="Q644" s="181"/>
      <c r="R644" s="181"/>
      <c r="S644" s="181"/>
      <c r="T644" s="181"/>
      <c r="U644" s="181"/>
      <c r="V644" s="181"/>
      <c r="W644" s="181"/>
      <c r="X644" s="181"/>
      <c r="Y644" s="181"/>
      <c r="Z644" s="181"/>
    </row>
    <row r="645" ht="14.25" customHeight="1">
      <c r="A645" s="181"/>
      <c r="B645" s="181"/>
      <c r="C645" s="181"/>
      <c r="D645" s="181"/>
      <c r="E645" s="181"/>
      <c r="F645" s="181"/>
      <c r="G645" s="181"/>
      <c r="H645" s="181"/>
      <c r="I645" s="181"/>
      <c r="J645" s="181"/>
      <c r="K645" s="181"/>
      <c r="L645" s="181"/>
      <c r="M645" s="181"/>
      <c r="N645" s="181"/>
      <c r="O645" s="181"/>
      <c r="P645" s="181"/>
      <c r="Q645" s="181"/>
      <c r="R645" s="181"/>
      <c r="S645" s="181"/>
      <c r="T645" s="181"/>
      <c r="U645" s="181"/>
      <c r="V645" s="181"/>
      <c r="W645" s="181"/>
      <c r="X645" s="181"/>
      <c r="Y645" s="181"/>
      <c r="Z645" s="181"/>
    </row>
    <row r="646" ht="14.25" customHeight="1">
      <c r="A646" s="181"/>
      <c r="B646" s="181"/>
      <c r="C646" s="181"/>
      <c r="D646" s="181"/>
      <c r="E646" s="181"/>
      <c r="F646" s="181"/>
      <c r="G646" s="181"/>
      <c r="H646" s="181"/>
      <c r="I646" s="181"/>
      <c r="J646" s="181"/>
      <c r="K646" s="181"/>
      <c r="L646" s="181"/>
      <c r="M646" s="181"/>
      <c r="N646" s="181"/>
      <c r="O646" s="181"/>
      <c r="P646" s="181"/>
      <c r="Q646" s="181"/>
      <c r="R646" s="181"/>
      <c r="S646" s="181"/>
      <c r="T646" s="181"/>
      <c r="U646" s="181"/>
      <c r="V646" s="181"/>
      <c r="W646" s="181"/>
      <c r="X646" s="181"/>
      <c r="Y646" s="181"/>
      <c r="Z646" s="181"/>
    </row>
    <row r="647" ht="14.25" customHeight="1">
      <c r="A647" s="181"/>
      <c r="B647" s="181"/>
      <c r="C647" s="181"/>
      <c r="D647" s="181"/>
      <c r="E647" s="181"/>
      <c r="F647" s="181"/>
      <c r="G647" s="181"/>
      <c r="H647" s="181"/>
      <c r="I647" s="181"/>
      <c r="J647" s="181"/>
      <c r="K647" s="181"/>
      <c r="L647" s="181"/>
      <c r="M647" s="181"/>
      <c r="N647" s="181"/>
      <c r="O647" s="181"/>
      <c r="P647" s="181"/>
      <c r="Q647" s="181"/>
      <c r="R647" s="181"/>
      <c r="S647" s="181"/>
      <c r="T647" s="181"/>
      <c r="U647" s="181"/>
      <c r="V647" s="181"/>
      <c r="W647" s="181"/>
      <c r="X647" s="181"/>
      <c r="Y647" s="181"/>
      <c r="Z647" s="181"/>
    </row>
    <row r="648" ht="14.25" customHeight="1">
      <c r="A648" s="181"/>
      <c r="B648" s="181"/>
      <c r="C648" s="181"/>
      <c r="D648" s="181"/>
      <c r="E648" s="181"/>
      <c r="F648" s="181"/>
      <c r="G648" s="181"/>
      <c r="H648" s="181"/>
      <c r="I648" s="181"/>
      <c r="J648" s="181"/>
      <c r="K648" s="181"/>
      <c r="L648" s="181"/>
      <c r="M648" s="181"/>
      <c r="N648" s="181"/>
      <c r="O648" s="181"/>
      <c r="P648" s="181"/>
      <c r="Q648" s="181"/>
      <c r="R648" s="181"/>
      <c r="S648" s="181"/>
      <c r="T648" s="181"/>
      <c r="U648" s="181"/>
      <c r="V648" s="181"/>
      <c r="W648" s="181"/>
      <c r="X648" s="181"/>
      <c r="Y648" s="181"/>
      <c r="Z648" s="181"/>
    </row>
    <row r="649" ht="14.25" customHeight="1">
      <c r="A649" s="181"/>
      <c r="B649" s="181"/>
      <c r="C649" s="181"/>
      <c r="D649" s="181"/>
      <c r="E649" s="181"/>
      <c r="F649" s="181"/>
      <c r="G649" s="181"/>
      <c r="H649" s="181"/>
      <c r="I649" s="181"/>
      <c r="J649" s="181"/>
      <c r="K649" s="181"/>
      <c r="L649" s="181"/>
      <c r="M649" s="181"/>
      <c r="N649" s="181"/>
      <c r="O649" s="181"/>
      <c r="P649" s="181"/>
      <c r="Q649" s="181"/>
      <c r="R649" s="181"/>
      <c r="S649" s="181"/>
      <c r="T649" s="181"/>
      <c r="U649" s="181"/>
      <c r="V649" s="181"/>
      <c r="W649" s="181"/>
      <c r="X649" s="181"/>
      <c r="Y649" s="181"/>
      <c r="Z649" s="181"/>
    </row>
    <row r="650" ht="14.25" customHeight="1">
      <c r="A650" s="181"/>
      <c r="B650" s="181"/>
      <c r="C650" s="181"/>
      <c r="D650" s="181"/>
      <c r="E650" s="181"/>
      <c r="F650" s="181"/>
      <c r="G650" s="181"/>
      <c r="H650" s="181"/>
      <c r="I650" s="181"/>
      <c r="J650" s="181"/>
      <c r="K650" s="181"/>
      <c r="L650" s="181"/>
      <c r="M650" s="181"/>
      <c r="N650" s="181"/>
      <c r="O650" s="181"/>
      <c r="P650" s="181"/>
      <c r="Q650" s="181"/>
      <c r="R650" s="181"/>
      <c r="S650" s="181"/>
      <c r="T650" s="181"/>
      <c r="U650" s="181"/>
      <c r="V650" s="181"/>
      <c r="W650" s="181"/>
      <c r="X650" s="181"/>
      <c r="Y650" s="181"/>
      <c r="Z650" s="181"/>
    </row>
    <row r="651" ht="14.25" customHeight="1">
      <c r="A651" s="181"/>
      <c r="B651" s="181"/>
      <c r="C651" s="181"/>
      <c r="D651" s="181"/>
      <c r="E651" s="181"/>
      <c r="F651" s="181"/>
      <c r="G651" s="181"/>
      <c r="H651" s="181"/>
      <c r="I651" s="181"/>
      <c r="J651" s="181"/>
      <c r="K651" s="181"/>
      <c r="L651" s="181"/>
      <c r="M651" s="181"/>
      <c r="N651" s="181"/>
      <c r="O651" s="181"/>
      <c r="P651" s="181"/>
      <c r="Q651" s="181"/>
      <c r="R651" s="181"/>
      <c r="S651" s="181"/>
      <c r="T651" s="181"/>
      <c r="U651" s="181"/>
      <c r="V651" s="181"/>
      <c r="W651" s="181"/>
      <c r="X651" s="181"/>
      <c r="Y651" s="181"/>
      <c r="Z651" s="181"/>
    </row>
    <row r="652" ht="14.25" customHeight="1">
      <c r="A652" s="181"/>
      <c r="B652" s="181"/>
      <c r="C652" s="181"/>
      <c r="D652" s="181"/>
      <c r="E652" s="181"/>
      <c r="F652" s="181"/>
      <c r="G652" s="181"/>
      <c r="H652" s="181"/>
      <c r="I652" s="181"/>
      <c r="J652" s="181"/>
      <c r="K652" s="181"/>
      <c r="L652" s="181"/>
      <c r="M652" s="181"/>
      <c r="N652" s="181"/>
      <c r="O652" s="181"/>
      <c r="P652" s="181"/>
      <c r="Q652" s="181"/>
      <c r="R652" s="181"/>
      <c r="S652" s="181"/>
      <c r="T652" s="181"/>
      <c r="U652" s="181"/>
      <c r="V652" s="181"/>
      <c r="W652" s="181"/>
      <c r="X652" s="181"/>
      <c r="Y652" s="181"/>
      <c r="Z652" s="181"/>
    </row>
    <row r="653" ht="14.25" customHeight="1">
      <c r="A653" s="181"/>
      <c r="B653" s="181"/>
      <c r="C653" s="181"/>
      <c r="D653" s="181"/>
      <c r="E653" s="181"/>
      <c r="F653" s="181"/>
      <c r="G653" s="181"/>
      <c r="H653" s="181"/>
      <c r="I653" s="181"/>
      <c r="J653" s="181"/>
      <c r="K653" s="181"/>
      <c r="L653" s="181"/>
      <c r="M653" s="181"/>
      <c r="N653" s="181"/>
      <c r="O653" s="181"/>
      <c r="P653" s="181"/>
      <c r="Q653" s="181"/>
      <c r="R653" s="181"/>
      <c r="S653" s="181"/>
      <c r="T653" s="181"/>
      <c r="U653" s="181"/>
      <c r="V653" s="181"/>
      <c r="W653" s="181"/>
      <c r="X653" s="181"/>
      <c r="Y653" s="181"/>
      <c r="Z653" s="181"/>
    </row>
    <row r="654" ht="14.25" customHeight="1">
      <c r="A654" s="181"/>
      <c r="B654" s="181"/>
      <c r="C654" s="181"/>
      <c r="D654" s="181"/>
      <c r="E654" s="181"/>
      <c r="F654" s="181"/>
      <c r="G654" s="181"/>
      <c r="H654" s="181"/>
      <c r="I654" s="181"/>
      <c r="J654" s="181"/>
      <c r="K654" s="181"/>
      <c r="L654" s="181"/>
      <c r="M654" s="181"/>
      <c r="N654" s="181"/>
      <c r="O654" s="181"/>
      <c r="P654" s="181"/>
      <c r="Q654" s="181"/>
      <c r="R654" s="181"/>
      <c r="S654" s="181"/>
      <c r="T654" s="181"/>
      <c r="U654" s="181"/>
      <c r="V654" s="181"/>
      <c r="W654" s="181"/>
      <c r="X654" s="181"/>
      <c r="Y654" s="181"/>
      <c r="Z654" s="181"/>
    </row>
    <row r="655" ht="14.25" customHeight="1">
      <c r="A655" s="181"/>
      <c r="B655" s="181"/>
      <c r="C655" s="181"/>
      <c r="D655" s="181"/>
      <c r="E655" s="181"/>
      <c r="F655" s="181"/>
      <c r="G655" s="181"/>
      <c r="H655" s="181"/>
      <c r="I655" s="181"/>
      <c r="J655" s="181"/>
      <c r="K655" s="181"/>
      <c r="L655" s="181"/>
      <c r="M655" s="181"/>
      <c r="N655" s="181"/>
      <c r="O655" s="181"/>
      <c r="P655" s="181"/>
      <c r="Q655" s="181"/>
      <c r="R655" s="181"/>
      <c r="S655" s="181"/>
      <c r="T655" s="181"/>
      <c r="U655" s="181"/>
      <c r="V655" s="181"/>
      <c r="W655" s="181"/>
      <c r="X655" s="181"/>
      <c r="Y655" s="181"/>
      <c r="Z655" s="181"/>
    </row>
    <row r="656" ht="14.25" customHeight="1">
      <c r="A656" s="181"/>
      <c r="B656" s="181"/>
      <c r="C656" s="181"/>
      <c r="D656" s="181"/>
      <c r="E656" s="181"/>
      <c r="F656" s="181"/>
      <c r="G656" s="181"/>
      <c r="H656" s="181"/>
      <c r="I656" s="181"/>
      <c r="J656" s="181"/>
      <c r="K656" s="181"/>
      <c r="L656" s="181"/>
      <c r="M656" s="181"/>
      <c r="N656" s="181"/>
      <c r="O656" s="181"/>
      <c r="P656" s="181"/>
      <c r="Q656" s="181"/>
      <c r="R656" s="181"/>
      <c r="S656" s="181"/>
      <c r="T656" s="181"/>
      <c r="U656" s="181"/>
      <c r="V656" s="181"/>
      <c r="W656" s="181"/>
      <c r="X656" s="181"/>
      <c r="Y656" s="181"/>
      <c r="Z656" s="181"/>
    </row>
    <row r="657" ht="14.25" customHeight="1">
      <c r="A657" s="181"/>
      <c r="B657" s="181"/>
      <c r="C657" s="181"/>
      <c r="D657" s="181"/>
      <c r="E657" s="181"/>
      <c r="F657" s="181"/>
      <c r="G657" s="181"/>
      <c r="H657" s="181"/>
      <c r="I657" s="181"/>
      <c r="J657" s="181"/>
      <c r="K657" s="181"/>
      <c r="L657" s="181"/>
      <c r="M657" s="181"/>
      <c r="N657" s="181"/>
      <c r="O657" s="181"/>
      <c r="P657" s="181"/>
      <c r="Q657" s="181"/>
      <c r="R657" s="181"/>
      <c r="S657" s="181"/>
      <c r="T657" s="181"/>
      <c r="U657" s="181"/>
      <c r="V657" s="181"/>
      <c r="W657" s="181"/>
      <c r="X657" s="181"/>
      <c r="Y657" s="181"/>
      <c r="Z657" s="181"/>
    </row>
    <row r="658" ht="14.25" customHeight="1">
      <c r="A658" s="181"/>
      <c r="B658" s="181"/>
      <c r="C658" s="181"/>
      <c r="D658" s="181"/>
      <c r="E658" s="181"/>
      <c r="F658" s="181"/>
      <c r="G658" s="181"/>
      <c r="H658" s="181"/>
      <c r="I658" s="181"/>
      <c r="J658" s="181"/>
      <c r="K658" s="181"/>
      <c r="L658" s="181"/>
      <c r="M658" s="181"/>
      <c r="N658" s="181"/>
      <c r="O658" s="181"/>
      <c r="P658" s="181"/>
      <c r="Q658" s="181"/>
      <c r="R658" s="181"/>
      <c r="S658" s="181"/>
      <c r="T658" s="181"/>
      <c r="U658" s="181"/>
      <c r="V658" s="181"/>
      <c r="W658" s="181"/>
      <c r="X658" s="181"/>
      <c r="Y658" s="181"/>
      <c r="Z658" s="181"/>
    </row>
    <row r="659" ht="14.25" customHeight="1">
      <c r="A659" s="181"/>
      <c r="B659" s="181"/>
      <c r="C659" s="181"/>
      <c r="D659" s="181"/>
      <c r="E659" s="181"/>
      <c r="F659" s="181"/>
      <c r="G659" s="181"/>
      <c r="H659" s="181"/>
      <c r="I659" s="181"/>
      <c r="J659" s="181"/>
      <c r="K659" s="181"/>
      <c r="L659" s="181"/>
      <c r="M659" s="181"/>
      <c r="N659" s="181"/>
      <c r="O659" s="181"/>
      <c r="P659" s="181"/>
      <c r="Q659" s="181"/>
      <c r="R659" s="181"/>
      <c r="S659" s="181"/>
      <c r="T659" s="181"/>
      <c r="U659" s="181"/>
      <c r="V659" s="181"/>
      <c r="W659" s="181"/>
      <c r="X659" s="181"/>
      <c r="Y659" s="181"/>
      <c r="Z659" s="181"/>
    </row>
    <row r="660" ht="14.25" customHeight="1">
      <c r="A660" s="181"/>
      <c r="B660" s="181"/>
      <c r="C660" s="181"/>
      <c r="D660" s="181"/>
      <c r="E660" s="181"/>
      <c r="F660" s="181"/>
      <c r="G660" s="181"/>
      <c r="H660" s="181"/>
      <c r="I660" s="181"/>
      <c r="J660" s="181"/>
      <c r="K660" s="181"/>
      <c r="L660" s="181"/>
      <c r="M660" s="181"/>
      <c r="N660" s="181"/>
      <c r="O660" s="181"/>
      <c r="P660" s="181"/>
      <c r="Q660" s="181"/>
      <c r="R660" s="181"/>
      <c r="S660" s="181"/>
      <c r="T660" s="181"/>
      <c r="U660" s="181"/>
      <c r="V660" s="181"/>
      <c r="W660" s="181"/>
      <c r="X660" s="181"/>
      <c r="Y660" s="181"/>
      <c r="Z660" s="181"/>
    </row>
    <row r="661" ht="14.25" customHeight="1">
      <c r="A661" s="181"/>
      <c r="B661" s="181"/>
      <c r="C661" s="181"/>
      <c r="D661" s="181"/>
      <c r="E661" s="181"/>
      <c r="F661" s="181"/>
      <c r="G661" s="181"/>
      <c r="H661" s="181"/>
      <c r="I661" s="181"/>
      <c r="J661" s="181"/>
      <c r="K661" s="181"/>
      <c r="L661" s="181"/>
      <c r="M661" s="181"/>
      <c r="N661" s="181"/>
      <c r="O661" s="181"/>
      <c r="P661" s="181"/>
      <c r="Q661" s="181"/>
      <c r="R661" s="181"/>
      <c r="S661" s="181"/>
      <c r="T661" s="181"/>
      <c r="U661" s="181"/>
      <c r="V661" s="181"/>
      <c r="W661" s="181"/>
      <c r="X661" s="181"/>
      <c r="Y661" s="181"/>
      <c r="Z661" s="181"/>
    </row>
    <row r="662" ht="14.25" customHeight="1">
      <c r="A662" s="181"/>
      <c r="B662" s="181"/>
      <c r="C662" s="181"/>
      <c r="D662" s="181"/>
      <c r="E662" s="181"/>
      <c r="F662" s="181"/>
      <c r="G662" s="181"/>
      <c r="H662" s="181"/>
      <c r="I662" s="181"/>
      <c r="J662" s="181"/>
      <c r="K662" s="181"/>
      <c r="L662" s="181"/>
      <c r="M662" s="181"/>
      <c r="N662" s="181"/>
      <c r="O662" s="181"/>
      <c r="P662" s="181"/>
      <c r="Q662" s="181"/>
      <c r="R662" s="181"/>
      <c r="S662" s="181"/>
      <c r="T662" s="181"/>
      <c r="U662" s="181"/>
      <c r="V662" s="181"/>
      <c r="W662" s="181"/>
      <c r="X662" s="181"/>
      <c r="Y662" s="181"/>
      <c r="Z662" s="181"/>
    </row>
    <row r="663" ht="14.25" customHeight="1">
      <c r="A663" s="181"/>
      <c r="B663" s="181"/>
      <c r="C663" s="181"/>
      <c r="D663" s="181"/>
      <c r="E663" s="181"/>
      <c r="F663" s="181"/>
      <c r="G663" s="181"/>
      <c r="H663" s="181"/>
      <c r="I663" s="181"/>
      <c r="J663" s="181"/>
      <c r="K663" s="181"/>
      <c r="L663" s="181"/>
      <c r="M663" s="181"/>
      <c r="N663" s="181"/>
      <c r="O663" s="181"/>
      <c r="P663" s="181"/>
      <c r="Q663" s="181"/>
      <c r="R663" s="181"/>
      <c r="S663" s="181"/>
      <c r="T663" s="181"/>
      <c r="U663" s="181"/>
      <c r="V663" s="181"/>
      <c r="W663" s="181"/>
      <c r="X663" s="181"/>
      <c r="Y663" s="181"/>
      <c r="Z663" s="181"/>
    </row>
    <row r="664" ht="14.25" customHeight="1">
      <c r="A664" s="181"/>
      <c r="B664" s="181"/>
      <c r="C664" s="181"/>
      <c r="D664" s="181"/>
      <c r="E664" s="181"/>
      <c r="F664" s="181"/>
      <c r="G664" s="181"/>
      <c r="H664" s="181"/>
      <c r="I664" s="181"/>
      <c r="J664" s="181"/>
      <c r="K664" s="181"/>
      <c r="L664" s="181"/>
      <c r="M664" s="181"/>
      <c r="N664" s="181"/>
      <c r="O664" s="181"/>
      <c r="P664" s="181"/>
      <c r="Q664" s="181"/>
      <c r="R664" s="181"/>
      <c r="S664" s="181"/>
      <c r="T664" s="181"/>
      <c r="U664" s="181"/>
      <c r="V664" s="181"/>
      <c r="W664" s="181"/>
      <c r="X664" s="181"/>
      <c r="Y664" s="181"/>
      <c r="Z664" s="181"/>
    </row>
    <row r="665" ht="14.25" customHeight="1">
      <c r="A665" s="181"/>
      <c r="B665" s="181"/>
      <c r="C665" s="181"/>
      <c r="D665" s="181"/>
      <c r="E665" s="181"/>
      <c r="F665" s="181"/>
      <c r="G665" s="181"/>
      <c r="H665" s="181"/>
      <c r="I665" s="181"/>
      <c r="J665" s="181"/>
      <c r="K665" s="181"/>
      <c r="L665" s="181"/>
      <c r="M665" s="181"/>
      <c r="N665" s="181"/>
      <c r="O665" s="181"/>
      <c r="P665" s="181"/>
      <c r="Q665" s="181"/>
      <c r="R665" s="181"/>
      <c r="S665" s="181"/>
      <c r="T665" s="181"/>
      <c r="U665" s="181"/>
      <c r="V665" s="181"/>
      <c r="W665" s="181"/>
      <c r="X665" s="181"/>
      <c r="Y665" s="181"/>
      <c r="Z665" s="181"/>
    </row>
    <row r="666" ht="14.25" customHeight="1">
      <c r="A666" s="181"/>
      <c r="B666" s="181"/>
      <c r="C666" s="181"/>
      <c r="D666" s="181"/>
      <c r="E666" s="181"/>
      <c r="F666" s="181"/>
      <c r="G666" s="181"/>
      <c r="H666" s="181"/>
      <c r="I666" s="181"/>
      <c r="J666" s="181"/>
      <c r="K666" s="181"/>
      <c r="L666" s="181"/>
      <c r="M666" s="181"/>
      <c r="N666" s="181"/>
      <c r="O666" s="181"/>
      <c r="P666" s="181"/>
      <c r="Q666" s="181"/>
      <c r="R666" s="181"/>
      <c r="S666" s="181"/>
      <c r="T666" s="181"/>
      <c r="U666" s="181"/>
      <c r="V666" s="181"/>
      <c r="W666" s="181"/>
      <c r="X666" s="181"/>
      <c r="Y666" s="181"/>
      <c r="Z666" s="181"/>
    </row>
    <row r="667" ht="14.25" customHeight="1">
      <c r="A667" s="181"/>
      <c r="B667" s="181"/>
      <c r="C667" s="181"/>
      <c r="D667" s="181"/>
      <c r="E667" s="181"/>
      <c r="F667" s="181"/>
      <c r="G667" s="181"/>
      <c r="H667" s="181"/>
      <c r="I667" s="181"/>
      <c r="J667" s="181"/>
      <c r="K667" s="181"/>
      <c r="L667" s="181"/>
      <c r="M667" s="181"/>
      <c r="N667" s="181"/>
      <c r="O667" s="181"/>
      <c r="P667" s="181"/>
      <c r="Q667" s="181"/>
      <c r="R667" s="181"/>
      <c r="S667" s="181"/>
      <c r="T667" s="181"/>
      <c r="U667" s="181"/>
      <c r="V667" s="181"/>
      <c r="W667" s="181"/>
      <c r="X667" s="181"/>
      <c r="Y667" s="181"/>
      <c r="Z667" s="181"/>
    </row>
    <row r="668" ht="14.25" customHeight="1">
      <c r="A668" s="181"/>
      <c r="B668" s="181"/>
      <c r="C668" s="181"/>
      <c r="D668" s="181"/>
      <c r="E668" s="181"/>
      <c r="F668" s="181"/>
      <c r="G668" s="181"/>
      <c r="H668" s="181"/>
      <c r="I668" s="181"/>
      <c r="J668" s="181"/>
      <c r="K668" s="181"/>
      <c r="L668" s="181"/>
      <c r="M668" s="181"/>
      <c r="N668" s="181"/>
      <c r="O668" s="181"/>
      <c r="P668" s="181"/>
      <c r="Q668" s="181"/>
      <c r="R668" s="181"/>
      <c r="S668" s="181"/>
      <c r="T668" s="181"/>
      <c r="U668" s="181"/>
      <c r="V668" s="181"/>
      <c r="W668" s="181"/>
      <c r="X668" s="181"/>
      <c r="Y668" s="181"/>
      <c r="Z668" s="181"/>
    </row>
    <row r="669" ht="14.25" customHeight="1">
      <c r="A669" s="181"/>
      <c r="B669" s="181"/>
      <c r="C669" s="181"/>
      <c r="D669" s="181"/>
      <c r="E669" s="181"/>
      <c r="F669" s="181"/>
      <c r="G669" s="181"/>
      <c r="H669" s="181"/>
      <c r="I669" s="181"/>
      <c r="J669" s="181"/>
      <c r="K669" s="181"/>
      <c r="L669" s="181"/>
      <c r="M669" s="181"/>
      <c r="N669" s="181"/>
      <c r="O669" s="181"/>
      <c r="P669" s="181"/>
      <c r="Q669" s="181"/>
      <c r="R669" s="181"/>
      <c r="S669" s="181"/>
      <c r="T669" s="181"/>
      <c r="U669" s="181"/>
      <c r="V669" s="181"/>
      <c r="W669" s="181"/>
      <c r="X669" s="181"/>
      <c r="Y669" s="181"/>
      <c r="Z669" s="181"/>
    </row>
    <row r="670" ht="14.25" customHeight="1">
      <c r="A670" s="181"/>
      <c r="B670" s="181"/>
      <c r="C670" s="181"/>
      <c r="D670" s="181"/>
      <c r="E670" s="181"/>
      <c r="F670" s="181"/>
      <c r="G670" s="181"/>
      <c r="H670" s="181"/>
      <c r="I670" s="181"/>
      <c r="J670" s="181"/>
      <c r="K670" s="181"/>
      <c r="L670" s="181"/>
      <c r="M670" s="181"/>
      <c r="N670" s="181"/>
      <c r="O670" s="181"/>
      <c r="P670" s="181"/>
      <c r="Q670" s="181"/>
      <c r="R670" s="181"/>
      <c r="S670" s="181"/>
      <c r="T670" s="181"/>
      <c r="U670" s="181"/>
      <c r="V670" s="181"/>
      <c r="W670" s="181"/>
      <c r="X670" s="181"/>
      <c r="Y670" s="181"/>
      <c r="Z670" s="181"/>
    </row>
    <row r="671" ht="14.25" customHeight="1">
      <c r="A671" s="181"/>
      <c r="B671" s="181"/>
      <c r="C671" s="181"/>
      <c r="D671" s="181"/>
      <c r="E671" s="181"/>
      <c r="F671" s="181"/>
      <c r="G671" s="181"/>
      <c r="H671" s="181"/>
      <c r="I671" s="181"/>
      <c r="J671" s="181"/>
      <c r="K671" s="181"/>
      <c r="L671" s="181"/>
      <c r="M671" s="181"/>
      <c r="N671" s="181"/>
      <c r="O671" s="181"/>
      <c r="P671" s="181"/>
      <c r="Q671" s="181"/>
      <c r="R671" s="181"/>
      <c r="S671" s="181"/>
      <c r="T671" s="181"/>
      <c r="U671" s="181"/>
      <c r="V671" s="181"/>
      <c r="W671" s="181"/>
      <c r="X671" s="181"/>
      <c r="Y671" s="181"/>
      <c r="Z671" s="181"/>
    </row>
    <row r="672" ht="14.25" customHeight="1">
      <c r="A672" s="181"/>
      <c r="B672" s="181"/>
      <c r="C672" s="181"/>
      <c r="D672" s="181"/>
      <c r="E672" s="181"/>
      <c r="F672" s="181"/>
      <c r="G672" s="181"/>
      <c r="H672" s="181"/>
      <c r="I672" s="181"/>
      <c r="J672" s="181"/>
      <c r="K672" s="181"/>
      <c r="L672" s="181"/>
      <c r="M672" s="181"/>
      <c r="N672" s="181"/>
      <c r="O672" s="181"/>
      <c r="P672" s="181"/>
      <c r="Q672" s="181"/>
      <c r="R672" s="181"/>
      <c r="S672" s="181"/>
      <c r="T672" s="181"/>
      <c r="U672" s="181"/>
      <c r="V672" s="181"/>
      <c r="W672" s="181"/>
      <c r="X672" s="181"/>
      <c r="Y672" s="181"/>
      <c r="Z672" s="181"/>
    </row>
    <row r="673" ht="14.25" customHeight="1">
      <c r="A673" s="181"/>
      <c r="B673" s="181"/>
      <c r="C673" s="181"/>
      <c r="D673" s="181"/>
      <c r="E673" s="181"/>
      <c r="F673" s="181"/>
      <c r="G673" s="181"/>
      <c r="H673" s="181"/>
      <c r="I673" s="181"/>
      <c r="J673" s="181"/>
      <c r="K673" s="181"/>
      <c r="L673" s="181"/>
      <c r="M673" s="181"/>
      <c r="N673" s="181"/>
      <c r="O673" s="181"/>
      <c r="P673" s="181"/>
      <c r="Q673" s="181"/>
      <c r="R673" s="181"/>
      <c r="S673" s="181"/>
      <c r="T673" s="181"/>
      <c r="U673" s="181"/>
      <c r="V673" s="181"/>
      <c r="W673" s="181"/>
      <c r="X673" s="181"/>
      <c r="Y673" s="181"/>
      <c r="Z673" s="181"/>
    </row>
    <row r="674" ht="14.25" customHeight="1">
      <c r="A674" s="181"/>
      <c r="B674" s="181"/>
      <c r="C674" s="181"/>
      <c r="D674" s="181"/>
      <c r="E674" s="181"/>
      <c r="F674" s="181"/>
      <c r="G674" s="181"/>
      <c r="H674" s="181"/>
      <c r="I674" s="181"/>
      <c r="J674" s="181"/>
      <c r="K674" s="181"/>
      <c r="L674" s="181"/>
      <c r="M674" s="181"/>
      <c r="N674" s="181"/>
      <c r="O674" s="181"/>
      <c r="P674" s="181"/>
      <c r="Q674" s="181"/>
      <c r="R674" s="181"/>
      <c r="S674" s="181"/>
      <c r="T674" s="181"/>
      <c r="U674" s="181"/>
      <c r="V674" s="181"/>
      <c r="W674" s="181"/>
      <c r="X674" s="181"/>
      <c r="Y674" s="181"/>
      <c r="Z674" s="181"/>
    </row>
    <row r="675" ht="14.25" customHeight="1">
      <c r="A675" s="181"/>
      <c r="B675" s="181"/>
      <c r="C675" s="181"/>
      <c r="D675" s="181"/>
      <c r="E675" s="181"/>
      <c r="F675" s="181"/>
      <c r="G675" s="181"/>
      <c r="H675" s="181"/>
      <c r="I675" s="181"/>
      <c r="J675" s="181"/>
      <c r="K675" s="181"/>
      <c r="L675" s="181"/>
      <c r="M675" s="181"/>
      <c r="N675" s="181"/>
      <c r="O675" s="181"/>
      <c r="P675" s="181"/>
      <c r="Q675" s="181"/>
      <c r="R675" s="181"/>
      <c r="S675" s="181"/>
      <c r="T675" s="181"/>
      <c r="U675" s="181"/>
      <c r="V675" s="181"/>
      <c r="W675" s="181"/>
      <c r="X675" s="181"/>
      <c r="Y675" s="181"/>
      <c r="Z675" s="181"/>
    </row>
    <row r="676" ht="14.25" customHeight="1">
      <c r="A676" s="181"/>
      <c r="B676" s="181"/>
      <c r="C676" s="181"/>
      <c r="D676" s="181"/>
      <c r="E676" s="181"/>
      <c r="F676" s="181"/>
      <c r="G676" s="181"/>
      <c r="H676" s="181"/>
      <c r="I676" s="181"/>
      <c r="J676" s="181"/>
      <c r="K676" s="181"/>
      <c r="L676" s="181"/>
      <c r="M676" s="181"/>
      <c r="N676" s="181"/>
      <c r="O676" s="181"/>
      <c r="P676" s="181"/>
      <c r="Q676" s="181"/>
      <c r="R676" s="181"/>
      <c r="S676" s="181"/>
      <c r="T676" s="181"/>
      <c r="U676" s="181"/>
      <c r="V676" s="181"/>
      <c r="W676" s="181"/>
      <c r="X676" s="181"/>
      <c r="Y676" s="181"/>
      <c r="Z676" s="181"/>
    </row>
    <row r="677" ht="14.25" customHeight="1">
      <c r="A677" s="181"/>
      <c r="B677" s="181"/>
      <c r="C677" s="181"/>
      <c r="D677" s="181"/>
      <c r="E677" s="181"/>
      <c r="F677" s="181"/>
      <c r="G677" s="181"/>
      <c r="H677" s="181"/>
      <c r="I677" s="181"/>
      <c r="J677" s="181"/>
      <c r="K677" s="181"/>
      <c r="L677" s="181"/>
      <c r="M677" s="181"/>
      <c r="N677" s="181"/>
      <c r="O677" s="181"/>
      <c r="P677" s="181"/>
      <c r="Q677" s="181"/>
      <c r="R677" s="181"/>
      <c r="S677" s="181"/>
      <c r="T677" s="181"/>
      <c r="U677" s="181"/>
      <c r="V677" s="181"/>
      <c r="W677" s="181"/>
      <c r="X677" s="181"/>
      <c r="Y677" s="181"/>
      <c r="Z677" s="181"/>
    </row>
    <row r="678" ht="14.25" customHeight="1">
      <c r="A678" s="181"/>
      <c r="B678" s="181"/>
      <c r="C678" s="181"/>
      <c r="D678" s="181"/>
      <c r="E678" s="181"/>
      <c r="F678" s="181"/>
      <c r="G678" s="181"/>
      <c r="H678" s="181"/>
      <c r="I678" s="181"/>
      <c r="J678" s="181"/>
      <c r="K678" s="181"/>
      <c r="L678" s="181"/>
      <c r="M678" s="181"/>
      <c r="N678" s="181"/>
      <c r="O678" s="181"/>
      <c r="P678" s="181"/>
      <c r="Q678" s="181"/>
      <c r="R678" s="181"/>
      <c r="S678" s="181"/>
      <c r="T678" s="181"/>
      <c r="U678" s="181"/>
      <c r="V678" s="181"/>
      <c r="W678" s="181"/>
      <c r="X678" s="181"/>
      <c r="Y678" s="181"/>
      <c r="Z678" s="181"/>
    </row>
    <row r="679" ht="14.25" customHeight="1">
      <c r="A679" s="181"/>
      <c r="B679" s="181"/>
      <c r="C679" s="181"/>
      <c r="D679" s="181"/>
      <c r="E679" s="181"/>
      <c r="F679" s="181"/>
      <c r="G679" s="181"/>
      <c r="H679" s="181"/>
      <c r="I679" s="181"/>
      <c r="J679" s="181"/>
      <c r="K679" s="181"/>
      <c r="L679" s="181"/>
      <c r="M679" s="181"/>
      <c r="N679" s="181"/>
      <c r="O679" s="181"/>
      <c r="P679" s="181"/>
      <c r="Q679" s="181"/>
      <c r="R679" s="181"/>
      <c r="S679" s="181"/>
      <c r="T679" s="181"/>
      <c r="U679" s="181"/>
      <c r="V679" s="181"/>
      <c r="W679" s="181"/>
      <c r="X679" s="181"/>
      <c r="Y679" s="181"/>
      <c r="Z679" s="181"/>
    </row>
    <row r="680" ht="14.25" customHeight="1">
      <c r="A680" s="181"/>
      <c r="B680" s="181"/>
      <c r="C680" s="181"/>
      <c r="D680" s="181"/>
      <c r="E680" s="181"/>
      <c r="F680" s="181"/>
      <c r="G680" s="181"/>
      <c r="H680" s="181"/>
      <c r="I680" s="181"/>
      <c r="J680" s="181"/>
      <c r="K680" s="181"/>
      <c r="L680" s="181"/>
      <c r="M680" s="181"/>
      <c r="N680" s="181"/>
      <c r="O680" s="181"/>
      <c r="P680" s="181"/>
      <c r="Q680" s="181"/>
      <c r="R680" s="181"/>
      <c r="S680" s="181"/>
      <c r="T680" s="181"/>
      <c r="U680" s="181"/>
      <c r="V680" s="181"/>
      <c r="W680" s="181"/>
      <c r="X680" s="181"/>
      <c r="Y680" s="181"/>
      <c r="Z680" s="181"/>
    </row>
    <row r="681" ht="14.25" customHeight="1">
      <c r="A681" s="181"/>
      <c r="B681" s="181"/>
      <c r="C681" s="181"/>
      <c r="D681" s="181"/>
      <c r="E681" s="181"/>
      <c r="F681" s="181"/>
      <c r="G681" s="181"/>
      <c r="H681" s="181"/>
      <c r="I681" s="181"/>
      <c r="J681" s="181"/>
      <c r="K681" s="181"/>
      <c r="L681" s="181"/>
      <c r="M681" s="181"/>
      <c r="N681" s="181"/>
      <c r="O681" s="181"/>
      <c r="P681" s="181"/>
      <c r="Q681" s="181"/>
      <c r="R681" s="181"/>
      <c r="S681" s="181"/>
      <c r="T681" s="181"/>
      <c r="U681" s="181"/>
      <c r="V681" s="181"/>
      <c r="W681" s="181"/>
      <c r="X681" s="181"/>
      <c r="Y681" s="181"/>
      <c r="Z681" s="181"/>
    </row>
    <row r="682" ht="14.25" customHeight="1">
      <c r="A682" s="181"/>
      <c r="B682" s="181"/>
      <c r="C682" s="181"/>
      <c r="D682" s="181"/>
      <c r="E682" s="181"/>
      <c r="F682" s="181"/>
      <c r="G682" s="181"/>
      <c r="H682" s="181"/>
      <c r="I682" s="181"/>
      <c r="J682" s="181"/>
      <c r="K682" s="181"/>
      <c r="L682" s="181"/>
      <c r="M682" s="181"/>
      <c r="N682" s="181"/>
      <c r="O682" s="181"/>
      <c r="P682" s="181"/>
      <c r="Q682" s="181"/>
      <c r="R682" s="181"/>
      <c r="S682" s="181"/>
      <c r="T682" s="181"/>
      <c r="U682" s="181"/>
      <c r="V682" s="181"/>
      <c r="W682" s="181"/>
      <c r="X682" s="181"/>
      <c r="Y682" s="181"/>
      <c r="Z682" s="181"/>
    </row>
    <row r="683" ht="14.25" customHeight="1">
      <c r="A683" s="181"/>
      <c r="B683" s="181"/>
      <c r="C683" s="181"/>
      <c r="D683" s="181"/>
      <c r="E683" s="181"/>
      <c r="F683" s="181"/>
      <c r="G683" s="181"/>
      <c r="H683" s="181"/>
      <c r="I683" s="181"/>
      <c r="J683" s="181"/>
      <c r="K683" s="181"/>
      <c r="L683" s="181"/>
      <c r="M683" s="181"/>
      <c r="N683" s="181"/>
      <c r="O683" s="181"/>
      <c r="P683" s="181"/>
      <c r="Q683" s="181"/>
      <c r="R683" s="181"/>
      <c r="S683" s="181"/>
      <c r="T683" s="181"/>
      <c r="U683" s="181"/>
      <c r="V683" s="181"/>
      <c r="W683" s="181"/>
      <c r="X683" s="181"/>
      <c r="Y683" s="181"/>
      <c r="Z683" s="181"/>
    </row>
    <row r="684" ht="14.25" customHeight="1">
      <c r="A684" s="181"/>
      <c r="B684" s="181"/>
      <c r="C684" s="181"/>
      <c r="D684" s="181"/>
      <c r="E684" s="181"/>
      <c r="F684" s="181"/>
      <c r="G684" s="181"/>
      <c r="H684" s="181"/>
      <c r="I684" s="181"/>
      <c r="J684" s="181"/>
      <c r="K684" s="181"/>
      <c r="L684" s="181"/>
      <c r="M684" s="181"/>
      <c r="N684" s="181"/>
      <c r="O684" s="181"/>
      <c r="P684" s="181"/>
      <c r="Q684" s="181"/>
      <c r="R684" s="181"/>
      <c r="S684" s="181"/>
      <c r="T684" s="181"/>
      <c r="U684" s="181"/>
      <c r="V684" s="181"/>
      <c r="W684" s="181"/>
      <c r="X684" s="181"/>
      <c r="Y684" s="181"/>
      <c r="Z684" s="181"/>
    </row>
    <row r="685" ht="14.25" customHeight="1">
      <c r="A685" s="181"/>
      <c r="B685" s="181"/>
      <c r="C685" s="181"/>
      <c r="D685" s="181"/>
      <c r="E685" s="181"/>
      <c r="F685" s="181"/>
      <c r="G685" s="181"/>
      <c r="H685" s="181"/>
      <c r="I685" s="181"/>
      <c r="J685" s="181"/>
      <c r="K685" s="181"/>
      <c r="L685" s="181"/>
      <c r="M685" s="181"/>
      <c r="N685" s="181"/>
      <c r="O685" s="181"/>
      <c r="P685" s="181"/>
      <c r="Q685" s="181"/>
      <c r="R685" s="181"/>
      <c r="S685" s="181"/>
      <c r="T685" s="181"/>
      <c r="U685" s="181"/>
      <c r="V685" s="181"/>
      <c r="W685" s="181"/>
      <c r="X685" s="181"/>
      <c r="Y685" s="181"/>
      <c r="Z685" s="181"/>
    </row>
    <row r="686" ht="14.25" customHeight="1">
      <c r="A686" s="181"/>
      <c r="B686" s="181"/>
      <c r="C686" s="181"/>
      <c r="D686" s="181"/>
      <c r="E686" s="181"/>
      <c r="F686" s="181"/>
      <c r="G686" s="181"/>
      <c r="H686" s="181"/>
      <c r="I686" s="181"/>
      <c r="J686" s="181"/>
      <c r="K686" s="181"/>
      <c r="L686" s="181"/>
      <c r="M686" s="181"/>
      <c r="N686" s="181"/>
      <c r="O686" s="181"/>
      <c r="P686" s="181"/>
      <c r="Q686" s="181"/>
      <c r="R686" s="181"/>
      <c r="S686" s="181"/>
      <c r="T686" s="181"/>
      <c r="U686" s="181"/>
      <c r="V686" s="181"/>
      <c r="W686" s="181"/>
      <c r="X686" s="181"/>
      <c r="Y686" s="181"/>
      <c r="Z686" s="181"/>
    </row>
    <row r="687" ht="14.25" customHeight="1">
      <c r="A687" s="181"/>
      <c r="B687" s="181"/>
      <c r="C687" s="181"/>
      <c r="D687" s="181"/>
      <c r="E687" s="181"/>
      <c r="F687" s="181"/>
      <c r="G687" s="181"/>
      <c r="H687" s="181"/>
      <c r="I687" s="181"/>
      <c r="J687" s="181"/>
      <c r="K687" s="181"/>
      <c r="L687" s="181"/>
      <c r="M687" s="181"/>
      <c r="N687" s="181"/>
      <c r="O687" s="181"/>
      <c r="P687" s="181"/>
      <c r="Q687" s="181"/>
      <c r="R687" s="181"/>
      <c r="S687" s="181"/>
      <c r="T687" s="181"/>
      <c r="U687" s="181"/>
      <c r="V687" s="181"/>
      <c r="W687" s="181"/>
      <c r="X687" s="181"/>
      <c r="Y687" s="181"/>
      <c r="Z687" s="181"/>
    </row>
    <row r="688" ht="14.25" customHeight="1">
      <c r="A688" s="181"/>
      <c r="B688" s="181"/>
      <c r="C688" s="181"/>
      <c r="D688" s="181"/>
      <c r="E688" s="181"/>
      <c r="F688" s="181"/>
      <c r="G688" s="181"/>
      <c r="H688" s="181"/>
      <c r="I688" s="181"/>
      <c r="J688" s="181"/>
      <c r="K688" s="181"/>
      <c r="L688" s="181"/>
      <c r="M688" s="181"/>
      <c r="N688" s="181"/>
      <c r="O688" s="181"/>
      <c r="P688" s="181"/>
      <c r="Q688" s="181"/>
      <c r="R688" s="181"/>
      <c r="S688" s="181"/>
      <c r="T688" s="181"/>
      <c r="U688" s="181"/>
      <c r="V688" s="181"/>
      <c r="W688" s="181"/>
      <c r="X688" s="181"/>
      <c r="Y688" s="181"/>
      <c r="Z688" s="181"/>
    </row>
    <row r="689" ht="14.25" customHeight="1">
      <c r="A689" s="181"/>
      <c r="B689" s="181"/>
      <c r="C689" s="181"/>
      <c r="D689" s="181"/>
      <c r="E689" s="181"/>
      <c r="F689" s="181"/>
      <c r="G689" s="181"/>
      <c r="H689" s="181"/>
      <c r="I689" s="181"/>
      <c r="J689" s="181"/>
      <c r="K689" s="181"/>
      <c r="L689" s="181"/>
      <c r="M689" s="181"/>
      <c r="N689" s="181"/>
      <c r="O689" s="181"/>
      <c r="P689" s="181"/>
      <c r="Q689" s="181"/>
      <c r="R689" s="181"/>
      <c r="S689" s="181"/>
      <c r="T689" s="181"/>
      <c r="U689" s="181"/>
      <c r="V689" s="181"/>
      <c r="W689" s="181"/>
      <c r="X689" s="181"/>
      <c r="Y689" s="181"/>
      <c r="Z689" s="181"/>
    </row>
    <row r="690" ht="14.25" customHeight="1">
      <c r="A690" s="181"/>
      <c r="B690" s="181"/>
      <c r="C690" s="181"/>
      <c r="D690" s="181"/>
      <c r="E690" s="181"/>
      <c r="F690" s="181"/>
      <c r="G690" s="181"/>
      <c r="H690" s="181"/>
      <c r="I690" s="181"/>
      <c r="J690" s="181"/>
      <c r="K690" s="181"/>
      <c r="L690" s="181"/>
      <c r="M690" s="181"/>
      <c r="N690" s="181"/>
      <c r="O690" s="181"/>
      <c r="P690" s="181"/>
      <c r="Q690" s="181"/>
      <c r="R690" s="181"/>
      <c r="S690" s="181"/>
      <c r="T690" s="181"/>
      <c r="U690" s="181"/>
      <c r="V690" s="181"/>
      <c r="W690" s="181"/>
      <c r="X690" s="181"/>
      <c r="Y690" s="181"/>
      <c r="Z690" s="181"/>
    </row>
    <row r="691" ht="14.25" customHeight="1">
      <c r="A691" s="181"/>
      <c r="B691" s="181"/>
      <c r="C691" s="181"/>
      <c r="D691" s="181"/>
      <c r="E691" s="181"/>
      <c r="F691" s="181"/>
      <c r="G691" s="181"/>
      <c r="H691" s="181"/>
      <c r="I691" s="181"/>
      <c r="J691" s="181"/>
      <c r="K691" s="181"/>
      <c r="L691" s="181"/>
      <c r="M691" s="181"/>
      <c r="N691" s="181"/>
      <c r="O691" s="181"/>
      <c r="P691" s="181"/>
      <c r="Q691" s="181"/>
      <c r="R691" s="181"/>
      <c r="S691" s="181"/>
      <c r="T691" s="181"/>
      <c r="U691" s="181"/>
      <c r="V691" s="181"/>
      <c r="W691" s="181"/>
      <c r="X691" s="181"/>
      <c r="Y691" s="181"/>
      <c r="Z691" s="181"/>
    </row>
    <row r="692" ht="14.25" customHeight="1">
      <c r="A692" s="181"/>
      <c r="B692" s="181"/>
      <c r="C692" s="181"/>
      <c r="D692" s="181"/>
      <c r="E692" s="181"/>
      <c r="F692" s="181"/>
      <c r="G692" s="181"/>
      <c r="H692" s="181"/>
      <c r="I692" s="181"/>
      <c r="J692" s="181"/>
      <c r="K692" s="181"/>
      <c r="L692" s="181"/>
      <c r="M692" s="181"/>
      <c r="N692" s="181"/>
      <c r="O692" s="181"/>
      <c r="P692" s="181"/>
      <c r="Q692" s="181"/>
      <c r="R692" s="181"/>
      <c r="S692" s="181"/>
      <c r="T692" s="181"/>
      <c r="U692" s="181"/>
      <c r="V692" s="181"/>
      <c r="W692" s="181"/>
      <c r="X692" s="181"/>
      <c r="Y692" s="181"/>
      <c r="Z692" s="181"/>
    </row>
    <row r="693" ht="14.25" customHeight="1">
      <c r="A693" s="181"/>
      <c r="B693" s="181"/>
      <c r="C693" s="181"/>
      <c r="D693" s="181"/>
      <c r="E693" s="181"/>
      <c r="F693" s="181"/>
      <c r="G693" s="181"/>
      <c r="H693" s="181"/>
      <c r="I693" s="181"/>
      <c r="J693" s="181"/>
      <c r="K693" s="181"/>
      <c r="L693" s="181"/>
      <c r="M693" s="181"/>
      <c r="N693" s="181"/>
      <c r="O693" s="181"/>
      <c r="P693" s="181"/>
      <c r="Q693" s="181"/>
      <c r="R693" s="181"/>
      <c r="S693" s="181"/>
      <c r="T693" s="181"/>
      <c r="U693" s="181"/>
      <c r="V693" s="181"/>
      <c r="W693" s="181"/>
      <c r="X693" s="181"/>
      <c r="Y693" s="181"/>
      <c r="Z693" s="181"/>
    </row>
    <row r="694" ht="14.25" customHeight="1">
      <c r="A694" s="181"/>
      <c r="B694" s="181"/>
      <c r="C694" s="181"/>
      <c r="D694" s="181"/>
      <c r="E694" s="181"/>
      <c r="F694" s="181"/>
      <c r="G694" s="181"/>
      <c r="H694" s="181"/>
      <c r="I694" s="181"/>
      <c r="J694" s="181"/>
      <c r="K694" s="181"/>
      <c r="L694" s="181"/>
      <c r="M694" s="181"/>
      <c r="N694" s="181"/>
      <c r="O694" s="181"/>
      <c r="P694" s="181"/>
      <c r="Q694" s="181"/>
      <c r="R694" s="181"/>
      <c r="S694" s="181"/>
      <c r="T694" s="181"/>
      <c r="U694" s="181"/>
      <c r="V694" s="181"/>
      <c r="W694" s="181"/>
      <c r="X694" s="181"/>
      <c r="Y694" s="181"/>
      <c r="Z694" s="181"/>
    </row>
    <row r="695" ht="14.25" customHeight="1">
      <c r="A695" s="181"/>
      <c r="B695" s="181"/>
      <c r="C695" s="181"/>
      <c r="D695" s="181"/>
      <c r="E695" s="181"/>
      <c r="F695" s="181"/>
      <c r="G695" s="181"/>
      <c r="H695" s="181"/>
      <c r="I695" s="181"/>
      <c r="J695" s="181"/>
      <c r="K695" s="181"/>
      <c r="L695" s="181"/>
      <c r="M695" s="181"/>
      <c r="N695" s="181"/>
      <c r="O695" s="181"/>
      <c r="P695" s="181"/>
      <c r="Q695" s="181"/>
      <c r="R695" s="181"/>
      <c r="S695" s="181"/>
      <c r="T695" s="181"/>
      <c r="U695" s="181"/>
      <c r="V695" s="181"/>
      <c r="W695" s="181"/>
      <c r="X695" s="181"/>
      <c r="Y695" s="181"/>
      <c r="Z695" s="181"/>
    </row>
    <row r="696" ht="14.25" customHeight="1">
      <c r="A696" s="181"/>
      <c r="B696" s="181"/>
      <c r="C696" s="181"/>
      <c r="D696" s="181"/>
      <c r="E696" s="181"/>
      <c r="F696" s="181"/>
      <c r="G696" s="181"/>
      <c r="H696" s="181"/>
      <c r="I696" s="181"/>
      <c r="J696" s="181"/>
      <c r="K696" s="181"/>
      <c r="L696" s="181"/>
      <c r="M696" s="181"/>
      <c r="N696" s="181"/>
      <c r="O696" s="181"/>
      <c r="P696" s="181"/>
      <c r="Q696" s="181"/>
      <c r="R696" s="181"/>
      <c r="S696" s="181"/>
      <c r="T696" s="181"/>
      <c r="U696" s="181"/>
      <c r="V696" s="181"/>
      <c r="W696" s="181"/>
      <c r="X696" s="181"/>
      <c r="Y696" s="181"/>
      <c r="Z696" s="181"/>
    </row>
    <row r="697" ht="14.25" customHeight="1">
      <c r="A697" s="181"/>
      <c r="B697" s="181"/>
      <c r="C697" s="181"/>
      <c r="D697" s="181"/>
      <c r="E697" s="181"/>
      <c r="F697" s="181"/>
      <c r="G697" s="181"/>
      <c r="H697" s="181"/>
      <c r="I697" s="181"/>
      <c r="J697" s="181"/>
      <c r="K697" s="181"/>
      <c r="L697" s="181"/>
      <c r="M697" s="181"/>
      <c r="N697" s="181"/>
      <c r="O697" s="181"/>
      <c r="P697" s="181"/>
      <c r="Q697" s="181"/>
      <c r="R697" s="181"/>
      <c r="S697" s="181"/>
      <c r="T697" s="181"/>
      <c r="U697" s="181"/>
      <c r="V697" s="181"/>
      <c r="W697" s="181"/>
      <c r="X697" s="181"/>
      <c r="Y697" s="181"/>
      <c r="Z697" s="181"/>
    </row>
    <row r="698" ht="14.25" customHeight="1">
      <c r="A698" s="181"/>
      <c r="B698" s="181"/>
      <c r="C698" s="181"/>
      <c r="D698" s="181"/>
      <c r="E698" s="181"/>
      <c r="F698" s="181"/>
      <c r="G698" s="181"/>
      <c r="H698" s="181"/>
      <c r="I698" s="181"/>
      <c r="J698" s="181"/>
      <c r="K698" s="181"/>
      <c r="L698" s="181"/>
      <c r="M698" s="181"/>
      <c r="N698" s="181"/>
      <c r="O698" s="181"/>
      <c r="P698" s="181"/>
      <c r="Q698" s="181"/>
      <c r="R698" s="181"/>
      <c r="S698" s="181"/>
      <c r="T698" s="181"/>
      <c r="U698" s="181"/>
      <c r="V698" s="181"/>
      <c r="W698" s="181"/>
      <c r="X698" s="181"/>
      <c r="Y698" s="181"/>
      <c r="Z698" s="181"/>
    </row>
    <row r="699" ht="14.25" customHeight="1">
      <c r="A699" s="181"/>
      <c r="B699" s="181"/>
      <c r="C699" s="181"/>
      <c r="D699" s="181"/>
      <c r="E699" s="181"/>
      <c r="F699" s="181"/>
      <c r="G699" s="181"/>
      <c r="H699" s="181"/>
      <c r="I699" s="181"/>
      <c r="J699" s="181"/>
      <c r="K699" s="181"/>
      <c r="L699" s="181"/>
      <c r="M699" s="181"/>
      <c r="N699" s="181"/>
      <c r="O699" s="181"/>
      <c r="P699" s="181"/>
      <c r="Q699" s="181"/>
      <c r="R699" s="181"/>
      <c r="S699" s="181"/>
      <c r="T699" s="181"/>
      <c r="U699" s="181"/>
      <c r="V699" s="181"/>
      <c r="W699" s="181"/>
      <c r="X699" s="181"/>
      <c r="Y699" s="181"/>
      <c r="Z699" s="181"/>
    </row>
    <row r="700" ht="14.25" customHeight="1">
      <c r="A700" s="181"/>
      <c r="B700" s="181"/>
      <c r="C700" s="181"/>
      <c r="D700" s="181"/>
      <c r="E700" s="181"/>
      <c r="F700" s="181"/>
      <c r="G700" s="181"/>
      <c r="H700" s="181"/>
      <c r="I700" s="181"/>
      <c r="J700" s="181"/>
      <c r="K700" s="181"/>
      <c r="L700" s="181"/>
      <c r="M700" s="181"/>
      <c r="N700" s="181"/>
      <c r="O700" s="181"/>
      <c r="P700" s="181"/>
      <c r="Q700" s="181"/>
      <c r="R700" s="181"/>
      <c r="S700" s="181"/>
      <c r="T700" s="181"/>
      <c r="U700" s="181"/>
      <c r="V700" s="181"/>
      <c r="W700" s="181"/>
      <c r="X700" s="181"/>
      <c r="Y700" s="181"/>
      <c r="Z700" s="181"/>
    </row>
    <row r="701" ht="14.25" customHeight="1">
      <c r="A701" s="181"/>
      <c r="B701" s="181"/>
      <c r="C701" s="181"/>
      <c r="D701" s="181"/>
      <c r="E701" s="181"/>
      <c r="F701" s="181"/>
      <c r="G701" s="181"/>
      <c r="H701" s="181"/>
      <c r="I701" s="181"/>
      <c r="J701" s="181"/>
      <c r="K701" s="181"/>
      <c r="L701" s="181"/>
      <c r="M701" s="181"/>
      <c r="N701" s="181"/>
      <c r="O701" s="181"/>
      <c r="P701" s="181"/>
      <c r="Q701" s="181"/>
      <c r="R701" s="181"/>
      <c r="S701" s="181"/>
      <c r="T701" s="181"/>
      <c r="U701" s="181"/>
      <c r="V701" s="181"/>
      <c r="W701" s="181"/>
      <c r="X701" s="181"/>
      <c r="Y701" s="181"/>
      <c r="Z701" s="181"/>
    </row>
    <row r="702" ht="14.25" customHeight="1">
      <c r="A702" s="181"/>
      <c r="B702" s="181"/>
      <c r="C702" s="181"/>
      <c r="D702" s="181"/>
      <c r="E702" s="181"/>
      <c r="F702" s="181"/>
      <c r="G702" s="181"/>
      <c r="H702" s="181"/>
      <c r="I702" s="181"/>
      <c r="J702" s="181"/>
      <c r="K702" s="181"/>
      <c r="L702" s="181"/>
      <c r="M702" s="181"/>
      <c r="N702" s="181"/>
      <c r="O702" s="181"/>
      <c r="P702" s="181"/>
      <c r="Q702" s="181"/>
      <c r="R702" s="181"/>
      <c r="S702" s="181"/>
      <c r="T702" s="181"/>
      <c r="U702" s="181"/>
      <c r="V702" s="181"/>
      <c r="W702" s="181"/>
      <c r="X702" s="181"/>
      <c r="Y702" s="181"/>
      <c r="Z702" s="181"/>
    </row>
    <row r="703" ht="14.25" customHeight="1">
      <c r="A703" s="181"/>
      <c r="B703" s="181"/>
      <c r="C703" s="181"/>
      <c r="D703" s="181"/>
      <c r="E703" s="181"/>
      <c r="F703" s="181"/>
      <c r="G703" s="181"/>
      <c r="H703" s="181"/>
      <c r="I703" s="181"/>
      <c r="J703" s="181"/>
      <c r="K703" s="181"/>
      <c r="L703" s="181"/>
      <c r="M703" s="181"/>
      <c r="N703" s="181"/>
      <c r="O703" s="181"/>
      <c r="P703" s="181"/>
      <c r="Q703" s="181"/>
      <c r="R703" s="181"/>
      <c r="S703" s="181"/>
      <c r="T703" s="181"/>
      <c r="U703" s="181"/>
      <c r="V703" s="181"/>
      <c r="W703" s="181"/>
      <c r="X703" s="181"/>
      <c r="Y703" s="181"/>
      <c r="Z703" s="181"/>
    </row>
    <row r="704" ht="14.25" customHeight="1">
      <c r="A704" s="181"/>
      <c r="B704" s="181"/>
      <c r="C704" s="181"/>
      <c r="D704" s="181"/>
      <c r="E704" s="181"/>
      <c r="F704" s="181"/>
      <c r="G704" s="181"/>
      <c r="H704" s="181"/>
      <c r="I704" s="181"/>
      <c r="J704" s="181"/>
      <c r="K704" s="181"/>
      <c r="L704" s="181"/>
      <c r="M704" s="181"/>
      <c r="N704" s="181"/>
      <c r="O704" s="181"/>
      <c r="P704" s="181"/>
      <c r="Q704" s="181"/>
      <c r="R704" s="181"/>
      <c r="S704" s="181"/>
      <c r="T704" s="181"/>
      <c r="U704" s="181"/>
      <c r="V704" s="181"/>
      <c r="W704" s="181"/>
      <c r="X704" s="181"/>
      <c r="Y704" s="181"/>
      <c r="Z704" s="181"/>
    </row>
    <row r="705" ht="14.25" customHeight="1">
      <c r="A705" s="181"/>
      <c r="B705" s="181"/>
      <c r="C705" s="181"/>
      <c r="D705" s="181"/>
      <c r="E705" s="181"/>
      <c r="F705" s="181"/>
      <c r="G705" s="181"/>
      <c r="H705" s="181"/>
      <c r="I705" s="181"/>
      <c r="J705" s="181"/>
      <c r="K705" s="181"/>
      <c r="L705" s="181"/>
      <c r="M705" s="181"/>
      <c r="N705" s="181"/>
      <c r="O705" s="181"/>
      <c r="P705" s="181"/>
      <c r="Q705" s="181"/>
      <c r="R705" s="181"/>
      <c r="S705" s="181"/>
      <c r="T705" s="181"/>
      <c r="U705" s="181"/>
      <c r="V705" s="181"/>
      <c r="W705" s="181"/>
      <c r="X705" s="181"/>
      <c r="Y705" s="181"/>
      <c r="Z705" s="181"/>
    </row>
    <row r="706" ht="14.25" customHeight="1">
      <c r="A706" s="181"/>
      <c r="B706" s="181"/>
      <c r="C706" s="181"/>
      <c r="D706" s="181"/>
      <c r="E706" s="181"/>
      <c r="F706" s="181"/>
      <c r="G706" s="181"/>
      <c r="H706" s="181"/>
      <c r="I706" s="181"/>
      <c r="J706" s="181"/>
      <c r="K706" s="181"/>
      <c r="L706" s="181"/>
      <c r="M706" s="181"/>
      <c r="N706" s="181"/>
      <c r="O706" s="181"/>
      <c r="P706" s="181"/>
      <c r="Q706" s="181"/>
      <c r="R706" s="181"/>
      <c r="S706" s="181"/>
      <c r="T706" s="181"/>
      <c r="U706" s="181"/>
      <c r="V706" s="181"/>
      <c r="W706" s="181"/>
      <c r="X706" s="181"/>
      <c r="Y706" s="181"/>
      <c r="Z706" s="181"/>
    </row>
    <row r="707" ht="14.25" customHeight="1">
      <c r="A707" s="181"/>
      <c r="B707" s="181"/>
      <c r="C707" s="181"/>
      <c r="D707" s="181"/>
      <c r="E707" s="181"/>
      <c r="F707" s="181"/>
      <c r="G707" s="181"/>
      <c r="H707" s="181"/>
      <c r="I707" s="181"/>
      <c r="J707" s="181"/>
      <c r="K707" s="181"/>
      <c r="L707" s="181"/>
      <c r="M707" s="181"/>
      <c r="N707" s="181"/>
      <c r="O707" s="181"/>
      <c r="P707" s="181"/>
      <c r="Q707" s="181"/>
      <c r="R707" s="181"/>
      <c r="S707" s="181"/>
      <c r="T707" s="181"/>
      <c r="U707" s="181"/>
      <c r="V707" s="181"/>
      <c r="W707" s="181"/>
      <c r="X707" s="181"/>
      <c r="Y707" s="181"/>
      <c r="Z707" s="181"/>
    </row>
    <row r="708" ht="14.25" customHeight="1">
      <c r="A708" s="181"/>
      <c r="B708" s="181"/>
      <c r="C708" s="181"/>
      <c r="D708" s="181"/>
      <c r="E708" s="181"/>
      <c r="F708" s="181"/>
      <c r="G708" s="181"/>
      <c r="H708" s="181"/>
      <c r="I708" s="181"/>
      <c r="J708" s="181"/>
      <c r="K708" s="181"/>
      <c r="L708" s="181"/>
      <c r="M708" s="181"/>
      <c r="N708" s="181"/>
      <c r="O708" s="181"/>
      <c r="P708" s="181"/>
      <c r="Q708" s="181"/>
      <c r="R708" s="181"/>
      <c r="S708" s="181"/>
      <c r="T708" s="181"/>
      <c r="U708" s="181"/>
      <c r="V708" s="181"/>
      <c r="W708" s="181"/>
      <c r="X708" s="181"/>
      <c r="Y708" s="181"/>
      <c r="Z708" s="181"/>
    </row>
    <row r="709" ht="14.25" customHeight="1">
      <c r="A709" s="181"/>
      <c r="B709" s="181"/>
      <c r="C709" s="181"/>
      <c r="D709" s="181"/>
      <c r="E709" s="181"/>
      <c r="F709" s="181"/>
      <c r="G709" s="181"/>
      <c r="H709" s="181"/>
      <c r="I709" s="181"/>
      <c r="J709" s="181"/>
      <c r="K709" s="181"/>
      <c r="L709" s="181"/>
      <c r="M709" s="181"/>
      <c r="N709" s="181"/>
      <c r="O709" s="181"/>
      <c r="P709" s="181"/>
      <c r="Q709" s="181"/>
      <c r="R709" s="181"/>
      <c r="S709" s="181"/>
      <c r="T709" s="181"/>
      <c r="U709" s="181"/>
      <c r="V709" s="181"/>
      <c r="W709" s="181"/>
      <c r="X709" s="181"/>
      <c r="Y709" s="181"/>
      <c r="Z709" s="181"/>
    </row>
    <row r="710" ht="14.25" customHeight="1">
      <c r="A710" s="181"/>
      <c r="B710" s="181"/>
      <c r="C710" s="181"/>
      <c r="D710" s="181"/>
      <c r="E710" s="181"/>
      <c r="F710" s="181"/>
      <c r="G710" s="181"/>
      <c r="H710" s="181"/>
      <c r="I710" s="181"/>
      <c r="J710" s="181"/>
      <c r="K710" s="181"/>
      <c r="L710" s="181"/>
      <c r="M710" s="181"/>
      <c r="N710" s="181"/>
      <c r="O710" s="181"/>
      <c r="P710" s="181"/>
      <c r="Q710" s="181"/>
      <c r="R710" s="181"/>
      <c r="S710" s="181"/>
      <c r="T710" s="181"/>
      <c r="U710" s="181"/>
      <c r="V710" s="181"/>
      <c r="W710" s="181"/>
      <c r="X710" s="181"/>
      <c r="Y710" s="181"/>
      <c r="Z710" s="181"/>
    </row>
    <row r="711" ht="14.25" customHeight="1">
      <c r="A711" s="181"/>
      <c r="B711" s="181"/>
      <c r="C711" s="181"/>
      <c r="D711" s="181"/>
      <c r="E711" s="181"/>
      <c r="F711" s="181"/>
      <c r="G711" s="181"/>
      <c r="H711" s="181"/>
      <c r="I711" s="181"/>
      <c r="J711" s="181"/>
      <c r="K711" s="181"/>
      <c r="L711" s="181"/>
      <c r="M711" s="181"/>
      <c r="N711" s="181"/>
      <c r="O711" s="181"/>
      <c r="P711" s="181"/>
      <c r="Q711" s="181"/>
      <c r="R711" s="181"/>
      <c r="S711" s="181"/>
      <c r="T711" s="181"/>
      <c r="U711" s="181"/>
      <c r="V711" s="181"/>
      <c r="W711" s="181"/>
      <c r="X711" s="181"/>
      <c r="Y711" s="181"/>
      <c r="Z711" s="181"/>
    </row>
    <row r="712" ht="14.25" customHeight="1">
      <c r="A712" s="181"/>
      <c r="B712" s="181"/>
      <c r="C712" s="181"/>
      <c r="D712" s="181"/>
      <c r="E712" s="181"/>
      <c r="F712" s="181"/>
      <c r="G712" s="181"/>
      <c r="H712" s="181"/>
      <c r="I712" s="181"/>
      <c r="J712" s="181"/>
      <c r="K712" s="181"/>
      <c r="L712" s="181"/>
      <c r="M712" s="181"/>
      <c r="N712" s="181"/>
      <c r="O712" s="181"/>
      <c r="P712" s="181"/>
      <c r="Q712" s="181"/>
      <c r="R712" s="181"/>
      <c r="S712" s="181"/>
      <c r="T712" s="181"/>
      <c r="U712" s="181"/>
      <c r="V712" s="181"/>
      <c r="W712" s="181"/>
      <c r="X712" s="181"/>
      <c r="Y712" s="181"/>
      <c r="Z712" s="181"/>
    </row>
    <row r="713" ht="14.25" customHeight="1">
      <c r="A713" s="181"/>
      <c r="B713" s="181"/>
      <c r="C713" s="181"/>
      <c r="D713" s="181"/>
      <c r="E713" s="181"/>
      <c r="F713" s="181"/>
      <c r="G713" s="181"/>
      <c r="H713" s="181"/>
      <c r="I713" s="181"/>
      <c r="J713" s="181"/>
      <c r="K713" s="181"/>
      <c r="L713" s="181"/>
      <c r="M713" s="181"/>
      <c r="N713" s="181"/>
      <c r="O713" s="181"/>
      <c r="P713" s="181"/>
      <c r="Q713" s="181"/>
      <c r="R713" s="181"/>
      <c r="S713" s="181"/>
      <c r="T713" s="181"/>
      <c r="U713" s="181"/>
      <c r="V713" s="181"/>
      <c r="W713" s="181"/>
      <c r="X713" s="181"/>
      <c r="Y713" s="181"/>
      <c r="Z713" s="181"/>
    </row>
    <row r="714" ht="14.25" customHeight="1">
      <c r="A714" s="181"/>
      <c r="B714" s="181"/>
      <c r="C714" s="181"/>
      <c r="D714" s="181"/>
      <c r="E714" s="181"/>
      <c r="F714" s="181"/>
      <c r="G714" s="181"/>
      <c r="H714" s="181"/>
      <c r="I714" s="181"/>
      <c r="J714" s="181"/>
      <c r="K714" s="181"/>
      <c r="L714" s="181"/>
      <c r="M714" s="181"/>
      <c r="N714" s="181"/>
      <c r="O714" s="181"/>
      <c r="P714" s="181"/>
      <c r="Q714" s="181"/>
      <c r="R714" s="181"/>
      <c r="S714" s="181"/>
      <c r="T714" s="181"/>
      <c r="U714" s="181"/>
      <c r="V714" s="181"/>
      <c r="W714" s="181"/>
      <c r="X714" s="181"/>
      <c r="Y714" s="181"/>
      <c r="Z714" s="181"/>
    </row>
    <row r="715" ht="14.25" customHeight="1">
      <c r="A715" s="181"/>
      <c r="B715" s="181"/>
      <c r="C715" s="181"/>
      <c r="D715" s="181"/>
      <c r="E715" s="181"/>
      <c r="F715" s="181"/>
      <c r="G715" s="181"/>
      <c r="H715" s="181"/>
      <c r="I715" s="181"/>
      <c r="J715" s="181"/>
      <c r="K715" s="181"/>
      <c r="L715" s="181"/>
      <c r="M715" s="181"/>
      <c r="N715" s="181"/>
      <c r="O715" s="181"/>
      <c r="P715" s="181"/>
      <c r="Q715" s="181"/>
      <c r="R715" s="181"/>
      <c r="S715" s="181"/>
      <c r="T715" s="181"/>
      <c r="U715" s="181"/>
      <c r="V715" s="181"/>
      <c r="W715" s="181"/>
      <c r="X715" s="181"/>
      <c r="Y715" s="181"/>
      <c r="Z715" s="181"/>
    </row>
    <row r="716" ht="14.25" customHeight="1">
      <c r="A716" s="181"/>
      <c r="B716" s="181"/>
      <c r="C716" s="181"/>
      <c r="D716" s="181"/>
      <c r="E716" s="181"/>
      <c r="F716" s="181"/>
      <c r="G716" s="181"/>
      <c r="H716" s="181"/>
      <c r="I716" s="181"/>
      <c r="J716" s="181"/>
      <c r="K716" s="181"/>
      <c r="L716" s="181"/>
      <c r="M716" s="181"/>
      <c r="N716" s="181"/>
      <c r="O716" s="181"/>
      <c r="P716" s="181"/>
      <c r="Q716" s="181"/>
      <c r="R716" s="181"/>
      <c r="S716" s="181"/>
      <c r="T716" s="181"/>
      <c r="U716" s="181"/>
      <c r="V716" s="181"/>
      <c r="W716" s="181"/>
      <c r="X716" s="181"/>
      <c r="Y716" s="181"/>
      <c r="Z716" s="181"/>
    </row>
    <row r="717" ht="14.25" customHeight="1">
      <c r="A717" s="181"/>
      <c r="B717" s="181"/>
      <c r="C717" s="181"/>
      <c r="D717" s="181"/>
      <c r="E717" s="181"/>
      <c r="F717" s="181"/>
      <c r="G717" s="181"/>
      <c r="H717" s="181"/>
      <c r="I717" s="181"/>
      <c r="J717" s="181"/>
      <c r="K717" s="181"/>
      <c r="L717" s="181"/>
      <c r="M717" s="181"/>
      <c r="N717" s="181"/>
      <c r="O717" s="181"/>
      <c r="P717" s="181"/>
      <c r="Q717" s="181"/>
      <c r="R717" s="181"/>
      <c r="S717" s="181"/>
      <c r="T717" s="181"/>
      <c r="U717" s="181"/>
      <c r="V717" s="181"/>
      <c r="W717" s="181"/>
      <c r="X717" s="181"/>
      <c r="Y717" s="181"/>
      <c r="Z717" s="181"/>
    </row>
    <row r="718" ht="14.25" customHeight="1">
      <c r="A718" s="181"/>
      <c r="B718" s="181"/>
      <c r="C718" s="181"/>
      <c r="D718" s="181"/>
      <c r="E718" s="181"/>
      <c r="F718" s="181"/>
      <c r="G718" s="181"/>
      <c r="H718" s="181"/>
      <c r="I718" s="181"/>
      <c r="J718" s="181"/>
      <c r="K718" s="181"/>
      <c r="L718" s="181"/>
      <c r="M718" s="181"/>
      <c r="N718" s="181"/>
      <c r="O718" s="181"/>
      <c r="P718" s="181"/>
      <c r="Q718" s="181"/>
      <c r="R718" s="181"/>
      <c r="S718" s="181"/>
      <c r="T718" s="181"/>
      <c r="U718" s="181"/>
      <c r="V718" s="181"/>
      <c r="W718" s="181"/>
      <c r="X718" s="181"/>
      <c r="Y718" s="181"/>
      <c r="Z718" s="181"/>
    </row>
    <row r="719" ht="14.25" customHeight="1">
      <c r="A719" s="181"/>
      <c r="B719" s="181"/>
      <c r="C719" s="181"/>
      <c r="D719" s="181"/>
      <c r="E719" s="181"/>
      <c r="F719" s="181"/>
      <c r="G719" s="181"/>
      <c r="H719" s="181"/>
      <c r="I719" s="181"/>
      <c r="J719" s="181"/>
      <c r="K719" s="181"/>
      <c r="L719" s="181"/>
      <c r="M719" s="181"/>
      <c r="N719" s="181"/>
      <c r="O719" s="181"/>
      <c r="P719" s="181"/>
      <c r="Q719" s="181"/>
      <c r="R719" s="181"/>
      <c r="S719" s="181"/>
      <c r="T719" s="181"/>
      <c r="U719" s="181"/>
      <c r="V719" s="181"/>
      <c r="W719" s="181"/>
      <c r="X719" s="181"/>
      <c r="Y719" s="181"/>
      <c r="Z719" s="181"/>
    </row>
    <row r="720" ht="14.25" customHeight="1">
      <c r="A720" s="181"/>
      <c r="B720" s="181"/>
      <c r="C720" s="181"/>
      <c r="D720" s="181"/>
      <c r="E720" s="181"/>
      <c r="F720" s="181"/>
      <c r="G720" s="181"/>
      <c r="H720" s="181"/>
      <c r="I720" s="181"/>
      <c r="J720" s="181"/>
      <c r="K720" s="181"/>
      <c r="L720" s="181"/>
      <c r="M720" s="181"/>
      <c r="N720" s="181"/>
      <c r="O720" s="181"/>
      <c r="P720" s="181"/>
      <c r="Q720" s="181"/>
      <c r="R720" s="181"/>
      <c r="S720" s="181"/>
      <c r="T720" s="181"/>
      <c r="U720" s="181"/>
      <c r="V720" s="181"/>
      <c r="W720" s="181"/>
      <c r="X720" s="181"/>
      <c r="Y720" s="181"/>
      <c r="Z720" s="181"/>
    </row>
    <row r="721" ht="14.25" customHeight="1">
      <c r="A721" s="181"/>
      <c r="B721" s="181"/>
      <c r="C721" s="181"/>
      <c r="D721" s="181"/>
      <c r="E721" s="181"/>
      <c r="F721" s="181"/>
      <c r="G721" s="181"/>
      <c r="H721" s="181"/>
      <c r="I721" s="181"/>
      <c r="J721" s="181"/>
      <c r="K721" s="181"/>
      <c r="L721" s="181"/>
      <c r="M721" s="181"/>
      <c r="N721" s="181"/>
      <c r="O721" s="181"/>
      <c r="P721" s="181"/>
      <c r="Q721" s="181"/>
      <c r="R721" s="181"/>
      <c r="S721" s="181"/>
      <c r="T721" s="181"/>
      <c r="U721" s="181"/>
      <c r="V721" s="181"/>
      <c r="W721" s="181"/>
      <c r="X721" s="181"/>
      <c r="Y721" s="181"/>
      <c r="Z721" s="181"/>
    </row>
    <row r="722" ht="14.25" customHeight="1">
      <c r="A722" s="181"/>
      <c r="B722" s="181"/>
      <c r="C722" s="181"/>
      <c r="D722" s="181"/>
      <c r="E722" s="181"/>
      <c r="F722" s="181"/>
      <c r="G722" s="181"/>
      <c r="H722" s="181"/>
      <c r="I722" s="181"/>
      <c r="J722" s="181"/>
      <c r="K722" s="181"/>
      <c r="L722" s="181"/>
      <c r="M722" s="181"/>
      <c r="N722" s="181"/>
      <c r="O722" s="181"/>
      <c r="P722" s="181"/>
      <c r="Q722" s="181"/>
      <c r="R722" s="181"/>
      <c r="S722" s="181"/>
      <c r="T722" s="181"/>
      <c r="U722" s="181"/>
      <c r="V722" s="181"/>
      <c r="W722" s="181"/>
      <c r="X722" s="181"/>
      <c r="Y722" s="181"/>
      <c r="Z722" s="181"/>
    </row>
    <row r="723" ht="14.25" customHeight="1">
      <c r="A723" s="181"/>
      <c r="B723" s="181"/>
      <c r="C723" s="181"/>
      <c r="D723" s="181"/>
      <c r="E723" s="181"/>
      <c r="F723" s="181"/>
      <c r="G723" s="181"/>
      <c r="H723" s="181"/>
      <c r="I723" s="181"/>
      <c r="J723" s="181"/>
      <c r="K723" s="181"/>
      <c r="L723" s="181"/>
      <c r="M723" s="181"/>
      <c r="N723" s="181"/>
      <c r="O723" s="181"/>
      <c r="P723" s="181"/>
      <c r="Q723" s="181"/>
      <c r="R723" s="181"/>
      <c r="S723" s="181"/>
      <c r="T723" s="181"/>
      <c r="U723" s="181"/>
      <c r="V723" s="181"/>
      <c r="W723" s="181"/>
      <c r="X723" s="181"/>
      <c r="Y723" s="181"/>
      <c r="Z723" s="181"/>
    </row>
    <row r="724" ht="14.25" customHeight="1">
      <c r="A724" s="181"/>
      <c r="B724" s="181"/>
      <c r="C724" s="181"/>
      <c r="D724" s="181"/>
      <c r="E724" s="181"/>
      <c r="F724" s="181"/>
      <c r="G724" s="181"/>
      <c r="H724" s="181"/>
      <c r="I724" s="181"/>
      <c r="J724" s="181"/>
      <c r="K724" s="181"/>
      <c r="L724" s="181"/>
      <c r="M724" s="181"/>
      <c r="N724" s="181"/>
      <c r="O724" s="181"/>
      <c r="P724" s="181"/>
      <c r="Q724" s="181"/>
      <c r="R724" s="181"/>
      <c r="S724" s="181"/>
      <c r="T724" s="181"/>
      <c r="U724" s="181"/>
      <c r="V724" s="181"/>
      <c r="W724" s="181"/>
      <c r="X724" s="181"/>
      <c r="Y724" s="181"/>
      <c r="Z724" s="181"/>
    </row>
    <row r="725" ht="14.25" customHeight="1">
      <c r="A725" s="181"/>
      <c r="B725" s="181"/>
      <c r="C725" s="181"/>
      <c r="D725" s="181"/>
      <c r="E725" s="181"/>
      <c r="F725" s="181"/>
      <c r="G725" s="181"/>
      <c r="H725" s="181"/>
      <c r="I725" s="181"/>
      <c r="J725" s="181"/>
      <c r="K725" s="181"/>
      <c r="L725" s="181"/>
      <c r="M725" s="181"/>
      <c r="N725" s="181"/>
      <c r="O725" s="181"/>
      <c r="P725" s="181"/>
      <c r="Q725" s="181"/>
      <c r="R725" s="181"/>
      <c r="S725" s="181"/>
      <c r="T725" s="181"/>
      <c r="U725" s="181"/>
      <c r="V725" s="181"/>
      <c r="W725" s="181"/>
      <c r="X725" s="181"/>
      <c r="Y725" s="181"/>
      <c r="Z725" s="181"/>
    </row>
    <row r="726" ht="14.25" customHeight="1">
      <c r="A726" s="181"/>
      <c r="B726" s="181"/>
      <c r="C726" s="181"/>
      <c r="D726" s="181"/>
      <c r="E726" s="181"/>
      <c r="F726" s="181"/>
      <c r="G726" s="181"/>
      <c r="H726" s="181"/>
      <c r="I726" s="181"/>
      <c r="J726" s="181"/>
      <c r="K726" s="181"/>
      <c r="L726" s="181"/>
      <c r="M726" s="181"/>
      <c r="N726" s="181"/>
      <c r="O726" s="181"/>
      <c r="P726" s="181"/>
      <c r="Q726" s="181"/>
      <c r="R726" s="181"/>
      <c r="S726" s="181"/>
      <c r="T726" s="181"/>
      <c r="U726" s="181"/>
      <c r="V726" s="181"/>
      <c r="W726" s="181"/>
      <c r="X726" s="181"/>
      <c r="Y726" s="181"/>
      <c r="Z726" s="181"/>
    </row>
    <row r="727" ht="14.25" customHeight="1">
      <c r="A727" s="181"/>
      <c r="B727" s="181"/>
      <c r="C727" s="181"/>
      <c r="D727" s="181"/>
      <c r="E727" s="181"/>
      <c r="F727" s="181"/>
      <c r="G727" s="181"/>
      <c r="H727" s="181"/>
      <c r="I727" s="181"/>
      <c r="J727" s="181"/>
      <c r="K727" s="181"/>
      <c r="L727" s="181"/>
      <c r="M727" s="181"/>
      <c r="N727" s="181"/>
      <c r="O727" s="181"/>
      <c r="P727" s="181"/>
      <c r="Q727" s="181"/>
      <c r="R727" s="181"/>
      <c r="S727" s="181"/>
      <c r="T727" s="181"/>
      <c r="U727" s="181"/>
      <c r="V727" s="181"/>
      <c r="W727" s="181"/>
      <c r="X727" s="181"/>
      <c r="Y727" s="181"/>
      <c r="Z727" s="181"/>
    </row>
    <row r="728" ht="14.25" customHeight="1">
      <c r="A728" s="181"/>
      <c r="B728" s="181"/>
      <c r="C728" s="181"/>
      <c r="D728" s="181"/>
      <c r="E728" s="181"/>
      <c r="F728" s="181"/>
      <c r="G728" s="181"/>
      <c r="H728" s="181"/>
      <c r="I728" s="181"/>
      <c r="J728" s="181"/>
      <c r="K728" s="181"/>
      <c r="L728" s="181"/>
      <c r="M728" s="181"/>
      <c r="N728" s="181"/>
      <c r="O728" s="181"/>
      <c r="P728" s="181"/>
      <c r="Q728" s="181"/>
      <c r="R728" s="181"/>
      <c r="S728" s="181"/>
      <c r="T728" s="181"/>
      <c r="U728" s="181"/>
      <c r="V728" s="181"/>
      <c r="W728" s="181"/>
      <c r="X728" s="181"/>
      <c r="Y728" s="181"/>
      <c r="Z728" s="181"/>
    </row>
    <row r="729" ht="14.25" customHeight="1">
      <c r="A729" s="181"/>
      <c r="B729" s="181"/>
      <c r="C729" s="181"/>
      <c r="D729" s="181"/>
      <c r="E729" s="181"/>
      <c r="F729" s="181"/>
      <c r="G729" s="181"/>
      <c r="H729" s="181"/>
      <c r="I729" s="181"/>
      <c r="J729" s="181"/>
      <c r="K729" s="181"/>
      <c r="L729" s="181"/>
      <c r="M729" s="181"/>
      <c r="N729" s="181"/>
      <c r="O729" s="181"/>
      <c r="P729" s="181"/>
      <c r="Q729" s="181"/>
      <c r="R729" s="181"/>
      <c r="S729" s="181"/>
      <c r="T729" s="181"/>
      <c r="U729" s="181"/>
      <c r="V729" s="181"/>
      <c r="W729" s="181"/>
      <c r="X729" s="181"/>
      <c r="Y729" s="181"/>
      <c r="Z729" s="181"/>
    </row>
    <row r="730" ht="14.25" customHeight="1">
      <c r="A730" s="181"/>
      <c r="B730" s="181"/>
      <c r="C730" s="181"/>
      <c r="D730" s="181"/>
      <c r="E730" s="181"/>
      <c r="F730" s="181"/>
      <c r="G730" s="181"/>
      <c r="H730" s="181"/>
      <c r="I730" s="181"/>
      <c r="J730" s="181"/>
      <c r="K730" s="181"/>
      <c r="L730" s="181"/>
      <c r="M730" s="181"/>
      <c r="N730" s="181"/>
      <c r="O730" s="181"/>
      <c r="P730" s="181"/>
      <c r="Q730" s="181"/>
      <c r="R730" s="181"/>
      <c r="S730" s="181"/>
      <c r="T730" s="181"/>
      <c r="U730" s="181"/>
      <c r="V730" s="181"/>
      <c r="W730" s="181"/>
      <c r="X730" s="181"/>
      <c r="Y730" s="181"/>
      <c r="Z730" s="181"/>
    </row>
    <row r="731" ht="14.25" customHeight="1">
      <c r="A731" s="181"/>
      <c r="B731" s="181"/>
      <c r="C731" s="181"/>
      <c r="D731" s="181"/>
      <c r="E731" s="181"/>
      <c r="F731" s="181"/>
      <c r="G731" s="181"/>
      <c r="H731" s="181"/>
      <c r="I731" s="181"/>
      <c r="J731" s="181"/>
      <c r="K731" s="181"/>
      <c r="L731" s="181"/>
      <c r="M731" s="181"/>
      <c r="N731" s="181"/>
      <c r="O731" s="181"/>
      <c r="P731" s="181"/>
      <c r="Q731" s="181"/>
      <c r="R731" s="181"/>
      <c r="S731" s="181"/>
      <c r="T731" s="181"/>
      <c r="U731" s="181"/>
      <c r="V731" s="181"/>
      <c r="W731" s="181"/>
      <c r="X731" s="181"/>
      <c r="Y731" s="181"/>
      <c r="Z731" s="181"/>
    </row>
    <row r="732" ht="14.25" customHeight="1">
      <c r="A732" s="181"/>
      <c r="B732" s="181"/>
      <c r="C732" s="181"/>
      <c r="D732" s="181"/>
      <c r="E732" s="181"/>
      <c r="F732" s="181"/>
      <c r="G732" s="181"/>
      <c r="H732" s="181"/>
      <c r="I732" s="181"/>
      <c r="J732" s="181"/>
      <c r="K732" s="181"/>
      <c r="L732" s="181"/>
      <c r="M732" s="181"/>
      <c r="N732" s="181"/>
      <c r="O732" s="181"/>
      <c r="P732" s="181"/>
      <c r="Q732" s="181"/>
      <c r="R732" s="181"/>
      <c r="S732" s="181"/>
      <c r="T732" s="181"/>
      <c r="U732" s="181"/>
      <c r="V732" s="181"/>
      <c r="W732" s="181"/>
      <c r="X732" s="181"/>
      <c r="Y732" s="181"/>
      <c r="Z732" s="181"/>
    </row>
    <row r="733" ht="14.25" customHeight="1">
      <c r="A733" s="181"/>
      <c r="B733" s="181"/>
      <c r="C733" s="181"/>
      <c r="D733" s="181"/>
      <c r="E733" s="181"/>
      <c r="F733" s="181"/>
      <c r="G733" s="181"/>
      <c r="H733" s="181"/>
      <c r="I733" s="181"/>
      <c r="J733" s="181"/>
      <c r="K733" s="181"/>
      <c r="L733" s="181"/>
      <c r="M733" s="181"/>
      <c r="N733" s="181"/>
      <c r="O733" s="181"/>
      <c r="P733" s="181"/>
      <c r="Q733" s="181"/>
      <c r="R733" s="181"/>
      <c r="S733" s="181"/>
      <c r="T733" s="181"/>
      <c r="U733" s="181"/>
      <c r="V733" s="181"/>
      <c r="W733" s="181"/>
      <c r="X733" s="181"/>
      <c r="Y733" s="181"/>
      <c r="Z733" s="181"/>
    </row>
    <row r="734" ht="14.25" customHeight="1">
      <c r="A734" s="181"/>
      <c r="B734" s="181"/>
      <c r="C734" s="181"/>
      <c r="D734" s="181"/>
      <c r="E734" s="181"/>
      <c r="F734" s="181"/>
      <c r="G734" s="181"/>
      <c r="H734" s="181"/>
      <c r="I734" s="181"/>
      <c r="J734" s="181"/>
      <c r="K734" s="181"/>
      <c r="L734" s="181"/>
      <c r="M734" s="181"/>
      <c r="N734" s="181"/>
      <c r="O734" s="181"/>
      <c r="P734" s="181"/>
      <c r="Q734" s="181"/>
      <c r="R734" s="181"/>
      <c r="S734" s="181"/>
      <c r="T734" s="181"/>
      <c r="U734" s="181"/>
      <c r="V734" s="181"/>
      <c r="W734" s="181"/>
      <c r="X734" s="181"/>
      <c r="Y734" s="181"/>
      <c r="Z734" s="181"/>
    </row>
    <row r="735" ht="14.25" customHeight="1">
      <c r="A735" s="181"/>
      <c r="B735" s="181"/>
      <c r="C735" s="181"/>
      <c r="D735" s="181"/>
      <c r="E735" s="181"/>
      <c r="F735" s="181"/>
      <c r="G735" s="181"/>
      <c r="H735" s="181"/>
      <c r="I735" s="181"/>
      <c r="J735" s="181"/>
      <c r="K735" s="181"/>
      <c r="L735" s="181"/>
      <c r="M735" s="181"/>
      <c r="N735" s="181"/>
      <c r="O735" s="181"/>
      <c r="P735" s="181"/>
      <c r="Q735" s="181"/>
      <c r="R735" s="181"/>
      <c r="S735" s="181"/>
      <c r="T735" s="181"/>
      <c r="U735" s="181"/>
      <c r="V735" s="181"/>
      <c r="W735" s="181"/>
      <c r="X735" s="181"/>
      <c r="Y735" s="181"/>
      <c r="Z735" s="181"/>
    </row>
    <row r="736" ht="14.25" customHeight="1">
      <c r="A736" s="181"/>
      <c r="B736" s="181"/>
      <c r="C736" s="181"/>
      <c r="D736" s="181"/>
      <c r="E736" s="181"/>
      <c r="F736" s="181"/>
      <c r="G736" s="181"/>
      <c r="H736" s="181"/>
      <c r="I736" s="181"/>
      <c r="J736" s="181"/>
      <c r="K736" s="181"/>
      <c r="L736" s="181"/>
      <c r="M736" s="181"/>
      <c r="N736" s="181"/>
      <c r="O736" s="181"/>
      <c r="P736" s="181"/>
      <c r="Q736" s="181"/>
      <c r="R736" s="181"/>
      <c r="S736" s="181"/>
      <c r="T736" s="181"/>
      <c r="U736" s="181"/>
      <c r="V736" s="181"/>
      <c r="W736" s="181"/>
      <c r="X736" s="181"/>
      <c r="Y736" s="181"/>
      <c r="Z736" s="181"/>
    </row>
    <row r="737" ht="14.25" customHeight="1">
      <c r="A737" s="181"/>
      <c r="B737" s="181"/>
      <c r="C737" s="181"/>
      <c r="D737" s="181"/>
      <c r="E737" s="181"/>
      <c r="F737" s="181"/>
      <c r="G737" s="181"/>
      <c r="H737" s="181"/>
      <c r="I737" s="181"/>
      <c r="J737" s="181"/>
      <c r="K737" s="181"/>
      <c r="L737" s="181"/>
      <c r="M737" s="181"/>
      <c r="N737" s="181"/>
      <c r="O737" s="181"/>
      <c r="P737" s="181"/>
      <c r="Q737" s="181"/>
      <c r="R737" s="181"/>
      <c r="S737" s="181"/>
      <c r="T737" s="181"/>
      <c r="U737" s="181"/>
      <c r="V737" s="181"/>
      <c r="W737" s="181"/>
      <c r="X737" s="181"/>
      <c r="Y737" s="181"/>
      <c r="Z737" s="181"/>
    </row>
    <row r="738" ht="14.25" customHeight="1">
      <c r="A738" s="181"/>
      <c r="B738" s="181"/>
      <c r="C738" s="181"/>
      <c r="D738" s="181"/>
      <c r="E738" s="181"/>
      <c r="F738" s="181"/>
      <c r="G738" s="181"/>
      <c r="H738" s="181"/>
      <c r="I738" s="181"/>
      <c r="J738" s="181"/>
      <c r="K738" s="181"/>
      <c r="L738" s="181"/>
      <c r="M738" s="181"/>
      <c r="N738" s="181"/>
      <c r="O738" s="181"/>
      <c r="P738" s="181"/>
      <c r="Q738" s="181"/>
      <c r="R738" s="181"/>
      <c r="S738" s="181"/>
      <c r="T738" s="181"/>
      <c r="U738" s="181"/>
      <c r="V738" s="181"/>
      <c r="W738" s="181"/>
      <c r="X738" s="181"/>
      <c r="Y738" s="181"/>
      <c r="Z738" s="181"/>
    </row>
    <row r="739" ht="14.25" customHeight="1">
      <c r="A739" s="181"/>
      <c r="B739" s="181"/>
      <c r="C739" s="181"/>
      <c r="D739" s="181"/>
      <c r="E739" s="181"/>
      <c r="F739" s="181"/>
      <c r="G739" s="181"/>
      <c r="H739" s="181"/>
      <c r="I739" s="181"/>
      <c r="J739" s="181"/>
      <c r="K739" s="181"/>
      <c r="L739" s="181"/>
      <c r="M739" s="181"/>
      <c r="N739" s="181"/>
      <c r="O739" s="181"/>
      <c r="P739" s="181"/>
      <c r="Q739" s="181"/>
      <c r="R739" s="181"/>
      <c r="S739" s="181"/>
      <c r="T739" s="181"/>
      <c r="U739" s="181"/>
      <c r="V739" s="181"/>
      <c r="W739" s="181"/>
      <c r="X739" s="181"/>
      <c r="Y739" s="181"/>
      <c r="Z739" s="181"/>
    </row>
    <row r="740" ht="14.25" customHeight="1">
      <c r="A740" s="181"/>
      <c r="B740" s="181"/>
      <c r="C740" s="181"/>
      <c r="D740" s="181"/>
      <c r="E740" s="181"/>
      <c r="F740" s="181"/>
      <c r="G740" s="181"/>
      <c r="H740" s="181"/>
      <c r="I740" s="181"/>
      <c r="J740" s="181"/>
      <c r="K740" s="181"/>
      <c r="L740" s="181"/>
      <c r="M740" s="181"/>
      <c r="N740" s="181"/>
      <c r="O740" s="181"/>
      <c r="P740" s="181"/>
      <c r="Q740" s="181"/>
      <c r="R740" s="181"/>
      <c r="S740" s="181"/>
      <c r="T740" s="181"/>
      <c r="U740" s="181"/>
      <c r="V740" s="181"/>
      <c r="W740" s="181"/>
      <c r="X740" s="181"/>
      <c r="Y740" s="181"/>
      <c r="Z740" s="181"/>
    </row>
    <row r="741" ht="14.25" customHeight="1">
      <c r="A741" s="181"/>
      <c r="B741" s="181"/>
      <c r="C741" s="181"/>
      <c r="D741" s="181"/>
      <c r="E741" s="181"/>
      <c r="F741" s="181"/>
      <c r="G741" s="181"/>
      <c r="H741" s="181"/>
      <c r="I741" s="181"/>
      <c r="J741" s="181"/>
      <c r="K741" s="181"/>
      <c r="L741" s="181"/>
      <c r="M741" s="181"/>
      <c r="N741" s="181"/>
      <c r="O741" s="181"/>
      <c r="P741" s="181"/>
      <c r="Q741" s="181"/>
      <c r="R741" s="181"/>
      <c r="S741" s="181"/>
      <c r="T741" s="181"/>
      <c r="U741" s="181"/>
      <c r="V741" s="181"/>
      <c r="W741" s="181"/>
      <c r="X741" s="181"/>
      <c r="Y741" s="181"/>
      <c r="Z741" s="181"/>
    </row>
    <row r="742" ht="14.25" customHeight="1">
      <c r="A742" s="181"/>
      <c r="B742" s="181"/>
      <c r="C742" s="181"/>
      <c r="D742" s="181"/>
      <c r="E742" s="181"/>
      <c r="F742" s="181"/>
      <c r="G742" s="181"/>
      <c r="H742" s="181"/>
      <c r="I742" s="181"/>
      <c r="J742" s="181"/>
      <c r="K742" s="181"/>
      <c r="L742" s="181"/>
      <c r="M742" s="181"/>
      <c r="N742" s="181"/>
      <c r="O742" s="181"/>
      <c r="P742" s="181"/>
      <c r="Q742" s="181"/>
      <c r="R742" s="181"/>
      <c r="S742" s="181"/>
      <c r="T742" s="181"/>
      <c r="U742" s="181"/>
      <c r="V742" s="181"/>
      <c r="W742" s="181"/>
      <c r="X742" s="181"/>
      <c r="Y742" s="181"/>
      <c r="Z742" s="181"/>
    </row>
    <row r="743" ht="14.25" customHeight="1">
      <c r="A743" s="181"/>
      <c r="B743" s="181"/>
      <c r="C743" s="181"/>
      <c r="D743" s="181"/>
      <c r="E743" s="181"/>
      <c r="F743" s="181"/>
      <c r="G743" s="181"/>
      <c r="H743" s="181"/>
      <c r="I743" s="181"/>
      <c r="J743" s="181"/>
      <c r="K743" s="181"/>
      <c r="L743" s="181"/>
      <c r="M743" s="181"/>
      <c r="N743" s="181"/>
      <c r="O743" s="181"/>
      <c r="P743" s="181"/>
      <c r="Q743" s="181"/>
      <c r="R743" s="181"/>
      <c r="S743" s="181"/>
      <c r="T743" s="181"/>
      <c r="U743" s="181"/>
      <c r="V743" s="181"/>
      <c r="W743" s="181"/>
      <c r="X743" s="181"/>
      <c r="Y743" s="181"/>
      <c r="Z743" s="181"/>
    </row>
    <row r="744" ht="14.25" customHeight="1">
      <c r="A744" s="181"/>
      <c r="B744" s="181"/>
      <c r="C744" s="181"/>
      <c r="D744" s="181"/>
      <c r="E744" s="181"/>
      <c r="F744" s="181"/>
      <c r="G744" s="181"/>
      <c r="H744" s="181"/>
      <c r="I744" s="181"/>
      <c r="J744" s="181"/>
      <c r="K744" s="181"/>
      <c r="L744" s="181"/>
      <c r="M744" s="181"/>
      <c r="N744" s="181"/>
      <c r="O744" s="181"/>
      <c r="P744" s="181"/>
      <c r="Q744" s="181"/>
      <c r="R744" s="181"/>
      <c r="S744" s="181"/>
      <c r="T744" s="181"/>
      <c r="U744" s="181"/>
      <c r="V744" s="181"/>
      <c r="W744" s="181"/>
      <c r="X744" s="181"/>
      <c r="Y744" s="181"/>
      <c r="Z744" s="181"/>
    </row>
    <row r="745" ht="14.25" customHeight="1">
      <c r="A745" s="181"/>
      <c r="B745" s="181"/>
      <c r="C745" s="181"/>
      <c r="D745" s="181"/>
      <c r="E745" s="181"/>
      <c r="F745" s="181"/>
      <c r="G745" s="181"/>
      <c r="H745" s="181"/>
      <c r="I745" s="181"/>
      <c r="J745" s="181"/>
      <c r="K745" s="181"/>
      <c r="L745" s="181"/>
      <c r="M745" s="181"/>
      <c r="N745" s="181"/>
      <c r="O745" s="181"/>
      <c r="P745" s="181"/>
      <c r="Q745" s="181"/>
      <c r="R745" s="181"/>
      <c r="S745" s="181"/>
      <c r="T745" s="181"/>
      <c r="U745" s="181"/>
      <c r="V745" s="181"/>
      <c r="W745" s="181"/>
      <c r="X745" s="181"/>
      <c r="Y745" s="181"/>
      <c r="Z745" s="181"/>
    </row>
    <row r="746" ht="14.25" customHeight="1">
      <c r="A746" s="181"/>
      <c r="B746" s="181"/>
      <c r="C746" s="181"/>
      <c r="D746" s="181"/>
      <c r="E746" s="181"/>
      <c r="F746" s="181"/>
      <c r="G746" s="181"/>
      <c r="H746" s="181"/>
      <c r="I746" s="181"/>
      <c r="J746" s="181"/>
      <c r="K746" s="181"/>
      <c r="L746" s="181"/>
      <c r="M746" s="181"/>
      <c r="N746" s="181"/>
      <c r="O746" s="181"/>
      <c r="P746" s="181"/>
      <c r="Q746" s="181"/>
      <c r="R746" s="181"/>
      <c r="S746" s="181"/>
      <c r="T746" s="181"/>
      <c r="U746" s="181"/>
      <c r="V746" s="181"/>
      <c r="W746" s="181"/>
      <c r="X746" s="181"/>
      <c r="Y746" s="181"/>
      <c r="Z746" s="181"/>
    </row>
    <row r="747" ht="14.25" customHeight="1">
      <c r="A747" s="181"/>
      <c r="B747" s="181"/>
      <c r="C747" s="181"/>
      <c r="D747" s="181"/>
      <c r="E747" s="181"/>
      <c r="F747" s="181"/>
      <c r="G747" s="181"/>
      <c r="H747" s="181"/>
      <c r="I747" s="181"/>
      <c r="J747" s="181"/>
      <c r="K747" s="181"/>
      <c r="L747" s="181"/>
      <c r="M747" s="181"/>
      <c r="N747" s="181"/>
      <c r="O747" s="181"/>
      <c r="P747" s="181"/>
      <c r="Q747" s="181"/>
      <c r="R747" s="181"/>
      <c r="S747" s="181"/>
      <c r="T747" s="181"/>
      <c r="U747" s="181"/>
      <c r="V747" s="181"/>
      <c r="W747" s="181"/>
      <c r="X747" s="181"/>
      <c r="Y747" s="181"/>
      <c r="Z747" s="181"/>
    </row>
    <row r="748" ht="14.25" customHeight="1">
      <c r="A748" s="181"/>
      <c r="B748" s="181"/>
      <c r="C748" s="181"/>
      <c r="D748" s="181"/>
      <c r="E748" s="181"/>
      <c r="F748" s="181"/>
      <c r="G748" s="181"/>
      <c r="H748" s="181"/>
      <c r="I748" s="181"/>
      <c r="J748" s="181"/>
      <c r="K748" s="181"/>
      <c r="L748" s="181"/>
      <c r="M748" s="181"/>
      <c r="N748" s="181"/>
      <c r="O748" s="181"/>
      <c r="P748" s="181"/>
      <c r="Q748" s="181"/>
      <c r="R748" s="181"/>
      <c r="S748" s="181"/>
      <c r="T748" s="181"/>
      <c r="U748" s="181"/>
      <c r="V748" s="181"/>
      <c r="W748" s="181"/>
      <c r="X748" s="181"/>
      <c r="Y748" s="181"/>
      <c r="Z748" s="181"/>
    </row>
    <row r="749" ht="14.25" customHeight="1">
      <c r="A749" s="181"/>
      <c r="B749" s="181"/>
      <c r="C749" s="181"/>
      <c r="D749" s="181"/>
      <c r="E749" s="181"/>
      <c r="F749" s="181"/>
      <c r="G749" s="181"/>
      <c r="H749" s="181"/>
      <c r="I749" s="181"/>
      <c r="J749" s="181"/>
      <c r="K749" s="181"/>
      <c r="L749" s="181"/>
      <c r="M749" s="181"/>
      <c r="N749" s="181"/>
      <c r="O749" s="181"/>
      <c r="P749" s="181"/>
      <c r="Q749" s="181"/>
      <c r="R749" s="181"/>
      <c r="S749" s="181"/>
      <c r="T749" s="181"/>
      <c r="U749" s="181"/>
      <c r="V749" s="181"/>
      <c r="W749" s="181"/>
      <c r="X749" s="181"/>
      <c r="Y749" s="181"/>
      <c r="Z749" s="181"/>
    </row>
    <row r="750" ht="14.25" customHeight="1">
      <c r="A750" s="181"/>
      <c r="B750" s="181"/>
      <c r="C750" s="181"/>
      <c r="D750" s="181"/>
      <c r="E750" s="181"/>
      <c r="F750" s="181"/>
      <c r="G750" s="181"/>
      <c r="H750" s="181"/>
      <c r="I750" s="181"/>
      <c r="J750" s="181"/>
      <c r="K750" s="181"/>
      <c r="L750" s="181"/>
      <c r="M750" s="181"/>
      <c r="N750" s="181"/>
      <c r="O750" s="181"/>
      <c r="P750" s="181"/>
      <c r="Q750" s="181"/>
      <c r="R750" s="181"/>
      <c r="S750" s="181"/>
      <c r="T750" s="181"/>
      <c r="U750" s="181"/>
      <c r="V750" s="181"/>
      <c r="W750" s="181"/>
      <c r="X750" s="181"/>
      <c r="Y750" s="181"/>
      <c r="Z750" s="181"/>
    </row>
    <row r="751" ht="14.25" customHeight="1">
      <c r="A751" s="181"/>
      <c r="B751" s="181"/>
      <c r="C751" s="181"/>
      <c r="D751" s="181"/>
      <c r="E751" s="181"/>
      <c r="F751" s="181"/>
      <c r="G751" s="181"/>
      <c r="H751" s="181"/>
      <c r="I751" s="181"/>
      <c r="J751" s="181"/>
      <c r="K751" s="181"/>
      <c r="L751" s="181"/>
      <c r="M751" s="181"/>
      <c r="N751" s="181"/>
      <c r="O751" s="181"/>
      <c r="P751" s="181"/>
      <c r="Q751" s="181"/>
      <c r="R751" s="181"/>
      <c r="S751" s="181"/>
      <c r="T751" s="181"/>
      <c r="U751" s="181"/>
      <c r="V751" s="181"/>
      <c r="W751" s="181"/>
      <c r="X751" s="181"/>
      <c r="Y751" s="181"/>
      <c r="Z751" s="181"/>
    </row>
    <row r="752" ht="14.25" customHeight="1">
      <c r="A752" s="181"/>
      <c r="B752" s="181"/>
      <c r="C752" s="181"/>
      <c r="D752" s="181"/>
      <c r="E752" s="181"/>
      <c r="F752" s="181"/>
      <c r="G752" s="181"/>
      <c r="H752" s="181"/>
      <c r="I752" s="181"/>
      <c r="J752" s="181"/>
      <c r="K752" s="181"/>
      <c r="L752" s="181"/>
      <c r="M752" s="181"/>
      <c r="N752" s="181"/>
      <c r="O752" s="181"/>
      <c r="P752" s="181"/>
      <c r="Q752" s="181"/>
      <c r="R752" s="181"/>
      <c r="S752" s="181"/>
      <c r="T752" s="181"/>
      <c r="U752" s="181"/>
      <c r="V752" s="181"/>
      <c r="W752" s="181"/>
      <c r="X752" s="181"/>
      <c r="Y752" s="181"/>
      <c r="Z752" s="181"/>
    </row>
    <row r="753" ht="14.25" customHeight="1">
      <c r="A753" s="181"/>
      <c r="B753" s="181"/>
      <c r="C753" s="181"/>
      <c r="D753" s="181"/>
      <c r="E753" s="181"/>
      <c r="F753" s="181"/>
      <c r="G753" s="181"/>
      <c r="H753" s="181"/>
      <c r="I753" s="181"/>
      <c r="J753" s="181"/>
      <c r="K753" s="181"/>
      <c r="L753" s="181"/>
      <c r="M753" s="181"/>
      <c r="N753" s="181"/>
      <c r="O753" s="181"/>
      <c r="P753" s="181"/>
      <c r="Q753" s="181"/>
      <c r="R753" s="181"/>
      <c r="S753" s="181"/>
      <c r="T753" s="181"/>
      <c r="U753" s="181"/>
      <c r="V753" s="181"/>
      <c r="W753" s="181"/>
      <c r="X753" s="181"/>
      <c r="Y753" s="181"/>
      <c r="Z753" s="181"/>
    </row>
    <row r="754" ht="14.25" customHeight="1">
      <c r="A754" s="181"/>
      <c r="B754" s="181"/>
      <c r="C754" s="181"/>
      <c r="D754" s="181"/>
      <c r="E754" s="181"/>
      <c r="F754" s="181"/>
      <c r="G754" s="181"/>
      <c r="H754" s="181"/>
      <c r="I754" s="181"/>
      <c r="J754" s="181"/>
      <c r="K754" s="181"/>
      <c r="L754" s="181"/>
      <c r="M754" s="181"/>
      <c r="N754" s="181"/>
      <c r="O754" s="181"/>
      <c r="P754" s="181"/>
      <c r="Q754" s="181"/>
      <c r="R754" s="181"/>
      <c r="S754" s="181"/>
      <c r="T754" s="181"/>
      <c r="U754" s="181"/>
      <c r="V754" s="181"/>
      <c r="W754" s="181"/>
      <c r="X754" s="181"/>
      <c r="Y754" s="181"/>
      <c r="Z754" s="181"/>
    </row>
    <row r="755" ht="14.25" customHeight="1">
      <c r="A755" s="181"/>
      <c r="B755" s="181"/>
      <c r="C755" s="181"/>
      <c r="D755" s="181"/>
      <c r="E755" s="181"/>
      <c r="F755" s="181"/>
      <c r="G755" s="181"/>
      <c r="H755" s="181"/>
      <c r="I755" s="181"/>
      <c r="J755" s="181"/>
      <c r="K755" s="181"/>
      <c r="L755" s="181"/>
      <c r="M755" s="181"/>
      <c r="N755" s="181"/>
      <c r="O755" s="181"/>
      <c r="P755" s="181"/>
      <c r="Q755" s="181"/>
      <c r="R755" s="181"/>
      <c r="S755" s="181"/>
      <c r="T755" s="181"/>
      <c r="U755" s="181"/>
      <c r="V755" s="181"/>
      <c r="W755" s="181"/>
      <c r="X755" s="181"/>
      <c r="Y755" s="181"/>
      <c r="Z755" s="181"/>
    </row>
    <row r="756" ht="14.25" customHeight="1">
      <c r="A756" s="181"/>
      <c r="B756" s="181"/>
      <c r="C756" s="181"/>
      <c r="D756" s="181"/>
      <c r="E756" s="181"/>
      <c r="F756" s="181"/>
      <c r="G756" s="181"/>
      <c r="H756" s="181"/>
      <c r="I756" s="181"/>
      <c r="J756" s="181"/>
      <c r="K756" s="181"/>
      <c r="L756" s="181"/>
      <c r="M756" s="181"/>
      <c r="N756" s="181"/>
      <c r="O756" s="181"/>
      <c r="P756" s="181"/>
      <c r="Q756" s="181"/>
      <c r="R756" s="181"/>
      <c r="S756" s="181"/>
      <c r="T756" s="181"/>
      <c r="U756" s="181"/>
      <c r="V756" s="181"/>
      <c r="W756" s="181"/>
      <c r="X756" s="181"/>
      <c r="Y756" s="181"/>
      <c r="Z756" s="181"/>
    </row>
    <row r="757" ht="14.25" customHeight="1">
      <c r="A757" s="181"/>
      <c r="B757" s="181"/>
      <c r="C757" s="181"/>
      <c r="D757" s="181"/>
      <c r="E757" s="181"/>
      <c r="F757" s="181"/>
      <c r="G757" s="181"/>
      <c r="H757" s="181"/>
      <c r="I757" s="181"/>
      <c r="J757" s="181"/>
      <c r="K757" s="181"/>
      <c r="L757" s="181"/>
      <c r="M757" s="181"/>
      <c r="N757" s="181"/>
      <c r="O757" s="181"/>
      <c r="P757" s="181"/>
      <c r="Q757" s="181"/>
      <c r="R757" s="181"/>
      <c r="S757" s="181"/>
      <c r="T757" s="181"/>
      <c r="U757" s="181"/>
      <c r="V757" s="181"/>
      <c r="W757" s="181"/>
      <c r="X757" s="181"/>
      <c r="Y757" s="181"/>
      <c r="Z757" s="181"/>
    </row>
    <row r="758" ht="14.25" customHeight="1">
      <c r="A758" s="181"/>
      <c r="B758" s="181"/>
      <c r="C758" s="181"/>
      <c r="D758" s="181"/>
      <c r="E758" s="181"/>
      <c r="F758" s="181"/>
      <c r="G758" s="181"/>
      <c r="H758" s="181"/>
      <c r="I758" s="181"/>
      <c r="J758" s="181"/>
      <c r="K758" s="181"/>
      <c r="L758" s="181"/>
      <c r="M758" s="181"/>
      <c r="N758" s="181"/>
      <c r="O758" s="181"/>
      <c r="P758" s="181"/>
      <c r="Q758" s="181"/>
      <c r="R758" s="181"/>
      <c r="S758" s="181"/>
      <c r="T758" s="181"/>
      <c r="U758" s="181"/>
      <c r="V758" s="181"/>
      <c r="W758" s="181"/>
      <c r="X758" s="181"/>
      <c r="Y758" s="181"/>
      <c r="Z758" s="181"/>
    </row>
    <row r="759" ht="14.25" customHeight="1">
      <c r="A759" s="181"/>
      <c r="B759" s="181"/>
      <c r="C759" s="181"/>
      <c r="D759" s="181"/>
      <c r="E759" s="181"/>
      <c r="F759" s="181"/>
      <c r="G759" s="181"/>
      <c r="H759" s="181"/>
      <c r="I759" s="181"/>
      <c r="J759" s="181"/>
      <c r="K759" s="181"/>
      <c r="L759" s="181"/>
      <c r="M759" s="181"/>
      <c r="N759" s="181"/>
      <c r="O759" s="181"/>
      <c r="P759" s="181"/>
      <c r="Q759" s="181"/>
      <c r="R759" s="181"/>
      <c r="S759" s="181"/>
      <c r="T759" s="181"/>
      <c r="U759" s="181"/>
      <c r="V759" s="181"/>
      <c r="W759" s="181"/>
      <c r="X759" s="181"/>
      <c r="Y759" s="181"/>
      <c r="Z759" s="181"/>
    </row>
    <row r="760" ht="14.25" customHeight="1">
      <c r="A760" s="181"/>
      <c r="B760" s="181"/>
      <c r="C760" s="181"/>
      <c r="D760" s="181"/>
      <c r="E760" s="181"/>
      <c r="F760" s="181"/>
      <c r="G760" s="181"/>
      <c r="H760" s="181"/>
      <c r="I760" s="181"/>
      <c r="J760" s="181"/>
      <c r="K760" s="181"/>
      <c r="L760" s="181"/>
      <c r="M760" s="181"/>
      <c r="N760" s="181"/>
      <c r="O760" s="181"/>
      <c r="P760" s="181"/>
      <c r="Q760" s="181"/>
      <c r="R760" s="181"/>
      <c r="S760" s="181"/>
      <c r="T760" s="181"/>
      <c r="U760" s="181"/>
      <c r="V760" s="181"/>
      <c r="W760" s="181"/>
      <c r="X760" s="181"/>
      <c r="Y760" s="181"/>
      <c r="Z760" s="181"/>
    </row>
    <row r="761" ht="14.25" customHeight="1">
      <c r="A761" s="181"/>
      <c r="B761" s="181"/>
      <c r="C761" s="181"/>
      <c r="D761" s="181"/>
      <c r="E761" s="181"/>
      <c r="F761" s="181"/>
      <c r="G761" s="181"/>
      <c r="H761" s="181"/>
      <c r="I761" s="181"/>
      <c r="J761" s="181"/>
      <c r="K761" s="181"/>
      <c r="L761" s="181"/>
      <c r="M761" s="181"/>
      <c r="N761" s="181"/>
      <c r="O761" s="181"/>
      <c r="P761" s="181"/>
      <c r="Q761" s="181"/>
      <c r="R761" s="181"/>
      <c r="S761" s="181"/>
      <c r="T761" s="181"/>
      <c r="U761" s="181"/>
      <c r="V761" s="181"/>
      <c r="W761" s="181"/>
      <c r="X761" s="181"/>
      <c r="Y761" s="181"/>
      <c r="Z761" s="181"/>
    </row>
    <row r="762" ht="14.25" customHeight="1">
      <c r="A762" s="181"/>
      <c r="B762" s="181"/>
      <c r="C762" s="181"/>
      <c r="D762" s="181"/>
      <c r="E762" s="181"/>
      <c r="F762" s="181"/>
      <c r="G762" s="181"/>
      <c r="H762" s="181"/>
      <c r="I762" s="181"/>
      <c r="J762" s="181"/>
      <c r="K762" s="181"/>
      <c r="L762" s="181"/>
      <c r="M762" s="181"/>
      <c r="N762" s="181"/>
      <c r="O762" s="181"/>
      <c r="P762" s="181"/>
      <c r="Q762" s="181"/>
      <c r="R762" s="181"/>
      <c r="S762" s="181"/>
      <c r="T762" s="181"/>
      <c r="U762" s="181"/>
      <c r="V762" s="181"/>
      <c r="W762" s="181"/>
      <c r="X762" s="181"/>
      <c r="Y762" s="181"/>
      <c r="Z762" s="181"/>
    </row>
    <row r="763" ht="14.25" customHeight="1">
      <c r="A763" s="181"/>
      <c r="B763" s="181"/>
      <c r="C763" s="181"/>
      <c r="D763" s="181"/>
      <c r="E763" s="181"/>
      <c r="F763" s="181"/>
      <c r="G763" s="181"/>
      <c r="H763" s="181"/>
      <c r="I763" s="181"/>
      <c r="J763" s="181"/>
      <c r="K763" s="181"/>
      <c r="L763" s="181"/>
      <c r="M763" s="181"/>
      <c r="N763" s="181"/>
      <c r="O763" s="181"/>
      <c r="P763" s="181"/>
      <c r="Q763" s="181"/>
      <c r="R763" s="181"/>
      <c r="S763" s="181"/>
      <c r="T763" s="181"/>
      <c r="U763" s="181"/>
      <c r="V763" s="181"/>
      <c r="W763" s="181"/>
      <c r="X763" s="181"/>
      <c r="Y763" s="181"/>
      <c r="Z763" s="181"/>
    </row>
    <row r="764" ht="14.25" customHeight="1">
      <c r="A764" s="181"/>
      <c r="B764" s="181"/>
      <c r="C764" s="181"/>
      <c r="D764" s="181"/>
      <c r="E764" s="181"/>
      <c r="F764" s="181"/>
      <c r="G764" s="181"/>
      <c r="H764" s="181"/>
      <c r="I764" s="181"/>
      <c r="J764" s="181"/>
      <c r="K764" s="181"/>
      <c r="L764" s="181"/>
      <c r="M764" s="181"/>
      <c r="N764" s="181"/>
      <c r="O764" s="181"/>
      <c r="P764" s="181"/>
      <c r="Q764" s="181"/>
      <c r="R764" s="181"/>
      <c r="S764" s="181"/>
      <c r="T764" s="181"/>
      <c r="U764" s="181"/>
      <c r="V764" s="181"/>
      <c r="W764" s="181"/>
      <c r="X764" s="181"/>
      <c r="Y764" s="181"/>
      <c r="Z764" s="181"/>
    </row>
    <row r="765" ht="14.25" customHeight="1">
      <c r="A765" s="181"/>
      <c r="B765" s="181"/>
      <c r="C765" s="181"/>
      <c r="D765" s="181"/>
      <c r="E765" s="181"/>
      <c r="F765" s="181"/>
      <c r="G765" s="181"/>
      <c r="H765" s="181"/>
      <c r="I765" s="181"/>
      <c r="J765" s="181"/>
      <c r="K765" s="181"/>
      <c r="L765" s="181"/>
      <c r="M765" s="181"/>
      <c r="N765" s="181"/>
      <c r="O765" s="181"/>
      <c r="P765" s="181"/>
      <c r="Q765" s="181"/>
      <c r="R765" s="181"/>
      <c r="S765" s="181"/>
      <c r="T765" s="181"/>
      <c r="U765" s="181"/>
      <c r="V765" s="181"/>
      <c r="W765" s="181"/>
      <c r="X765" s="181"/>
      <c r="Y765" s="181"/>
      <c r="Z765" s="181"/>
    </row>
    <row r="766" ht="14.25" customHeight="1">
      <c r="A766" s="181"/>
      <c r="B766" s="181"/>
      <c r="C766" s="181"/>
      <c r="D766" s="181"/>
      <c r="E766" s="181"/>
      <c r="F766" s="181"/>
      <c r="G766" s="181"/>
      <c r="H766" s="181"/>
      <c r="I766" s="181"/>
      <c r="J766" s="181"/>
      <c r="K766" s="181"/>
      <c r="L766" s="181"/>
      <c r="M766" s="181"/>
      <c r="N766" s="181"/>
      <c r="O766" s="181"/>
      <c r="P766" s="181"/>
      <c r="Q766" s="181"/>
      <c r="R766" s="181"/>
      <c r="S766" s="181"/>
      <c r="T766" s="181"/>
      <c r="U766" s="181"/>
      <c r="V766" s="181"/>
      <c r="W766" s="181"/>
      <c r="X766" s="181"/>
      <c r="Y766" s="181"/>
      <c r="Z766" s="181"/>
    </row>
    <row r="767" ht="14.25" customHeight="1">
      <c r="A767" s="181"/>
      <c r="B767" s="181"/>
      <c r="C767" s="181"/>
      <c r="D767" s="181"/>
      <c r="E767" s="181"/>
      <c r="F767" s="181"/>
      <c r="G767" s="181"/>
      <c r="H767" s="181"/>
      <c r="I767" s="181"/>
      <c r="J767" s="181"/>
      <c r="K767" s="181"/>
      <c r="L767" s="181"/>
      <c r="M767" s="181"/>
      <c r="N767" s="181"/>
      <c r="O767" s="181"/>
      <c r="P767" s="181"/>
      <c r="Q767" s="181"/>
      <c r="R767" s="181"/>
      <c r="S767" s="181"/>
      <c r="T767" s="181"/>
      <c r="U767" s="181"/>
      <c r="V767" s="181"/>
      <c r="W767" s="181"/>
      <c r="X767" s="181"/>
      <c r="Y767" s="181"/>
      <c r="Z767" s="181"/>
    </row>
    <row r="768" ht="14.25" customHeight="1">
      <c r="A768" s="181"/>
      <c r="B768" s="181"/>
      <c r="C768" s="181"/>
      <c r="D768" s="181"/>
      <c r="E768" s="181"/>
      <c r="F768" s="181"/>
      <c r="G768" s="181"/>
      <c r="H768" s="181"/>
      <c r="I768" s="181"/>
      <c r="J768" s="181"/>
      <c r="K768" s="181"/>
      <c r="L768" s="181"/>
      <c r="M768" s="181"/>
      <c r="N768" s="181"/>
      <c r="O768" s="181"/>
      <c r="P768" s="181"/>
      <c r="Q768" s="181"/>
      <c r="R768" s="181"/>
      <c r="S768" s="181"/>
      <c r="T768" s="181"/>
      <c r="U768" s="181"/>
      <c r="V768" s="181"/>
      <c r="W768" s="181"/>
      <c r="X768" s="181"/>
      <c r="Y768" s="181"/>
      <c r="Z768" s="181"/>
    </row>
    <row r="769" ht="14.25" customHeight="1">
      <c r="A769" s="181"/>
      <c r="B769" s="181"/>
      <c r="C769" s="181"/>
      <c r="D769" s="181"/>
      <c r="E769" s="181"/>
      <c r="F769" s="181"/>
      <c r="G769" s="181"/>
      <c r="H769" s="181"/>
      <c r="I769" s="181"/>
      <c r="J769" s="181"/>
      <c r="K769" s="181"/>
      <c r="L769" s="181"/>
      <c r="M769" s="181"/>
      <c r="N769" s="181"/>
      <c r="O769" s="181"/>
      <c r="P769" s="181"/>
      <c r="Q769" s="181"/>
      <c r="R769" s="181"/>
      <c r="S769" s="181"/>
      <c r="T769" s="181"/>
      <c r="U769" s="181"/>
      <c r="V769" s="181"/>
      <c r="W769" s="181"/>
      <c r="X769" s="181"/>
      <c r="Y769" s="181"/>
      <c r="Z769" s="181"/>
    </row>
    <row r="770" ht="14.25" customHeight="1">
      <c r="A770" s="181"/>
      <c r="B770" s="181"/>
      <c r="C770" s="181"/>
      <c r="D770" s="181"/>
      <c r="E770" s="181"/>
      <c r="F770" s="181"/>
      <c r="G770" s="181"/>
      <c r="H770" s="181"/>
      <c r="I770" s="181"/>
      <c r="J770" s="181"/>
      <c r="K770" s="181"/>
      <c r="L770" s="181"/>
      <c r="M770" s="181"/>
      <c r="N770" s="181"/>
      <c r="O770" s="181"/>
      <c r="P770" s="181"/>
      <c r="Q770" s="181"/>
      <c r="R770" s="181"/>
      <c r="S770" s="181"/>
      <c r="T770" s="181"/>
      <c r="U770" s="181"/>
      <c r="V770" s="181"/>
      <c r="W770" s="181"/>
      <c r="X770" s="181"/>
      <c r="Y770" s="181"/>
      <c r="Z770" s="181"/>
    </row>
    <row r="771" ht="14.25" customHeight="1">
      <c r="A771" s="181"/>
      <c r="B771" s="181"/>
      <c r="C771" s="181"/>
      <c r="D771" s="181"/>
      <c r="E771" s="181"/>
      <c r="F771" s="181"/>
      <c r="G771" s="181"/>
      <c r="H771" s="181"/>
      <c r="I771" s="181"/>
      <c r="J771" s="181"/>
      <c r="K771" s="181"/>
      <c r="L771" s="181"/>
      <c r="M771" s="181"/>
      <c r="N771" s="181"/>
      <c r="O771" s="181"/>
      <c r="P771" s="181"/>
      <c r="Q771" s="181"/>
      <c r="R771" s="181"/>
      <c r="S771" s="181"/>
      <c r="T771" s="181"/>
      <c r="U771" s="181"/>
      <c r="V771" s="181"/>
      <c r="W771" s="181"/>
      <c r="X771" s="181"/>
      <c r="Y771" s="181"/>
      <c r="Z771" s="181"/>
    </row>
    <row r="772" ht="14.25" customHeight="1">
      <c r="A772" s="181"/>
      <c r="B772" s="181"/>
      <c r="C772" s="181"/>
      <c r="D772" s="181"/>
      <c r="E772" s="181"/>
      <c r="F772" s="181"/>
      <c r="G772" s="181"/>
      <c r="H772" s="181"/>
      <c r="I772" s="181"/>
      <c r="J772" s="181"/>
      <c r="K772" s="181"/>
      <c r="L772" s="181"/>
      <c r="M772" s="181"/>
      <c r="N772" s="181"/>
      <c r="O772" s="181"/>
      <c r="P772" s="181"/>
      <c r="Q772" s="181"/>
      <c r="R772" s="181"/>
      <c r="S772" s="181"/>
      <c r="T772" s="181"/>
      <c r="U772" s="181"/>
      <c r="V772" s="181"/>
      <c r="W772" s="181"/>
      <c r="X772" s="181"/>
      <c r="Y772" s="181"/>
      <c r="Z772" s="181"/>
    </row>
    <row r="773" ht="14.25" customHeight="1">
      <c r="A773" s="181"/>
      <c r="B773" s="181"/>
      <c r="C773" s="181"/>
      <c r="D773" s="181"/>
      <c r="E773" s="181"/>
      <c r="F773" s="181"/>
      <c r="G773" s="181"/>
      <c r="H773" s="181"/>
      <c r="I773" s="181"/>
      <c r="J773" s="181"/>
      <c r="K773" s="181"/>
      <c r="L773" s="181"/>
      <c r="M773" s="181"/>
      <c r="N773" s="181"/>
      <c r="O773" s="181"/>
      <c r="P773" s="181"/>
      <c r="Q773" s="181"/>
      <c r="R773" s="181"/>
      <c r="S773" s="181"/>
      <c r="T773" s="181"/>
      <c r="U773" s="181"/>
      <c r="V773" s="181"/>
      <c r="W773" s="181"/>
      <c r="X773" s="181"/>
      <c r="Y773" s="181"/>
      <c r="Z773" s="181"/>
    </row>
    <row r="774" ht="14.25" customHeight="1">
      <c r="A774" s="181"/>
      <c r="B774" s="181"/>
      <c r="C774" s="181"/>
      <c r="D774" s="181"/>
      <c r="E774" s="181"/>
      <c r="F774" s="181"/>
      <c r="G774" s="181"/>
      <c r="H774" s="181"/>
      <c r="I774" s="181"/>
      <c r="J774" s="181"/>
      <c r="K774" s="181"/>
      <c r="L774" s="181"/>
      <c r="M774" s="181"/>
      <c r="N774" s="181"/>
      <c r="O774" s="181"/>
      <c r="P774" s="181"/>
      <c r="Q774" s="181"/>
      <c r="R774" s="181"/>
      <c r="S774" s="181"/>
      <c r="T774" s="181"/>
      <c r="U774" s="181"/>
      <c r="V774" s="181"/>
      <c r="W774" s="181"/>
      <c r="X774" s="181"/>
      <c r="Y774" s="181"/>
      <c r="Z774" s="181"/>
    </row>
    <row r="775" ht="14.25" customHeight="1">
      <c r="A775" s="181"/>
      <c r="B775" s="181"/>
      <c r="C775" s="181"/>
      <c r="D775" s="181"/>
      <c r="E775" s="181"/>
      <c r="F775" s="181"/>
      <c r="G775" s="181"/>
      <c r="H775" s="181"/>
      <c r="I775" s="181"/>
      <c r="J775" s="181"/>
      <c r="K775" s="181"/>
      <c r="L775" s="181"/>
      <c r="M775" s="181"/>
      <c r="N775" s="181"/>
      <c r="O775" s="181"/>
      <c r="P775" s="181"/>
      <c r="Q775" s="181"/>
      <c r="R775" s="181"/>
      <c r="S775" s="181"/>
      <c r="T775" s="181"/>
      <c r="U775" s="181"/>
      <c r="V775" s="181"/>
      <c r="W775" s="181"/>
      <c r="X775" s="181"/>
      <c r="Y775" s="181"/>
      <c r="Z775" s="181"/>
    </row>
    <row r="776" ht="14.25" customHeight="1">
      <c r="A776" s="181"/>
      <c r="B776" s="181"/>
      <c r="C776" s="181"/>
      <c r="D776" s="181"/>
      <c r="E776" s="181"/>
      <c r="F776" s="181"/>
      <c r="G776" s="181"/>
      <c r="H776" s="181"/>
      <c r="I776" s="181"/>
      <c r="J776" s="181"/>
      <c r="K776" s="181"/>
      <c r="L776" s="181"/>
      <c r="M776" s="181"/>
      <c r="N776" s="181"/>
      <c r="O776" s="181"/>
      <c r="P776" s="181"/>
      <c r="Q776" s="181"/>
      <c r="R776" s="181"/>
      <c r="S776" s="181"/>
      <c r="T776" s="181"/>
      <c r="U776" s="181"/>
      <c r="V776" s="181"/>
      <c r="W776" s="181"/>
      <c r="X776" s="181"/>
      <c r="Y776" s="181"/>
      <c r="Z776" s="181"/>
    </row>
    <row r="777" ht="14.25" customHeight="1">
      <c r="A777" s="181"/>
      <c r="B777" s="181"/>
      <c r="C777" s="181"/>
      <c r="D777" s="181"/>
      <c r="E777" s="181"/>
      <c r="F777" s="181"/>
      <c r="G777" s="181"/>
      <c r="H777" s="181"/>
      <c r="I777" s="181"/>
      <c r="J777" s="181"/>
      <c r="K777" s="181"/>
      <c r="L777" s="181"/>
      <c r="M777" s="181"/>
      <c r="N777" s="181"/>
      <c r="O777" s="181"/>
      <c r="P777" s="181"/>
      <c r="Q777" s="181"/>
      <c r="R777" s="181"/>
      <c r="S777" s="181"/>
      <c r="T777" s="181"/>
      <c r="U777" s="181"/>
      <c r="V777" s="181"/>
      <c r="W777" s="181"/>
      <c r="X777" s="181"/>
      <c r="Y777" s="181"/>
      <c r="Z777" s="181"/>
    </row>
    <row r="778" ht="14.25" customHeight="1">
      <c r="A778" s="181"/>
      <c r="B778" s="181"/>
      <c r="C778" s="181"/>
      <c r="D778" s="181"/>
      <c r="E778" s="181"/>
      <c r="F778" s="181"/>
      <c r="G778" s="181"/>
      <c r="H778" s="181"/>
      <c r="I778" s="181"/>
      <c r="J778" s="181"/>
      <c r="K778" s="181"/>
      <c r="L778" s="181"/>
      <c r="M778" s="181"/>
      <c r="N778" s="181"/>
      <c r="O778" s="181"/>
      <c r="P778" s="181"/>
      <c r="Q778" s="181"/>
      <c r="R778" s="181"/>
      <c r="S778" s="181"/>
      <c r="T778" s="181"/>
      <c r="U778" s="181"/>
      <c r="V778" s="181"/>
      <c r="W778" s="181"/>
      <c r="X778" s="181"/>
      <c r="Y778" s="181"/>
      <c r="Z778" s="181"/>
    </row>
    <row r="779" ht="14.25" customHeight="1">
      <c r="A779" s="181"/>
      <c r="B779" s="181"/>
      <c r="C779" s="181"/>
      <c r="D779" s="181"/>
      <c r="E779" s="181"/>
      <c r="F779" s="181"/>
      <c r="G779" s="181"/>
      <c r="H779" s="181"/>
      <c r="I779" s="181"/>
      <c r="J779" s="181"/>
      <c r="K779" s="181"/>
      <c r="L779" s="181"/>
      <c r="M779" s="181"/>
      <c r="N779" s="181"/>
      <c r="O779" s="181"/>
      <c r="P779" s="181"/>
      <c r="Q779" s="181"/>
      <c r="R779" s="181"/>
      <c r="S779" s="181"/>
      <c r="T779" s="181"/>
      <c r="U779" s="181"/>
      <c r="V779" s="181"/>
      <c r="W779" s="181"/>
      <c r="X779" s="181"/>
      <c r="Y779" s="181"/>
      <c r="Z779" s="181"/>
    </row>
    <row r="780" ht="14.25" customHeight="1">
      <c r="A780" s="181"/>
      <c r="B780" s="181"/>
      <c r="C780" s="181"/>
      <c r="D780" s="181"/>
      <c r="E780" s="181"/>
      <c r="F780" s="181"/>
      <c r="G780" s="181"/>
      <c r="H780" s="181"/>
      <c r="I780" s="181"/>
      <c r="J780" s="181"/>
      <c r="K780" s="181"/>
      <c r="L780" s="181"/>
      <c r="M780" s="181"/>
      <c r="N780" s="181"/>
      <c r="O780" s="181"/>
      <c r="P780" s="181"/>
      <c r="Q780" s="181"/>
      <c r="R780" s="181"/>
      <c r="S780" s="181"/>
      <c r="T780" s="181"/>
      <c r="U780" s="181"/>
      <c r="V780" s="181"/>
      <c r="W780" s="181"/>
      <c r="X780" s="181"/>
      <c r="Y780" s="181"/>
      <c r="Z780" s="181"/>
    </row>
    <row r="781" ht="14.25" customHeight="1">
      <c r="A781" s="181"/>
      <c r="B781" s="181"/>
      <c r="C781" s="181"/>
      <c r="D781" s="181"/>
      <c r="E781" s="181"/>
      <c r="F781" s="181"/>
      <c r="G781" s="181"/>
      <c r="H781" s="181"/>
      <c r="I781" s="181"/>
      <c r="J781" s="181"/>
      <c r="K781" s="181"/>
      <c r="L781" s="181"/>
      <c r="M781" s="181"/>
      <c r="N781" s="181"/>
      <c r="O781" s="181"/>
      <c r="P781" s="181"/>
      <c r="Q781" s="181"/>
      <c r="R781" s="181"/>
      <c r="S781" s="181"/>
      <c r="T781" s="181"/>
      <c r="U781" s="181"/>
      <c r="V781" s="181"/>
      <c r="W781" s="181"/>
      <c r="X781" s="181"/>
      <c r="Y781" s="181"/>
      <c r="Z781" s="181"/>
    </row>
    <row r="782" ht="14.25" customHeight="1">
      <c r="A782" s="181"/>
      <c r="B782" s="181"/>
      <c r="C782" s="181"/>
      <c r="D782" s="181"/>
      <c r="E782" s="181"/>
      <c r="F782" s="181"/>
      <c r="G782" s="181"/>
      <c r="H782" s="181"/>
      <c r="I782" s="181"/>
      <c r="J782" s="181"/>
      <c r="K782" s="181"/>
      <c r="L782" s="181"/>
      <c r="M782" s="181"/>
      <c r="N782" s="181"/>
      <c r="O782" s="181"/>
      <c r="P782" s="181"/>
      <c r="Q782" s="181"/>
      <c r="R782" s="181"/>
      <c r="S782" s="181"/>
      <c r="T782" s="181"/>
      <c r="U782" s="181"/>
      <c r="V782" s="181"/>
      <c r="W782" s="181"/>
      <c r="X782" s="181"/>
      <c r="Y782" s="181"/>
      <c r="Z782" s="181"/>
    </row>
    <row r="783" ht="14.25" customHeight="1">
      <c r="A783" s="181"/>
      <c r="B783" s="181"/>
      <c r="C783" s="181"/>
      <c r="D783" s="181"/>
      <c r="E783" s="181"/>
      <c r="F783" s="181"/>
      <c r="G783" s="181"/>
      <c r="H783" s="181"/>
      <c r="I783" s="181"/>
      <c r="J783" s="181"/>
      <c r="K783" s="181"/>
      <c r="L783" s="181"/>
      <c r="M783" s="181"/>
      <c r="N783" s="181"/>
      <c r="O783" s="181"/>
      <c r="P783" s="181"/>
      <c r="Q783" s="181"/>
      <c r="R783" s="181"/>
      <c r="S783" s="181"/>
      <c r="T783" s="181"/>
      <c r="U783" s="181"/>
      <c r="V783" s="181"/>
      <c r="W783" s="181"/>
      <c r="X783" s="181"/>
      <c r="Y783" s="181"/>
      <c r="Z783" s="181"/>
    </row>
    <row r="784" ht="14.25" customHeight="1">
      <c r="A784" s="181"/>
      <c r="B784" s="181"/>
      <c r="C784" s="181"/>
      <c r="D784" s="181"/>
      <c r="E784" s="181"/>
      <c r="F784" s="181"/>
      <c r="G784" s="181"/>
      <c r="H784" s="181"/>
      <c r="I784" s="181"/>
      <c r="J784" s="181"/>
      <c r="K784" s="181"/>
      <c r="L784" s="181"/>
      <c r="M784" s="181"/>
      <c r="N784" s="181"/>
      <c r="O784" s="181"/>
      <c r="P784" s="181"/>
      <c r="Q784" s="181"/>
      <c r="R784" s="181"/>
      <c r="S784" s="181"/>
      <c r="T784" s="181"/>
      <c r="U784" s="181"/>
      <c r="V784" s="181"/>
      <c r="W784" s="181"/>
      <c r="X784" s="181"/>
      <c r="Y784" s="181"/>
      <c r="Z784" s="181"/>
    </row>
    <row r="785" ht="14.25" customHeight="1">
      <c r="A785" s="181"/>
      <c r="B785" s="181"/>
      <c r="C785" s="181"/>
      <c r="D785" s="181"/>
      <c r="E785" s="181"/>
      <c r="F785" s="181"/>
      <c r="G785" s="181"/>
      <c r="H785" s="181"/>
      <c r="I785" s="181"/>
      <c r="J785" s="181"/>
      <c r="K785" s="181"/>
      <c r="L785" s="181"/>
      <c r="M785" s="181"/>
      <c r="N785" s="181"/>
      <c r="O785" s="181"/>
      <c r="P785" s="181"/>
      <c r="Q785" s="181"/>
      <c r="R785" s="181"/>
      <c r="S785" s="181"/>
      <c r="T785" s="181"/>
      <c r="U785" s="181"/>
      <c r="V785" s="181"/>
      <c r="W785" s="181"/>
      <c r="X785" s="181"/>
      <c r="Y785" s="181"/>
      <c r="Z785" s="181"/>
    </row>
    <row r="786" ht="14.25" customHeight="1">
      <c r="A786" s="181"/>
      <c r="B786" s="181"/>
      <c r="C786" s="181"/>
      <c r="D786" s="181"/>
      <c r="E786" s="181"/>
      <c r="F786" s="181"/>
      <c r="G786" s="181"/>
      <c r="H786" s="181"/>
      <c r="I786" s="181"/>
      <c r="J786" s="181"/>
      <c r="K786" s="181"/>
      <c r="L786" s="181"/>
      <c r="M786" s="181"/>
      <c r="N786" s="181"/>
      <c r="O786" s="181"/>
      <c r="P786" s="181"/>
      <c r="Q786" s="181"/>
      <c r="R786" s="181"/>
      <c r="S786" s="181"/>
      <c r="T786" s="181"/>
      <c r="U786" s="181"/>
      <c r="V786" s="181"/>
      <c r="W786" s="181"/>
      <c r="X786" s="181"/>
      <c r="Y786" s="181"/>
      <c r="Z786" s="181"/>
    </row>
    <row r="787" ht="14.25" customHeight="1">
      <c r="A787" s="181"/>
      <c r="B787" s="181"/>
      <c r="C787" s="181"/>
      <c r="D787" s="181"/>
      <c r="E787" s="181"/>
      <c r="F787" s="181"/>
      <c r="G787" s="181"/>
      <c r="H787" s="181"/>
      <c r="I787" s="181"/>
      <c r="J787" s="181"/>
      <c r="K787" s="181"/>
      <c r="L787" s="181"/>
      <c r="M787" s="181"/>
      <c r="N787" s="181"/>
      <c r="O787" s="181"/>
      <c r="P787" s="181"/>
      <c r="Q787" s="181"/>
      <c r="R787" s="181"/>
      <c r="S787" s="181"/>
      <c r="T787" s="181"/>
      <c r="U787" s="181"/>
      <c r="V787" s="181"/>
      <c r="W787" s="181"/>
      <c r="X787" s="181"/>
      <c r="Y787" s="181"/>
      <c r="Z787" s="181"/>
    </row>
    <row r="788" ht="14.25" customHeight="1">
      <c r="A788" s="181"/>
      <c r="B788" s="181"/>
      <c r="C788" s="181"/>
      <c r="D788" s="181"/>
      <c r="E788" s="181"/>
      <c r="F788" s="181"/>
      <c r="G788" s="181"/>
      <c r="H788" s="181"/>
      <c r="I788" s="181"/>
      <c r="J788" s="181"/>
      <c r="K788" s="181"/>
      <c r="L788" s="181"/>
      <c r="M788" s="181"/>
      <c r="N788" s="181"/>
      <c r="O788" s="181"/>
      <c r="P788" s="181"/>
      <c r="Q788" s="181"/>
      <c r="R788" s="181"/>
      <c r="S788" s="181"/>
      <c r="T788" s="181"/>
      <c r="U788" s="181"/>
      <c r="V788" s="181"/>
      <c r="W788" s="181"/>
      <c r="X788" s="181"/>
      <c r="Y788" s="181"/>
      <c r="Z788" s="181"/>
    </row>
    <row r="789" ht="14.25" customHeight="1">
      <c r="A789" s="181"/>
      <c r="B789" s="181"/>
      <c r="C789" s="181"/>
      <c r="D789" s="181"/>
      <c r="E789" s="181"/>
      <c r="F789" s="181"/>
      <c r="G789" s="181"/>
      <c r="H789" s="181"/>
      <c r="I789" s="181"/>
      <c r="J789" s="181"/>
      <c r="K789" s="181"/>
      <c r="L789" s="181"/>
      <c r="M789" s="181"/>
      <c r="N789" s="181"/>
      <c r="O789" s="181"/>
      <c r="P789" s="181"/>
      <c r="Q789" s="181"/>
      <c r="R789" s="181"/>
      <c r="S789" s="181"/>
      <c r="T789" s="181"/>
      <c r="U789" s="181"/>
      <c r="V789" s="181"/>
      <c r="W789" s="181"/>
      <c r="X789" s="181"/>
      <c r="Y789" s="181"/>
      <c r="Z789" s="181"/>
    </row>
    <row r="790" ht="14.25" customHeight="1">
      <c r="A790" s="181"/>
      <c r="B790" s="181"/>
      <c r="C790" s="181"/>
      <c r="D790" s="181"/>
      <c r="E790" s="181"/>
      <c r="F790" s="181"/>
      <c r="G790" s="181"/>
      <c r="H790" s="181"/>
      <c r="I790" s="181"/>
      <c r="J790" s="181"/>
      <c r="K790" s="181"/>
      <c r="L790" s="181"/>
      <c r="M790" s="181"/>
      <c r="N790" s="181"/>
      <c r="O790" s="181"/>
      <c r="P790" s="181"/>
      <c r="Q790" s="181"/>
      <c r="R790" s="181"/>
      <c r="S790" s="181"/>
      <c r="T790" s="181"/>
      <c r="U790" s="181"/>
      <c r="V790" s="181"/>
      <c r="W790" s="181"/>
      <c r="X790" s="181"/>
      <c r="Y790" s="181"/>
      <c r="Z790" s="181"/>
    </row>
    <row r="791" ht="14.25" customHeight="1">
      <c r="A791" s="181"/>
      <c r="B791" s="181"/>
      <c r="C791" s="181"/>
      <c r="D791" s="181"/>
      <c r="E791" s="181"/>
      <c r="F791" s="181"/>
      <c r="G791" s="181"/>
      <c r="H791" s="181"/>
      <c r="I791" s="181"/>
      <c r="J791" s="181"/>
      <c r="K791" s="181"/>
      <c r="L791" s="181"/>
      <c r="M791" s="181"/>
      <c r="N791" s="181"/>
      <c r="O791" s="181"/>
      <c r="P791" s="181"/>
      <c r="Q791" s="181"/>
      <c r="R791" s="181"/>
      <c r="S791" s="181"/>
      <c r="T791" s="181"/>
      <c r="U791" s="181"/>
      <c r="V791" s="181"/>
      <c r="W791" s="181"/>
      <c r="X791" s="181"/>
      <c r="Y791" s="181"/>
      <c r="Z791" s="181"/>
    </row>
    <row r="792" ht="14.25" customHeight="1">
      <c r="A792" s="181"/>
      <c r="B792" s="181"/>
      <c r="C792" s="181"/>
      <c r="D792" s="181"/>
      <c r="E792" s="181"/>
      <c r="F792" s="181"/>
      <c r="G792" s="181"/>
      <c r="H792" s="181"/>
      <c r="I792" s="181"/>
      <c r="J792" s="181"/>
      <c r="K792" s="181"/>
      <c r="L792" s="181"/>
      <c r="M792" s="181"/>
      <c r="N792" s="181"/>
      <c r="O792" s="181"/>
      <c r="P792" s="181"/>
      <c r="Q792" s="181"/>
      <c r="R792" s="181"/>
      <c r="S792" s="181"/>
      <c r="T792" s="181"/>
      <c r="U792" s="181"/>
      <c r="V792" s="181"/>
      <c r="W792" s="181"/>
      <c r="X792" s="181"/>
      <c r="Y792" s="181"/>
      <c r="Z792" s="181"/>
    </row>
    <row r="793" ht="14.25" customHeight="1">
      <c r="A793" s="181"/>
      <c r="B793" s="181"/>
      <c r="C793" s="181"/>
      <c r="D793" s="181"/>
      <c r="E793" s="181"/>
      <c r="F793" s="181"/>
      <c r="G793" s="181"/>
      <c r="H793" s="181"/>
      <c r="I793" s="181"/>
      <c r="J793" s="181"/>
      <c r="K793" s="181"/>
      <c r="L793" s="181"/>
      <c r="M793" s="181"/>
      <c r="N793" s="181"/>
      <c r="O793" s="181"/>
      <c r="P793" s="181"/>
      <c r="Q793" s="181"/>
      <c r="R793" s="181"/>
      <c r="S793" s="181"/>
      <c r="T793" s="181"/>
      <c r="U793" s="181"/>
      <c r="V793" s="181"/>
      <c r="W793" s="181"/>
      <c r="X793" s="181"/>
      <c r="Y793" s="181"/>
      <c r="Z793" s="181"/>
    </row>
    <row r="794" ht="14.25" customHeight="1">
      <c r="A794" s="181"/>
      <c r="B794" s="181"/>
      <c r="C794" s="181"/>
      <c r="D794" s="181"/>
      <c r="E794" s="181"/>
      <c r="F794" s="181"/>
      <c r="G794" s="181"/>
      <c r="H794" s="181"/>
      <c r="I794" s="181"/>
      <c r="J794" s="181"/>
      <c r="K794" s="181"/>
      <c r="L794" s="181"/>
      <c r="M794" s="181"/>
      <c r="N794" s="181"/>
      <c r="O794" s="181"/>
      <c r="P794" s="181"/>
      <c r="Q794" s="181"/>
      <c r="R794" s="181"/>
      <c r="S794" s="181"/>
      <c r="T794" s="181"/>
      <c r="U794" s="181"/>
      <c r="V794" s="181"/>
      <c r="W794" s="181"/>
      <c r="X794" s="181"/>
      <c r="Y794" s="181"/>
      <c r="Z794" s="181"/>
    </row>
    <row r="795" ht="14.25" customHeight="1">
      <c r="A795" s="181"/>
      <c r="B795" s="181"/>
      <c r="C795" s="181"/>
      <c r="D795" s="181"/>
      <c r="E795" s="181"/>
      <c r="F795" s="181"/>
      <c r="G795" s="181"/>
      <c r="H795" s="181"/>
      <c r="I795" s="181"/>
      <c r="J795" s="181"/>
      <c r="K795" s="181"/>
      <c r="L795" s="181"/>
      <c r="M795" s="181"/>
      <c r="N795" s="181"/>
      <c r="O795" s="181"/>
      <c r="P795" s="181"/>
      <c r="Q795" s="181"/>
      <c r="R795" s="181"/>
      <c r="S795" s="181"/>
      <c r="T795" s="181"/>
      <c r="U795" s="181"/>
      <c r="V795" s="181"/>
      <c r="W795" s="181"/>
      <c r="X795" s="181"/>
      <c r="Y795" s="181"/>
      <c r="Z795" s="181"/>
    </row>
    <row r="796" ht="14.25" customHeight="1">
      <c r="A796" s="181"/>
      <c r="B796" s="181"/>
      <c r="C796" s="181"/>
      <c r="D796" s="181"/>
      <c r="E796" s="181"/>
      <c r="F796" s="181"/>
      <c r="G796" s="181"/>
      <c r="H796" s="181"/>
      <c r="I796" s="181"/>
      <c r="J796" s="181"/>
      <c r="K796" s="181"/>
      <c r="L796" s="181"/>
      <c r="M796" s="181"/>
      <c r="N796" s="181"/>
      <c r="O796" s="181"/>
      <c r="P796" s="181"/>
      <c r="Q796" s="181"/>
      <c r="R796" s="181"/>
      <c r="S796" s="181"/>
      <c r="T796" s="181"/>
      <c r="U796" s="181"/>
      <c r="V796" s="181"/>
      <c r="W796" s="181"/>
      <c r="X796" s="181"/>
      <c r="Y796" s="181"/>
      <c r="Z796" s="181"/>
    </row>
    <row r="797" ht="14.25" customHeight="1">
      <c r="A797" s="181"/>
      <c r="B797" s="181"/>
      <c r="C797" s="181"/>
      <c r="D797" s="181"/>
      <c r="E797" s="181"/>
      <c r="F797" s="181"/>
      <c r="G797" s="181"/>
      <c r="H797" s="181"/>
      <c r="I797" s="181"/>
      <c r="J797" s="181"/>
      <c r="K797" s="181"/>
      <c r="L797" s="181"/>
      <c r="M797" s="181"/>
      <c r="N797" s="181"/>
      <c r="O797" s="181"/>
      <c r="P797" s="181"/>
      <c r="Q797" s="181"/>
      <c r="R797" s="181"/>
      <c r="S797" s="181"/>
      <c r="T797" s="181"/>
      <c r="U797" s="181"/>
      <c r="V797" s="181"/>
      <c r="W797" s="181"/>
      <c r="X797" s="181"/>
      <c r="Y797" s="181"/>
      <c r="Z797" s="181"/>
    </row>
    <row r="798" ht="14.25" customHeight="1">
      <c r="A798" s="181"/>
      <c r="B798" s="181"/>
      <c r="C798" s="181"/>
      <c r="D798" s="181"/>
      <c r="E798" s="181"/>
      <c r="F798" s="181"/>
      <c r="G798" s="181"/>
      <c r="H798" s="181"/>
      <c r="I798" s="181"/>
      <c r="J798" s="181"/>
      <c r="K798" s="181"/>
      <c r="L798" s="181"/>
      <c r="M798" s="181"/>
      <c r="N798" s="181"/>
      <c r="O798" s="181"/>
      <c r="P798" s="181"/>
      <c r="Q798" s="181"/>
      <c r="R798" s="181"/>
      <c r="S798" s="181"/>
      <c r="T798" s="181"/>
      <c r="U798" s="181"/>
      <c r="V798" s="181"/>
      <c r="W798" s="181"/>
      <c r="X798" s="181"/>
      <c r="Y798" s="181"/>
      <c r="Z798" s="181"/>
    </row>
    <row r="799" ht="14.25" customHeight="1">
      <c r="A799" s="181"/>
      <c r="B799" s="181"/>
      <c r="C799" s="181"/>
      <c r="D799" s="181"/>
      <c r="E799" s="181"/>
      <c r="F799" s="181"/>
      <c r="G799" s="181"/>
      <c r="H799" s="181"/>
      <c r="I799" s="181"/>
      <c r="J799" s="181"/>
      <c r="K799" s="181"/>
      <c r="L799" s="181"/>
      <c r="M799" s="181"/>
      <c r="N799" s="181"/>
      <c r="O799" s="181"/>
      <c r="P799" s="181"/>
      <c r="Q799" s="181"/>
      <c r="R799" s="181"/>
      <c r="S799" s="181"/>
      <c r="T799" s="181"/>
      <c r="U799" s="181"/>
      <c r="V799" s="181"/>
      <c r="W799" s="181"/>
      <c r="X799" s="181"/>
      <c r="Y799" s="181"/>
      <c r="Z799" s="181"/>
    </row>
    <row r="800" ht="14.25" customHeight="1">
      <c r="A800" s="181"/>
      <c r="B800" s="181"/>
      <c r="C800" s="181"/>
      <c r="D800" s="181"/>
      <c r="E800" s="181"/>
      <c r="F800" s="181"/>
      <c r="G800" s="181"/>
      <c r="H800" s="181"/>
      <c r="I800" s="181"/>
      <c r="J800" s="181"/>
      <c r="K800" s="181"/>
      <c r="L800" s="181"/>
      <c r="M800" s="181"/>
      <c r="N800" s="181"/>
      <c r="O800" s="181"/>
      <c r="P800" s="181"/>
      <c r="Q800" s="181"/>
      <c r="R800" s="181"/>
      <c r="S800" s="181"/>
      <c r="T800" s="181"/>
      <c r="U800" s="181"/>
      <c r="V800" s="181"/>
      <c r="W800" s="181"/>
      <c r="X800" s="181"/>
      <c r="Y800" s="181"/>
      <c r="Z800" s="181"/>
    </row>
    <row r="801" ht="14.25" customHeight="1">
      <c r="A801" s="181"/>
      <c r="B801" s="181"/>
      <c r="C801" s="181"/>
      <c r="D801" s="181"/>
      <c r="E801" s="181"/>
      <c r="F801" s="181"/>
      <c r="G801" s="181"/>
      <c r="H801" s="181"/>
      <c r="I801" s="181"/>
      <c r="J801" s="181"/>
      <c r="K801" s="181"/>
      <c r="L801" s="181"/>
      <c r="M801" s="181"/>
      <c r="N801" s="181"/>
      <c r="O801" s="181"/>
      <c r="P801" s="181"/>
      <c r="Q801" s="181"/>
      <c r="R801" s="181"/>
      <c r="S801" s="181"/>
      <c r="T801" s="181"/>
      <c r="U801" s="181"/>
      <c r="V801" s="181"/>
      <c r="W801" s="181"/>
      <c r="X801" s="181"/>
      <c r="Y801" s="181"/>
      <c r="Z801" s="181"/>
    </row>
    <row r="802" ht="14.25" customHeight="1">
      <c r="A802" s="181"/>
      <c r="B802" s="181"/>
      <c r="C802" s="181"/>
      <c r="D802" s="181"/>
      <c r="E802" s="181"/>
      <c r="F802" s="181"/>
      <c r="G802" s="181"/>
      <c r="H802" s="181"/>
      <c r="I802" s="181"/>
      <c r="J802" s="181"/>
      <c r="K802" s="181"/>
      <c r="L802" s="181"/>
      <c r="M802" s="181"/>
      <c r="N802" s="181"/>
      <c r="O802" s="181"/>
      <c r="P802" s="181"/>
      <c r="Q802" s="181"/>
      <c r="R802" s="181"/>
      <c r="S802" s="181"/>
      <c r="T802" s="181"/>
      <c r="U802" s="181"/>
      <c r="V802" s="181"/>
      <c r="W802" s="181"/>
      <c r="X802" s="181"/>
      <c r="Y802" s="181"/>
      <c r="Z802" s="181"/>
    </row>
    <row r="803" ht="14.25" customHeight="1">
      <c r="A803" s="181"/>
      <c r="B803" s="181"/>
      <c r="C803" s="181"/>
      <c r="D803" s="181"/>
      <c r="E803" s="181"/>
      <c r="F803" s="181"/>
      <c r="G803" s="181"/>
      <c r="H803" s="181"/>
      <c r="I803" s="181"/>
      <c r="J803" s="181"/>
      <c r="K803" s="181"/>
      <c r="L803" s="181"/>
      <c r="M803" s="181"/>
      <c r="N803" s="181"/>
      <c r="O803" s="181"/>
      <c r="P803" s="181"/>
      <c r="Q803" s="181"/>
      <c r="R803" s="181"/>
      <c r="S803" s="181"/>
      <c r="T803" s="181"/>
      <c r="U803" s="181"/>
      <c r="V803" s="181"/>
      <c r="W803" s="181"/>
      <c r="X803" s="181"/>
      <c r="Y803" s="181"/>
      <c r="Z803" s="181"/>
    </row>
    <row r="804" ht="14.25" customHeight="1">
      <c r="A804" s="181"/>
      <c r="B804" s="181"/>
      <c r="C804" s="181"/>
      <c r="D804" s="181"/>
      <c r="E804" s="181"/>
      <c r="F804" s="181"/>
      <c r="G804" s="181"/>
      <c r="H804" s="181"/>
      <c r="I804" s="181"/>
      <c r="J804" s="181"/>
      <c r="K804" s="181"/>
      <c r="L804" s="181"/>
      <c r="M804" s="181"/>
      <c r="N804" s="181"/>
      <c r="O804" s="181"/>
      <c r="P804" s="181"/>
      <c r="Q804" s="181"/>
      <c r="R804" s="181"/>
      <c r="S804" s="181"/>
      <c r="T804" s="181"/>
      <c r="U804" s="181"/>
      <c r="V804" s="181"/>
      <c r="W804" s="181"/>
      <c r="X804" s="181"/>
      <c r="Y804" s="181"/>
      <c r="Z804" s="181"/>
    </row>
    <row r="805" ht="14.25" customHeight="1">
      <c r="A805" s="181"/>
      <c r="B805" s="181"/>
      <c r="C805" s="181"/>
      <c r="D805" s="181"/>
      <c r="E805" s="181"/>
      <c r="F805" s="181"/>
      <c r="G805" s="181"/>
      <c r="H805" s="181"/>
      <c r="I805" s="181"/>
      <c r="J805" s="181"/>
      <c r="K805" s="181"/>
      <c r="L805" s="181"/>
      <c r="M805" s="181"/>
      <c r="N805" s="181"/>
      <c r="O805" s="181"/>
      <c r="P805" s="181"/>
      <c r="Q805" s="181"/>
      <c r="R805" s="181"/>
      <c r="S805" s="181"/>
      <c r="T805" s="181"/>
      <c r="U805" s="181"/>
      <c r="V805" s="181"/>
      <c r="W805" s="181"/>
      <c r="X805" s="181"/>
      <c r="Y805" s="181"/>
      <c r="Z805" s="181"/>
    </row>
    <row r="806" ht="14.25" customHeight="1">
      <c r="A806" s="181"/>
      <c r="B806" s="181"/>
      <c r="C806" s="181"/>
      <c r="D806" s="181"/>
      <c r="E806" s="181"/>
      <c r="F806" s="181"/>
      <c r="G806" s="181"/>
      <c r="H806" s="181"/>
      <c r="I806" s="181"/>
      <c r="J806" s="181"/>
      <c r="K806" s="181"/>
      <c r="L806" s="181"/>
      <c r="M806" s="181"/>
      <c r="N806" s="181"/>
      <c r="O806" s="181"/>
      <c r="P806" s="181"/>
      <c r="Q806" s="181"/>
      <c r="R806" s="181"/>
      <c r="S806" s="181"/>
      <c r="T806" s="181"/>
      <c r="U806" s="181"/>
      <c r="V806" s="181"/>
      <c r="W806" s="181"/>
      <c r="X806" s="181"/>
      <c r="Y806" s="181"/>
      <c r="Z806" s="181"/>
    </row>
    <row r="807" ht="14.25" customHeight="1">
      <c r="A807" s="181"/>
      <c r="B807" s="181"/>
      <c r="C807" s="181"/>
      <c r="D807" s="181"/>
      <c r="E807" s="181"/>
      <c r="F807" s="181"/>
      <c r="G807" s="181"/>
      <c r="H807" s="181"/>
      <c r="I807" s="181"/>
      <c r="J807" s="181"/>
      <c r="K807" s="181"/>
      <c r="L807" s="181"/>
      <c r="M807" s="181"/>
      <c r="N807" s="181"/>
      <c r="O807" s="181"/>
      <c r="P807" s="181"/>
      <c r="Q807" s="181"/>
      <c r="R807" s="181"/>
      <c r="S807" s="181"/>
      <c r="T807" s="181"/>
      <c r="U807" s="181"/>
      <c r="V807" s="181"/>
      <c r="W807" s="181"/>
      <c r="X807" s="181"/>
      <c r="Y807" s="181"/>
      <c r="Z807" s="181"/>
    </row>
    <row r="808" ht="14.25" customHeight="1">
      <c r="A808" s="181"/>
      <c r="B808" s="181"/>
      <c r="C808" s="181"/>
      <c r="D808" s="181"/>
      <c r="E808" s="181"/>
      <c r="F808" s="181"/>
      <c r="G808" s="181"/>
      <c r="H808" s="181"/>
      <c r="I808" s="181"/>
      <c r="J808" s="181"/>
      <c r="K808" s="181"/>
      <c r="L808" s="181"/>
      <c r="M808" s="181"/>
      <c r="N808" s="181"/>
      <c r="O808" s="181"/>
      <c r="P808" s="181"/>
      <c r="Q808" s="181"/>
      <c r="R808" s="181"/>
      <c r="S808" s="181"/>
      <c r="T808" s="181"/>
      <c r="U808" s="181"/>
      <c r="V808" s="181"/>
      <c r="W808" s="181"/>
      <c r="X808" s="181"/>
      <c r="Y808" s="181"/>
      <c r="Z808" s="181"/>
    </row>
    <row r="809" ht="14.25" customHeight="1">
      <c r="A809" s="181"/>
      <c r="B809" s="181"/>
      <c r="C809" s="181"/>
      <c r="D809" s="181"/>
      <c r="E809" s="181"/>
      <c r="F809" s="181"/>
      <c r="G809" s="181"/>
      <c r="H809" s="181"/>
      <c r="I809" s="181"/>
      <c r="J809" s="181"/>
      <c r="K809" s="181"/>
      <c r="L809" s="181"/>
      <c r="M809" s="181"/>
      <c r="N809" s="181"/>
      <c r="O809" s="181"/>
      <c r="P809" s="181"/>
      <c r="Q809" s="181"/>
      <c r="R809" s="181"/>
      <c r="S809" s="181"/>
      <c r="T809" s="181"/>
      <c r="U809" s="181"/>
      <c r="V809" s="181"/>
      <c r="W809" s="181"/>
      <c r="X809" s="181"/>
      <c r="Y809" s="181"/>
      <c r="Z809" s="181"/>
    </row>
    <row r="810" ht="14.25" customHeight="1">
      <c r="A810" s="181"/>
      <c r="B810" s="181"/>
      <c r="C810" s="181"/>
      <c r="D810" s="181"/>
      <c r="E810" s="181"/>
      <c r="F810" s="181"/>
      <c r="G810" s="181"/>
      <c r="H810" s="181"/>
      <c r="I810" s="181"/>
      <c r="J810" s="181"/>
      <c r="K810" s="181"/>
      <c r="L810" s="181"/>
      <c r="M810" s="181"/>
      <c r="N810" s="181"/>
      <c r="O810" s="181"/>
      <c r="P810" s="181"/>
      <c r="Q810" s="181"/>
      <c r="R810" s="181"/>
      <c r="S810" s="181"/>
      <c r="T810" s="181"/>
      <c r="U810" s="181"/>
      <c r="V810" s="181"/>
      <c r="W810" s="181"/>
      <c r="X810" s="181"/>
      <c r="Y810" s="181"/>
      <c r="Z810" s="181"/>
    </row>
    <row r="811" ht="14.25" customHeight="1">
      <c r="A811" s="181"/>
      <c r="B811" s="181"/>
      <c r="C811" s="181"/>
      <c r="D811" s="181"/>
      <c r="E811" s="181"/>
      <c r="F811" s="181"/>
      <c r="G811" s="181"/>
      <c r="H811" s="181"/>
      <c r="I811" s="181"/>
      <c r="J811" s="181"/>
      <c r="K811" s="181"/>
      <c r="L811" s="181"/>
      <c r="M811" s="181"/>
      <c r="N811" s="181"/>
      <c r="O811" s="181"/>
      <c r="P811" s="181"/>
      <c r="Q811" s="181"/>
      <c r="R811" s="181"/>
      <c r="S811" s="181"/>
      <c r="T811" s="181"/>
      <c r="U811" s="181"/>
      <c r="V811" s="181"/>
      <c r="W811" s="181"/>
      <c r="X811" s="181"/>
      <c r="Y811" s="181"/>
      <c r="Z811" s="181"/>
    </row>
    <row r="812" ht="14.25" customHeight="1">
      <c r="A812" s="181"/>
      <c r="B812" s="181"/>
      <c r="C812" s="181"/>
      <c r="D812" s="181"/>
      <c r="E812" s="181"/>
      <c r="F812" s="181"/>
      <c r="G812" s="181"/>
      <c r="H812" s="181"/>
      <c r="I812" s="181"/>
      <c r="J812" s="181"/>
      <c r="K812" s="181"/>
      <c r="L812" s="181"/>
      <c r="M812" s="181"/>
      <c r="N812" s="181"/>
      <c r="O812" s="181"/>
      <c r="P812" s="181"/>
      <c r="Q812" s="181"/>
      <c r="R812" s="181"/>
      <c r="S812" s="181"/>
      <c r="T812" s="181"/>
      <c r="U812" s="181"/>
      <c r="V812" s="181"/>
      <c r="W812" s="181"/>
      <c r="X812" s="181"/>
      <c r="Y812" s="181"/>
      <c r="Z812" s="181"/>
    </row>
    <row r="813" ht="14.25" customHeight="1">
      <c r="A813" s="181"/>
      <c r="B813" s="181"/>
      <c r="C813" s="181"/>
      <c r="D813" s="181"/>
      <c r="E813" s="181"/>
      <c r="F813" s="181"/>
      <c r="G813" s="181"/>
      <c r="H813" s="181"/>
      <c r="I813" s="181"/>
      <c r="J813" s="181"/>
      <c r="K813" s="181"/>
      <c r="L813" s="181"/>
      <c r="M813" s="181"/>
      <c r="N813" s="181"/>
      <c r="O813" s="181"/>
      <c r="P813" s="181"/>
      <c r="Q813" s="181"/>
      <c r="R813" s="181"/>
      <c r="S813" s="181"/>
      <c r="T813" s="181"/>
      <c r="U813" s="181"/>
      <c r="V813" s="181"/>
      <c r="W813" s="181"/>
      <c r="X813" s="181"/>
      <c r="Y813" s="181"/>
      <c r="Z813" s="181"/>
    </row>
    <row r="814" ht="14.25" customHeight="1">
      <c r="A814" s="181"/>
      <c r="B814" s="181"/>
      <c r="C814" s="181"/>
      <c r="D814" s="181"/>
      <c r="E814" s="181"/>
      <c r="F814" s="181"/>
      <c r="G814" s="181"/>
      <c r="H814" s="181"/>
      <c r="I814" s="181"/>
      <c r="J814" s="181"/>
      <c r="K814" s="181"/>
      <c r="L814" s="181"/>
      <c r="M814" s="181"/>
      <c r="N814" s="181"/>
      <c r="O814" s="181"/>
      <c r="P814" s="181"/>
      <c r="Q814" s="181"/>
      <c r="R814" s="181"/>
      <c r="S814" s="181"/>
      <c r="T814" s="181"/>
      <c r="U814" s="181"/>
      <c r="V814" s="181"/>
      <c r="W814" s="181"/>
      <c r="X814" s="181"/>
      <c r="Y814" s="181"/>
      <c r="Z814" s="181"/>
    </row>
    <row r="815" ht="14.25" customHeight="1">
      <c r="A815" s="181"/>
      <c r="B815" s="181"/>
      <c r="C815" s="181"/>
      <c r="D815" s="181"/>
      <c r="E815" s="181"/>
      <c r="F815" s="181"/>
      <c r="G815" s="181"/>
      <c r="H815" s="181"/>
      <c r="I815" s="181"/>
      <c r="J815" s="181"/>
      <c r="K815" s="181"/>
      <c r="L815" s="181"/>
      <c r="M815" s="181"/>
      <c r="N815" s="181"/>
      <c r="O815" s="181"/>
      <c r="P815" s="181"/>
      <c r="Q815" s="181"/>
      <c r="R815" s="181"/>
      <c r="S815" s="181"/>
      <c r="T815" s="181"/>
      <c r="U815" s="181"/>
      <c r="V815" s="181"/>
      <c r="W815" s="181"/>
      <c r="X815" s="181"/>
      <c r="Y815" s="181"/>
      <c r="Z815" s="181"/>
    </row>
    <row r="816" ht="14.25" customHeight="1">
      <c r="A816" s="181"/>
      <c r="B816" s="181"/>
      <c r="C816" s="181"/>
      <c r="D816" s="181"/>
      <c r="E816" s="181"/>
      <c r="F816" s="181"/>
      <c r="G816" s="181"/>
      <c r="H816" s="181"/>
      <c r="I816" s="181"/>
      <c r="J816" s="181"/>
      <c r="K816" s="181"/>
      <c r="L816" s="181"/>
      <c r="M816" s="181"/>
      <c r="N816" s="181"/>
      <c r="O816" s="181"/>
      <c r="P816" s="181"/>
      <c r="Q816" s="181"/>
      <c r="R816" s="181"/>
      <c r="S816" s="181"/>
      <c r="T816" s="181"/>
      <c r="U816" s="181"/>
      <c r="V816" s="181"/>
      <c r="W816" s="181"/>
      <c r="X816" s="181"/>
      <c r="Y816" s="181"/>
      <c r="Z816" s="181"/>
    </row>
    <row r="817" ht="14.25" customHeight="1">
      <c r="A817" s="181"/>
      <c r="B817" s="181"/>
      <c r="C817" s="181"/>
      <c r="D817" s="181"/>
      <c r="E817" s="181"/>
      <c r="F817" s="181"/>
      <c r="G817" s="181"/>
      <c r="H817" s="181"/>
      <c r="I817" s="181"/>
      <c r="J817" s="181"/>
      <c r="K817" s="181"/>
      <c r="L817" s="181"/>
      <c r="M817" s="181"/>
      <c r="N817" s="181"/>
      <c r="O817" s="181"/>
      <c r="P817" s="181"/>
      <c r="Q817" s="181"/>
      <c r="R817" s="181"/>
      <c r="S817" s="181"/>
      <c r="T817" s="181"/>
      <c r="U817" s="181"/>
      <c r="V817" s="181"/>
      <c r="W817" s="181"/>
      <c r="X817" s="181"/>
      <c r="Y817" s="181"/>
      <c r="Z817" s="181"/>
    </row>
    <row r="818" ht="14.25" customHeight="1">
      <c r="A818" s="181"/>
      <c r="B818" s="181"/>
      <c r="C818" s="181"/>
      <c r="D818" s="181"/>
      <c r="E818" s="181"/>
      <c r="F818" s="181"/>
      <c r="G818" s="181"/>
      <c r="H818" s="181"/>
      <c r="I818" s="181"/>
      <c r="J818" s="181"/>
      <c r="K818" s="181"/>
      <c r="L818" s="181"/>
      <c r="M818" s="181"/>
      <c r="N818" s="181"/>
      <c r="O818" s="181"/>
      <c r="P818" s="181"/>
      <c r="Q818" s="181"/>
      <c r="R818" s="181"/>
      <c r="S818" s="181"/>
      <c r="T818" s="181"/>
      <c r="U818" s="181"/>
      <c r="V818" s="181"/>
      <c r="W818" s="181"/>
      <c r="X818" s="181"/>
      <c r="Y818" s="181"/>
      <c r="Z818" s="181"/>
    </row>
    <row r="819" ht="14.25" customHeight="1">
      <c r="A819" s="181"/>
      <c r="B819" s="181"/>
      <c r="C819" s="181"/>
      <c r="D819" s="181"/>
      <c r="E819" s="181"/>
      <c r="F819" s="181"/>
      <c r="G819" s="181"/>
      <c r="H819" s="181"/>
      <c r="I819" s="181"/>
      <c r="J819" s="181"/>
      <c r="K819" s="181"/>
      <c r="L819" s="181"/>
      <c r="M819" s="181"/>
      <c r="N819" s="181"/>
      <c r="O819" s="181"/>
      <c r="P819" s="181"/>
      <c r="Q819" s="181"/>
      <c r="R819" s="181"/>
      <c r="S819" s="181"/>
      <c r="T819" s="181"/>
      <c r="U819" s="181"/>
      <c r="V819" s="181"/>
      <c r="W819" s="181"/>
      <c r="X819" s="181"/>
      <c r="Y819" s="181"/>
      <c r="Z819" s="181"/>
    </row>
    <row r="820" ht="14.25" customHeight="1">
      <c r="A820" s="181"/>
      <c r="B820" s="181"/>
      <c r="C820" s="181"/>
      <c r="D820" s="181"/>
      <c r="E820" s="181"/>
      <c r="F820" s="181"/>
      <c r="G820" s="181"/>
      <c r="H820" s="181"/>
      <c r="I820" s="181"/>
      <c r="J820" s="181"/>
      <c r="K820" s="181"/>
      <c r="L820" s="181"/>
      <c r="M820" s="181"/>
      <c r="N820" s="181"/>
      <c r="O820" s="181"/>
      <c r="P820" s="181"/>
      <c r="Q820" s="181"/>
      <c r="R820" s="181"/>
      <c r="S820" s="181"/>
      <c r="T820" s="181"/>
      <c r="U820" s="181"/>
      <c r="V820" s="181"/>
      <c r="W820" s="181"/>
      <c r="X820" s="181"/>
      <c r="Y820" s="181"/>
      <c r="Z820" s="181"/>
    </row>
    <row r="821" ht="14.25" customHeight="1">
      <c r="A821" s="181"/>
      <c r="B821" s="181"/>
      <c r="C821" s="181"/>
      <c r="D821" s="181"/>
      <c r="E821" s="181"/>
      <c r="F821" s="181"/>
      <c r="G821" s="181"/>
      <c r="H821" s="181"/>
      <c r="I821" s="181"/>
      <c r="J821" s="181"/>
      <c r="K821" s="181"/>
      <c r="L821" s="181"/>
      <c r="M821" s="181"/>
      <c r="N821" s="181"/>
      <c r="O821" s="181"/>
      <c r="P821" s="181"/>
      <c r="Q821" s="181"/>
      <c r="R821" s="181"/>
      <c r="S821" s="181"/>
      <c r="T821" s="181"/>
      <c r="U821" s="181"/>
      <c r="V821" s="181"/>
      <c r="W821" s="181"/>
      <c r="X821" s="181"/>
      <c r="Y821" s="181"/>
      <c r="Z821" s="181"/>
    </row>
    <row r="822" ht="14.25" customHeight="1">
      <c r="A822" s="181"/>
      <c r="B822" s="181"/>
      <c r="C822" s="181"/>
      <c r="D822" s="181"/>
      <c r="E822" s="181"/>
      <c r="F822" s="181"/>
      <c r="G822" s="181"/>
      <c r="H822" s="181"/>
      <c r="I822" s="181"/>
      <c r="J822" s="181"/>
      <c r="K822" s="181"/>
      <c r="L822" s="181"/>
      <c r="M822" s="181"/>
      <c r="N822" s="181"/>
      <c r="O822" s="181"/>
      <c r="P822" s="181"/>
      <c r="Q822" s="181"/>
      <c r="R822" s="181"/>
      <c r="S822" s="181"/>
      <c r="T822" s="181"/>
      <c r="U822" s="181"/>
      <c r="V822" s="181"/>
      <c r="W822" s="181"/>
      <c r="X822" s="181"/>
      <c r="Y822" s="181"/>
      <c r="Z822" s="181"/>
    </row>
    <row r="823" ht="14.25" customHeight="1">
      <c r="A823" s="181"/>
      <c r="B823" s="181"/>
      <c r="C823" s="181"/>
      <c r="D823" s="181"/>
      <c r="E823" s="181"/>
      <c r="F823" s="181"/>
      <c r="G823" s="181"/>
      <c r="H823" s="181"/>
      <c r="I823" s="181"/>
      <c r="J823" s="181"/>
      <c r="K823" s="181"/>
      <c r="L823" s="181"/>
      <c r="M823" s="181"/>
      <c r="N823" s="181"/>
      <c r="O823" s="181"/>
      <c r="P823" s="181"/>
      <c r="Q823" s="181"/>
      <c r="R823" s="181"/>
      <c r="S823" s="181"/>
      <c r="T823" s="181"/>
      <c r="U823" s="181"/>
      <c r="V823" s="181"/>
      <c r="W823" s="181"/>
      <c r="X823" s="181"/>
      <c r="Y823" s="181"/>
      <c r="Z823" s="181"/>
    </row>
    <row r="824" ht="14.25" customHeight="1">
      <c r="A824" s="181"/>
      <c r="B824" s="181"/>
      <c r="C824" s="181"/>
      <c r="D824" s="181"/>
      <c r="E824" s="181"/>
      <c r="F824" s="181"/>
      <c r="G824" s="181"/>
      <c r="H824" s="181"/>
      <c r="I824" s="181"/>
      <c r="J824" s="181"/>
      <c r="K824" s="181"/>
      <c r="L824" s="181"/>
      <c r="M824" s="181"/>
      <c r="N824" s="181"/>
      <c r="O824" s="181"/>
      <c r="P824" s="181"/>
      <c r="Q824" s="181"/>
      <c r="R824" s="181"/>
      <c r="S824" s="181"/>
      <c r="T824" s="181"/>
      <c r="U824" s="181"/>
      <c r="V824" s="181"/>
      <c r="W824" s="181"/>
      <c r="X824" s="181"/>
      <c r="Y824" s="181"/>
      <c r="Z824" s="181"/>
    </row>
    <row r="825" ht="14.25" customHeight="1">
      <c r="A825" s="181"/>
      <c r="B825" s="181"/>
      <c r="C825" s="181"/>
      <c r="D825" s="181"/>
      <c r="E825" s="181"/>
      <c r="F825" s="181"/>
      <c r="G825" s="181"/>
      <c r="H825" s="181"/>
      <c r="I825" s="181"/>
      <c r="J825" s="181"/>
      <c r="K825" s="181"/>
      <c r="L825" s="181"/>
      <c r="M825" s="181"/>
      <c r="N825" s="181"/>
      <c r="O825" s="181"/>
      <c r="P825" s="181"/>
      <c r="Q825" s="181"/>
      <c r="R825" s="181"/>
      <c r="S825" s="181"/>
      <c r="T825" s="181"/>
      <c r="U825" s="181"/>
      <c r="V825" s="181"/>
      <c r="W825" s="181"/>
      <c r="X825" s="181"/>
      <c r="Y825" s="181"/>
      <c r="Z825" s="181"/>
    </row>
    <row r="826" ht="14.25" customHeight="1">
      <c r="A826" s="181"/>
      <c r="B826" s="181"/>
      <c r="C826" s="181"/>
      <c r="D826" s="181"/>
      <c r="E826" s="181"/>
      <c r="F826" s="181"/>
      <c r="G826" s="181"/>
      <c r="H826" s="181"/>
      <c r="I826" s="181"/>
      <c r="J826" s="181"/>
      <c r="K826" s="181"/>
      <c r="L826" s="181"/>
      <c r="M826" s="181"/>
      <c r="N826" s="181"/>
      <c r="O826" s="181"/>
      <c r="P826" s="181"/>
      <c r="Q826" s="181"/>
      <c r="R826" s="181"/>
      <c r="S826" s="181"/>
      <c r="T826" s="181"/>
      <c r="U826" s="181"/>
      <c r="V826" s="181"/>
      <c r="W826" s="181"/>
      <c r="X826" s="181"/>
      <c r="Y826" s="181"/>
      <c r="Z826" s="181"/>
    </row>
    <row r="827" ht="14.25" customHeight="1">
      <c r="A827" s="181"/>
      <c r="B827" s="181"/>
      <c r="C827" s="181"/>
      <c r="D827" s="181"/>
      <c r="E827" s="181"/>
      <c r="F827" s="181"/>
      <c r="G827" s="181"/>
      <c r="H827" s="181"/>
      <c r="I827" s="181"/>
      <c r="J827" s="181"/>
      <c r="K827" s="181"/>
      <c r="L827" s="181"/>
      <c r="M827" s="181"/>
      <c r="N827" s="181"/>
      <c r="O827" s="181"/>
      <c r="P827" s="181"/>
      <c r="Q827" s="181"/>
      <c r="R827" s="181"/>
      <c r="S827" s="181"/>
      <c r="T827" s="181"/>
      <c r="U827" s="181"/>
      <c r="V827" s="181"/>
      <c r="W827" s="181"/>
      <c r="X827" s="181"/>
      <c r="Y827" s="181"/>
      <c r="Z827" s="181"/>
    </row>
    <row r="828" ht="14.25" customHeight="1">
      <c r="A828" s="181"/>
      <c r="B828" s="181"/>
      <c r="C828" s="181"/>
      <c r="D828" s="181"/>
      <c r="E828" s="181"/>
      <c r="F828" s="181"/>
      <c r="G828" s="181"/>
      <c r="H828" s="181"/>
      <c r="I828" s="181"/>
      <c r="J828" s="181"/>
      <c r="K828" s="181"/>
      <c r="L828" s="181"/>
      <c r="M828" s="181"/>
      <c r="N828" s="181"/>
      <c r="O828" s="181"/>
      <c r="P828" s="181"/>
      <c r="Q828" s="181"/>
      <c r="R828" s="181"/>
      <c r="S828" s="181"/>
      <c r="T828" s="181"/>
      <c r="U828" s="181"/>
      <c r="V828" s="181"/>
      <c r="W828" s="181"/>
      <c r="X828" s="181"/>
      <c r="Y828" s="181"/>
      <c r="Z828" s="181"/>
    </row>
    <row r="829" ht="14.25" customHeight="1">
      <c r="A829" s="181"/>
      <c r="B829" s="181"/>
      <c r="C829" s="181"/>
      <c r="D829" s="181"/>
      <c r="E829" s="181"/>
      <c r="F829" s="181"/>
      <c r="G829" s="181"/>
      <c r="H829" s="181"/>
      <c r="I829" s="181"/>
      <c r="J829" s="181"/>
      <c r="K829" s="181"/>
      <c r="L829" s="181"/>
      <c r="M829" s="181"/>
      <c r="N829" s="181"/>
      <c r="O829" s="181"/>
      <c r="P829" s="181"/>
      <c r="Q829" s="181"/>
      <c r="R829" s="181"/>
      <c r="S829" s="181"/>
      <c r="T829" s="181"/>
      <c r="U829" s="181"/>
      <c r="V829" s="181"/>
      <c r="W829" s="181"/>
      <c r="X829" s="181"/>
      <c r="Y829" s="181"/>
      <c r="Z829" s="181"/>
    </row>
    <row r="830" ht="14.25" customHeight="1">
      <c r="A830" s="181"/>
      <c r="B830" s="181"/>
      <c r="C830" s="181"/>
      <c r="D830" s="181"/>
      <c r="E830" s="181"/>
      <c r="F830" s="181"/>
      <c r="G830" s="181"/>
      <c r="H830" s="181"/>
      <c r="I830" s="181"/>
      <c r="J830" s="181"/>
      <c r="K830" s="181"/>
      <c r="L830" s="181"/>
      <c r="M830" s="181"/>
      <c r="N830" s="181"/>
      <c r="O830" s="181"/>
      <c r="P830" s="181"/>
      <c r="Q830" s="181"/>
      <c r="R830" s="181"/>
      <c r="S830" s="181"/>
      <c r="T830" s="181"/>
      <c r="U830" s="181"/>
      <c r="V830" s="181"/>
      <c r="W830" s="181"/>
      <c r="X830" s="181"/>
      <c r="Y830" s="181"/>
      <c r="Z830" s="181"/>
    </row>
    <row r="831" ht="14.25" customHeight="1">
      <c r="A831" s="181"/>
      <c r="B831" s="181"/>
      <c r="C831" s="181"/>
      <c r="D831" s="181"/>
      <c r="E831" s="181"/>
      <c r="F831" s="181"/>
      <c r="G831" s="181"/>
      <c r="H831" s="181"/>
      <c r="I831" s="181"/>
      <c r="J831" s="181"/>
      <c r="K831" s="181"/>
      <c r="L831" s="181"/>
      <c r="M831" s="181"/>
      <c r="N831" s="181"/>
      <c r="O831" s="181"/>
      <c r="P831" s="181"/>
      <c r="Q831" s="181"/>
      <c r="R831" s="181"/>
      <c r="S831" s="181"/>
      <c r="T831" s="181"/>
      <c r="U831" s="181"/>
      <c r="V831" s="181"/>
      <c r="W831" s="181"/>
      <c r="X831" s="181"/>
      <c r="Y831" s="181"/>
      <c r="Z831" s="181"/>
    </row>
    <row r="832" ht="14.25" customHeight="1">
      <c r="A832" s="181"/>
      <c r="B832" s="181"/>
      <c r="C832" s="181"/>
      <c r="D832" s="181"/>
      <c r="E832" s="181"/>
      <c r="F832" s="181"/>
      <c r="G832" s="181"/>
      <c r="H832" s="181"/>
      <c r="I832" s="181"/>
      <c r="J832" s="181"/>
      <c r="K832" s="181"/>
      <c r="L832" s="181"/>
      <c r="M832" s="181"/>
      <c r="N832" s="181"/>
      <c r="O832" s="181"/>
      <c r="P832" s="181"/>
      <c r="Q832" s="181"/>
      <c r="R832" s="181"/>
      <c r="S832" s="181"/>
      <c r="T832" s="181"/>
      <c r="U832" s="181"/>
      <c r="V832" s="181"/>
      <c r="W832" s="181"/>
      <c r="X832" s="181"/>
      <c r="Y832" s="181"/>
      <c r="Z832" s="181"/>
    </row>
    <row r="833" ht="14.25" customHeight="1">
      <c r="A833" s="181"/>
      <c r="B833" s="181"/>
      <c r="C833" s="181"/>
      <c r="D833" s="181"/>
      <c r="E833" s="181"/>
      <c r="F833" s="181"/>
      <c r="G833" s="181"/>
      <c r="H833" s="181"/>
      <c r="I833" s="181"/>
      <c r="J833" s="181"/>
      <c r="K833" s="181"/>
      <c r="L833" s="181"/>
      <c r="M833" s="181"/>
      <c r="N833" s="181"/>
      <c r="O833" s="181"/>
      <c r="P833" s="181"/>
      <c r="Q833" s="181"/>
      <c r="R833" s="181"/>
      <c r="S833" s="181"/>
      <c r="T833" s="181"/>
      <c r="U833" s="181"/>
      <c r="V833" s="181"/>
      <c r="W833" s="181"/>
      <c r="X833" s="181"/>
      <c r="Y833" s="181"/>
      <c r="Z833" s="181"/>
    </row>
    <row r="834" ht="14.25" customHeight="1">
      <c r="A834" s="181"/>
      <c r="B834" s="181"/>
      <c r="C834" s="181"/>
      <c r="D834" s="181"/>
      <c r="E834" s="181"/>
      <c r="F834" s="181"/>
      <c r="G834" s="181"/>
      <c r="H834" s="181"/>
      <c r="I834" s="181"/>
      <c r="J834" s="181"/>
      <c r="K834" s="181"/>
      <c r="L834" s="181"/>
      <c r="M834" s="181"/>
      <c r="N834" s="181"/>
      <c r="O834" s="181"/>
      <c r="P834" s="181"/>
      <c r="Q834" s="181"/>
      <c r="R834" s="181"/>
      <c r="S834" s="181"/>
      <c r="T834" s="181"/>
      <c r="U834" s="181"/>
      <c r="V834" s="181"/>
      <c r="W834" s="181"/>
      <c r="X834" s="181"/>
      <c r="Y834" s="181"/>
      <c r="Z834" s="181"/>
    </row>
    <row r="835" ht="14.25" customHeight="1">
      <c r="A835" s="181"/>
      <c r="B835" s="181"/>
      <c r="C835" s="181"/>
      <c r="D835" s="181"/>
      <c r="E835" s="181"/>
      <c r="F835" s="181"/>
      <c r="G835" s="181"/>
      <c r="H835" s="181"/>
      <c r="I835" s="181"/>
      <c r="J835" s="181"/>
      <c r="K835" s="181"/>
      <c r="L835" s="181"/>
      <c r="M835" s="181"/>
      <c r="N835" s="181"/>
      <c r="O835" s="181"/>
      <c r="P835" s="181"/>
      <c r="Q835" s="181"/>
      <c r="R835" s="181"/>
      <c r="S835" s="181"/>
      <c r="T835" s="181"/>
      <c r="U835" s="181"/>
      <c r="V835" s="181"/>
      <c r="W835" s="181"/>
      <c r="X835" s="181"/>
      <c r="Y835" s="181"/>
      <c r="Z835" s="181"/>
    </row>
    <row r="836" ht="14.25" customHeight="1">
      <c r="A836" s="181"/>
      <c r="B836" s="181"/>
      <c r="C836" s="181"/>
      <c r="D836" s="181"/>
      <c r="E836" s="181"/>
      <c r="F836" s="181"/>
      <c r="G836" s="181"/>
      <c r="H836" s="181"/>
      <c r="I836" s="181"/>
      <c r="J836" s="181"/>
      <c r="K836" s="181"/>
      <c r="L836" s="181"/>
      <c r="M836" s="181"/>
      <c r="N836" s="181"/>
      <c r="O836" s="181"/>
      <c r="P836" s="181"/>
      <c r="Q836" s="181"/>
      <c r="R836" s="181"/>
      <c r="S836" s="181"/>
      <c r="T836" s="181"/>
      <c r="U836" s="181"/>
      <c r="V836" s="181"/>
      <c r="W836" s="181"/>
      <c r="X836" s="181"/>
      <c r="Y836" s="181"/>
      <c r="Z836" s="181"/>
    </row>
    <row r="837" ht="14.25" customHeight="1">
      <c r="A837" s="181"/>
      <c r="B837" s="181"/>
      <c r="C837" s="181"/>
      <c r="D837" s="181"/>
      <c r="E837" s="181"/>
      <c r="F837" s="181"/>
      <c r="G837" s="181"/>
      <c r="H837" s="181"/>
      <c r="I837" s="181"/>
      <c r="J837" s="181"/>
      <c r="K837" s="181"/>
      <c r="L837" s="181"/>
      <c r="M837" s="181"/>
      <c r="N837" s="181"/>
      <c r="O837" s="181"/>
      <c r="P837" s="181"/>
      <c r="Q837" s="181"/>
      <c r="R837" s="181"/>
      <c r="S837" s="181"/>
      <c r="T837" s="181"/>
      <c r="U837" s="181"/>
      <c r="V837" s="181"/>
      <c r="W837" s="181"/>
      <c r="X837" s="181"/>
      <c r="Y837" s="181"/>
      <c r="Z837" s="181"/>
    </row>
    <row r="838" ht="14.25" customHeight="1">
      <c r="A838" s="181"/>
      <c r="B838" s="181"/>
      <c r="C838" s="181"/>
      <c r="D838" s="181"/>
      <c r="E838" s="181"/>
      <c r="F838" s="181"/>
      <c r="G838" s="181"/>
      <c r="H838" s="181"/>
      <c r="I838" s="181"/>
      <c r="J838" s="181"/>
      <c r="K838" s="181"/>
      <c r="L838" s="181"/>
      <c r="M838" s="181"/>
      <c r="N838" s="181"/>
      <c r="O838" s="181"/>
      <c r="P838" s="181"/>
      <c r="Q838" s="181"/>
      <c r="R838" s="181"/>
      <c r="S838" s="181"/>
      <c r="T838" s="181"/>
      <c r="U838" s="181"/>
      <c r="V838" s="181"/>
      <c r="W838" s="181"/>
      <c r="X838" s="181"/>
      <c r="Y838" s="181"/>
      <c r="Z838" s="181"/>
    </row>
    <row r="839" ht="14.25" customHeight="1">
      <c r="A839" s="181"/>
      <c r="B839" s="181"/>
      <c r="C839" s="181"/>
      <c r="D839" s="181"/>
      <c r="E839" s="181"/>
      <c r="F839" s="181"/>
      <c r="G839" s="181"/>
      <c r="H839" s="181"/>
      <c r="I839" s="181"/>
      <c r="J839" s="181"/>
      <c r="K839" s="181"/>
      <c r="L839" s="181"/>
      <c r="M839" s="181"/>
      <c r="N839" s="181"/>
      <c r="O839" s="181"/>
      <c r="P839" s="181"/>
      <c r="Q839" s="181"/>
      <c r="R839" s="181"/>
      <c r="S839" s="181"/>
      <c r="T839" s="181"/>
      <c r="U839" s="181"/>
      <c r="V839" s="181"/>
      <c r="W839" s="181"/>
      <c r="X839" s="181"/>
      <c r="Y839" s="181"/>
      <c r="Z839" s="181"/>
    </row>
    <row r="840" ht="14.25" customHeight="1">
      <c r="A840" s="181"/>
      <c r="B840" s="181"/>
      <c r="C840" s="181"/>
      <c r="D840" s="181"/>
      <c r="E840" s="181"/>
      <c r="F840" s="181"/>
      <c r="G840" s="181"/>
      <c r="H840" s="181"/>
      <c r="I840" s="181"/>
      <c r="J840" s="181"/>
      <c r="K840" s="181"/>
      <c r="L840" s="181"/>
      <c r="M840" s="181"/>
      <c r="N840" s="181"/>
      <c r="O840" s="181"/>
      <c r="P840" s="181"/>
      <c r="Q840" s="181"/>
      <c r="R840" s="181"/>
      <c r="S840" s="181"/>
      <c r="T840" s="181"/>
      <c r="U840" s="181"/>
      <c r="V840" s="181"/>
      <c r="W840" s="181"/>
      <c r="X840" s="181"/>
      <c r="Y840" s="181"/>
      <c r="Z840" s="181"/>
    </row>
    <row r="841" ht="14.25" customHeight="1">
      <c r="A841" s="181"/>
      <c r="B841" s="181"/>
      <c r="C841" s="181"/>
      <c r="D841" s="181"/>
      <c r="E841" s="181"/>
      <c r="F841" s="181"/>
      <c r="G841" s="181"/>
      <c r="H841" s="181"/>
      <c r="I841" s="181"/>
      <c r="J841" s="181"/>
      <c r="K841" s="181"/>
      <c r="L841" s="181"/>
      <c r="M841" s="181"/>
      <c r="N841" s="181"/>
      <c r="O841" s="181"/>
      <c r="P841" s="181"/>
      <c r="Q841" s="181"/>
      <c r="R841" s="181"/>
      <c r="S841" s="181"/>
      <c r="T841" s="181"/>
      <c r="U841" s="181"/>
      <c r="V841" s="181"/>
      <c r="W841" s="181"/>
      <c r="X841" s="181"/>
      <c r="Y841" s="181"/>
      <c r="Z841" s="181"/>
    </row>
    <row r="842" ht="14.25" customHeight="1">
      <c r="A842" s="181"/>
      <c r="B842" s="181"/>
      <c r="C842" s="181"/>
      <c r="D842" s="181"/>
      <c r="E842" s="181"/>
      <c r="F842" s="181"/>
      <c r="G842" s="181"/>
      <c r="H842" s="181"/>
      <c r="I842" s="181"/>
      <c r="J842" s="181"/>
      <c r="K842" s="181"/>
      <c r="L842" s="181"/>
      <c r="M842" s="181"/>
      <c r="N842" s="181"/>
      <c r="O842" s="181"/>
      <c r="P842" s="181"/>
      <c r="Q842" s="181"/>
      <c r="R842" s="181"/>
      <c r="S842" s="181"/>
      <c r="T842" s="181"/>
      <c r="U842" s="181"/>
      <c r="V842" s="181"/>
      <c r="W842" s="181"/>
      <c r="X842" s="181"/>
      <c r="Y842" s="181"/>
      <c r="Z842" s="181"/>
    </row>
    <row r="843" ht="14.25" customHeight="1">
      <c r="A843" s="181"/>
      <c r="B843" s="181"/>
      <c r="C843" s="181"/>
      <c r="D843" s="181"/>
      <c r="E843" s="181"/>
      <c r="F843" s="181"/>
      <c r="G843" s="181"/>
      <c r="H843" s="181"/>
      <c r="I843" s="181"/>
      <c r="J843" s="181"/>
      <c r="K843" s="181"/>
      <c r="L843" s="181"/>
      <c r="M843" s="181"/>
      <c r="N843" s="181"/>
      <c r="O843" s="181"/>
      <c r="P843" s="181"/>
      <c r="Q843" s="181"/>
      <c r="R843" s="181"/>
      <c r="S843" s="181"/>
      <c r="T843" s="181"/>
      <c r="U843" s="181"/>
      <c r="V843" s="181"/>
      <c r="W843" s="181"/>
      <c r="X843" s="181"/>
      <c r="Y843" s="181"/>
      <c r="Z843" s="181"/>
    </row>
    <row r="844" ht="14.25" customHeight="1">
      <c r="A844" s="181"/>
      <c r="B844" s="181"/>
      <c r="C844" s="181"/>
      <c r="D844" s="181"/>
      <c r="E844" s="181"/>
      <c r="F844" s="181"/>
      <c r="G844" s="181"/>
      <c r="H844" s="181"/>
      <c r="I844" s="181"/>
      <c r="J844" s="181"/>
      <c r="K844" s="181"/>
      <c r="L844" s="181"/>
      <c r="M844" s="181"/>
      <c r="N844" s="181"/>
      <c r="O844" s="181"/>
      <c r="P844" s="181"/>
      <c r="Q844" s="181"/>
      <c r="R844" s="181"/>
      <c r="S844" s="181"/>
      <c r="T844" s="181"/>
      <c r="U844" s="181"/>
      <c r="V844" s="181"/>
      <c r="W844" s="181"/>
      <c r="X844" s="181"/>
      <c r="Y844" s="181"/>
      <c r="Z844" s="181"/>
    </row>
    <row r="845" ht="14.25" customHeight="1">
      <c r="A845" s="181"/>
      <c r="B845" s="181"/>
      <c r="C845" s="181"/>
      <c r="D845" s="181"/>
      <c r="E845" s="181"/>
      <c r="F845" s="181"/>
      <c r="G845" s="181"/>
      <c r="H845" s="181"/>
      <c r="I845" s="181"/>
      <c r="J845" s="181"/>
      <c r="K845" s="181"/>
      <c r="L845" s="181"/>
      <c r="M845" s="181"/>
      <c r="N845" s="181"/>
      <c r="O845" s="181"/>
      <c r="P845" s="181"/>
      <c r="Q845" s="181"/>
      <c r="R845" s="181"/>
      <c r="S845" s="181"/>
      <c r="T845" s="181"/>
      <c r="U845" s="181"/>
      <c r="V845" s="181"/>
      <c r="W845" s="181"/>
      <c r="X845" s="181"/>
      <c r="Y845" s="181"/>
      <c r="Z845" s="181"/>
    </row>
    <row r="846" ht="14.25" customHeight="1">
      <c r="A846" s="181"/>
      <c r="B846" s="181"/>
      <c r="C846" s="181"/>
      <c r="D846" s="181"/>
      <c r="E846" s="181"/>
      <c r="F846" s="181"/>
      <c r="G846" s="181"/>
      <c r="H846" s="181"/>
      <c r="I846" s="181"/>
      <c r="J846" s="181"/>
      <c r="K846" s="181"/>
      <c r="L846" s="181"/>
      <c r="M846" s="181"/>
      <c r="N846" s="181"/>
      <c r="O846" s="181"/>
      <c r="P846" s="181"/>
      <c r="Q846" s="181"/>
      <c r="R846" s="181"/>
      <c r="S846" s="181"/>
      <c r="T846" s="181"/>
      <c r="U846" s="181"/>
      <c r="V846" s="181"/>
      <c r="W846" s="181"/>
      <c r="X846" s="181"/>
      <c r="Y846" s="181"/>
      <c r="Z846" s="181"/>
    </row>
    <row r="847" ht="14.25" customHeight="1">
      <c r="A847" s="181"/>
      <c r="B847" s="181"/>
      <c r="C847" s="181"/>
      <c r="D847" s="181"/>
      <c r="E847" s="181"/>
      <c r="F847" s="181"/>
      <c r="G847" s="181"/>
      <c r="H847" s="181"/>
      <c r="I847" s="181"/>
      <c r="J847" s="181"/>
      <c r="K847" s="181"/>
      <c r="L847" s="181"/>
      <c r="M847" s="181"/>
      <c r="N847" s="181"/>
      <c r="O847" s="181"/>
      <c r="P847" s="181"/>
      <c r="Q847" s="181"/>
      <c r="R847" s="181"/>
      <c r="S847" s="181"/>
      <c r="T847" s="181"/>
      <c r="U847" s="181"/>
      <c r="V847" s="181"/>
      <c r="W847" s="181"/>
      <c r="X847" s="181"/>
      <c r="Y847" s="181"/>
      <c r="Z847" s="181"/>
    </row>
    <row r="848" ht="14.25" customHeight="1">
      <c r="A848" s="181"/>
      <c r="B848" s="181"/>
      <c r="C848" s="181"/>
      <c r="D848" s="181"/>
      <c r="E848" s="181"/>
      <c r="F848" s="181"/>
      <c r="G848" s="181"/>
      <c r="H848" s="181"/>
      <c r="I848" s="181"/>
      <c r="J848" s="181"/>
      <c r="K848" s="181"/>
      <c r="L848" s="181"/>
      <c r="M848" s="181"/>
      <c r="N848" s="181"/>
      <c r="O848" s="181"/>
      <c r="P848" s="181"/>
      <c r="Q848" s="181"/>
      <c r="R848" s="181"/>
      <c r="S848" s="181"/>
      <c r="T848" s="181"/>
      <c r="U848" s="181"/>
      <c r="V848" s="181"/>
      <c r="W848" s="181"/>
      <c r="X848" s="181"/>
      <c r="Y848" s="181"/>
      <c r="Z848" s="181"/>
    </row>
    <row r="849" ht="14.25" customHeight="1">
      <c r="A849" s="181"/>
      <c r="B849" s="181"/>
      <c r="C849" s="181"/>
      <c r="D849" s="181"/>
      <c r="E849" s="181"/>
      <c r="F849" s="181"/>
      <c r="G849" s="181"/>
      <c r="H849" s="181"/>
      <c r="I849" s="181"/>
      <c r="J849" s="181"/>
      <c r="K849" s="181"/>
      <c r="L849" s="181"/>
      <c r="M849" s="181"/>
      <c r="N849" s="181"/>
      <c r="O849" s="181"/>
      <c r="P849" s="181"/>
      <c r="Q849" s="181"/>
      <c r="R849" s="181"/>
      <c r="S849" s="181"/>
      <c r="T849" s="181"/>
      <c r="U849" s="181"/>
      <c r="V849" s="181"/>
      <c r="W849" s="181"/>
      <c r="X849" s="181"/>
      <c r="Y849" s="181"/>
      <c r="Z849" s="181"/>
    </row>
    <row r="850" ht="14.25" customHeight="1">
      <c r="A850" s="181"/>
      <c r="B850" s="181"/>
      <c r="C850" s="181"/>
      <c r="D850" s="181"/>
      <c r="E850" s="181"/>
      <c r="F850" s="181"/>
      <c r="G850" s="181"/>
      <c r="H850" s="181"/>
      <c r="I850" s="181"/>
      <c r="J850" s="181"/>
      <c r="K850" s="181"/>
      <c r="L850" s="181"/>
      <c r="M850" s="181"/>
      <c r="N850" s="181"/>
      <c r="O850" s="181"/>
      <c r="P850" s="181"/>
      <c r="Q850" s="181"/>
      <c r="R850" s="181"/>
      <c r="S850" s="181"/>
      <c r="T850" s="181"/>
      <c r="U850" s="181"/>
      <c r="V850" s="181"/>
      <c r="W850" s="181"/>
      <c r="X850" s="181"/>
      <c r="Y850" s="181"/>
      <c r="Z850" s="181"/>
    </row>
    <row r="851" ht="14.25" customHeight="1">
      <c r="A851" s="181"/>
      <c r="B851" s="181"/>
      <c r="C851" s="181"/>
      <c r="D851" s="181"/>
      <c r="E851" s="181"/>
      <c r="F851" s="181"/>
      <c r="G851" s="181"/>
      <c r="H851" s="181"/>
      <c r="I851" s="181"/>
      <c r="J851" s="181"/>
      <c r="K851" s="181"/>
      <c r="L851" s="181"/>
      <c r="M851" s="181"/>
      <c r="N851" s="181"/>
      <c r="O851" s="181"/>
      <c r="P851" s="181"/>
      <c r="Q851" s="181"/>
      <c r="R851" s="181"/>
      <c r="S851" s="181"/>
      <c r="T851" s="181"/>
      <c r="U851" s="181"/>
      <c r="V851" s="181"/>
      <c r="W851" s="181"/>
      <c r="X851" s="181"/>
      <c r="Y851" s="181"/>
      <c r="Z851" s="181"/>
    </row>
    <row r="852" ht="14.25" customHeight="1">
      <c r="A852" s="181"/>
      <c r="B852" s="181"/>
      <c r="C852" s="181"/>
      <c r="D852" s="181"/>
      <c r="E852" s="181"/>
      <c r="F852" s="181"/>
      <c r="G852" s="181"/>
      <c r="H852" s="181"/>
      <c r="I852" s="181"/>
      <c r="J852" s="181"/>
      <c r="K852" s="181"/>
      <c r="L852" s="181"/>
      <c r="M852" s="181"/>
      <c r="N852" s="181"/>
      <c r="O852" s="181"/>
      <c r="P852" s="181"/>
      <c r="Q852" s="181"/>
      <c r="R852" s="181"/>
      <c r="S852" s="181"/>
      <c r="T852" s="181"/>
      <c r="U852" s="181"/>
      <c r="V852" s="181"/>
      <c r="W852" s="181"/>
      <c r="X852" s="181"/>
      <c r="Y852" s="181"/>
      <c r="Z852" s="181"/>
    </row>
    <row r="853" ht="14.25" customHeight="1">
      <c r="A853" s="181"/>
      <c r="B853" s="181"/>
      <c r="C853" s="181"/>
      <c r="D853" s="181"/>
      <c r="E853" s="181"/>
      <c r="F853" s="181"/>
      <c r="G853" s="181"/>
      <c r="H853" s="181"/>
      <c r="I853" s="181"/>
      <c r="J853" s="181"/>
      <c r="K853" s="181"/>
      <c r="L853" s="181"/>
      <c r="M853" s="181"/>
      <c r="N853" s="181"/>
      <c r="O853" s="181"/>
      <c r="P853" s="181"/>
      <c r="Q853" s="181"/>
      <c r="R853" s="181"/>
      <c r="S853" s="181"/>
      <c r="T853" s="181"/>
      <c r="U853" s="181"/>
      <c r="V853" s="181"/>
      <c r="W853" s="181"/>
      <c r="X853" s="181"/>
      <c r="Y853" s="181"/>
      <c r="Z853" s="181"/>
    </row>
    <row r="854" ht="14.25" customHeight="1">
      <c r="A854" s="181"/>
      <c r="B854" s="181"/>
      <c r="C854" s="181"/>
      <c r="D854" s="181"/>
      <c r="E854" s="181"/>
      <c r="F854" s="181"/>
      <c r="G854" s="181"/>
      <c r="H854" s="181"/>
      <c r="I854" s="181"/>
      <c r="J854" s="181"/>
      <c r="K854" s="181"/>
      <c r="L854" s="181"/>
      <c r="M854" s="181"/>
      <c r="N854" s="181"/>
      <c r="O854" s="181"/>
      <c r="P854" s="181"/>
      <c r="Q854" s="181"/>
      <c r="R854" s="181"/>
      <c r="S854" s="181"/>
      <c r="T854" s="181"/>
      <c r="U854" s="181"/>
      <c r="V854" s="181"/>
      <c r="W854" s="181"/>
      <c r="X854" s="181"/>
      <c r="Y854" s="181"/>
      <c r="Z854" s="181"/>
    </row>
    <row r="855" ht="14.25" customHeight="1">
      <c r="A855" s="181"/>
      <c r="B855" s="181"/>
      <c r="C855" s="181"/>
      <c r="D855" s="181"/>
      <c r="E855" s="181"/>
      <c r="F855" s="181"/>
      <c r="G855" s="181"/>
      <c r="H855" s="181"/>
      <c r="I855" s="181"/>
      <c r="J855" s="181"/>
      <c r="K855" s="181"/>
      <c r="L855" s="181"/>
      <c r="M855" s="181"/>
      <c r="N855" s="181"/>
      <c r="O855" s="181"/>
      <c r="P855" s="181"/>
      <c r="Q855" s="181"/>
      <c r="R855" s="181"/>
      <c r="S855" s="181"/>
      <c r="T855" s="181"/>
      <c r="U855" s="181"/>
      <c r="V855" s="181"/>
      <c r="W855" s="181"/>
      <c r="X855" s="181"/>
      <c r="Y855" s="181"/>
      <c r="Z855" s="181"/>
    </row>
    <row r="856" ht="14.25" customHeight="1">
      <c r="A856" s="181"/>
      <c r="B856" s="181"/>
      <c r="C856" s="181"/>
      <c r="D856" s="181"/>
      <c r="E856" s="181"/>
      <c r="F856" s="181"/>
      <c r="G856" s="181"/>
      <c r="H856" s="181"/>
      <c r="I856" s="181"/>
      <c r="J856" s="181"/>
      <c r="K856" s="181"/>
      <c r="L856" s="181"/>
      <c r="M856" s="181"/>
      <c r="N856" s="181"/>
      <c r="O856" s="181"/>
      <c r="P856" s="181"/>
      <c r="Q856" s="181"/>
      <c r="R856" s="181"/>
      <c r="S856" s="181"/>
      <c r="T856" s="181"/>
      <c r="U856" s="181"/>
      <c r="V856" s="181"/>
      <c r="W856" s="181"/>
      <c r="X856" s="181"/>
      <c r="Y856" s="181"/>
      <c r="Z856" s="181"/>
    </row>
    <row r="857" ht="14.25" customHeight="1">
      <c r="A857" s="181"/>
      <c r="B857" s="181"/>
      <c r="C857" s="181"/>
      <c r="D857" s="181"/>
      <c r="E857" s="181"/>
      <c r="F857" s="181"/>
      <c r="G857" s="181"/>
      <c r="H857" s="181"/>
      <c r="I857" s="181"/>
      <c r="J857" s="181"/>
      <c r="K857" s="181"/>
      <c r="L857" s="181"/>
      <c r="M857" s="181"/>
      <c r="N857" s="181"/>
      <c r="O857" s="181"/>
      <c r="P857" s="181"/>
      <c r="Q857" s="181"/>
      <c r="R857" s="181"/>
      <c r="S857" s="181"/>
      <c r="T857" s="181"/>
      <c r="U857" s="181"/>
      <c r="V857" s="181"/>
      <c r="W857" s="181"/>
      <c r="X857" s="181"/>
      <c r="Y857" s="181"/>
      <c r="Z857" s="181"/>
    </row>
    <row r="858" ht="14.25" customHeight="1">
      <c r="A858" s="181"/>
      <c r="B858" s="181"/>
      <c r="C858" s="181"/>
      <c r="D858" s="181"/>
      <c r="E858" s="181"/>
      <c r="F858" s="181"/>
      <c r="G858" s="181"/>
      <c r="H858" s="181"/>
      <c r="I858" s="181"/>
      <c r="J858" s="181"/>
      <c r="K858" s="181"/>
      <c r="L858" s="181"/>
      <c r="M858" s="181"/>
      <c r="N858" s="181"/>
      <c r="O858" s="181"/>
      <c r="P858" s="181"/>
      <c r="Q858" s="181"/>
      <c r="R858" s="181"/>
      <c r="S858" s="181"/>
      <c r="T858" s="181"/>
      <c r="U858" s="181"/>
      <c r="V858" s="181"/>
      <c r="W858" s="181"/>
      <c r="X858" s="181"/>
      <c r="Y858" s="181"/>
      <c r="Z858" s="181"/>
    </row>
    <row r="859" ht="14.25" customHeight="1">
      <c r="A859" s="181"/>
      <c r="B859" s="181"/>
      <c r="C859" s="181"/>
      <c r="D859" s="181"/>
      <c r="E859" s="181"/>
      <c r="F859" s="181"/>
      <c r="G859" s="181"/>
      <c r="H859" s="181"/>
      <c r="I859" s="181"/>
      <c r="J859" s="181"/>
      <c r="K859" s="181"/>
      <c r="L859" s="181"/>
      <c r="M859" s="181"/>
      <c r="N859" s="181"/>
      <c r="O859" s="181"/>
      <c r="P859" s="181"/>
      <c r="Q859" s="181"/>
      <c r="R859" s="181"/>
      <c r="S859" s="181"/>
      <c r="T859" s="181"/>
      <c r="U859" s="181"/>
      <c r="V859" s="181"/>
      <c r="W859" s="181"/>
      <c r="X859" s="181"/>
      <c r="Y859" s="181"/>
      <c r="Z859" s="181"/>
    </row>
    <row r="860" ht="14.25" customHeight="1">
      <c r="A860" s="181"/>
      <c r="B860" s="181"/>
      <c r="C860" s="181"/>
      <c r="D860" s="181"/>
      <c r="E860" s="181"/>
      <c r="F860" s="181"/>
      <c r="G860" s="181"/>
      <c r="H860" s="181"/>
      <c r="I860" s="181"/>
      <c r="J860" s="181"/>
      <c r="K860" s="181"/>
      <c r="L860" s="181"/>
      <c r="M860" s="181"/>
      <c r="N860" s="181"/>
      <c r="O860" s="181"/>
      <c r="P860" s="181"/>
      <c r="Q860" s="181"/>
      <c r="R860" s="181"/>
      <c r="S860" s="181"/>
      <c r="T860" s="181"/>
      <c r="U860" s="181"/>
      <c r="V860" s="181"/>
      <c r="W860" s="181"/>
      <c r="X860" s="181"/>
      <c r="Y860" s="181"/>
      <c r="Z860" s="181"/>
    </row>
    <row r="861" ht="14.25" customHeight="1">
      <c r="A861" s="181"/>
      <c r="B861" s="181"/>
      <c r="C861" s="181"/>
      <c r="D861" s="181"/>
      <c r="E861" s="181"/>
      <c r="F861" s="181"/>
      <c r="G861" s="181"/>
      <c r="H861" s="181"/>
      <c r="I861" s="181"/>
      <c r="J861" s="181"/>
      <c r="K861" s="181"/>
      <c r="L861" s="181"/>
      <c r="M861" s="181"/>
      <c r="N861" s="181"/>
      <c r="O861" s="181"/>
      <c r="P861" s="181"/>
      <c r="Q861" s="181"/>
      <c r="R861" s="181"/>
      <c r="S861" s="181"/>
      <c r="T861" s="181"/>
      <c r="U861" s="181"/>
      <c r="V861" s="181"/>
      <c r="W861" s="181"/>
      <c r="X861" s="181"/>
      <c r="Y861" s="181"/>
      <c r="Z861" s="181"/>
    </row>
    <row r="862" ht="14.25" customHeight="1">
      <c r="A862" s="181"/>
      <c r="B862" s="181"/>
      <c r="C862" s="181"/>
      <c r="D862" s="181"/>
      <c r="E862" s="181"/>
      <c r="F862" s="181"/>
      <c r="G862" s="181"/>
      <c r="H862" s="181"/>
      <c r="I862" s="181"/>
      <c r="J862" s="181"/>
      <c r="K862" s="181"/>
      <c r="L862" s="181"/>
      <c r="M862" s="181"/>
      <c r="N862" s="181"/>
      <c r="O862" s="181"/>
      <c r="P862" s="181"/>
      <c r="Q862" s="181"/>
      <c r="R862" s="181"/>
      <c r="S862" s="181"/>
      <c r="T862" s="181"/>
      <c r="U862" s="181"/>
      <c r="V862" s="181"/>
      <c r="W862" s="181"/>
      <c r="X862" s="181"/>
      <c r="Y862" s="181"/>
      <c r="Z862" s="181"/>
    </row>
    <row r="863" ht="14.25" customHeight="1">
      <c r="A863" s="181"/>
      <c r="B863" s="181"/>
      <c r="C863" s="181"/>
      <c r="D863" s="181"/>
      <c r="E863" s="181"/>
      <c r="F863" s="181"/>
      <c r="G863" s="181"/>
      <c r="H863" s="181"/>
      <c r="I863" s="181"/>
      <c r="J863" s="181"/>
      <c r="K863" s="181"/>
      <c r="L863" s="181"/>
      <c r="M863" s="181"/>
      <c r="N863" s="181"/>
      <c r="O863" s="181"/>
      <c r="P863" s="181"/>
      <c r="Q863" s="181"/>
      <c r="R863" s="181"/>
      <c r="S863" s="181"/>
      <c r="T863" s="181"/>
      <c r="U863" s="181"/>
      <c r="V863" s="181"/>
      <c r="W863" s="181"/>
      <c r="X863" s="181"/>
      <c r="Y863" s="181"/>
      <c r="Z863" s="181"/>
    </row>
    <row r="864" ht="14.25" customHeight="1">
      <c r="A864" s="181"/>
      <c r="B864" s="181"/>
      <c r="C864" s="181"/>
      <c r="D864" s="181"/>
      <c r="E864" s="181"/>
      <c r="F864" s="181"/>
      <c r="G864" s="181"/>
      <c r="H864" s="181"/>
      <c r="I864" s="181"/>
      <c r="J864" s="181"/>
      <c r="K864" s="181"/>
      <c r="L864" s="181"/>
      <c r="M864" s="181"/>
      <c r="N864" s="181"/>
      <c r="O864" s="181"/>
      <c r="P864" s="181"/>
      <c r="Q864" s="181"/>
      <c r="R864" s="181"/>
      <c r="S864" s="181"/>
      <c r="T864" s="181"/>
      <c r="U864" s="181"/>
      <c r="V864" s="181"/>
      <c r="W864" s="181"/>
      <c r="X864" s="181"/>
      <c r="Y864" s="181"/>
      <c r="Z864" s="181"/>
    </row>
    <row r="865" ht="14.25" customHeight="1">
      <c r="A865" s="181"/>
      <c r="B865" s="181"/>
      <c r="C865" s="181"/>
      <c r="D865" s="181"/>
      <c r="E865" s="181"/>
      <c r="F865" s="181"/>
      <c r="G865" s="181"/>
      <c r="H865" s="181"/>
      <c r="I865" s="181"/>
      <c r="J865" s="181"/>
      <c r="K865" s="181"/>
      <c r="L865" s="181"/>
      <c r="M865" s="181"/>
      <c r="N865" s="181"/>
      <c r="O865" s="181"/>
      <c r="P865" s="181"/>
      <c r="Q865" s="181"/>
      <c r="R865" s="181"/>
      <c r="S865" s="181"/>
      <c r="T865" s="181"/>
      <c r="U865" s="181"/>
      <c r="V865" s="181"/>
      <c r="W865" s="181"/>
      <c r="X865" s="181"/>
      <c r="Y865" s="181"/>
      <c r="Z865" s="181"/>
    </row>
    <row r="866" ht="14.25" customHeight="1">
      <c r="A866" s="181"/>
      <c r="B866" s="181"/>
      <c r="C866" s="181"/>
      <c r="D866" s="181"/>
      <c r="E866" s="181"/>
      <c r="F866" s="181"/>
      <c r="G866" s="181"/>
      <c r="H866" s="181"/>
      <c r="I866" s="181"/>
      <c r="J866" s="181"/>
      <c r="K866" s="181"/>
      <c r="L866" s="181"/>
      <c r="M866" s="181"/>
      <c r="N866" s="181"/>
      <c r="O866" s="181"/>
      <c r="P866" s="181"/>
      <c r="Q866" s="181"/>
      <c r="R866" s="181"/>
      <c r="S866" s="181"/>
      <c r="T866" s="181"/>
      <c r="U866" s="181"/>
      <c r="V866" s="181"/>
      <c r="W866" s="181"/>
      <c r="X866" s="181"/>
      <c r="Y866" s="181"/>
      <c r="Z866" s="181"/>
    </row>
    <row r="867" ht="14.25" customHeight="1">
      <c r="A867" s="181"/>
      <c r="B867" s="181"/>
      <c r="C867" s="181"/>
      <c r="D867" s="181"/>
      <c r="E867" s="181"/>
      <c r="F867" s="181"/>
      <c r="G867" s="181"/>
      <c r="H867" s="181"/>
      <c r="I867" s="181"/>
      <c r="J867" s="181"/>
      <c r="K867" s="181"/>
      <c r="L867" s="181"/>
      <c r="M867" s="181"/>
      <c r="N867" s="181"/>
      <c r="O867" s="181"/>
      <c r="P867" s="181"/>
      <c r="Q867" s="181"/>
      <c r="R867" s="181"/>
      <c r="S867" s="181"/>
      <c r="T867" s="181"/>
      <c r="U867" s="181"/>
      <c r="V867" s="181"/>
      <c r="W867" s="181"/>
      <c r="X867" s="181"/>
      <c r="Y867" s="181"/>
      <c r="Z867" s="181"/>
    </row>
    <row r="868" ht="14.25" customHeight="1">
      <c r="A868" s="181"/>
      <c r="B868" s="181"/>
      <c r="C868" s="181"/>
      <c r="D868" s="181"/>
      <c r="E868" s="181"/>
      <c r="F868" s="181"/>
      <c r="G868" s="181"/>
      <c r="H868" s="181"/>
      <c r="I868" s="181"/>
      <c r="J868" s="181"/>
      <c r="K868" s="181"/>
      <c r="L868" s="181"/>
      <c r="M868" s="181"/>
      <c r="N868" s="181"/>
      <c r="O868" s="181"/>
      <c r="P868" s="181"/>
      <c r="Q868" s="181"/>
      <c r="R868" s="181"/>
      <c r="S868" s="181"/>
      <c r="T868" s="181"/>
      <c r="U868" s="181"/>
      <c r="V868" s="181"/>
      <c r="W868" s="181"/>
      <c r="X868" s="181"/>
      <c r="Y868" s="181"/>
      <c r="Z868" s="181"/>
    </row>
    <row r="869" ht="14.25" customHeight="1">
      <c r="A869" s="181"/>
      <c r="B869" s="181"/>
      <c r="C869" s="181"/>
      <c r="D869" s="181"/>
      <c r="E869" s="181"/>
      <c r="F869" s="181"/>
      <c r="G869" s="181"/>
      <c r="H869" s="181"/>
      <c r="I869" s="181"/>
      <c r="J869" s="181"/>
      <c r="K869" s="181"/>
      <c r="L869" s="181"/>
      <c r="M869" s="181"/>
      <c r="N869" s="181"/>
      <c r="O869" s="181"/>
      <c r="P869" s="181"/>
      <c r="Q869" s="181"/>
      <c r="R869" s="181"/>
      <c r="S869" s="181"/>
      <c r="T869" s="181"/>
      <c r="U869" s="181"/>
      <c r="V869" s="181"/>
      <c r="W869" s="181"/>
      <c r="X869" s="181"/>
      <c r="Y869" s="181"/>
      <c r="Z869" s="181"/>
    </row>
    <row r="870" ht="14.25" customHeight="1">
      <c r="A870" s="181"/>
      <c r="B870" s="181"/>
      <c r="C870" s="181"/>
      <c r="D870" s="181"/>
      <c r="E870" s="181"/>
      <c r="F870" s="181"/>
      <c r="G870" s="181"/>
      <c r="H870" s="181"/>
      <c r="I870" s="181"/>
      <c r="J870" s="181"/>
      <c r="K870" s="181"/>
      <c r="L870" s="181"/>
      <c r="M870" s="181"/>
      <c r="N870" s="181"/>
      <c r="O870" s="181"/>
      <c r="P870" s="181"/>
      <c r="Q870" s="181"/>
      <c r="R870" s="181"/>
      <c r="S870" s="181"/>
      <c r="T870" s="181"/>
      <c r="U870" s="181"/>
      <c r="V870" s="181"/>
      <c r="W870" s="181"/>
      <c r="X870" s="181"/>
      <c r="Y870" s="181"/>
      <c r="Z870" s="181"/>
    </row>
    <row r="871" ht="14.25" customHeight="1">
      <c r="A871" s="181"/>
      <c r="B871" s="181"/>
      <c r="C871" s="181"/>
      <c r="D871" s="181"/>
      <c r="E871" s="181"/>
      <c r="F871" s="181"/>
      <c r="G871" s="181"/>
      <c r="H871" s="181"/>
      <c r="I871" s="181"/>
      <c r="J871" s="181"/>
      <c r="K871" s="181"/>
      <c r="L871" s="181"/>
      <c r="M871" s="181"/>
      <c r="N871" s="181"/>
      <c r="O871" s="181"/>
      <c r="P871" s="181"/>
      <c r="Q871" s="181"/>
      <c r="R871" s="181"/>
      <c r="S871" s="181"/>
      <c r="T871" s="181"/>
      <c r="U871" s="181"/>
      <c r="V871" s="181"/>
      <c r="W871" s="181"/>
      <c r="X871" s="181"/>
      <c r="Y871" s="181"/>
      <c r="Z871" s="181"/>
    </row>
    <row r="872" ht="14.25" customHeight="1">
      <c r="A872" s="181"/>
      <c r="B872" s="181"/>
      <c r="C872" s="181"/>
      <c r="D872" s="181"/>
      <c r="E872" s="181"/>
      <c r="F872" s="181"/>
      <c r="G872" s="181"/>
      <c r="H872" s="181"/>
      <c r="I872" s="181"/>
      <c r="J872" s="181"/>
      <c r="K872" s="181"/>
      <c r="L872" s="181"/>
      <c r="M872" s="181"/>
      <c r="N872" s="181"/>
      <c r="O872" s="181"/>
      <c r="P872" s="181"/>
      <c r="Q872" s="181"/>
      <c r="R872" s="181"/>
      <c r="S872" s="181"/>
      <c r="T872" s="181"/>
      <c r="U872" s="181"/>
      <c r="V872" s="181"/>
      <c r="W872" s="181"/>
      <c r="X872" s="181"/>
      <c r="Y872" s="181"/>
      <c r="Z872" s="181"/>
    </row>
    <row r="873" ht="14.25" customHeight="1">
      <c r="A873" s="181"/>
      <c r="B873" s="181"/>
      <c r="C873" s="181"/>
      <c r="D873" s="181"/>
      <c r="E873" s="181"/>
      <c r="F873" s="181"/>
      <c r="G873" s="181"/>
      <c r="H873" s="181"/>
      <c r="I873" s="181"/>
      <c r="J873" s="181"/>
      <c r="K873" s="181"/>
      <c r="L873" s="181"/>
      <c r="M873" s="181"/>
      <c r="N873" s="181"/>
      <c r="O873" s="181"/>
      <c r="P873" s="181"/>
      <c r="Q873" s="181"/>
      <c r="R873" s="181"/>
      <c r="S873" s="181"/>
      <c r="T873" s="181"/>
      <c r="U873" s="181"/>
      <c r="V873" s="181"/>
      <c r="W873" s="181"/>
      <c r="X873" s="181"/>
      <c r="Y873" s="181"/>
      <c r="Z873" s="181"/>
    </row>
    <row r="874" ht="14.25" customHeight="1">
      <c r="A874" s="181"/>
      <c r="B874" s="181"/>
      <c r="C874" s="181"/>
      <c r="D874" s="181"/>
      <c r="E874" s="181"/>
      <c r="F874" s="181"/>
      <c r="G874" s="181"/>
      <c r="H874" s="181"/>
      <c r="I874" s="181"/>
      <c r="J874" s="181"/>
      <c r="K874" s="181"/>
      <c r="L874" s="181"/>
      <c r="M874" s="181"/>
      <c r="N874" s="181"/>
      <c r="O874" s="181"/>
      <c r="P874" s="181"/>
      <c r="Q874" s="181"/>
      <c r="R874" s="181"/>
      <c r="S874" s="181"/>
      <c r="T874" s="181"/>
      <c r="U874" s="181"/>
      <c r="V874" s="181"/>
      <c r="W874" s="181"/>
      <c r="X874" s="181"/>
      <c r="Y874" s="181"/>
      <c r="Z874" s="181"/>
    </row>
    <row r="875" ht="14.25" customHeight="1">
      <c r="A875" s="181"/>
      <c r="B875" s="181"/>
      <c r="C875" s="181"/>
      <c r="D875" s="181"/>
      <c r="E875" s="181"/>
      <c r="F875" s="181"/>
      <c r="G875" s="181"/>
      <c r="H875" s="181"/>
      <c r="I875" s="181"/>
      <c r="J875" s="181"/>
      <c r="K875" s="181"/>
      <c r="L875" s="181"/>
      <c r="M875" s="181"/>
      <c r="N875" s="181"/>
      <c r="O875" s="181"/>
      <c r="P875" s="181"/>
      <c r="Q875" s="181"/>
      <c r="R875" s="181"/>
      <c r="S875" s="181"/>
      <c r="T875" s="181"/>
      <c r="U875" s="181"/>
      <c r="V875" s="181"/>
      <c r="W875" s="181"/>
      <c r="X875" s="181"/>
      <c r="Y875" s="181"/>
      <c r="Z875" s="181"/>
    </row>
    <row r="876" ht="14.25" customHeight="1">
      <c r="A876" s="181"/>
      <c r="B876" s="181"/>
      <c r="C876" s="181"/>
      <c r="D876" s="181"/>
      <c r="E876" s="181"/>
      <c r="F876" s="181"/>
      <c r="G876" s="181"/>
      <c r="H876" s="181"/>
      <c r="I876" s="181"/>
      <c r="J876" s="181"/>
      <c r="K876" s="181"/>
      <c r="L876" s="181"/>
      <c r="M876" s="181"/>
      <c r="N876" s="181"/>
      <c r="O876" s="181"/>
      <c r="P876" s="181"/>
      <c r="Q876" s="181"/>
      <c r="R876" s="181"/>
      <c r="S876" s="181"/>
      <c r="T876" s="181"/>
      <c r="U876" s="181"/>
      <c r="V876" s="181"/>
      <c r="W876" s="181"/>
      <c r="X876" s="181"/>
      <c r="Y876" s="181"/>
      <c r="Z876" s="181"/>
    </row>
    <row r="877" ht="14.25" customHeight="1">
      <c r="A877" s="181"/>
      <c r="B877" s="181"/>
      <c r="C877" s="181"/>
      <c r="D877" s="181"/>
      <c r="E877" s="181"/>
      <c r="F877" s="181"/>
      <c r="G877" s="181"/>
      <c r="H877" s="181"/>
      <c r="I877" s="181"/>
      <c r="J877" s="181"/>
      <c r="K877" s="181"/>
      <c r="L877" s="181"/>
      <c r="M877" s="181"/>
      <c r="N877" s="181"/>
      <c r="O877" s="181"/>
      <c r="P877" s="181"/>
      <c r="Q877" s="181"/>
      <c r="R877" s="181"/>
      <c r="S877" s="181"/>
      <c r="T877" s="181"/>
      <c r="U877" s="181"/>
      <c r="V877" s="181"/>
      <c r="W877" s="181"/>
      <c r="X877" s="181"/>
      <c r="Y877" s="181"/>
      <c r="Z877" s="181"/>
    </row>
    <row r="878" ht="14.25" customHeight="1">
      <c r="A878" s="181"/>
      <c r="B878" s="181"/>
      <c r="C878" s="181"/>
      <c r="D878" s="181"/>
      <c r="E878" s="181"/>
      <c r="F878" s="181"/>
      <c r="G878" s="181"/>
      <c r="H878" s="181"/>
      <c r="I878" s="181"/>
      <c r="J878" s="181"/>
      <c r="K878" s="181"/>
      <c r="L878" s="181"/>
      <c r="M878" s="181"/>
      <c r="N878" s="181"/>
      <c r="O878" s="181"/>
      <c r="P878" s="181"/>
      <c r="Q878" s="181"/>
      <c r="R878" s="181"/>
      <c r="S878" s="181"/>
      <c r="T878" s="181"/>
      <c r="U878" s="181"/>
      <c r="V878" s="181"/>
      <c r="W878" s="181"/>
      <c r="X878" s="181"/>
      <c r="Y878" s="181"/>
      <c r="Z878" s="181"/>
    </row>
    <row r="879" ht="14.25" customHeight="1">
      <c r="A879" s="181"/>
      <c r="B879" s="181"/>
      <c r="C879" s="181"/>
      <c r="D879" s="181"/>
      <c r="E879" s="181"/>
      <c r="F879" s="181"/>
      <c r="G879" s="181"/>
      <c r="H879" s="181"/>
      <c r="I879" s="181"/>
      <c r="J879" s="181"/>
      <c r="K879" s="181"/>
      <c r="L879" s="181"/>
      <c r="M879" s="181"/>
      <c r="N879" s="181"/>
      <c r="O879" s="181"/>
      <c r="P879" s="181"/>
      <c r="Q879" s="181"/>
      <c r="R879" s="181"/>
      <c r="S879" s="181"/>
      <c r="T879" s="181"/>
      <c r="U879" s="181"/>
      <c r="V879" s="181"/>
      <c r="W879" s="181"/>
      <c r="X879" s="181"/>
      <c r="Y879" s="181"/>
      <c r="Z879" s="181"/>
    </row>
    <row r="880" ht="14.25" customHeight="1">
      <c r="A880" s="181"/>
      <c r="B880" s="181"/>
      <c r="C880" s="181"/>
      <c r="D880" s="181"/>
      <c r="E880" s="181"/>
      <c r="F880" s="181"/>
      <c r="G880" s="181"/>
      <c r="H880" s="181"/>
      <c r="I880" s="181"/>
      <c r="J880" s="181"/>
      <c r="K880" s="181"/>
      <c r="L880" s="181"/>
      <c r="M880" s="181"/>
      <c r="N880" s="181"/>
      <c r="O880" s="181"/>
      <c r="P880" s="181"/>
      <c r="Q880" s="181"/>
      <c r="R880" s="181"/>
      <c r="S880" s="181"/>
      <c r="T880" s="181"/>
      <c r="U880" s="181"/>
      <c r="V880" s="181"/>
      <c r="W880" s="181"/>
      <c r="X880" s="181"/>
      <c r="Y880" s="181"/>
      <c r="Z880" s="181"/>
    </row>
    <row r="881" ht="14.25" customHeight="1">
      <c r="A881" s="181"/>
      <c r="B881" s="181"/>
      <c r="C881" s="181"/>
      <c r="D881" s="181"/>
      <c r="E881" s="181"/>
      <c r="F881" s="181"/>
      <c r="G881" s="181"/>
      <c r="H881" s="181"/>
      <c r="I881" s="181"/>
      <c r="J881" s="181"/>
      <c r="K881" s="181"/>
      <c r="L881" s="181"/>
      <c r="M881" s="181"/>
      <c r="N881" s="181"/>
      <c r="O881" s="181"/>
      <c r="P881" s="181"/>
      <c r="Q881" s="181"/>
      <c r="R881" s="181"/>
      <c r="S881" s="181"/>
      <c r="T881" s="181"/>
      <c r="U881" s="181"/>
      <c r="V881" s="181"/>
      <c r="W881" s="181"/>
      <c r="X881" s="181"/>
      <c r="Y881" s="181"/>
      <c r="Z881" s="181"/>
    </row>
    <row r="882" ht="14.25" customHeight="1">
      <c r="A882" s="181"/>
      <c r="B882" s="181"/>
      <c r="C882" s="181"/>
      <c r="D882" s="181"/>
      <c r="E882" s="181"/>
      <c r="F882" s="181"/>
      <c r="G882" s="181"/>
      <c r="H882" s="181"/>
      <c r="I882" s="181"/>
      <c r="J882" s="181"/>
      <c r="K882" s="181"/>
      <c r="L882" s="181"/>
      <c r="M882" s="181"/>
      <c r="N882" s="181"/>
      <c r="O882" s="181"/>
      <c r="P882" s="181"/>
      <c r="Q882" s="181"/>
      <c r="R882" s="181"/>
      <c r="S882" s="181"/>
      <c r="T882" s="181"/>
      <c r="U882" s="181"/>
      <c r="V882" s="181"/>
      <c r="W882" s="181"/>
      <c r="X882" s="181"/>
      <c r="Y882" s="181"/>
      <c r="Z882" s="181"/>
    </row>
    <row r="883" ht="14.25" customHeight="1">
      <c r="A883" s="181"/>
      <c r="B883" s="181"/>
      <c r="C883" s="181"/>
      <c r="D883" s="181"/>
      <c r="E883" s="181"/>
      <c r="F883" s="181"/>
      <c r="G883" s="181"/>
      <c r="H883" s="181"/>
      <c r="I883" s="181"/>
      <c r="J883" s="181"/>
      <c r="K883" s="181"/>
      <c r="L883" s="181"/>
      <c r="M883" s="181"/>
      <c r="N883" s="181"/>
      <c r="O883" s="181"/>
      <c r="P883" s="181"/>
      <c r="Q883" s="181"/>
      <c r="R883" s="181"/>
      <c r="S883" s="181"/>
      <c r="T883" s="181"/>
      <c r="U883" s="181"/>
      <c r="V883" s="181"/>
      <c r="W883" s="181"/>
      <c r="X883" s="181"/>
      <c r="Y883" s="181"/>
      <c r="Z883" s="181"/>
    </row>
    <row r="884" ht="14.25" customHeight="1">
      <c r="A884" s="181"/>
      <c r="B884" s="181"/>
      <c r="C884" s="181"/>
      <c r="D884" s="181"/>
      <c r="E884" s="181"/>
      <c r="F884" s="181"/>
      <c r="G884" s="181"/>
      <c r="H884" s="181"/>
      <c r="I884" s="181"/>
      <c r="J884" s="181"/>
      <c r="K884" s="181"/>
      <c r="L884" s="181"/>
      <c r="M884" s="181"/>
      <c r="N884" s="181"/>
      <c r="O884" s="181"/>
      <c r="P884" s="181"/>
      <c r="Q884" s="181"/>
      <c r="R884" s="181"/>
      <c r="S884" s="181"/>
      <c r="T884" s="181"/>
      <c r="U884" s="181"/>
      <c r="V884" s="181"/>
      <c r="W884" s="181"/>
      <c r="X884" s="181"/>
      <c r="Y884" s="181"/>
      <c r="Z884" s="181"/>
    </row>
    <row r="885" ht="14.25" customHeight="1">
      <c r="A885" s="181"/>
      <c r="B885" s="181"/>
      <c r="C885" s="181"/>
      <c r="D885" s="181"/>
      <c r="E885" s="181"/>
      <c r="F885" s="181"/>
      <c r="G885" s="181"/>
      <c r="H885" s="181"/>
      <c r="I885" s="181"/>
      <c r="J885" s="181"/>
      <c r="K885" s="181"/>
      <c r="L885" s="181"/>
      <c r="M885" s="181"/>
      <c r="N885" s="181"/>
      <c r="O885" s="181"/>
      <c r="P885" s="181"/>
      <c r="Q885" s="181"/>
      <c r="R885" s="181"/>
      <c r="S885" s="181"/>
      <c r="T885" s="181"/>
      <c r="U885" s="181"/>
      <c r="V885" s="181"/>
      <c r="W885" s="181"/>
      <c r="X885" s="181"/>
      <c r="Y885" s="181"/>
      <c r="Z885" s="181"/>
    </row>
    <row r="886" ht="14.25" customHeight="1">
      <c r="A886" s="181"/>
      <c r="B886" s="181"/>
      <c r="C886" s="181"/>
      <c r="D886" s="181"/>
      <c r="E886" s="181"/>
      <c r="F886" s="181"/>
      <c r="G886" s="181"/>
      <c r="H886" s="181"/>
      <c r="I886" s="181"/>
      <c r="J886" s="181"/>
      <c r="K886" s="181"/>
      <c r="L886" s="181"/>
      <c r="M886" s="181"/>
      <c r="N886" s="181"/>
      <c r="O886" s="181"/>
      <c r="P886" s="181"/>
      <c r="Q886" s="181"/>
      <c r="R886" s="181"/>
      <c r="S886" s="181"/>
      <c r="T886" s="181"/>
      <c r="U886" s="181"/>
      <c r="V886" s="181"/>
      <c r="W886" s="181"/>
      <c r="X886" s="181"/>
      <c r="Y886" s="181"/>
      <c r="Z886" s="181"/>
    </row>
    <row r="887" ht="14.25" customHeight="1">
      <c r="A887" s="181"/>
      <c r="B887" s="181"/>
      <c r="C887" s="181"/>
      <c r="D887" s="181"/>
      <c r="E887" s="181"/>
      <c r="F887" s="181"/>
      <c r="G887" s="181"/>
      <c r="H887" s="181"/>
      <c r="I887" s="181"/>
      <c r="J887" s="181"/>
      <c r="K887" s="181"/>
      <c r="L887" s="181"/>
      <c r="M887" s="181"/>
      <c r="N887" s="181"/>
      <c r="O887" s="181"/>
      <c r="P887" s="181"/>
      <c r="Q887" s="181"/>
      <c r="R887" s="181"/>
      <c r="S887" s="181"/>
      <c r="T887" s="181"/>
      <c r="U887" s="181"/>
      <c r="V887" s="181"/>
      <c r="W887" s="181"/>
      <c r="X887" s="181"/>
      <c r="Y887" s="181"/>
      <c r="Z887" s="181"/>
    </row>
    <row r="888" ht="14.25" customHeight="1">
      <c r="A888" s="181"/>
      <c r="B888" s="181"/>
      <c r="C888" s="181"/>
      <c r="D888" s="181"/>
      <c r="E888" s="181"/>
      <c r="F888" s="181"/>
      <c r="G888" s="181"/>
      <c r="H888" s="181"/>
      <c r="I888" s="181"/>
      <c r="J888" s="181"/>
      <c r="K888" s="181"/>
      <c r="L888" s="181"/>
      <c r="M888" s="181"/>
      <c r="N888" s="181"/>
      <c r="O888" s="181"/>
      <c r="P888" s="181"/>
      <c r="Q888" s="181"/>
      <c r="R888" s="181"/>
      <c r="S888" s="181"/>
      <c r="T888" s="181"/>
      <c r="U888" s="181"/>
      <c r="V888" s="181"/>
      <c r="W888" s="181"/>
      <c r="X888" s="181"/>
      <c r="Y888" s="181"/>
      <c r="Z888" s="181"/>
    </row>
    <row r="889" ht="14.25" customHeight="1">
      <c r="A889" s="181"/>
      <c r="B889" s="181"/>
      <c r="C889" s="181"/>
      <c r="D889" s="181"/>
      <c r="E889" s="181"/>
      <c r="F889" s="181"/>
      <c r="G889" s="181"/>
      <c r="H889" s="181"/>
      <c r="I889" s="181"/>
      <c r="J889" s="181"/>
      <c r="K889" s="181"/>
      <c r="L889" s="181"/>
      <c r="M889" s="181"/>
      <c r="N889" s="181"/>
      <c r="O889" s="181"/>
      <c r="P889" s="181"/>
      <c r="Q889" s="181"/>
      <c r="R889" s="181"/>
      <c r="S889" s="181"/>
      <c r="T889" s="181"/>
      <c r="U889" s="181"/>
      <c r="V889" s="181"/>
      <c r="W889" s="181"/>
      <c r="X889" s="181"/>
      <c r="Y889" s="181"/>
      <c r="Z889" s="181"/>
    </row>
    <row r="890" ht="14.25" customHeight="1">
      <c r="A890" s="181"/>
      <c r="B890" s="181"/>
      <c r="C890" s="181"/>
      <c r="D890" s="181"/>
      <c r="E890" s="181"/>
      <c r="F890" s="181"/>
      <c r="G890" s="181"/>
      <c r="H890" s="181"/>
      <c r="I890" s="181"/>
      <c r="J890" s="181"/>
      <c r="K890" s="181"/>
      <c r="L890" s="181"/>
      <c r="M890" s="181"/>
      <c r="N890" s="181"/>
      <c r="O890" s="181"/>
      <c r="P890" s="181"/>
      <c r="Q890" s="181"/>
      <c r="R890" s="181"/>
      <c r="S890" s="181"/>
      <c r="T890" s="181"/>
      <c r="U890" s="181"/>
      <c r="V890" s="181"/>
      <c r="W890" s="181"/>
      <c r="X890" s="181"/>
      <c r="Y890" s="181"/>
      <c r="Z890" s="181"/>
    </row>
    <row r="891" ht="14.25" customHeight="1">
      <c r="A891" s="181"/>
      <c r="B891" s="181"/>
      <c r="C891" s="181"/>
      <c r="D891" s="181"/>
      <c r="E891" s="181"/>
      <c r="F891" s="181"/>
      <c r="G891" s="181"/>
      <c r="H891" s="181"/>
      <c r="I891" s="181"/>
      <c r="J891" s="181"/>
      <c r="K891" s="181"/>
      <c r="L891" s="181"/>
      <c r="M891" s="181"/>
      <c r="N891" s="181"/>
      <c r="O891" s="181"/>
      <c r="P891" s="181"/>
      <c r="Q891" s="181"/>
      <c r="R891" s="181"/>
      <c r="S891" s="181"/>
      <c r="T891" s="181"/>
      <c r="U891" s="181"/>
      <c r="V891" s="181"/>
      <c r="W891" s="181"/>
      <c r="X891" s="181"/>
      <c r="Y891" s="181"/>
      <c r="Z891" s="181"/>
    </row>
    <row r="892" ht="14.25" customHeight="1">
      <c r="A892" s="181"/>
      <c r="B892" s="181"/>
      <c r="C892" s="181"/>
      <c r="D892" s="181"/>
      <c r="E892" s="181"/>
      <c r="F892" s="181"/>
      <c r="G892" s="181"/>
      <c r="H892" s="181"/>
      <c r="I892" s="181"/>
      <c r="J892" s="181"/>
      <c r="K892" s="181"/>
      <c r="L892" s="181"/>
      <c r="M892" s="181"/>
      <c r="N892" s="181"/>
      <c r="O892" s="181"/>
      <c r="P892" s="181"/>
      <c r="Q892" s="181"/>
      <c r="R892" s="181"/>
      <c r="S892" s="181"/>
      <c r="T892" s="181"/>
      <c r="U892" s="181"/>
      <c r="V892" s="181"/>
      <c r="W892" s="181"/>
      <c r="X892" s="181"/>
      <c r="Y892" s="181"/>
      <c r="Z892" s="181"/>
    </row>
    <row r="893" ht="14.25" customHeight="1">
      <c r="A893" s="181"/>
      <c r="B893" s="181"/>
      <c r="C893" s="181"/>
      <c r="D893" s="181"/>
      <c r="E893" s="181"/>
      <c r="F893" s="181"/>
      <c r="G893" s="181"/>
      <c r="H893" s="181"/>
      <c r="I893" s="181"/>
      <c r="J893" s="181"/>
      <c r="K893" s="181"/>
      <c r="L893" s="181"/>
      <c r="M893" s="181"/>
      <c r="N893" s="181"/>
      <c r="O893" s="181"/>
      <c r="P893" s="181"/>
      <c r="Q893" s="181"/>
      <c r="R893" s="181"/>
      <c r="S893" s="181"/>
      <c r="T893" s="181"/>
      <c r="U893" s="181"/>
      <c r="V893" s="181"/>
      <c r="W893" s="181"/>
      <c r="X893" s="181"/>
      <c r="Y893" s="181"/>
      <c r="Z893" s="181"/>
    </row>
    <row r="894" ht="14.25" customHeight="1">
      <c r="A894" s="181"/>
      <c r="B894" s="181"/>
      <c r="C894" s="181"/>
      <c r="D894" s="181"/>
      <c r="E894" s="181"/>
      <c r="F894" s="181"/>
      <c r="G894" s="181"/>
      <c r="H894" s="181"/>
      <c r="I894" s="181"/>
      <c r="J894" s="181"/>
      <c r="K894" s="181"/>
      <c r="L894" s="181"/>
      <c r="M894" s="181"/>
      <c r="N894" s="181"/>
      <c r="O894" s="181"/>
      <c r="P894" s="181"/>
      <c r="Q894" s="181"/>
      <c r="R894" s="181"/>
      <c r="S894" s="181"/>
      <c r="T894" s="181"/>
      <c r="U894" s="181"/>
      <c r="V894" s="181"/>
      <c r="W894" s="181"/>
      <c r="X894" s="181"/>
      <c r="Y894" s="181"/>
      <c r="Z894" s="181"/>
    </row>
    <row r="895" ht="14.25" customHeight="1">
      <c r="A895" s="181"/>
      <c r="B895" s="181"/>
      <c r="C895" s="181"/>
      <c r="D895" s="181"/>
      <c r="E895" s="181"/>
      <c r="F895" s="181"/>
      <c r="G895" s="181"/>
      <c r="H895" s="181"/>
      <c r="I895" s="181"/>
      <c r="J895" s="181"/>
      <c r="K895" s="181"/>
      <c r="L895" s="181"/>
      <c r="M895" s="181"/>
      <c r="N895" s="181"/>
      <c r="O895" s="181"/>
      <c r="P895" s="181"/>
      <c r="Q895" s="181"/>
      <c r="R895" s="181"/>
      <c r="S895" s="181"/>
      <c r="T895" s="181"/>
      <c r="U895" s="181"/>
      <c r="V895" s="181"/>
      <c r="W895" s="181"/>
      <c r="X895" s="181"/>
      <c r="Y895" s="181"/>
      <c r="Z895" s="181"/>
    </row>
    <row r="896" ht="14.25" customHeight="1">
      <c r="A896" s="181"/>
      <c r="B896" s="181"/>
      <c r="C896" s="181"/>
      <c r="D896" s="181"/>
      <c r="E896" s="181"/>
      <c r="F896" s="181"/>
      <c r="G896" s="181"/>
      <c r="H896" s="181"/>
      <c r="I896" s="181"/>
      <c r="J896" s="181"/>
      <c r="K896" s="181"/>
      <c r="L896" s="181"/>
      <c r="M896" s="181"/>
      <c r="N896" s="181"/>
      <c r="O896" s="181"/>
      <c r="P896" s="181"/>
      <c r="Q896" s="181"/>
      <c r="R896" s="181"/>
      <c r="S896" s="181"/>
      <c r="T896" s="181"/>
      <c r="U896" s="181"/>
      <c r="V896" s="181"/>
      <c r="W896" s="181"/>
      <c r="X896" s="181"/>
      <c r="Y896" s="181"/>
      <c r="Z896" s="181"/>
    </row>
    <row r="897" ht="14.25" customHeight="1">
      <c r="A897" s="181"/>
      <c r="B897" s="181"/>
      <c r="C897" s="181"/>
      <c r="D897" s="181"/>
      <c r="E897" s="181"/>
      <c r="F897" s="181"/>
      <c r="G897" s="181"/>
      <c r="H897" s="181"/>
      <c r="I897" s="181"/>
      <c r="J897" s="181"/>
      <c r="K897" s="181"/>
      <c r="L897" s="181"/>
      <c r="M897" s="181"/>
      <c r="N897" s="181"/>
      <c r="O897" s="181"/>
      <c r="P897" s="181"/>
      <c r="Q897" s="181"/>
      <c r="R897" s="181"/>
      <c r="S897" s="181"/>
      <c r="T897" s="181"/>
      <c r="U897" s="181"/>
      <c r="V897" s="181"/>
      <c r="W897" s="181"/>
      <c r="X897" s="181"/>
      <c r="Y897" s="181"/>
      <c r="Z897" s="181"/>
    </row>
    <row r="898" ht="14.25" customHeight="1">
      <c r="A898" s="181"/>
      <c r="B898" s="181"/>
      <c r="C898" s="181"/>
      <c r="D898" s="181"/>
      <c r="E898" s="181"/>
      <c r="F898" s="181"/>
      <c r="G898" s="181"/>
      <c r="H898" s="181"/>
      <c r="I898" s="181"/>
      <c r="J898" s="181"/>
      <c r="K898" s="181"/>
      <c r="L898" s="181"/>
      <c r="M898" s="181"/>
      <c r="N898" s="181"/>
      <c r="O898" s="181"/>
      <c r="P898" s="181"/>
      <c r="Q898" s="181"/>
      <c r="R898" s="181"/>
      <c r="S898" s="181"/>
      <c r="T898" s="181"/>
      <c r="U898" s="181"/>
      <c r="V898" s="181"/>
      <c r="W898" s="181"/>
      <c r="X898" s="181"/>
      <c r="Y898" s="181"/>
      <c r="Z898" s="181"/>
    </row>
    <row r="899" ht="14.25" customHeight="1">
      <c r="A899" s="181"/>
      <c r="B899" s="181"/>
      <c r="C899" s="181"/>
      <c r="D899" s="181"/>
      <c r="E899" s="181"/>
      <c r="F899" s="181"/>
      <c r="G899" s="181"/>
      <c r="H899" s="181"/>
      <c r="I899" s="181"/>
      <c r="J899" s="181"/>
      <c r="K899" s="181"/>
      <c r="L899" s="181"/>
      <c r="M899" s="181"/>
      <c r="N899" s="181"/>
      <c r="O899" s="181"/>
      <c r="P899" s="181"/>
      <c r="Q899" s="181"/>
      <c r="R899" s="181"/>
      <c r="S899" s="181"/>
      <c r="T899" s="181"/>
      <c r="U899" s="181"/>
      <c r="V899" s="181"/>
      <c r="W899" s="181"/>
      <c r="X899" s="181"/>
      <c r="Y899" s="181"/>
      <c r="Z899" s="181"/>
    </row>
    <row r="900" ht="14.25" customHeight="1">
      <c r="A900" s="181"/>
      <c r="B900" s="181"/>
      <c r="C900" s="181"/>
      <c r="D900" s="181"/>
      <c r="E900" s="181"/>
      <c r="F900" s="181"/>
      <c r="G900" s="181"/>
      <c r="H900" s="181"/>
      <c r="I900" s="181"/>
      <c r="J900" s="181"/>
      <c r="K900" s="181"/>
      <c r="L900" s="181"/>
      <c r="M900" s="181"/>
      <c r="N900" s="181"/>
      <c r="O900" s="181"/>
      <c r="P900" s="181"/>
      <c r="Q900" s="181"/>
      <c r="R900" s="181"/>
      <c r="S900" s="181"/>
      <c r="T900" s="181"/>
      <c r="U900" s="181"/>
      <c r="V900" s="181"/>
      <c r="W900" s="181"/>
      <c r="X900" s="181"/>
      <c r="Y900" s="181"/>
      <c r="Z900" s="181"/>
    </row>
    <row r="901" ht="14.25" customHeight="1">
      <c r="A901" s="181"/>
      <c r="B901" s="181"/>
      <c r="C901" s="181"/>
      <c r="D901" s="181"/>
      <c r="E901" s="181"/>
      <c r="F901" s="181"/>
      <c r="G901" s="181"/>
      <c r="H901" s="181"/>
      <c r="I901" s="181"/>
      <c r="J901" s="181"/>
      <c r="K901" s="181"/>
      <c r="L901" s="181"/>
      <c r="M901" s="181"/>
      <c r="N901" s="181"/>
      <c r="O901" s="181"/>
      <c r="P901" s="181"/>
      <c r="Q901" s="181"/>
      <c r="R901" s="181"/>
      <c r="S901" s="181"/>
      <c r="T901" s="181"/>
      <c r="U901" s="181"/>
      <c r="V901" s="181"/>
      <c r="W901" s="181"/>
      <c r="X901" s="181"/>
      <c r="Y901" s="181"/>
      <c r="Z901" s="181"/>
    </row>
    <row r="902" ht="14.25" customHeight="1">
      <c r="A902" s="181"/>
      <c r="B902" s="181"/>
      <c r="C902" s="181"/>
      <c r="D902" s="181"/>
      <c r="E902" s="181"/>
      <c r="F902" s="181"/>
      <c r="G902" s="181"/>
      <c r="H902" s="181"/>
      <c r="I902" s="181"/>
      <c r="J902" s="181"/>
      <c r="K902" s="181"/>
      <c r="L902" s="181"/>
      <c r="M902" s="181"/>
      <c r="N902" s="181"/>
      <c r="O902" s="181"/>
      <c r="P902" s="181"/>
      <c r="Q902" s="181"/>
      <c r="R902" s="181"/>
      <c r="S902" s="181"/>
      <c r="T902" s="181"/>
      <c r="U902" s="181"/>
      <c r="V902" s="181"/>
      <c r="W902" s="181"/>
      <c r="X902" s="181"/>
      <c r="Y902" s="181"/>
      <c r="Z902" s="181"/>
    </row>
    <row r="903" ht="14.25" customHeight="1">
      <c r="A903" s="181"/>
      <c r="B903" s="181"/>
      <c r="C903" s="181"/>
      <c r="D903" s="181"/>
      <c r="E903" s="181"/>
      <c r="F903" s="181"/>
      <c r="G903" s="181"/>
      <c r="H903" s="181"/>
      <c r="I903" s="181"/>
      <c r="J903" s="181"/>
      <c r="K903" s="181"/>
      <c r="L903" s="181"/>
      <c r="M903" s="181"/>
      <c r="N903" s="181"/>
      <c r="O903" s="181"/>
      <c r="P903" s="181"/>
      <c r="Q903" s="181"/>
      <c r="R903" s="181"/>
      <c r="S903" s="181"/>
      <c r="T903" s="181"/>
      <c r="U903" s="181"/>
      <c r="V903" s="181"/>
      <c r="W903" s="181"/>
      <c r="X903" s="181"/>
      <c r="Y903" s="181"/>
      <c r="Z903" s="181"/>
    </row>
    <row r="904" ht="14.25" customHeight="1">
      <c r="A904" s="181"/>
      <c r="B904" s="181"/>
      <c r="C904" s="181"/>
      <c r="D904" s="181"/>
      <c r="E904" s="181"/>
      <c r="F904" s="181"/>
      <c r="G904" s="181"/>
      <c r="H904" s="181"/>
      <c r="I904" s="181"/>
      <c r="J904" s="181"/>
      <c r="K904" s="181"/>
      <c r="L904" s="181"/>
      <c r="M904" s="181"/>
      <c r="N904" s="181"/>
      <c r="O904" s="181"/>
      <c r="P904" s="181"/>
      <c r="Q904" s="181"/>
      <c r="R904" s="181"/>
      <c r="S904" s="181"/>
      <c r="T904" s="181"/>
      <c r="U904" s="181"/>
      <c r="V904" s="181"/>
      <c r="W904" s="181"/>
      <c r="X904" s="181"/>
      <c r="Y904" s="181"/>
      <c r="Z904" s="181"/>
    </row>
    <row r="905" ht="14.25" customHeight="1">
      <c r="A905" s="181"/>
      <c r="B905" s="181"/>
      <c r="C905" s="181"/>
      <c r="D905" s="181"/>
      <c r="E905" s="181"/>
      <c r="F905" s="181"/>
      <c r="G905" s="181"/>
      <c r="H905" s="181"/>
      <c r="I905" s="181"/>
      <c r="J905" s="181"/>
      <c r="K905" s="181"/>
      <c r="L905" s="181"/>
      <c r="M905" s="181"/>
      <c r="N905" s="181"/>
      <c r="O905" s="181"/>
      <c r="P905" s="181"/>
      <c r="Q905" s="181"/>
      <c r="R905" s="181"/>
      <c r="S905" s="181"/>
      <c r="T905" s="181"/>
      <c r="U905" s="181"/>
      <c r="V905" s="181"/>
      <c r="W905" s="181"/>
      <c r="X905" s="181"/>
      <c r="Y905" s="181"/>
      <c r="Z905" s="181"/>
    </row>
    <row r="906" ht="14.25" customHeight="1">
      <c r="A906" s="181"/>
      <c r="B906" s="181"/>
      <c r="C906" s="181"/>
      <c r="D906" s="181"/>
      <c r="E906" s="181"/>
      <c r="F906" s="181"/>
      <c r="G906" s="181"/>
      <c r="H906" s="181"/>
      <c r="I906" s="181"/>
      <c r="J906" s="181"/>
      <c r="K906" s="181"/>
      <c r="L906" s="181"/>
      <c r="M906" s="181"/>
      <c r="N906" s="181"/>
      <c r="O906" s="181"/>
      <c r="P906" s="181"/>
      <c r="Q906" s="181"/>
      <c r="R906" s="181"/>
      <c r="S906" s="181"/>
      <c r="T906" s="181"/>
      <c r="U906" s="181"/>
      <c r="V906" s="181"/>
      <c r="W906" s="181"/>
      <c r="X906" s="181"/>
      <c r="Y906" s="181"/>
      <c r="Z906" s="181"/>
    </row>
    <row r="907" ht="14.25" customHeight="1">
      <c r="A907" s="181"/>
      <c r="B907" s="181"/>
      <c r="C907" s="181"/>
      <c r="D907" s="181"/>
      <c r="E907" s="181"/>
      <c r="F907" s="181"/>
      <c r="G907" s="181"/>
      <c r="H907" s="181"/>
      <c r="I907" s="181"/>
      <c r="J907" s="181"/>
      <c r="K907" s="181"/>
      <c r="L907" s="181"/>
      <c r="M907" s="181"/>
      <c r="N907" s="181"/>
      <c r="O907" s="181"/>
      <c r="P907" s="181"/>
      <c r="Q907" s="181"/>
      <c r="R907" s="181"/>
      <c r="S907" s="181"/>
      <c r="T907" s="181"/>
      <c r="U907" s="181"/>
      <c r="V907" s="181"/>
      <c r="W907" s="181"/>
      <c r="X907" s="181"/>
      <c r="Y907" s="181"/>
      <c r="Z907" s="181"/>
    </row>
    <row r="908" ht="14.25" customHeight="1">
      <c r="A908" s="181"/>
      <c r="B908" s="181"/>
      <c r="C908" s="181"/>
      <c r="D908" s="181"/>
      <c r="E908" s="181"/>
      <c r="F908" s="181"/>
      <c r="G908" s="181"/>
      <c r="H908" s="181"/>
      <c r="I908" s="181"/>
      <c r="J908" s="181"/>
      <c r="K908" s="181"/>
      <c r="L908" s="181"/>
      <c r="M908" s="181"/>
      <c r="N908" s="181"/>
      <c r="O908" s="181"/>
      <c r="P908" s="181"/>
      <c r="Q908" s="181"/>
      <c r="R908" s="181"/>
      <c r="S908" s="181"/>
      <c r="T908" s="181"/>
      <c r="U908" s="181"/>
      <c r="V908" s="181"/>
      <c r="W908" s="181"/>
      <c r="X908" s="181"/>
      <c r="Y908" s="181"/>
      <c r="Z908" s="181"/>
    </row>
    <row r="909" ht="14.25" customHeight="1">
      <c r="A909" s="181"/>
      <c r="B909" s="181"/>
      <c r="C909" s="181"/>
      <c r="D909" s="181"/>
      <c r="E909" s="181"/>
      <c r="F909" s="181"/>
      <c r="G909" s="181"/>
      <c r="H909" s="181"/>
      <c r="I909" s="181"/>
      <c r="J909" s="181"/>
      <c r="K909" s="181"/>
      <c r="L909" s="181"/>
      <c r="M909" s="181"/>
      <c r="N909" s="181"/>
      <c r="O909" s="181"/>
      <c r="P909" s="181"/>
      <c r="Q909" s="181"/>
      <c r="R909" s="181"/>
      <c r="S909" s="181"/>
      <c r="T909" s="181"/>
      <c r="U909" s="181"/>
      <c r="V909" s="181"/>
      <c r="W909" s="181"/>
      <c r="X909" s="181"/>
      <c r="Y909" s="181"/>
      <c r="Z909" s="181"/>
    </row>
    <row r="910" ht="14.25" customHeight="1">
      <c r="A910" s="181"/>
      <c r="B910" s="181"/>
      <c r="C910" s="181"/>
      <c r="D910" s="181"/>
      <c r="E910" s="181"/>
      <c r="F910" s="181"/>
      <c r="G910" s="181"/>
      <c r="H910" s="181"/>
      <c r="I910" s="181"/>
      <c r="J910" s="181"/>
      <c r="K910" s="181"/>
      <c r="L910" s="181"/>
      <c r="M910" s="181"/>
      <c r="N910" s="181"/>
      <c r="O910" s="181"/>
      <c r="P910" s="181"/>
      <c r="Q910" s="181"/>
      <c r="R910" s="181"/>
      <c r="S910" s="181"/>
      <c r="T910" s="181"/>
      <c r="U910" s="181"/>
      <c r="V910" s="181"/>
      <c r="W910" s="181"/>
      <c r="X910" s="181"/>
      <c r="Y910" s="181"/>
      <c r="Z910" s="181"/>
    </row>
    <row r="911" ht="14.25" customHeight="1">
      <c r="A911" s="181"/>
      <c r="B911" s="181"/>
      <c r="C911" s="181"/>
      <c r="D911" s="181"/>
      <c r="E911" s="181"/>
      <c r="F911" s="181"/>
      <c r="G911" s="181"/>
      <c r="H911" s="181"/>
      <c r="I911" s="181"/>
      <c r="J911" s="181"/>
      <c r="K911" s="181"/>
      <c r="L911" s="181"/>
      <c r="M911" s="181"/>
      <c r="N911" s="181"/>
      <c r="O911" s="181"/>
      <c r="P911" s="181"/>
      <c r="Q911" s="181"/>
      <c r="R911" s="181"/>
      <c r="S911" s="181"/>
      <c r="T911" s="181"/>
      <c r="U911" s="181"/>
      <c r="V911" s="181"/>
      <c r="W911" s="181"/>
      <c r="X911" s="181"/>
      <c r="Y911" s="181"/>
      <c r="Z911" s="181"/>
    </row>
    <row r="912" ht="14.25" customHeight="1">
      <c r="A912" s="181"/>
      <c r="B912" s="181"/>
      <c r="C912" s="181"/>
      <c r="D912" s="181"/>
      <c r="E912" s="181"/>
      <c r="F912" s="181"/>
      <c r="G912" s="181"/>
      <c r="H912" s="181"/>
      <c r="I912" s="181"/>
      <c r="J912" s="181"/>
      <c r="K912" s="181"/>
      <c r="L912" s="181"/>
      <c r="M912" s="181"/>
      <c r="N912" s="181"/>
      <c r="O912" s="181"/>
      <c r="P912" s="181"/>
      <c r="Q912" s="181"/>
      <c r="R912" s="181"/>
      <c r="S912" s="181"/>
      <c r="T912" s="181"/>
      <c r="U912" s="181"/>
      <c r="V912" s="181"/>
      <c r="W912" s="181"/>
      <c r="X912" s="181"/>
      <c r="Y912" s="181"/>
      <c r="Z912" s="181"/>
    </row>
    <row r="913" ht="14.25" customHeight="1">
      <c r="A913" s="181"/>
      <c r="B913" s="181"/>
      <c r="C913" s="181"/>
      <c r="D913" s="181"/>
      <c r="E913" s="181"/>
      <c r="F913" s="181"/>
      <c r="G913" s="181"/>
      <c r="H913" s="181"/>
      <c r="I913" s="181"/>
      <c r="J913" s="181"/>
      <c r="K913" s="181"/>
      <c r="L913" s="181"/>
      <c r="M913" s="181"/>
      <c r="N913" s="181"/>
      <c r="O913" s="181"/>
      <c r="P913" s="181"/>
      <c r="Q913" s="181"/>
      <c r="R913" s="181"/>
      <c r="S913" s="181"/>
      <c r="T913" s="181"/>
      <c r="U913" s="181"/>
      <c r="V913" s="181"/>
      <c r="W913" s="181"/>
      <c r="X913" s="181"/>
      <c r="Y913" s="181"/>
      <c r="Z913" s="181"/>
    </row>
    <row r="914" ht="14.25" customHeight="1">
      <c r="A914" s="181"/>
      <c r="B914" s="181"/>
      <c r="C914" s="181"/>
      <c r="D914" s="181"/>
      <c r="E914" s="181"/>
      <c r="F914" s="181"/>
      <c r="G914" s="181"/>
      <c r="H914" s="181"/>
      <c r="I914" s="181"/>
      <c r="J914" s="181"/>
      <c r="K914" s="181"/>
      <c r="L914" s="181"/>
      <c r="M914" s="181"/>
      <c r="N914" s="181"/>
      <c r="O914" s="181"/>
      <c r="P914" s="181"/>
      <c r="Q914" s="181"/>
      <c r="R914" s="181"/>
      <c r="S914" s="181"/>
      <c r="T914" s="181"/>
      <c r="U914" s="181"/>
      <c r="V914" s="181"/>
      <c r="W914" s="181"/>
      <c r="X914" s="181"/>
      <c r="Y914" s="181"/>
      <c r="Z914" s="181"/>
    </row>
    <row r="915" ht="14.25" customHeight="1">
      <c r="A915" s="181"/>
      <c r="B915" s="181"/>
      <c r="C915" s="181"/>
      <c r="D915" s="181"/>
      <c r="E915" s="181"/>
      <c r="F915" s="181"/>
      <c r="G915" s="181"/>
      <c r="H915" s="181"/>
      <c r="I915" s="181"/>
      <c r="J915" s="181"/>
      <c r="K915" s="181"/>
      <c r="L915" s="181"/>
      <c r="M915" s="181"/>
      <c r="N915" s="181"/>
      <c r="O915" s="181"/>
      <c r="P915" s="181"/>
      <c r="Q915" s="181"/>
      <c r="R915" s="181"/>
      <c r="S915" s="181"/>
      <c r="T915" s="181"/>
      <c r="U915" s="181"/>
      <c r="V915" s="181"/>
      <c r="W915" s="181"/>
      <c r="X915" s="181"/>
      <c r="Y915" s="181"/>
      <c r="Z915" s="181"/>
    </row>
    <row r="916" ht="14.25" customHeight="1">
      <c r="A916" s="181"/>
      <c r="B916" s="181"/>
      <c r="C916" s="181"/>
      <c r="D916" s="181"/>
      <c r="E916" s="181"/>
      <c r="F916" s="181"/>
      <c r="G916" s="181"/>
      <c r="H916" s="181"/>
      <c r="I916" s="181"/>
      <c r="J916" s="181"/>
      <c r="K916" s="181"/>
      <c r="L916" s="181"/>
      <c r="M916" s="181"/>
      <c r="N916" s="181"/>
      <c r="O916" s="181"/>
      <c r="P916" s="181"/>
      <c r="Q916" s="181"/>
      <c r="R916" s="181"/>
      <c r="S916" s="181"/>
      <c r="T916" s="181"/>
      <c r="U916" s="181"/>
      <c r="V916" s="181"/>
      <c r="W916" s="181"/>
      <c r="X916" s="181"/>
      <c r="Y916" s="181"/>
      <c r="Z916" s="181"/>
    </row>
    <row r="917" ht="14.25" customHeight="1">
      <c r="A917" s="181"/>
      <c r="B917" s="181"/>
      <c r="C917" s="181"/>
      <c r="D917" s="181"/>
      <c r="E917" s="181"/>
      <c r="F917" s="181"/>
      <c r="G917" s="181"/>
      <c r="H917" s="181"/>
      <c r="I917" s="181"/>
      <c r="J917" s="181"/>
      <c r="K917" s="181"/>
      <c r="L917" s="181"/>
      <c r="M917" s="181"/>
      <c r="N917" s="181"/>
      <c r="O917" s="181"/>
      <c r="P917" s="181"/>
      <c r="Q917" s="181"/>
      <c r="R917" s="181"/>
      <c r="S917" s="181"/>
      <c r="T917" s="181"/>
      <c r="U917" s="181"/>
      <c r="V917" s="181"/>
      <c r="W917" s="181"/>
      <c r="X917" s="181"/>
      <c r="Y917" s="181"/>
      <c r="Z917" s="181"/>
    </row>
    <row r="918" ht="14.25" customHeight="1">
      <c r="A918" s="181"/>
      <c r="B918" s="181"/>
      <c r="C918" s="181"/>
      <c r="D918" s="181"/>
      <c r="E918" s="181"/>
      <c r="F918" s="181"/>
      <c r="G918" s="181"/>
      <c r="H918" s="181"/>
      <c r="I918" s="181"/>
      <c r="J918" s="181"/>
      <c r="K918" s="181"/>
      <c r="L918" s="181"/>
      <c r="M918" s="181"/>
      <c r="N918" s="181"/>
      <c r="O918" s="181"/>
      <c r="P918" s="181"/>
      <c r="Q918" s="181"/>
      <c r="R918" s="181"/>
      <c r="S918" s="181"/>
      <c r="T918" s="181"/>
      <c r="U918" s="181"/>
      <c r="V918" s="181"/>
      <c r="W918" s="181"/>
      <c r="X918" s="181"/>
      <c r="Y918" s="181"/>
      <c r="Z918" s="181"/>
    </row>
    <row r="919" ht="14.25" customHeight="1">
      <c r="A919" s="181"/>
      <c r="B919" s="181"/>
      <c r="C919" s="181"/>
      <c r="D919" s="181"/>
      <c r="E919" s="181"/>
      <c r="F919" s="181"/>
      <c r="G919" s="181"/>
      <c r="H919" s="181"/>
      <c r="I919" s="181"/>
      <c r="J919" s="181"/>
      <c r="K919" s="181"/>
      <c r="L919" s="181"/>
      <c r="M919" s="181"/>
      <c r="N919" s="181"/>
      <c r="O919" s="181"/>
      <c r="P919" s="181"/>
      <c r="Q919" s="181"/>
      <c r="R919" s="181"/>
      <c r="S919" s="181"/>
      <c r="T919" s="181"/>
      <c r="U919" s="181"/>
      <c r="V919" s="181"/>
      <c r="W919" s="181"/>
      <c r="X919" s="181"/>
      <c r="Y919" s="181"/>
      <c r="Z919" s="181"/>
    </row>
    <row r="920" ht="14.25" customHeight="1">
      <c r="A920" s="181"/>
      <c r="B920" s="181"/>
      <c r="C920" s="181"/>
      <c r="D920" s="181"/>
      <c r="E920" s="181"/>
      <c r="F920" s="181"/>
      <c r="G920" s="181"/>
      <c r="H920" s="181"/>
      <c r="I920" s="181"/>
      <c r="J920" s="181"/>
      <c r="K920" s="181"/>
      <c r="L920" s="181"/>
      <c r="M920" s="181"/>
      <c r="N920" s="181"/>
      <c r="O920" s="181"/>
      <c r="P920" s="181"/>
      <c r="Q920" s="181"/>
      <c r="R920" s="181"/>
      <c r="S920" s="181"/>
      <c r="T920" s="181"/>
      <c r="U920" s="181"/>
      <c r="V920" s="181"/>
      <c r="W920" s="181"/>
      <c r="X920" s="181"/>
      <c r="Y920" s="181"/>
      <c r="Z920" s="181"/>
    </row>
    <row r="921" ht="14.25" customHeight="1">
      <c r="A921" s="181"/>
      <c r="B921" s="181"/>
      <c r="C921" s="181"/>
      <c r="D921" s="181"/>
      <c r="E921" s="181"/>
      <c r="F921" s="181"/>
      <c r="G921" s="181"/>
      <c r="H921" s="181"/>
      <c r="I921" s="181"/>
      <c r="J921" s="181"/>
      <c r="K921" s="181"/>
      <c r="L921" s="181"/>
      <c r="M921" s="181"/>
      <c r="N921" s="181"/>
      <c r="O921" s="181"/>
      <c r="P921" s="181"/>
      <c r="Q921" s="181"/>
      <c r="R921" s="181"/>
      <c r="S921" s="181"/>
      <c r="T921" s="181"/>
      <c r="U921" s="181"/>
      <c r="V921" s="181"/>
      <c r="W921" s="181"/>
      <c r="X921" s="181"/>
      <c r="Y921" s="181"/>
      <c r="Z921" s="181"/>
    </row>
    <row r="922" ht="14.25" customHeight="1">
      <c r="A922" s="181"/>
      <c r="B922" s="181"/>
      <c r="C922" s="181"/>
      <c r="D922" s="181"/>
      <c r="E922" s="181"/>
      <c r="F922" s="181"/>
      <c r="G922" s="181"/>
      <c r="H922" s="181"/>
      <c r="I922" s="181"/>
      <c r="J922" s="181"/>
      <c r="K922" s="181"/>
      <c r="L922" s="181"/>
      <c r="M922" s="181"/>
      <c r="N922" s="181"/>
      <c r="O922" s="181"/>
      <c r="P922" s="181"/>
      <c r="Q922" s="181"/>
      <c r="R922" s="181"/>
      <c r="S922" s="181"/>
      <c r="T922" s="181"/>
      <c r="U922" s="181"/>
      <c r="V922" s="181"/>
      <c r="W922" s="181"/>
      <c r="X922" s="181"/>
      <c r="Y922" s="181"/>
      <c r="Z922" s="181"/>
    </row>
    <row r="923" ht="14.25" customHeight="1">
      <c r="A923" s="181"/>
      <c r="B923" s="181"/>
      <c r="C923" s="181"/>
      <c r="D923" s="181"/>
      <c r="E923" s="181"/>
      <c r="F923" s="181"/>
      <c r="G923" s="181"/>
      <c r="H923" s="181"/>
      <c r="I923" s="181"/>
      <c r="J923" s="181"/>
      <c r="K923" s="181"/>
      <c r="L923" s="181"/>
      <c r="M923" s="181"/>
      <c r="N923" s="181"/>
      <c r="O923" s="181"/>
      <c r="P923" s="181"/>
      <c r="Q923" s="181"/>
      <c r="R923" s="181"/>
      <c r="S923" s="181"/>
      <c r="T923" s="181"/>
      <c r="U923" s="181"/>
      <c r="V923" s="181"/>
      <c r="W923" s="181"/>
      <c r="X923" s="181"/>
      <c r="Y923" s="181"/>
      <c r="Z923" s="181"/>
    </row>
    <row r="924" ht="14.25" customHeight="1">
      <c r="A924" s="181"/>
      <c r="B924" s="181"/>
      <c r="C924" s="181"/>
      <c r="D924" s="181"/>
      <c r="E924" s="181"/>
      <c r="F924" s="181"/>
      <c r="G924" s="181"/>
      <c r="H924" s="181"/>
      <c r="I924" s="181"/>
      <c r="J924" s="181"/>
      <c r="K924" s="181"/>
      <c r="L924" s="181"/>
      <c r="M924" s="181"/>
      <c r="N924" s="181"/>
      <c r="O924" s="181"/>
      <c r="P924" s="181"/>
      <c r="Q924" s="181"/>
      <c r="R924" s="181"/>
      <c r="S924" s="181"/>
      <c r="T924" s="181"/>
      <c r="U924" s="181"/>
      <c r="V924" s="181"/>
      <c r="W924" s="181"/>
      <c r="X924" s="181"/>
      <c r="Y924" s="181"/>
      <c r="Z924" s="181"/>
    </row>
    <row r="925" ht="14.25" customHeight="1">
      <c r="A925" s="181"/>
      <c r="B925" s="181"/>
      <c r="C925" s="181"/>
      <c r="D925" s="181"/>
      <c r="E925" s="181"/>
      <c r="F925" s="181"/>
      <c r="G925" s="181"/>
      <c r="H925" s="181"/>
      <c r="I925" s="181"/>
      <c r="J925" s="181"/>
      <c r="K925" s="181"/>
      <c r="L925" s="181"/>
      <c r="M925" s="181"/>
      <c r="N925" s="181"/>
      <c r="O925" s="181"/>
      <c r="P925" s="181"/>
      <c r="Q925" s="181"/>
      <c r="R925" s="181"/>
      <c r="S925" s="181"/>
      <c r="T925" s="181"/>
      <c r="U925" s="181"/>
      <c r="V925" s="181"/>
      <c r="W925" s="181"/>
      <c r="X925" s="181"/>
      <c r="Y925" s="181"/>
      <c r="Z925" s="181"/>
    </row>
    <row r="926" ht="14.25" customHeight="1">
      <c r="A926" s="181"/>
      <c r="B926" s="181"/>
      <c r="C926" s="181"/>
      <c r="D926" s="181"/>
      <c r="E926" s="181"/>
      <c r="F926" s="181"/>
      <c r="G926" s="181"/>
      <c r="H926" s="181"/>
      <c r="I926" s="181"/>
      <c r="J926" s="181"/>
      <c r="K926" s="181"/>
      <c r="L926" s="181"/>
      <c r="M926" s="181"/>
      <c r="N926" s="181"/>
      <c r="O926" s="181"/>
      <c r="P926" s="181"/>
      <c r="Q926" s="181"/>
      <c r="R926" s="181"/>
      <c r="S926" s="181"/>
      <c r="T926" s="181"/>
      <c r="U926" s="181"/>
      <c r="V926" s="181"/>
      <c r="W926" s="181"/>
      <c r="X926" s="181"/>
      <c r="Y926" s="181"/>
      <c r="Z926" s="181"/>
    </row>
    <row r="927" ht="14.25" customHeight="1">
      <c r="A927" s="181"/>
      <c r="B927" s="181"/>
      <c r="C927" s="181"/>
      <c r="D927" s="181"/>
      <c r="E927" s="181"/>
      <c r="F927" s="181"/>
      <c r="G927" s="181"/>
      <c r="H927" s="181"/>
      <c r="I927" s="181"/>
      <c r="J927" s="181"/>
      <c r="K927" s="181"/>
      <c r="L927" s="181"/>
      <c r="M927" s="181"/>
      <c r="N927" s="181"/>
      <c r="O927" s="181"/>
      <c r="P927" s="181"/>
      <c r="Q927" s="181"/>
      <c r="R927" s="181"/>
      <c r="S927" s="181"/>
      <c r="T927" s="181"/>
      <c r="U927" s="181"/>
      <c r="V927" s="181"/>
      <c r="W927" s="181"/>
      <c r="X927" s="181"/>
      <c r="Y927" s="181"/>
      <c r="Z927" s="181"/>
    </row>
    <row r="928" ht="14.25" customHeight="1">
      <c r="A928" s="181"/>
      <c r="B928" s="181"/>
      <c r="C928" s="181"/>
      <c r="D928" s="181"/>
      <c r="E928" s="181"/>
      <c r="F928" s="181"/>
      <c r="G928" s="181"/>
      <c r="H928" s="181"/>
      <c r="I928" s="181"/>
      <c r="J928" s="181"/>
      <c r="K928" s="181"/>
      <c r="L928" s="181"/>
      <c r="M928" s="181"/>
      <c r="N928" s="181"/>
      <c r="O928" s="181"/>
      <c r="P928" s="181"/>
      <c r="Q928" s="181"/>
      <c r="R928" s="181"/>
      <c r="S928" s="181"/>
      <c r="T928" s="181"/>
      <c r="U928" s="181"/>
      <c r="V928" s="181"/>
      <c r="W928" s="181"/>
      <c r="X928" s="181"/>
      <c r="Y928" s="181"/>
      <c r="Z928" s="181"/>
    </row>
    <row r="929" ht="14.25" customHeight="1">
      <c r="A929" s="181"/>
      <c r="B929" s="181"/>
      <c r="C929" s="181"/>
      <c r="D929" s="181"/>
      <c r="E929" s="181"/>
      <c r="F929" s="181"/>
      <c r="G929" s="181"/>
      <c r="H929" s="181"/>
      <c r="I929" s="181"/>
      <c r="J929" s="181"/>
      <c r="K929" s="181"/>
      <c r="L929" s="181"/>
      <c r="M929" s="181"/>
      <c r="N929" s="181"/>
      <c r="O929" s="181"/>
      <c r="P929" s="181"/>
      <c r="Q929" s="181"/>
      <c r="R929" s="181"/>
      <c r="S929" s="181"/>
      <c r="T929" s="181"/>
      <c r="U929" s="181"/>
      <c r="V929" s="181"/>
      <c r="W929" s="181"/>
      <c r="X929" s="181"/>
      <c r="Y929" s="181"/>
      <c r="Z929" s="181"/>
    </row>
    <row r="930" ht="14.25" customHeight="1">
      <c r="A930" s="181"/>
      <c r="B930" s="181"/>
      <c r="C930" s="181"/>
      <c r="D930" s="181"/>
      <c r="E930" s="181"/>
      <c r="F930" s="181"/>
      <c r="G930" s="181"/>
      <c r="H930" s="181"/>
      <c r="I930" s="181"/>
      <c r="J930" s="181"/>
      <c r="K930" s="181"/>
      <c r="L930" s="181"/>
      <c r="M930" s="181"/>
      <c r="N930" s="181"/>
      <c r="O930" s="181"/>
      <c r="P930" s="181"/>
      <c r="Q930" s="181"/>
      <c r="R930" s="181"/>
      <c r="S930" s="181"/>
      <c r="T930" s="181"/>
      <c r="U930" s="181"/>
      <c r="V930" s="181"/>
      <c r="W930" s="181"/>
      <c r="X930" s="181"/>
      <c r="Y930" s="181"/>
      <c r="Z930" s="181"/>
    </row>
    <row r="931" ht="14.25" customHeight="1">
      <c r="A931" s="181"/>
      <c r="B931" s="181"/>
      <c r="C931" s="181"/>
      <c r="D931" s="181"/>
      <c r="E931" s="181"/>
      <c r="F931" s="181"/>
      <c r="G931" s="181"/>
      <c r="H931" s="181"/>
      <c r="I931" s="181"/>
      <c r="J931" s="181"/>
      <c r="K931" s="181"/>
      <c r="L931" s="181"/>
      <c r="M931" s="181"/>
      <c r="N931" s="181"/>
      <c r="O931" s="181"/>
      <c r="P931" s="181"/>
      <c r="Q931" s="181"/>
      <c r="R931" s="181"/>
      <c r="S931" s="181"/>
      <c r="T931" s="181"/>
      <c r="U931" s="181"/>
      <c r="V931" s="181"/>
      <c r="W931" s="181"/>
      <c r="X931" s="181"/>
      <c r="Y931" s="181"/>
      <c r="Z931" s="181"/>
    </row>
    <row r="932" ht="14.25" customHeight="1">
      <c r="A932" s="181"/>
      <c r="B932" s="181"/>
      <c r="C932" s="181"/>
      <c r="D932" s="181"/>
      <c r="E932" s="181"/>
      <c r="F932" s="181"/>
      <c r="G932" s="181"/>
      <c r="H932" s="181"/>
      <c r="I932" s="181"/>
      <c r="J932" s="181"/>
      <c r="K932" s="181"/>
      <c r="L932" s="181"/>
      <c r="M932" s="181"/>
      <c r="N932" s="181"/>
      <c r="O932" s="181"/>
      <c r="P932" s="181"/>
      <c r="Q932" s="181"/>
      <c r="R932" s="181"/>
      <c r="S932" s="181"/>
      <c r="T932" s="181"/>
      <c r="U932" s="181"/>
      <c r="V932" s="181"/>
      <c r="W932" s="181"/>
      <c r="X932" s="181"/>
      <c r="Y932" s="181"/>
      <c r="Z932" s="181"/>
    </row>
    <row r="933" ht="14.25" customHeight="1">
      <c r="A933" s="181"/>
      <c r="B933" s="181"/>
      <c r="C933" s="181"/>
      <c r="D933" s="181"/>
      <c r="E933" s="181"/>
      <c r="F933" s="181"/>
      <c r="G933" s="181"/>
      <c r="H933" s="181"/>
      <c r="I933" s="181"/>
      <c r="J933" s="181"/>
      <c r="K933" s="181"/>
      <c r="L933" s="181"/>
      <c r="M933" s="181"/>
      <c r="N933" s="181"/>
      <c r="O933" s="181"/>
      <c r="P933" s="181"/>
      <c r="Q933" s="181"/>
      <c r="R933" s="181"/>
      <c r="S933" s="181"/>
      <c r="T933" s="181"/>
      <c r="U933" s="181"/>
      <c r="V933" s="181"/>
      <c r="W933" s="181"/>
      <c r="X933" s="181"/>
      <c r="Y933" s="181"/>
      <c r="Z933" s="181"/>
    </row>
    <row r="934" ht="14.25" customHeight="1">
      <c r="A934" s="181"/>
      <c r="B934" s="181"/>
      <c r="C934" s="181"/>
      <c r="D934" s="181"/>
      <c r="E934" s="181"/>
      <c r="F934" s="181"/>
      <c r="G934" s="181"/>
      <c r="H934" s="181"/>
      <c r="I934" s="181"/>
      <c r="J934" s="181"/>
      <c r="K934" s="181"/>
      <c r="L934" s="181"/>
      <c r="M934" s="181"/>
      <c r="N934" s="181"/>
      <c r="O934" s="181"/>
      <c r="P934" s="181"/>
      <c r="Q934" s="181"/>
      <c r="R934" s="181"/>
      <c r="S934" s="181"/>
      <c r="T934" s="181"/>
      <c r="U934" s="181"/>
      <c r="V934" s="181"/>
      <c r="W934" s="181"/>
      <c r="X934" s="181"/>
      <c r="Y934" s="181"/>
      <c r="Z934" s="181"/>
    </row>
    <row r="935" ht="14.25" customHeight="1">
      <c r="A935" s="181"/>
      <c r="B935" s="181"/>
      <c r="C935" s="181"/>
      <c r="D935" s="181"/>
      <c r="E935" s="181"/>
      <c r="F935" s="181"/>
      <c r="G935" s="181"/>
      <c r="H935" s="181"/>
      <c r="I935" s="181"/>
      <c r="J935" s="181"/>
      <c r="K935" s="181"/>
      <c r="L935" s="181"/>
      <c r="M935" s="181"/>
      <c r="N935" s="181"/>
      <c r="O935" s="181"/>
      <c r="P935" s="181"/>
      <c r="Q935" s="181"/>
      <c r="R935" s="181"/>
      <c r="S935" s="181"/>
      <c r="T935" s="181"/>
      <c r="U935" s="181"/>
      <c r="V935" s="181"/>
      <c r="W935" s="181"/>
      <c r="X935" s="181"/>
      <c r="Y935" s="181"/>
      <c r="Z935" s="181"/>
    </row>
    <row r="936" ht="14.25" customHeight="1">
      <c r="A936" s="181"/>
      <c r="B936" s="181"/>
      <c r="C936" s="181"/>
      <c r="D936" s="181"/>
      <c r="E936" s="181"/>
      <c r="F936" s="181"/>
      <c r="G936" s="181"/>
      <c r="H936" s="181"/>
      <c r="I936" s="181"/>
      <c r="J936" s="181"/>
      <c r="K936" s="181"/>
      <c r="L936" s="181"/>
      <c r="M936" s="181"/>
      <c r="N936" s="181"/>
      <c r="O936" s="181"/>
      <c r="P936" s="181"/>
      <c r="Q936" s="181"/>
      <c r="R936" s="181"/>
      <c r="S936" s="181"/>
      <c r="T936" s="181"/>
      <c r="U936" s="181"/>
      <c r="V936" s="181"/>
      <c r="W936" s="181"/>
      <c r="X936" s="181"/>
      <c r="Y936" s="181"/>
      <c r="Z936" s="181"/>
    </row>
    <row r="937" ht="14.25" customHeight="1">
      <c r="A937" s="181"/>
      <c r="B937" s="181"/>
      <c r="C937" s="181"/>
      <c r="D937" s="181"/>
      <c r="E937" s="181"/>
      <c r="F937" s="181"/>
      <c r="G937" s="181"/>
      <c r="H937" s="181"/>
      <c r="I937" s="181"/>
      <c r="J937" s="181"/>
      <c r="K937" s="181"/>
      <c r="L937" s="181"/>
      <c r="M937" s="181"/>
      <c r="N937" s="181"/>
      <c r="O937" s="181"/>
      <c r="P937" s="181"/>
      <c r="Q937" s="181"/>
      <c r="R937" s="181"/>
      <c r="S937" s="181"/>
      <c r="T937" s="181"/>
      <c r="U937" s="181"/>
      <c r="V937" s="181"/>
      <c r="W937" s="181"/>
      <c r="X937" s="181"/>
      <c r="Y937" s="181"/>
      <c r="Z937" s="181"/>
    </row>
    <row r="938" ht="14.25" customHeight="1">
      <c r="A938" s="181"/>
      <c r="B938" s="181"/>
      <c r="C938" s="181"/>
      <c r="D938" s="181"/>
      <c r="E938" s="181"/>
      <c r="F938" s="181"/>
      <c r="G938" s="181"/>
      <c r="H938" s="181"/>
      <c r="I938" s="181"/>
      <c r="J938" s="181"/>
      <c r="K938" s="181"/>
      <c r="L938" s="181"/>
      <c r="M938" s="181"/>
      <c r="N938" s="181"/>
      <c r="O938" s="181"/>
      <c r="P938" s="181"/>
      <c r="Q938" s="181"/>
      <c r="R938" s="181"/>
      <c r="S938" s="181"/>
      <c r="T938" s="181"/>
      <c r="U938" s="181"/>
      <c r="V938" s="181"/>
      <c r="W938" s="181"/>
      <c r="X938" s="181"/>
      <c r="Y938" s="181"/>
      <c r="Z938" s="181"/>
    </row>
    <row r="939" ht="14.25" customHeight="1">
      <c r="A939" s="181"/>
      <c r="B939" s="181"/>
      <c r="C939" s="181"/>
      <c r="D939" s="181"/>
      <c r="E939" s="181"/>
      <c r="F939" s="181"/>
      <c r="G939" s="181"/>
      <c r="H939" s="181"/>
      <c r="I939" s="181"/>
      <c r="J939" s="181"/>
      <c r="K939" s="181"/>
      <c r="L939" s="181"/>
      <c r="M939" s="181"/>
      <c r="N939" s="181"/>
      <c r="O939" s="181"/>
      <c r="P939" s="181"/>
      <c r="Q939" s="181"/>
      <c r="R939" s="181"/>
      <c r="S939" s="181"/>
      <c r="T939" s="181"/>
      <c r="U939" s="181"/>
      <c r="V939" s="181"/>
      <c r="W939" s="181"/>
      <c r="X939" s="181"/>
      <c r="Y939" s="181"/>
      <c r="Z939" s="181"/>
    </row>
    <row r="940" ht="14.25" customHeight="1">
      <c r="A940" s="181"/>
      <c r="B940" s="181"/>
      <c r="C940" s="181"/>
      <c r="D940" s="181"/>
      <c r="E940" s="181"/>
      <c r="F940" s="181"/>
      <c r="G940" s="181"/>
      <c r="H940" s="181"/>
      <c r="I940" s="181"/>
      <c r="J940" s="181"/>
      <c r="K940" s="181"/>
      <c r="L940" s="181"/>
      <c r="M940" s="181"/>
      <c r="N940" s="181"/>
      <c r="O940" s="181"/>
      <c r="P940" s="181"/>
      <c r="Q940" s="181"/>
      <c r="R940" s="181"/>
      <c r="S940" s="181"/>
      <c r="T940" s="181"/>
      <c r="U940" s="181"/>
      <c r="V940" s="181"/>
      <c r="W940" s="181"/>
      <c r="X940" s="181"/>
      <c r="Y940" s="181"/>
      <c r="Z940" s="181"/>
    </row>
    <row r="941" ht="14.25" customHeight="1">
      <c r="A941" s="181"/>
      <c r="B941" s="181"/>
      <c r="C941" s="181"/>
      <c r="D941" s="181"/>
      <c r="E941" s="181"/>
      <c r="F941" s="181"/>
      <c r="G941" s="181"/>
      <c r="H941" s="181"/>
      <c r="I941" s="181"/>
      <c r="J941" s="181"/>
      <c r="K941" s="181"/>
      <c r="L941" s="181"/>
      <c r="M941" s="181"/>
      <c r="N941" s="181"/>
      <c r="O941" s="181"/>
      <c r="P941" s="181"/>
      <c r="Q941" s="181"/>
      <c r="R941" s="181"/>
      <c r="S941" s="181"/>
      <c r="T941" s="181"/>
      <c r="U941" s="181"/>
      <c r="V941" s="181"/>
      <c r="W941" s="181"/>
      <c r="X941" s="181"/>
      <c r="Y941" s="181"/>
      <c r="Z941" s="181"/>
    </row>
    <row r="942" ht="14.25" customHeight="1">
      <c r="A942" s="181"/>
      <c r="B942" s="181"/>
      <c r="C942" s="181"/>
      <c r="D942" s="181"/>
      <c r="E942" s="181"/>
      <c r="F942" s="181"/>
      <c r="G942" s="181"/>
      <c r="H942" s="181"/>
      <c r="I942" s="181"/>
      <c r="J942" s="181"/>
      <c r="K942" s="181"/>
      <c r="L942" s="181"/>
      <c r="M942" s="181"/>
      <c r="N942" s="181"/>
      <c r="O942" s="181"/>
      <c r="P942" s="181"/>
      <c r="Q942" s="181"/>
      <c r="R942" s="181"/>
      <c r="S942" s="181"/>
      <c r="T942" s="181"/>
      <c r="U942" s="181"/>
      <c r="V942" s="181"/>
      <c r="W942" s="181"/>
      <c r="X942" s="181"/>
      <c r="Y942" s="181"/>
      <c r="Z942" s="181"/>
    </row>
    <row r="943" ht="14.25" customHeight="1">
      <c r="A943" s="181"/>
      <c r="B943" s="181"/>
      <c r="C943" s="181"/>
      <c r="D943" s="181"/>
      <c r="E943" s="181"/>
      <c r="F943" s="181"/>
      <c r="G943" s="181"/>
      <c r="H943" s="181"/>
      <c r="I943" s="181"/>
      <c r="J943" s="181"/>
      <c r="K943" s="181"/>
      <c r="L943" s="181"/>
      <c r="M943" s="181"/>
      <c r="N943" s="181"/>
      <c r="O943" s="181"/>
      <c r="P943" s="181"/>
      <c r="Q943" s="181"/>
      <c r="R943" s="181"/>
      <c r="S943" s="181"/>
      <c r="T943" s="181"/>
      <c r="U943" s="181"/>
      <c r="V943" s="181"/>
      <c r="W943" s="181"/>
      <c r="X943" s="181"/>
      <c r="Y943" s="181"/>
      <c r="Z943" s="181"/>
    </row>
    <row r="944" ht="14.25" customHeight="1">
      <c r="A944" s="181"/>
      <c r="B944" s="181"/>
      <c r="C944" s="181"/>
      <c r="D944" s="181"/>
      <c r="E944" s="181"/>
      <c r="F944" s="181"/>
      <c r="G944" s="181"/>
      <c r="H944" s="181"/>
      <c r="I944" s="181"/>
      <c r="J944" s="181"/>
      <c r="K944" s="181"/>
      <c r="L944" s="181"/>
      <c r="M944" s="181"/>
      <c r="N944" s="181"/>
      <c r="O944" s="181"/>
      <c r="P944" s="181"/>
      <c r="Q944" s="181"/>
      <c r="R944" s="181"/>
      <c r="S944" s="181"/>
      <c r="T944" s="181"/>
      <c r="U944" s="181"/>
      <c r="V944" s="181"/>
      <c r="W944" s="181"/>
      <c r="X944" s="181"/>
      <c r="Y944" s="181"/>
      <c r="Z944" s="181"/>
    </row>
    <row r="945" ht="14.25" customHeight="1">
      <c r="A945" s="181"/>
      <c r="B945" s="181"/>
      <c r="C945" s="181"/>
      <c r="D945" s="181"/>
      <c r="E945" s="181"/>
      <c r="F945" s="181"/>
      <c r="G945" s="181"/>
      <c r="H945" s="181"/>
      <c r="I945" s="181"/>
      <c r="J945" s="181"/>
      <c r="K945" s="181"/>
      <c r="L945" s="181"/>
      <c r="M945" s="181"/>
      <c r="N945" s="181"/>
      <c r="O945" s="181"/>
      <c r="P945" s="181"/>
      <c r="Q945" s="181"/>
      <c r="R945" s="181"/>
      <c r="S945" s="181"/>
      <c r="T945" s="181"/>
      <c r="U945" s="181"/>
      <c r="V945" s="181"/>
      <c r="W945" s="181"/>
      <c r="X945" s="181"/>
      <c r="Y945" s="181"/>
      <c r="Z945" s="181"/>
    </row>
    <row r="946" ht="14.25" customHeight="1">
      <c r="A946" s="181"/>
      <c r="B946" s="181"/>
      <c r="C946" s="181"/>
      <c r="D946" s="181"/>
      <c r="E946" s="181"/>
      <c r="F946" s="181"/>
      <c r="G946" s="181"/>
      <c r="H946" s="181"/>
      <c r="I946" s="181"/>
      <c r="J946" s="181"/>
      <c r="K946" s="181"/>
      <c r="L946" s="181"/>
      <c r="M946" s="181"/>
      <c r="N946" s="181"/>
      <c r="O946" s="181"/>
      <c r="P946" s="181"/>
      <c r="Q946" s="181"/>
      <c r="R946" s="181"/>
      <c r="S946" s="181"/>
      <c r="T946" s="181"/>
      <c r="U946" s="181"/>
      <c r="V946" s="181"/>
      <c r="W946" s="181"/>
      <c r="X946" s="181"/>
      <c r="Y946" s="181"/>
      <c r="Z946" s="181"/>
    </row>
    <row r="947" ht="14.25" customHeight="1">
      <c r="A947" s="181"/>
      <c r="B947" s="181"/>
      <c r="C947" s="181"/>
      <c r="D947" s="181"/>
      <c r="E947" s="181"/>
      <c r="F947" s="181"/>
      <c r="G947" s="181"/>
      <c r="H947" s="181"/>
      <c r="I947" s="181"/>
      <c r="J947" s="181"/>
      <c r="K947" s="181"/>
      <c r="L947" s="181"/>
      <c r="M947" s="181"/>
      <c r="N947" s="181"/>
      <c r="O947" s="181"/>
      <c r="P947" s="181"/>
      <c r="Q947" s="181"/>
      <c r="R947" s="181"/>
      <c r="S947" s="181"/>
      <c r="T947" s="181"/>
      <c r="U947" s="181"/>
      <c r="V947" s="181"/>
      <c r="W947" s="181"/>
      <c r="X947" s="181"/>
      <c r="Y947" s="181"/>
      <c r="Z947" s="181"/>
    </row>
    <row r="948" ht="14.25" customHeight="1">
      <c r="A948" s="181"/>
      <c r="B948" s="181"/>
      <c r="C948" s="181"/>
      <c r="D948" s="181"/>
      <c r="E948" s="181"/>
      <c r="F948" s="181"/>
      <c r="G948" s="181"/>
      <c r="H948" s="181"/>
      <c r="I948" s="181"/>
      <c r="J948" s="181"/>
      <c r="K948" s="181"/>
      <c r="L948" s="181"/>
      <c r="M948" s="181"/>
      <c r="N948" s="181"/>
      <c r="O948" s="181"/>
      <c r="P948" s="181"/>
      <c r="Q948" s="181"/>
      <c r="R948" s="181"/>
      <c r="S948" s="181"/>
      <c r="T948" s="181"/>
      <c r="U948" s="181"/>
      <c r="V948" s="181"/>
      <c r="W948" s="181"/>
      <c r="X948" s="181"/>
      <c r="Y948" s="181"/>
      <c r="Z948" s="181"/>
    </row>
    <row r="949" ht="14.25" customHeight="1">
      <c r="A949" s="181"/>
      <c r="B949" s="181"/>
      <c r="C949" s="181"/>
      <c r="D949" s="181"/>
      <c r="E949" s="181"/>
      <c r="F949" s="181"/>
      <c r="G949" s="181"/>
      <c r="H949" s="181"/>
      <c r="I949" s="181"/>
      <c r="J949" s="181"/>
      <c r="K949" s="181"/>
      <c r="L949" s="181"/>
      <c r="M949" s="181"/>
      <c r="N949" s="181"/>
      <c r="O949" s="181"/>
      <c r="P949" s="181"/>
      <c r="Q949" s="181"/>
      <c r="R949" s="181"/>
      <c r="S949" s="181"/>
      <c r="T949" s="181"/>
      <c r="U949" s="181"/>
      <c r="V949" s="181"/>
      <c r="W949" s="181"/>
      <c r="X949" s="181"/>
      <c r="Y949" s="181"/>
      <c r="Z949" s="181"/>
    </row>
    <row r="950" ht="14.25" customHeight="1">
      <c r="A950" s="181"/>
      <c r="B950" s="181"/>
      <c r="C950" s="181"/>
      <c r="D950" s="181"/>
      <c r="E950" s="181"/>
      <c r="F950" s="181"/>
      <c r="G950" s="181"/>
      <c r="H950" s="181"/>
      <c r="I950" s="181"/>
      <c r="J950" s="181"/>
      <c r="K950" s="181"/>
      <c r="L950" s="181"/>
      <c r="M950" s="181"/>
      <c r="N950" s="181"/>
      <c r="O950" s="181"/>
      <c r="P950" s="181"/>
      <c r="Q950" s="181"/>
      <c r="R950" s="181"/>
      <c r="S950" s="181"/>
      <c r="T950" s="181"/>
      <c r="U950" s="181"/>
      <c r="V950" s="181"/>
      <c r="W950" s="181"/>
      <c r="X950" s="181"/>
      <c r="Y950" s="181"/>
      <c r="Z950" s="181"/>
    </row>
    <row r="951" ht="14.25" customHeight="1">
      <c r="A951" s="181"/>
      <c r="B951" s="181"/>
      <c r="C951" s="181"/>
      <c r="D951" s="181"/>
      <c r="E951" s="181"/>
      <c r="F951" s="181"/>
      <c r="G951" s="181"/>
      <c r="H951" s="181"/>
      <c r="I951" s="181"/>
      <c r="J951" s="181"/>
      <c r="K951" s="181"/>
      <c r="L951" s="181"/>
      <c r="M951" s="181"/>
      <c r="N951" s="181"/>
      <c r="O951" s="181"/>
      <c r="P951" s="181"/>
      <c r="Q951" s="181"/>
      <c r="R951" s="181"/>
      <c r="S951" s="181"/>
      <c r="T951" s="181"/>
      <c r="U951" s="181"/>
      <c r="V951" s="181"/>
      <c r="W951" s="181"/>
      <c r="X951" s="181"/>
      <c r="Y951" s="181"/>
      <c r="Z951" s="181"/>
    </row>
    <row r="952" ht="14.25" customHeight="1">
      <c r="A952" s="181"/>
      <c r="B952" s="181"/>
      <c r="C952" s="181"/>
      <c r="D952" s="181"/>
      <c r="E952" s="181"/>
      <c r="F952" s="181"/>
      <c r="G952" s="181"/>
      <c r="H952" s="181"/>
      <c r="I952" s="181"/>
      <c r="J952" s="181"/>
      <c r="K952" s="181"/>
      <c r="L952" s="181"/>
      <c r="M952" s="181"/>
      <c r="N952" s="181"/>
      <c r="O952" s="181"/>
      <c r="P952" s="181"/>
      <c r="Q952" s="181"/>
      <c r="R952" s="181"/>
      <c r="S952" s="181"/>
      <c r="T952" s="181"/>
      <c r="U952" s="181"/>
      <c r="V952" s="181"/>
      <c r="W952" s="181"/>
      <c r="X952" s="181"/>
      <c r="Y952" s="181"/>
      <c r="Z952" s="181"/>
    </row>
    <row r="953" ht="14.25" customHeight="1">
      <c r="A953" s="181"/>
      <c r="B953" s="181"/>
      <c r="C953" s="181"/>
      <c r="D953" s="181"/>
      <c r="E953" s="181"/>
      <c r="F953" s="181"/>
      <c r="G953" s="181"/>
      <c r="H953" s="181"/>
      <c r="I953" s="181"/>
      <c r="J953" s="181"/>
      <c r="K953" s="181"/>
      <c r="L953" s="181"/>
      <c r="M953" s="181"/>
      <c r="N953" s="181"/>
      <c r="O953" s="181"/>
      <c r="P953" s="181"/>
      <c r="Q953" s="181"/>
      <c r="R953" s="181"/>
      <c r="S953" s="181"/>
      <c r="T953" s="181"/>
      <c r="U953" s="181"/>
      <c r="V953" s="181"/>
      <c r="W953" s="181"/>
      <c r="X953" s="181"/>
      <c r="Y953" s="181"/>
      <c r="Z953" s="181"/>
    </row>
    <row r="954" ht="14.25" customHeight="1">
      <c r="A954" s="181"/>
      <c r="B954" s="181"/>
      <c r="C954" s="181"/>
      <c r="D954" s="181"/>
      <c r="E954" s="181"/>
      <c r="F954" s="181"/>
      <c r="G954" s="181"/>
      <c r="H954" s="181"/>
      <c r="I954" s="181"/>
      <c r="J954" s="181"/>
      <c r="K954" s="181"/>
      <c r="L954" s="181"/>
      <c r="M954" s="181"/>
      <c r="N954" s="181"/>
      <c r="O954" s="181"/>
      <c r="P954" s="181"/>
      <c r="Q954" s="181"/>
      <c r="R954" s="181"/>
      <c r="S954" s="181"/>
      <c r="T954" s="181"/>
      <c r="U954" s="181"/>
      <c r="V954" s="181"/>
      <c r="W954" s="181"/>
      <c r="X954" s="181"/>
      <c r="Y954" s="181"/>
      <c r="Z954" s="181"/>
    </row>
    <row r="955" ht="14.25" customHeight="1">
      <c r="A955" s="181"/>
      <c r="B955" s="181"/>
      <c r="C955" s="181"/>
      <c r="D955" s="181"/>
      <c r="E955" s="181"/>
      <c r="F955" s="181"/>
      <c r="G955" s="181"/>
      <c r="H955" s="181"/>
      <c r="I955" s="181"/>
      <c r="J955" s="181"/>
      <c r="K955" s="181"/>
      <c r="L955" s="181"/>
      <c r="M955" s="181"/>
      <c r="N955" s="181"/>
      <c r="O955" s="181"/>
      <c r="P955" s="181"/>
      <c r="Q955" s="181"/>
      <c r="R955" s="181"/>
      <c r="S955" s="181"/>
      <c r="T955" s="181"/>
      <c r="U955" s="181"/>
      <c r="V955" s="181"/>
      <c r="W955" s="181"/>
      <c r="X955" s="181"/>
      <c r="Y955" s="181"/>
      <c r="Z955" s="181"/>
    </row>
    <row r="956" ht="14.25" customHeight="1">
      <c r="A956" s="181"/>
      <c r="B956" s="181"/>
      <c r="C956" s="181"/>
      <c r="D956" s="181"/>
      <c r="E956" s="181"/>
      <c r="F956" s="181"/>
      <c r="G956" s="181"/>
      <c r="H956" s="181"/>
      <c r="I956" s="181"/>
      <c r="J956" s="181"/>
      <c r="K956" s="181"/>
      <c r="L956" s="181"/>
      <c r="M956" s="181"/>
      <c r="N956" s="181"/>
      <c r="O956" s="181"/>
      <c r="P956" s="181"/>
      <c r="Q956" s="181"/>
      <c r="R956" s="181"/>
      <c r="S956" s="181"/>
      <c r="T956" s="181"/>
      <c r="U956" s="181"/>
      <c r="V956" s="181"/>
      <c r="W956" s="181"/>
      <c r="X956" s="181"/>
      <c r="Y956" s="181"/>
      <c r="Z956" s="181"/>
    </row>
    <row r="957" ht="14.25" customHeight="1">
      <c r="A957" s="181"/>
      <c r="B957" s="181"/>
      <c r="C957" s="181"/>
      <c r="D957" s="181"/>
      <c r="E957" s="181"/>
      <c r="F957" s="181"/>
      <c r="G957" s="181"/>
      <c r="H957" s="181"/>
      <c r="I957" s="181"/>
      <c r="J957" s="181"/>
      <c r="K957" s="181"/>
      <c r="L957" s="181"/>
      <c r="M957" s="181"/>
      <c r="N957" s="181"/>
      <c r="O957" s="181"/>
      <c r="P957" s="181"/>
      <c r="Q957" s="181"/>
      <c r="R957" s="181"/>
      <c r="S957" s="181"/>
      <c r="T957" s="181"/>
      <c r="U957" s="181"/>
      <c r="V957" s="181"/>
      <c r="W957" s="181"/>
      <c r="X957" s="181"/>
      <c r="Y957" s="181"/>
      <c r="Z957" s="181"/>
    </row>
    <row r="958" ht="14.25" customHeight="1">
      <c r="A958" s="181"/>
      <c r="B958" s="181"/>
      <c r="C958" s="181"/>
      <c r="D958" s="181"/>
      <c r="E958" s="181"/>
      <c r="F958" s="181"/>
      <c r="G958" s="181"/>
      <c r="H958" s="181"/>
      <c r="I958" s="181"/>
      <c r="J958" s="181"/>
      <c r="K958" s="181"/>
      <c r="L958" s="181"/>
      <c r="M958" s="181"/>
      <c r="N958" s="181"/>
      <c r="O958" s="181"/>
      <c r="P958" s="181"/>
      <c r="Q958" s="181"/>
      <c r="R958" s="181"/>
      <c r="S958" s="181"/>
      <c r="T958" s="181"/>
      <c r="U958" s="181"/>
      <c r="V958" s="181"/>
      <c r="W958" s="181"/>
      <c r="X958" s="181"/>
      <c r="Y958" s="181"/>
      <c r="Z958" s="181"/>
    </row>
    <row r="959" ht="14.25" customHeight="1">
      <c r="A959" s="181"/>
      <c r="B959" s="181"/>
      <c r="C959" s="181"/>
      <c r="D959" s="181"/>
      <c r="E959" s="181"/>
      <c r="F959" s="181"/>
      <c r="G959" s="181"/>
      <c r="H959" s="181"/>
      <c r="I959" s="181"/>
      <c r="J959" s="181"/>
      <c r="K959" s="181"/>
      <c r="L959" s="181"/>
      <c r="M959" s="181"/>
      <c r="N959" s="181"/>
      <c r="O959" s="181"/>
      <c r="P959" s="181"/>
      <c r="Q959" s="181"/>
      <c r="R959" s="181"/>
      <c r="S959" s="181"/>
      <c r="T959" s="181"/>
      <c r="U959" s="181"/>
      <c r="V959" s="181"/>
      <c r="W959" s="181"/>
      <c r="X959" s="181"/>
      <c r="Y959" s="181"/>
      <c r="Z959" s="181"/>
    </row>
    <row r="960" ht="14.25" customHeight="1">
      <c r="A960" s="181"/>
      <c r="B960" s="181"/>
      <c r="C960" s="181"/>
      <c r="D960" s="181"/>
      <c r="E960" s="181"/>
      <c r="F960" s="181"/>
      <c r="G960" s="181"/>
      <c r="H960" s="181"/>
      <c r="I960" s="181"/>
      <c r="J960" s="181"/>
      <c r="K960" s="181"/>
      <c r="L960" s="181"/>
      <c r="M960" s="181"/>
      <c r="N960" s="181"/>
      <c r="O960" s="181"/>
      <c r="P960" s="181"/>
      <c r="Q960" s="181"/>
      <c r="R960" s="181"/>
      <c r="S960" s="181"/>
      <c r="T960" s="181"/>
      <c r="U960" s="181"/>
      <c r="V960" s="181"/>
      <c r="W960" s="181"/>
      <c r="X960" s="181"/>
      <c r="Y960" s="181"/>
      <c r="Z960" s="181"/>
    </row>
    <row r="961" ht="14.25" customHeight="1">
      <c r="A961" s="181"/>
      <c r="B961" s="181"/>
      <c r="C961" s="181"/>
      <c r="D961" s="181"/>
      <c r="E961" s="181"/>
      <c r="F961" s="181"/>
      <c r="G961" s="181"/>
      <c r="H961" s="181"/>
      <c r="I961" s="181"/>
      <c r="J961" s="181"/>
      <c r="K961" s="181"/>
      <c r="L961" s="181"/>
      <c r="M961" s="181"/>
      <c r="N961" s="181"/>
      <c r="O961" s="181"/>
      <c r="P961" s="181"/>
      <c r="Q961" s="181"/>
      <c r="R961" s="181"/>
      <c r="S961" s="181"/>
      <c r="T961" s="181"/>
      <c r="U961" s="181"/>
      <c r="V961" s="181"/>
      <c r="W961" s="181"/>
      <c r="X961" s="181"/>
      <c r="Y961" s="181"/>
      <c r="Z961" s="181"/>
    </row>
    <row r="962" ht="14.25" customHeight="1">
      <c r="A962" s="181"/>
      <c r="B962" s="181"/>
      <c r="C962" s="181"/>
      <c r="D962" s="181"/>
      <c r="E962" s="181"/>
      <c r="F962" s="181"/>
      <c r="G962" s="181"/>
      <c r="H962" s="181"/>
      <c r="I962" s="181"/>
      <c r="J962" s="181"/>
      <c r="K962" s="181"/>
      <c r="L962" s="181"/>
      <c r="M962" s="181"/>
      <c r="N962" s="181"/>
      <c r="O962" s="181"/>
      <c r="P962" s="181"/>
      <c r="Q962" s="181"/>
      <c r="R962" s="181"/>
      <c r="S962" s="181"/>
      <c r="T962" s="181"/>
      <c r="U962" s="181"/>
      <c r="V962" s="181"/>
      <c r="W962" s="181"/>
      <c r="X962" s="181"/>
      <c r="Y962" s="181"/>
      <c r="Z962" s="181"/>
    </row>
    <row r="963" ht="14.25" customHeight="1">
      <c r="A963" s="181"/>
      <c r="B963" s="181"/>
      <c r="C963" s="181"/>
      <c r="D963" s="181"/>
      <c r="E963" s="181"/>
      <c r="F963" s="181"/>
      <c r="G963" s="181"/>
      <c r="H963" s="181"/>
      <c r="I963" s="181"/>
      <c r="J963" s="181"/>
      <c r="K963" s="181"/>
      <c r="L963" s="181"/>
      <c r="M963" s="181"/>
      <c r="N963" s="181"/>
      <c r="O963" s="181"/>
      <c r="P963" s="181"/>
      <c r="Q963" s="181"/>
      <c r="R963" s="181"/>
      <c r="S963" s="181"/>
      <c r="T963" s="181"/>
      <c r="U963" s="181"/>
      <c r="V963" s="181"/>
      <c r="W963" s="181"/>
      <c r="X963" s="181"/>
      <c r="Y963" s="181"/>
      <c r="Z963" s="181"/>
    </row>
    <row r="964" ht="14.25" customHeight="1">
      <c r="A964" s="181"/>
      <c r="B964" s="181"/>
      <c r="C964" s="181"/>
      <c r="D964" s="181"/>
      <c r="E964" s="181"/>
      <c r="F964" s="181"/>
      <c r="G964" s="181"/>
      <c r="H964" s="181"/>
      <c r="I964" s="181"/>
      <c r="J964" s="181"/>
      <c r="K964" s="181"/>
      <c r="L964" s="181"/>
      <c r="M964" s="181"/>
      <c r="N964" s="181"/>
      <c r="O964" s="181"/>
      <c r="P964" s="181"/>
      <c r="Q964" s="181"/>
      <c r="R964" s="181"/>
      <c r="S964" s="181"/>
      <c r="T964" s="181"/>
      <c r="U964" s="181"/>
      <c r="V964" s="181"/>
      <c r="W964" s="181"/>
      <c r="X964" s="181"/>
      <c r="Y964" s="181"/>
      <c r="Z964" s="181"/>
    </row>
    <row r="965" ht="14.25" customHeight="1">
      <c r="A965" s="181"/>
      <c r="B965" s="181"/>
      <c r="C965" s="181"/>
      <c r="D965" s="181"/>
      <c r="E965" s="181"/>
      <c r="F965" s="181"/>
      <c r="G965" s="181"/>
      <c r="H965" s="181"/>
      <c r="I965" s="181"/>
      <c r="J965" s="181"/>
      <c r="K965" s="181"/>
      <c r="L965" s="181"/>
      <c r="M965" s="181"/>
      <c r="N965" s="181"/>
      <c r="O965" s="181"/>
      <c r="P965" s="181"/>
      <c r="Q965" s="181"/>
      <c r="R965" s="181"/>
      <c r="S965" s="181"/>
      <c r="T965" s="181"/>
      <c r="U965" s="181"/>
      <c r="V965" s="181"/>
      <c r="W965" s="181"/>
      <c r="X965" s="181"/>
      <c r="Y965" s="181"/>
      <c r="Z965" s="181"/>
    </row>
    <row r="966" ht="14.25" customHeight="1">
      <c r="A966" s="181"/>
      <c r="B966" s="181"/>
      <c r="C966" s="181"/>
      <c r="D966" s="181"/>
      <c r="E966" s="181"/>
      <c r="F966" s="181"/>
      <c r="G966" s="181"/>
      <c r="H966" s="181"/>
      <c r="I966" s="181"/>
      <c r="J966" s="181"/>
      <c r="K966" s="181"/>
      <c r="L966" s="181"/>
      <c r="M966" s="181"/>
      <c r="N966" s="181"/>
      <c r="O966" s="181"/>
      <c r="P966" s="181"/>
      <c r="Q966" s="181"/>
      <c r="R966" s="181"/>
      <c r="S966" s="181"/>
      <c r="T966" s="181"/>
      <c r="U966" s="181"/>
      <c r="V966" s="181"/>
      <c r="W966" s="181"/>
      <c r="X966" s="181"/>
      <c r="Y966" s="181"/>
      <c r="Z966" s="181"/>
    </row>
    <row r="967" ht="14.25" customHeight="1">
      <c r="A967" s="181"/>
      <c r="B967" s="181"/>
      <c r="C967" s="181"/>
      <c r="D967" s="181"/>
      <c r="E967" s="181"/>
      <c r="F967" s="181"/>
      <c r="G967" s="181"/>
      <c r="H967" s="181"/>
      <c r="I967" s="181"/>
      <c r="J967" s="181"/>
      <c r="K967" s="181"/>
      <c r="L967" s="181"/>
      <c r="M967" s="181"/>
      <c r="N967" s="181"/>
      <c r="O967" s="181"/>
      <c r="P967" s="181"/>
      <c r="Q967" s="181"/>
      <c r="R967" s="181"/>
      <c r="S967" s="181"/>
      <c r="T967" s="181"/>
      <c r="U967" s="181"/>
      <c r="V967" s="181"/>
      <c r="W967" s="181"/>
      <c r="X967" s="181"/>
      <c r="Y967" s="181"/>
      <c r="Z967" s="181"/>
    </row>
    <row r="968" ht="14.25" customHeight="1">
      <c r="A968" s="181"/>
      <c r="B968" s="181"/>
      <c r="C968" s="181"/>
      <c r="D968" s="181"/>
      <c r="E968" s="181"/>
      <c r="F968" s="181"/>
      <c r="G968" s="181"/>
      <c r="H968" s="181"/>
      <c r="I968" s="181"/>
      <c r="J968" s="181"/>
      <c r="K968" s="181"/>
      <c r="L968" s="181"/>
      <c r="M968" s="181"/>
      <c r="N968" s="181"/>
      <c r="O968" s="181"/>
      <c r="P968" s="181"/>
      <c r="Q968" s="181"/>
      <c r="R968" s="181"/>
      <c r="S968" s="181"/>
      <c r="T968" s="181"/>
      <c r="U968" s="181"/>
      <c r="V968" s="181"/>
      <c r="W968" s="181"/>
      <c r="X968" s="181"/>
      <c r="Y968" s="181"/>
      <c r="Z968" s="181"/>
    </row>
    <row r="969" ht="14.25" customHeight="1">
      <c r="A969" s="181"/>
      <c r="B969" s="181"/>
      <c r="C969" s="181"/>
      <c r="D969" s="181"/>
      <c r="E969" s="181"/>
      <c r="F969" s="181"/>
      <c r="G969" s="181"/>
      <c r="H969" s="181"/>
      <c r="I969" s="181"/>
      <c r="J969" s="181"/>
      <c r="K969" s="181"/>
      <c r="L969" s="181"/>
      <c r="M969" s="181"/>
      <c r="N969" s="181"/>
      <c r="O969" s="181"/>
      <c r="P969" s="181"/>
      <c r="Q969" s="181"/>
      <c r="R969" s="181"/>
      <c r="S969" s="181"/>
      <c r="T969" s="181"/>
      <c r="U969" s="181"/>
      <c r="V969" s="181"/>
      <c r="W969" s="181"/>
      <c r="X969" s="181"/>
      <c r="Y969" s="181"/>
      <c r="Z969" s="181"/>
    </row>
    <row r="970" ht="14.25" customHeight="1">
      <c r="A970" s="181"/>
      <c r="B970" s="181"/>
      <c r="C970" s="181"/>
      <c r="D970" s="181"/>
      <c r="E970" s="181"/>
      <c r="F970" s="181"/>
      <c r="G970" s="181"/>
      <c r="H970" s="181"/>
      <c r="I970" s="181"/>
      <c r="J970" s="181"/>
      <c r="K970" s="181"/>
      <c r="L970" s="181"/>
      <c r="M970" s="181"/>
      <c r="N970" s="181"/>
      <c r="O970" s="181"/>
      <c r="P970" s="181"/>
      <c r="Q970" s="181"/>
      <c r="R970" s="181"/>
      <c r="S970" s="181"/>
      <c r="T970" s="181"/>
      <c r="U970" s="181"/>
      <c r="V970" s="181"/>
      <c r="W970" s="181"/>
      <c r="X970" s="181"/>
      <c r="Y970" s="181"/>
      <c r="Z970" s="181"/>
    </row>
    <row r="971" ht="14.25" customHeight="1">
      <c r="A971" s="181"/>
      <c r="B971" s="181"/>
      <c r="C971" s="181"/>
      <c r="D971" s="181"/>
      <c r="E971" s="181"/>
      <c r="F971" s="181"/>
      <c r="G971" s="181"/>
      <c r="H971" s="181"/>
      <c r="I971" s="181"/>
      <c r="J971" s="181"/>
      <c r="K971" s="181"/>
      <c r="L971" s="181"/>
      <c r="M971" s="181"/>
      <c r="N971" s="181"/>
      <c r="O971" s="181"/>
      <c r="P971" s="181"/>
      <c r="Q971" s="181"/>
      <c r="R971" s="181"/>
      <c r="S971" s="181"/>
      <c r="T971" s="181"/>
      <c r="U971" s="181"/>
      <c r="V971" s="181"/>
      <c r="W971" s="181"/>
      <c r="X971" s="181"/>
      <c r="Y971" s="181"/>
      <c r="Z971" s="181"/>
    </row>
    <row r="972" ht="14.25" customHeight="1">
      <c r="A972" s="181"/>
      <c r="B972" s="181"/>
      <c r="C972" s="181"/>
      <c r="D972" s="181"/>
      <c r="E972" s="181"/>
      <c r="F972" s="181"/>
      <c r="G972" s="181"/>
      <c r="H972" s="181"/>
      <c r="I972" s="181"/>
      <c r="J972" s="181"/>
      <c r="K972" s="181"/>
      <c r="L972" s="181"/>
      <c r="M972" s="181"/>
      <c r="N972" s="181"/>
      <c r="O972" s="181"/>
      <c r="P972" s="181"/>
      <c r="Q972" s="181"/>
      <c r="R972" s="181"/>
      <c r="S972" s="181"/>
      <c r="T972" s="181"/>
      <c r="U972" s="181"/>
      <c r="V972" s="181"/>
      <c r="W972" s="181"/>
      <c r="X972" s="181"/>
      <c r="Y972" s="181"/>
      <c r="Z972" s="181"/>
    </row>
    <row r="973" ht="14.25" customHeight="1">
      <c r="A973" s="181"/>
      <c r="B973" s="181"/>
      <c r="C973" s="181"/>
      <c r="D973" s="181"/>
      <c r="E973" s="181"/>
      <c r="F973" s="181"/>
      <c r="G973" s="181"/>
      <c r="H973" s="181"/>
      <c r="I973" s="181"/>
      <c r="J973" s="181"/>
      <c r="K973" s="181"/>
      <c r="L973" s="181"/>
      <c r="M973" s="181"/>
      <c r="N973" s="181"/>
      <c r="O973" s="181"/>
      <c r="P973" s="181"/>
      <c r="Q973" s="181"/>
      <c r="R973" s="181"/>
      <c r="S973" s="181"/>
      <c r="T973" s="181"/>
      <c r="U973" s="181"/>
      <c r="V973" s="181"/>
      <c r="W973" s="181"/>
      <c r="X973" s="181"/>
      <c r="Y973" s="181"/>
      <c r="Z973" s="181"/>
    </row>
    <row r="974" ht="14.25" customHeight="1">
      <c r="A974" s="181"/>
      <c r="B974" s="181"/>
      <c r="C974" s="181"/>
      <c r="D974" s="181"/>
      <c r="E974" s="181"/>
      <c r="F974" s="181"/>
      <c r="G974" s="181"/>
      <c r="H974" s="181"/>
      <c r="I974" s="181"/>
      <c r="J974" s="181"/>
      <c r="K974" s="181"/>
      <c r="L974" s="181"/>
      <c r="M974" s="181"/>
      <c r="N974" s="181"/>
      <c r="O974" s="181"/>
      <c r="P974" s="181"/>
      <c r="Q974" s="181"/>
      <c r="R974" s="181"/>
      <c r="S974" s="181"/>
      <c r="T974" s="181"/>
      <c r="U974" s="181"/>
      <c r="V974" s="181"/>
      <c r="W974" s="181"/>
      <c r="X974" s="181"/>
      <c r="Y974" s="181"/>
      <c r="Z974" s="181"/>
    </row>
    <row r="975" ht="14.25" customHeight="1">
      <c r="A975" s="181"/>
      <c r="B975" s="181"/>
      <c r="C975" s="181"/>
      <c r="D975" s="181"/>
      <c r="E975" s="181"/>
      <c r="F975" s="181"/>
      <c r="G975" s="181"/>
      <c r="H975" s="181"/>
      <c r="I975" s="181"/>
      <c r="J975" s="181"/>
      <c r="K975" s="181"/>
      <c r="L975" s="181"/>
      <c r="M975" s="181"/>
      <c r="N975" s="181"/>
      <c r="O975" s="181"/>
      <c r="P975" s="181"/>
      <c r="Q975" s="181"/>
      <c r="R975" s="181"/>
      <c r="S975" s="181"/>
      <c r="T975" s="181"/>
      <c r="U975" s="181"/>
      <c r="V975" s="181"/>
      <c r="W975" s="181"/>
      <c r="X975" s="181"/>
      <c r="Y975" s="181"/>
      <c r="Z975" s="181"/>
    </row>
    <row r="976" ht="14.25" customHeight="1">
      <c r="A976" s="181"/>
      <c r="B976" s="181"/>
      <c r="C976" s="181"/>
      <c r="D976" s="181"/>
      <c r="E976" s="181"/>
      <c r="F976" s="181"/>
      <c r="G976" s="181"/>
      <c r="H976" s="181"/>
      <c r="I976" s="181"/>
      <c r="J976" s="181"/>
      <c r="K976" s="181"/>
      <c r="L976" s="181"/>
      <c r="M976" s="181"/>
      <c r="N976" s="181"/>
      <c r="O976" s="181"/>
      <c r="P976" s="181"/>
      <c r="Q976" s="181"/>
      <c r="R976" s="181"/>
      <c r="S976" s="181"/>
      <c r="T976" s="181"/>
      <c r="U976" s="181"/>
      <c r="V976" s="181"/>
      <c r="W976" s="181"/>
      <c r="X976" s="181"/>
      <c r="Y976" s="181"/>
      <c r="Z976" s="181"/>
    </row>
    <row r="977" ht="14.25" customHeight="1">
      <c r="A977" s="181"/>
      <c r="B977" s="181"/>
      <c r="C977" s="181"/>
      <c r="D977" s="181"/>
      <c r="E977" s="181"/>
      <c r="F977" s="181"/>
      <c r="G977" s="181"/>
      <c r="H977" s="181"/>
      <c r="I977" s="181"/>
      <c r="J977" s="181"/>
      <c r="K977" s="181"/>
      <c r="L977" s="181"/>
      <c r="M977" s="181"/>
      <c r="N977" s="181"/>
      <c r="O977" s="181"/>
      <c r="P977" s="181"/>
      <c r="Q977" s="181"/>
      <c r="R977" s="181"/>
      <c r="S977" s="181"/>
      <c r="T977" s="181"/>
      <c r="U977" s="181"/>
      <c r="V977" s="181"/>
      <c r="W977" s="181"/>
      <c r="X977" s="181"/>
      <c r="Y977" s="181"/>
      <c r="Z977" s="181"/>
    </row>
    <row r="978" ht="14.25" customHeight="1">
      <c r="A978" s="181"/>
      <c r="B978" s="181"/>
      <c r="C978" s="181"/>
      <c r="D978" s="181"/>
      <c r="E978" s="181"/>
      <c r="F978" s="181"/>
      <c r="G978" s="181"/>
      <c r="H978" s="181"/>
      <c r="I978" s="181"/>
      <c r="J978" s="181"/>
      <c r="K978" s="181"/>
      <c r="L978" s="181"/>
      <c r="M978" s="181"/>
      <c r="N978" s="181"/>
      <c r="O978" s="181"/>
      <c r="P978" s="181"/>
      <c r="Q978" s="181"/>
      <c r="R978" s="181"/>
      <c r="S978" s="181"/>
      <c r="T978" s="181"/>
      <c r="U978" s="181"/>
      <c r="V978" s="181"/>
      <c r="W978" s="181"/>
      <c r="X978" s="181"/>
      <c r="Y978" s="181"/>
      <c r="Z978" s="181"/>
    </row>
    <row r="979" ht="14.25" customHeight="1">
      <c r="A979" s="181"/>
      <c r="B979" s="181"/>
      <c r="C979" s="181"/>
      <c r="D979" s="181"/>
      <c r="E979" s="181"/>
      <c r="F979" s="181"/>
      <c r="G979" s="181"/>
      <c r="H979" s="181"/>
      <c r="I979" s="181"/>
      <c r="J979" s="181"/>
      <c r="K979" s="181"/>
      <c r="L979" s="181"/>
      <c r="M979" s="181"/>
      <c r="N979" s="181"/>
      <c r="O979" s="181"/>
      <c r="P979" s="181"/>
      <c r="Q979" s="181"/>
      <c r="R979" s="181"/>
      <c r="S979" s="181"/>
      <c r="T979" s="181"/>
      <c r="U979" s="181"/>
      <c r="V979" s="181"/>
      <c r="W979" s="181"/>
      <c r="X979" s="181"/>
      <c r="Y979" s="181"/>
      <c r="Z979" s="181"/>
    </row>
    <row r="980" ht="14.25" customHeight="1">
      <c r="A980" s="181"/>
      <c r="B980" s="181"/>
      <c r="C980" s="181"/>
      <c r="D980" s="181"/>
      <c r="E980" s="181"/>
      <c r="F980" s="181"/>
      <c r="G980" s="181"/>
      <c r="H980" s="181"/>
      <c r="I980" s="181"/>
      <c r="J980" s="181"/>
      <c r="K980" s="181"/>
      <c r="L980" s="181"/>
      <c r="M980" s="181"/>
      <c r="N980" s="181"/>
      <c r="O980" s="181"/>
      <c r="P980" s="181"/>
      <c r="Q980" s="181"/>
      <c r="R980" s="181"/>
      <c r="S980" s="181"/>
      <c r="T980" s="181"/>
      <c r="U980" s="181"/>
      <c r="V980" s="181"/>
      <c r="W980" s="181"/>
      <c r="X980" s="181"/>
      <c r="Y980" s="181"/>
      <c r="Z980" s="181"/>
    </row>
    <row r="981" ht="14.25" customHeight="1">
      <c r="A981" s="181"/>
      <c r="B981" s="181"/>
      <c r="C981" s="181"/>
      <c r="D981" s="181"/>
      <c r="E981" s="181"/>
      <c r="F981" s="181"/>
      <c r="G981" s="181"/>
      <c r="H981" s="181"/>
      <c r="I981" s="181"/>
      <c r="J981" s="181"/>
      <c r="K981" s="181"/>
      <c r="L981" s="181"/>
      <c r="M981" s="181"/>
      <c r="N981" s="181"/>
      <c r="O981" s="181"/>
      <c r="P981" s="181"/>
      <c r="Q981" s="181"/>
      <c r="R981" s="181"/>
      <c r="S981" s="181"/>
      <c r="T981" s="181"/>
      <c r="U981" s="181"/>
      <c r="V981" s="181"/>
      <c r="W981" s="181"/>
      <c r="X981" s="181"/>
      <c r="Y981" s="181"/>
      <c r="Z981" s="181"/>
    </row>
    <row r="982" ht="14.25" customHeight="1">
      <c r="A982" s="181"/>
      <c r="B982" s="181"/>
      <c r="C982" s="181"/>
      <c r="D982" s="181"/>
      <c r="E982" s="181"/>
      <c r="F982" s="181"/>
      <c r="G982" s="181"/>
      <c r="H982" s="181"/>
      <c r="I982" s="181"/>
      <c r="J982" s="181"/>
      <c r="K982" s="181"/>
      <c r="L982" s="181"/>
      <c r="M982" s="181"/>
      <c r="N982" s="181"/>
      <c r="O982" s="181"/>
      <c r="P982" s="181"/>
      <c r="Q982" s="181"/>
      <c r="R982" s="181"/>
      <c r="S982" s="181"/>
      <c r="T982" s="181"/>
      <c r="U982" s="181"/>
      <c r="V982" s="181"/>
      <c r="W982" s="181"/>
      <c r="X982" s="181"/>
      <c r="Y982" s="181"/>
      <c r="Z982" s="181"/>
    </row>
    <row r="983" ht="14.25" customHeight="1">
      <c r="A983" s="181"/>
      <c r="B983" s="181"/>
      <c r="C983" s="181"/>
      <c r="D983" s="181"/>
      <c r="E983" s="181"/>
      <c r="F983" s="181"/>
      <c r="G983" s="181"/>
      <c r="H983" s="181"/>
      <c r="I983" s="181"/>
      <c r="J983" s="181"/>
      <c r="K983" s="181"/>
      <c r="L983" s="181"/>
      <c r="M983" s="181"/>
      <c r="N983" s="181"/>
      <c r="O983" s="181"/>
      <c r="P983" s="181"/>
      <c r="Q983" s="181"/>
      <c r="R983" s="181"/>
      <c r="S983" s="181"/>
      <c r="T983" s="181"/>
      <c r="U983" s="181"/>
      <c r="V983" s="181"/>
      <c r="W983" s="181"/>
      <c r="X983" s="181"/>
      <c r="Y983" s="181"/>
      <c r="Z983" s="181"/>
    </row>
    <row r="984" ht="14.25" customHeight="1">
      <c r="A984" s="181"/>
      <c r="B984" s="181"/>
      <c r="C984" s="181"/>
      <c r="D984" s="181"/>
      <c r="E984" s="181"/>
      <c r="F984" s="181"/>
      <c r="G984" s="181"/>
      <c r="H984" s="181"/>
      <c r="I984" s="181"/>
      <c r="J984" s="181"/>
      <c r="K984" s="181"/>
      <c r="L984" s="181"/>
      <c r="M984" s="181"/>
      <c r="N984" s="181"/>
      <c r="O984" s="181"/>
      <c r="P984" s="181"/>
      <c r="Q984" s="181"/>
      <c r="R984" s="181"/>
      <c r="S984" s="181"/>
      <c r="T984" s="181"/>
      <c r="U984" s="181"/>
      <c r="V984" s="181"/>
      <c r="W984" s="181"/>
      <c r="X984" s="181"/>
      <c r="Y984" s="181"/>
      <c r="Z984" s="181"/>
    </row>
    <row r="985" ht="14.25" customHeight="1">
      <c r="A985" s="181"/>
      <c r="B985" s="181"/>
      <c r="C985" s="181"/>
      <c r="D985" s="181"/>
      <c r="E985" s="181"/>
      <c r="F985" s="181"/>
      <c r="G985" s="181"/>
      <c r="H985" s="181"/>
      <c r="I985" s="181"/>
      <c r="J985" s="181"/>
      <c r="K985" s="181"/>
      <c r="L985" s="181"/>
      <c r="M985" s="181"/>
      <c r="N985" s="181"/>
      <c r="O985" s="181"/>
      <c r="P985" s="181"/>
      <c r="Q985" s="181"/>
      <c r="R985" s="181"/>
      <c r="S985" s="181"/>
      <c r="T985" s="181"/>
      <c r="U985" s="181"/>
      <c r="V985" s="181"/>
      <c r="W985" s="181"/>
      <c r="X985" s="181"/>
      <c r="Y985" s="181"/>
      <c r="Z985" s="181"/>
    </row>
    <row r="986" ht="14.25" customHeight="1">
      <c r="A986" s="181"/>
      <c r="B986" s="181"/>
      <c r="C986" s="181"/>
      <c r="D986" s="181"/>
      <c r="E986" s="181"/>
      <c r="F986" s="181"/>
      <c r="G986" s="181"/>
      <c r="H986" s="181"/>
      <c r="I986" s="181"/>
      <c r="J986" s="181"/>
      <c r="K986" s="181"/>
      <c r="L986" s="181"/>
      <c r="M986" s="181"/>
      <c r="N986" s="181"/>
      <c r="O986" s="181"/>
      <c r="P986" s="181"/>
      <c r="Q986" s="181"/>
      <c r="R986" s="181"/>
      <c r="S986" s="181"/>
      <c r="T986" s="181"/>
      <c r="U986" s="181"/>
      <c r="V986" s="181"/>
      <c r="W986" s="181"/>
      <c r="X986" s="181"/>
      <c r="Y986" s="181"/>
      <c r="Z986" s="181"/>
    </row>
    <row r="987" ht="14.25" customHeight="1">
      <c r="A987" s="181"/>
      <c r="B987" s="181"/>
      <c r="C987" s="181"/>
      <c r="D987" s="181"/>
      <c r="E987" s="181"/>
      <c r="F987" s="181"/>
      <c r="G987" s="181"/>
      <c r="H987" s="181"/>
      <c r="I987" s="181"/>
      <c r="J987" s="181"/>
      <c r="K987" s="181"/>
      <c r="L987" s="181"/>
      <c r="M987" s="181"/>
      <c r="N987" s="181"/>
      <c r="O987" s="181"/>
      <c r="P987" s="181"/>
      <c r="Q987" s="181"/>
      <c r="R987" s="181"/>
      <c r="S987" s="181"/>
      <c r="T987" s="181"/>
      <c r="U987" s="181"/>
      <c r="V987" s="181"/>
      <c r="W987" s="181"/>
      <c r="X987" s="181"/>
      <c r="Y987" s="181"/>
      <c r="Z987" s="181"/>
    </row>
    <row r="988" ht="14.25" customHeight="1">
      <c r="A988" s="181"/>
      <c r="B988" s="181"/>
      <c r="C988" s="181"/>
      <c r="D988" s="181"/>
      <c r="E988" s="181"/>
      <c r="F988" s="181"/>
      <c r="G988" s="181"/>
      <c r="H988" s="181"/>
      <c r="I988" s="181"/>
      <c r="J988" s="181"/>
      <c r="K988" s="181"/>
      <c r="L988" s="181"/>
      <c r="M988" s="181"/>
      <c r="N988" s="181"/>
      <c r="O988" s="181"/>
      <c r="P988" s="181"/>
      <c r="Q988" s="181"/>
      <c r="R988" s="181"/>
      <c r="S988" s="181"/>
      <c r="T988" s="181"/>
      <c r="U988" s="181"/>
      <c r="V988" s="181"/>
      <c r="W988" s="181"/>
      <c r="X988" s="181"/>
      <c r="Y988" s="181"/>
      <c r="Z988" s="181"/>
    </row>
    <row r="989" ht="14.25" customHeight="1">
      <c r="A989" s="181"/>
      <c r="B989" s="181"/>
      <c r="C989" s="181"/>
      <c r="D989" s="181"/>
      <c r="E989" s="181"/>
      <c r="F989" s="181"/>
      <c r="G989" s="181"/>
      <c r="H989" s="181"/>
      <c r="I989" s="181"/>
      <c r="J989" s="181"/>
      <c r="K989" s="181"/>
      <c r="L989" s="181"/>
      <c r="M989" s="181"/>
      <c r="N989" s="181"/>
      <c r="O989" s="181"/>
      <c r="P989" s="181"/>
      <c r="Q989" s="181"/>
      <c r="R989" s="181"/>
      <c r="S989" s="181"/>
      <c r="T989" s="181"/>
      <c r="U989" s="181"/>
      <c r="V989" s="181"/>
      <c r="W989" s="181"/>
      <c r="X989" s="181"/>
      <c r="Y989" s="181"/>
      <c r="Z989" s="181"/>
    </row>
    <row r="990" ht="14.25" customHeight="1">
      <c r="A990" s="181"/>
      <c r="B990" s="181"/>
      <c r="C990" s="181"/>
      <c r="D990" s="181"/>
      <c r="E990" s="181"/>
      <c r="F990" s="181"/>
      <c r="G990" s="181"/>
      <c r="H990" s="181"/>
      <c r="I990" s="181"/>
      <c r="J990" s="181"/>
      <c r="K990" s="181"/>
      <c r="L990" s="181"/>
      <c r="M990" s="181"/>
      <c r="N990" s="181"/>
      <c r="O990" s="181"/>
      <c r="P990" s="181"/>
      <c r="Q990" s="181"/>
      <c r="R990" s="181"/>
      <c r="S990" s="181"/>
      <c r="T990" s="181"/>
      <c r="U990" s="181"/>
      <c r="V990" s="181"/>
      <c r="W990" s="181"/>
      <c r="X990" s="181"/>
      <c r="Y990" s="181"/>
      <c r="Z990" s="181"/>
    </row>
    <row r="991" ht="14.25" customHeight="1">
      <c r="A991" s="181"/>
      <c r="B991" s="181"/>
      <c r="C991" s="181"/>
      <c r="D991" s="181"/>
      <c r="E991" s="181"/>
      <c r="F991" s="181"/>
      <c r="G991" s="181"/>
      <c r="H991" s="181"/>
      <c r="I991" s="181"/>
      <c r="J991" s="181"/>
      <c r="K991" s="181"/>
      <c r="L991" s="181"/>
      <c r="M991" s="181"/>
      <c r="N991" s="181"/>
      <c r="O991" s="181"/>
      <c r="P991" s="181"/>
      <c r="Q991" s="181"/>
      <c r="R991" s="181"/>
      <c r="S991" s="181"/>
      <c r="T991" s="181"/>
      <c r="U991" s="181"/>
      <c r="V991" s="181"/>
      <c r="W991" s="181"/>
      <c r="X991" s="181"/>
      <c r="Y991" s="181"/>
      <c r="Z991" s="181"/>
    </row>
    <row r="992" ht="14.25" customHeight="1">
      <c r="A992" s="181"/>
      <c r="B992" s="181"/>
      <c r="C992" s="181"/>
      <c r="D992" s="181"/>
      <c r="E992" s="181"/>
      <c r="F992" s="181"/>
      <c r="G992" s="181"/>
      <c r="H992" s="181"/>
      <c r="I992" s="181"/>
      <c r="J992" s="181"/>
      <c r="K992" s="181"/>
      <c r="L992" s="181"/>
      <c r="M992" s="181"/>
      <c r="N992" s="181"/>
      <c r="O992" s="181"/>
      <c r="P992" s="181"/>
      <c r="Q992" s="181"/>
      <c r="R992" s="181"/>
      <c r="S992" s="181"/>
      <c r="T992" s="181"/>
      <c r="U992" s="181"/>
      <c r="V992" s="181"/>
      <c r="W992" s="181"/>
      <c r="X992" s="181"/>
      <c r="Y992" s="181"/>
      <c r="Z992" s="181"/>
    </row>
    <row r="993" ht="14.25" customHeight="1">
      <c r="A993" s="181"/>
      <c r="B993" s="181"/>
      <c r="C993" s="181"/>
      <c r="D993" s="181"/>
      <c r="E993" s="181"/>
      <c r="F993" s="181"/>
      <c r="G993" s="181"/>
      <c r="H993" s="181"/>
      <c r="I993" s="181"/>
      <c r="J993" s="181"/>
      <c r="K993" s="181"/>
      <c r="L993" s="181"/>
      <c r="M993" s="181"/>
      <c r="N993" s="181"/>
      <c r="O993" s="181"/>
      <c r="P993" s="181"/>
      <c r="Q993" s="181"/>
      <c r="R993" s="181"/>
      <c r="S993" s="181"/>
      <c r="T993" s="181"/>
      <c r="U993" s="181"/>
      <c r="V993" s="181"/>
      <c r="W993" s="181"/>
      <c r="X993" s="181"/>
      <c r="Y993" s="181"/>
      <c r="Z993" s="181"/>
    </row>
    <row r="994" ht="14.25" customHeight="1">
      <c r="A994" s="181"/>
      <c r="B994" s="181"/>
      <c r="C994" s="181"/>
      <c r="D994" s="181"/>
      <c r="E994" s="181"/>
      <c r="F994" s="181"/>
      <c r="G994" s="181"/>
      <c r="H994" s="181"/>
      <c r="I994" s="181"/>
      <c r="J994" s="181"/>
      <c r="K994" s="181"/>
      <c r="L994" s="181"/>
      <c r="M994" s="181"/>
      <c r="N994" s="181"/>
      <c r="O994" s="181"/>
      <c r="P994" s="181"/>
      <c r="Q994" s="181"/>
      <c r="R994" s="181"/>
      <c r="S994" s="181"/>
      <c r="T994" s="181"/>
      <c r="U994" s="181"/>
      <c r="V994" s="181"/>
      <c r="W994" s="181"/>
      <c r="X994" s="181"/>
      <c r="Y994" s="181"/>
      <c r="Z994" s="181"/>
    </row>
    <row r="995" ht="14.25" customHeight="1">
      <c r="A995" s="181"/>
      <c r="B995" s="181"/>
      <c r="C995" s="181"/>
      <c r="D995" s="181"/>
      <c r="E995" s="181"/>
      <c r="F995" s="181"/>
      <c r="G995" s="181"/>
      <c r="H995" s="181"/>
      <c r="I995" s="181"/>
      <c r="J995" s="181"/>
      <c r="K995" s="181"/>
      <c r="L995" s="181"/>
      <c r="M995" s="181"/>
      <c r="N995" s="181"/>
      <c r="O995" s="181"/>
      <c r="P995" s="181"/>
      <c r="Q995" s="181"/>
      <c r="R995" s="181"/>
      <c r="S995" s="181"/>
      <c r="T995" s="181"/>
      <c r="U995" s="181"/>
      <c r="V995" s="181"/>
      <c r="W995" s="181"/>
      <c r="X995" s="181"/>
      <c r="Y995" s="181"/>
      <c r="Z995" s="181"/>
    </row>
    <row r="996" ht="14.25" customHeight="1">
      <c r="A996" s="181"/>
      <c r="B996" s="181"/>
      <c r="C996" s="181"/>
      <c r="D996" s="181"/>
      <c r="E996" s="181"/>
      <c r="F996" s="181"/>
      <c r="G996" s="181"/>
      <c r="H996" s="181"/>
      <c r="I996" s="181"/>
      <c r="J996" s="181"/>
      <c r="K996" s="181"/>
      <c r="L996" s="181"/>
      <c r="M996" s="181"/>
      <c r="N996" s="181"/>
      <c r="O996" s="181"/>
      <c r="P996" s="181"/>
      <c r="Q996" s="181"/>
      <c r="R996" s="181"/>
      <c r="S996" s="181"/>
      <c r="T996" s="181"/>
      <c r="U996" s="181"/>
      <c r="V996" s="181"/>
      <c r="W996" s="181"/>
      <c r="X996" s="181"/>
      <c r="Y996" s="181"/>
      <c r="Z996" s="181"/>
    </row>
    <row r="997" ht="14.25" customHeight="1">
      <c r="A997" s="181"/>
      <c r="B997" s="181"/>
      <c r="C997" s="181"/>
      <c r="D997" s="181"/>
      <c r="E997" s="181"/>
      <c r="F997" s="181"/>
      <c r="G997" s="181"/>
      <c r="H997" s="181"/>
      <c r="I997" s="181"/>
      <c r="J997" s="181"/>
      <c r="K997" s="181"/>
      <c r="L997" s="181"/>
      <c r="M997" s="181"/>
      <c r="N997" s="181"/>
      <c r="O997" s="181"/>
      <c r="P997" s="181"/>
      <c r="Q997" s="181"/>
      <c r="R997" s="181"/>
      <c r="S997" s="181"/>
      <c r="T997" s="181"/>
      <c r="U997" s="181"/>
      <c r="V997" s="181"/>
      <c r="W997" s="181"/>
      <c r="X997" s="181"/>
      <c r="Y997" s="181"/>
      <c r="Z997" s="181"/>
    </row>
    <row r="998" ht="14.25" customHeight="1">
      <c r="A998" s="181"/>
      <c r="B998" s="181"/>
      <c r="C998" s="181"/>
      <c r="D998" s="181"/>
      <c r="E998" s="181"/>
      <c r="F998" s="181"/>
      <c r="G998" s="181"/>
      <c r="H998" s="181"/>
      <c r="I998" s="181"/>
      <c r="J998" s="181"/>
      <c r="K998" s="181"/>
      <c r="L998" s="181"/>
      <c r="M998" s="181"/>
      <c r="N998" s="181"/>
      <c r="O998" s="181"/>
      <c r="P998" s="181"/>
      <c r="Q998" s="181"/>
      <c r="R998" s="181"/>
      <c r="S998" s="181"/>
      <c r="T998" s="181"/>
      <c r="U998" s="181"/>
      <c r="V998" s="181"/>
      <c r="W998" s="181"/>
      <c r="X998" s="181"/>
      <c r="Y998" s="181"/>
      <c r="Z998" s="181"/>
    </row>
    <row r="999" ht="14.25" customHeight="1">
      <c r="A999" s="181"/>
      <c r="B999" s="181"/>
      <c r="C999" s="181"/>
      <c r="D999" s="181"/>
      <c r="E999" s="181"/>
      <c r="F999" s="181"/>
      <c r="G999" s="181"/>
      <c r="H999" s="181"/>
      <c r="I999" s="181"/>
      <c r="J999" s="181"/>
      <c r="K999" s="181"/>
      <c r="L999" s="181"/>
      <c r="M999" s="181"/>
      <c r="N999" s="181"/>
      <c r="O999" s="181"/>
      <c r="P999" s="181"/>
      <c r="Q999" s="181"/>
      <c r="R999" s="181"/>
      <c r="S999" s="181"/>
      <c r="T999" s="181"/>
      <c r="U999" s="181"/>
      <c r="V999" s="181"/>
      <c r="W999" s="181"/>
      <c r="X999" s="181"/>
      <c r="Y999" s="181"/>
      <c r="Z999" s="181"/>
    </row>
    <row r="1000" ht="14.25" customHeight="1">
      <c r="A1000" s="181"/>
      <c r="B1000" s="181"/>
      <c r="C1000" s="181"/>
      <c r="D1000" s="181"/>
      <c r="E1000" s="181"/>
      <c r="F1000" s="181"/>
      <c r="G1000" s="181"/>
      <c r="H1000" s="181"/>
      <c r="I1000" s="181"/>
      <c r="J1000" s="181"/>
      <c r="K1000" s="181"/>
      <c r="L1000" s="181"/>
      <c r="M1000" s="181"/>
      <c r="N1000" s="181"/>
      <c r="O1000" s="181"/>
      <c r="P1000" s="181"/>
      <c r="Q1000" s="181"/>
      <c r="R1000" s="181"/>
      <c r="S1000" s="181"/>
      <c r="T1000" s="181"/>
      <c r="U1000" s="181"/>
      <c r="V1000" s="181"/>
      <c r="W1000" s="181"/>
      <c r="X1000" s="181"/>
      <c r="Y1000" s="181"/>
      <c r="Z1000" s="181"/>
    </row>
  </sheetData>
  <printOptions/>
  <pageMargins bottom="0.75" footer="0.0" header="0.0" left="0.7" right="0.7" top="0.75"/>
  <pageSetup paperSize="9" orientation="portrait"/>
  <drawing r:id="rId1"/>
  <tableParts count="1">
    <tablePart r:id="rId3"/>
  </tableParts>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8.71"/>
    <col customWidth="1" min="3" max="3" width="14.0"/>
    <col customWidth="1" min="4" max="41" width="8.71"/>
  </cols>
  <sheetData>
    <row r="1" ht="12.75" customHeight="1">
      <c r="A1" s="199" t="s">
        <v>2</v>
      </c>
      <c r="B1" s="199" t="s">
        <v>599</v>
      </c>
      <c r="C1" s="199" t="s">
        <v>594</v>
      </c>
      <c r="D1" s="199" t="s">
        <v>984</v>
      </c>
      <c r="E1" s="3" t="s">
        <v>675</v>
      </c>
      <c r="F1" s="199" t="s">
        <v>985</v>
      </c>
      <c r="G1" s="3" t="s">
        <v>986</v>
      </c>
      <c r="H1" s="3" t="s">
        <v>606</v>
      </c>
      <c r="I1" s="3" t="s">
        <v>987</v>
      </c>
      <c r="J1" s="3" t="s">
        <v>988</v>
      </c>
      <c r="K1" s="3" t="s">
        <v>989</v>
      </c>
      <c r="L1" s="199" t="s">
        <v>601</v>
      </c>
      <c r="M1" s="199" t="s">
        <v>990</v>
      </c>
      <c r="N1" s="199" t="s">
        <v>991</v>
      </c>
      <c r="O1" s="199" t="s">
        <v>992</v>
      </c>
      <c r="P1" s="199" t="s">
        <v>993</v>
      </c>
      <c r="Q1" s="199" t="s">
        <v>994</v>
      </c>
      <c r="R1" s="199" t="s">
        <v>995</v>
      </c>
      <c r="S1" s="199" t="s">
        <v>996</v>
      </c>
      <c r="T1" s="199" t="s">
        <v>997</v>
      </c>
      <c r="U1" s="199" t="s">
        <v>998</v>
      </c>
      <c r="V1" s="4"/>
      <c r="W1" s="4"/>
      <c r="X1" s="4"/>
      <c r="Y1" s="4"/>
      <c r="Z1" s="4"/>
      <c r="AA1" s="4"/>
      <c r="AB1" s="4"/>
      <c r="AC1" s="4"/>
      <c r="AD1" s="4"/>
      <c r="AE1" s="4"/>
      <c r="AF1" s="4"/>
      <c r="AG1" s="4"/>
      <c r="AH1" s="4"/>
      <c r="AI1" s="4"/>
      <c r="AJ1" s="4"/>
      <c r="AK1" s="4"/>
      <c r="AL1" s="4"/>
      <c r="AM1" s="4"/>
      <c r="AN1" s="4"/>
      <c r="AO1" s="4"/>
    </row>
    <row r="2" ht="12.75" hidden="1" customHeight="1">
      <c r="A2" s="200">
        <v>1.0</v>
      </c>
      <c r="B2" s="200" t="s">
        <v>895</v>
      </c>
      <c r="C2" s="200" t="s">
        <v>896</v>
      </c>
      <c r="D2" s="200" t="s">
        <v>999</v>
      </c>
      <c r="E2" s="4" t="s">
        <v>683</v>
      </c>
      <c r="F2" s="200">
        <v>2015.0</v>
      </c>
      <c r="G2" s="4" t="s">
        <v>1000</v>
      </c>
      <c r="H2" s="201">
        <v>2002.0</v>
      </c>
      <c r="I2" s="201" t="s">
        <v>683</v>
      </c>
      <c r="J2" s="200">
        <v>1.83E7</v>
      </c>
      <c r="K2" s="200">
        <v>100.0</v>
      </c>
      <c r="L2" s="200">
        <v>2025.0</v>
      </c>
      <c r="M2" s="200">
        <v>50.0</v>
      </c>
      <c r="N2" s="201" t="s">
        <v>683</v>
      </c>
      <c r="O2" s="200">
        <v>9150000.0</v>
      </c>
      <c r="P2" s="200">
        <v>5830000.0</v>
      </c>
      <c r="Q2" s="201" t="s">
        <v>683</v>
      </c>
      <c r="R2" s="4">
        <v>136.28415300546447</v>
      </c>
      <c r="S2" s="4" t="s">
        <v>1001</v>
      </c>
      <c r="T2" s="4" t="s">
        <v>1002</v>
      </c>
      <c r="U2" s="4" t="s">
        <v>1003</v>
      </c>
      <c r="V2" s="4"/>
      <c r="W2" s="4"/>
      <c r="X2" s="4"/>
      <c r="Y2" s="4"/>
      <c r="Z2" s="4"/>
      <c r="AA2" s="4"/>
      <c r="AB2" s="4"/>
      <c r="AC2" s="4"/>
      <c r="AD2" s="4"/>
      <c r="AE2" s="4"/>
      <c r="AF2" s="4"/>
      <c r="AG2" s="4"/>
      <c r="AH2" s="4"/>
      <c r="AI2" s="4"/>
      <c r="AJ2" s="4"/>
      <c r="AK2" s="4"/>
      <c r="AL2" s="4"/>
      <c r="AM2" s="4"/>
      <c r="AN2" s="4"/>
      <c r="AO2" s="4"/>
    </row>
    <row r="3" ht="12.75" hidden="1" customHeight="1">
      <c r="A3" s="200">
        <v>3.0</v>
      </c>
      <c r="B3" s="200" t="s">
        <v>895</v>
      </c>
      <c r="C3" s="200" t="s">
        <v>896</v>
      </c>
      <c r="D3" s="200" t="s">
        <v>1004</v>
      </c>
      <c r="E3" s="4" t="s">
        <v>683</v>
      </c>
      <c r="F3" s="200">
        <v>2016.0</v>
      </c>
      <c r="G3" s="4" t="s">
        <v>1000</v>
      </c>
      <c r="H3" s="201">
        <v>2015.0</v>
      </c>
      <c r="I3" s="201" t="s">
        <v>683</v>
      </c>
      <c r="J3" s="200">
        <v>665467.0</v>
      </c>
      <c r="K3" s="200">
        <v>100.0</v>
      </c>
      <c r="L3" s="200">
        <v>2025.0</v>
      </c>
      <c r="M3" s="200">
        <v>25.0</v>
      </c>
      <c r="N3" s="201" t="s">
        <v>683</v>
      </c>
      <c r="O3" s="200">
        <v>499100.25</v>
      </c>
      <c r="P3" s="200">
        <v>558105.0</v>
      </c>
      <c r="Q3" s="201" t="s">
        <v>683</v>
      </c>
      <c r="R3" s="4">
        <v>64.53332772323796</v>
      </c>
      <c r="S3" s="4" t="s">
        <v>1001</v>
      </c>
      <c r="T3" s="4" t="s">
        <v>1002</v>
      </c>
      <c r="U3" s="4" t="s">
        <v>1005</v>
      </c>
      <c r="V3" s="4"/>
      <c r="W3" s="4"/>
      <c r="X3" s="4"/>
      <c r="Y3" s="4"/>
      <c r="Z3" s="4"/>
      <c r="AA3" s="4"/>
      <c r="AB3" s="4"/>
      <c r="AC3" s="4"/>
      <c r="AD3" s="4"/>
      <c r="AE3" s="4"/>
      <c r="AF3" s="4"/>
      <c r="AG3" s="4"/>
      <c r="AH3" s="4"/>
      <c r="AI3" s="4"/>
      <c r="AJ3" s="4"/>
      <c r="AK3" s="4"/>
      <c r="AL3" s="4"/>
      <c r="AM3" s="4"/>
      <c r="AN3" s="4"/>
      <c r="AO3" s="4"/>
    </row>
    <row r="4" ht="12.75" hidden="1" customHeight="1">
      <c r="A4" s="200">
        <v>3.0</v>
      </c>
      <c r="B4" s="200" t="s">
        <v>895</v>
      </c>
      <c r="C4" s="200" t="s">
        <v>896</v>
      </c>
      <c r="D4" s="200" t="s">
        <v>1004</v>
      </c>
      <c r="E4" s="4" t="s">
        <v>683</v>
      </c>
      <c r="F4" s="200">
        <v>2016.0</v>
      </c>
      <c r="G4" s="4" t="s">
        <v>1000</v>
      </c>
      <c r="H4" s="201">
        <v>2015.0</v>
      </c>
      <c r="I4" s="201" t="s">
        <v>683</v>
      </c>
      <c r="J4" s="200">
        <v>665467.0</v>
      </c>
      <c r="K4" s="200">
        <v>100.0</v>
      </c>
      <c r="L4" s="200">
        <v>2035.0</v>
      </c>
      <c r="M4" s="200">
        <v>50.0</v>
      </c>
      <c r="N4" s="201" t="s">
        <v>683</v>
      </c>
      <c r="O4" s="200">
        <v>332733.5</v>
      </c>
      <c r="P4" s="200">
        <v>558105.0</v>
      </c>
      <c r="Q4" s="201" t="s">
        <v>683</v>
      </c>
      <c r="R4" s="4">
        <v>32.26666386161898</v>
      </c>
      <c r="S4" s="4" t="s">
        <v>1001</v>
      </c>
      <c r="T4" s="4" t="s">
        <v>1002</v>
      </c>
      <c r="U4" s="4" t="s">
        <v>1006</v>
      </c>
      <c r="V4" s="4"/>
      <c r="W4" s="4"/>
      <c r="X4" s="4"/>
      <c r="Y4" s="4"/>
      <c r="Z4" s="4"/>
      <c r="AA4" s="4"/>
      <c r="AB4" s="4"/>
      <c r="AC4" s="4"/>
      <c r="AD4" s="4"/>
      <c r="AE4" s="4"/>
      <c r="AF4" s="4"/>
      <c r="AG4" s="4"/>
      <c r="AH4" s="4"/>
      <c r="AI4" s="4"/>
      <c r="AJ4" s="4"/>
      <c r="AK4" s="4"/>
      <c r="AL4" s="4"/>
      <c r="AM4" s="4"/>
      <c r="AN4" s="4"/>
      <c r="AO4" s="4"/>
    </row>
    <row r="5" ht="12.75" hidden="1" customHeight="1">
      <c r="A5" s="200">
        <v>4.0</v>
      </c>
      <c r="B5" s="200" t="s">
        <v>895</v>
      </c>
      <c r="C5" s="200" t="s">
        <v>896</v>
      </c>
      <c r="D5" s="200" t="s">
        <v>1007</v>
      </c>
      <c r="E5" s="4" t="s">
        <v>683</v>
      </c>
      <c r="F5" s="200">
        <v>2016.0</v>
      </c>
      <c r="G5" s="4" t="s">
        <v>1000</v>
      </c>
      <c r="H5" s="201">
        <v>2016.0</v>
      </c>
      <c r="I5" s="201" t="s">
        <v>683</v>
      </c>
      <c r="J5" s="200">
        <v>1257636.0</v>
      </c>
      <c r="K5" s="200">
        <v>100.0</v>
      </c>
      <c r="L5" s="200">
        <v>2025.0</v>
      </c>
      <c r="M5" s="200">
        <v>11.0</v>
      </c>
      <c r="N5" s="201" t="s">
        <v>683</v>
      </c>
      <c r="O5" s="200">
        <v>1119296.04</v>
      </c>
      <c r="P5" s="200">
        <v>1166256.0</v>
      </c>
      <c r="Q5" s="201" t="s">
        <v>683</v>
      </c>
      <c r="R5" s="4">
        <v>66.05466706799686</v>
      </c>
      <c r="S5" s="4" t="s">
        <v>1001</v>
      </c>
      <c r="T5" s="4" t="s">
        <v>1008</v>
      </c>
      <c r="U5" s="4" t="s">
        <v>1009</v>
      </c>
      <c r="V5" s="4"/>
      <c r="W5" s="4"/>
      <c r="X5" s="4"/>
      <c r="Y5" s="4"/>
      <c r="Z5" s="4"/>
      <c r="AA5" s="4"/>
      <c r="AB5" s="4"/>
      <c r="AC5" s="4"/>
      <c r="AD5" s="4"/>
      <c r="AE5" s="4"/>
      <c r="AF5" s="4"/>
      <c r="AG5" s="4"/>
      <c r="AH5" s="4"/>
      <c r="AI5" s="4"/>
      <c r="AJ5" s="4"/>
      <c r="AK5" s="4"/>
      <c r="AL5" s="4"/>
      <c r="AM5" s="4"/>
      <c r="AN5" s="4"/>
      <c r="AO5" s="4"/>
    </row>
    <row r="6" ht="12.75" hidden="1" customHeight="1">
      <c r="A6" s="200">
        <v>5.0</v>
      </c>
      <c r="B6" s="200" t="s">
        <v>895</v>
      </c>
      <c r="C6" s="200" t="s">
        <v>896</v>
      </c>
      <c r="D6" s="200" t="s">
        <v>1004</v>
      </c>
      <c r="E6" s="4" t="s">
        <v>683</v>
      </c>
      <c r="F6" s="200">
        <v>2016.0</v>
      </c>
      <c r="G6" s="4" t="s">
        <v>1000</v>
      </c>
      <c r="H6" s="201">
        <v>2015.0</v>
      </c>
      <c r="I6" s="201" t="s">
        <v>683</v>
      </c>
      <c r="J6" s="200">
        <v>64736.0</v>
      </c>
      <c r="K6" s="200">
        <v>100.0</v>
      </c>
      <c r="L6" s="200">
        <v>2025.0</v>
      </c>
      <c r="M6" s="200">
        <v>25.0</v>
      </c>
      <c r="N6" s="201" t="s">
        <v>683</v>
      </c>
      <c r="O6" s="200">
        <v>48552.0</v>
      </c>
      <c r="P6" s="200">
        <v>55710.0</v>
      </c>
      <c r="Q6" s="201" t="s">
        <v>683</v>
      </c>
      <c r="R6" s="4">
        <v>55.77113198220465</v>
      </c>
      <c r="S6" s="4" t="s">
        <v>1001</v>
      </c>
      <c r="T6" s="4" t="s">
        <v>1008</v>
      </c>
      <c r="U6" s="4" t="s">
        <v>1010</v>
      </c>
      <c r="V6" s="4"/>
      <c r="W6" s="4"/>
      <c r="X6" s="4"/>
      <c r="Y6" s="4"/>
      <c r="Z6" s="4"/>
      <c r="AA6" s="4"/>
      <c r="AB6" s="4"/>
      <c r="AC6" s="4"/>
      <c r="AD6" s="4"/>
      <c r="AE6" s="4"/>
      <c r="AF6" s="4"/>
      <c r="AG6" s="4"/>
      <c r="AH6" s="4"/>
      <c r="AI6" s="4"/>
      <c r="AJ6" s="4"/>
      <c r="AK6" s="4"/>
      <c r="AL6" s="4"/>
      <c r="AM6" s="4"/>
      <c r="AN6" s="4"/>
      <c r="AO6" s="4"/>
    </row>
    <row r="7" ht="12.75" hidden="1" customHeight="1">
      <c r="A7" s="200">
        <v>5.0</v>
      </c>
      <c r="B7" s="200" t="s">
        <v>895</v>
      </c>
      <c r="C7" s="200" t="s">
        <v>896</v>
      </c>
      <c r="D7" s="200" t="s">
        <v>1004</v>
      </c>
      <c r="E7" s="4" t="s">
        <v>683</v>
      </c>
      <c r="F7" s="200">
        <v>2016.0</v>
      </c>
      <c r="G7" s="4" t="s">
        <v>1000</v>
      </c>
      <c r="H7" s="201">
        <v>2015.0</v>
      </c>
      <c r="I7" s="201" t="s">
        <v>683</v>
      </c>
      <c r="J7" s="200">
        <v>64736.0</v>
      </c>
      <c r="K7" s="200">
        <v>100.0</v>
      </c>
      <c r="L7" s="200">
        <v>2035.0</v>
      </c>
      <c r="M7" s="200">
        <v>80.0</v>
      </c>
      <c r="N7" s="201" t="s">
        <v>683</v>
      </c>
      <c r="O7" s="200">
        <v>12947.2</v>
      </c>
      <c r="P7" s="200">
        <v>55710.0</v>
      </c>
      <c r="Q7" s="201" t="s">
        <v>683</v>
      </c>
      <c r="R7" s="4">
        <v>17.42847874443895</v>
      </c>
      <c r="S7" s="4" t="s">
        <v>1001</v>
      </c>
      <c r="T7" s="4" t="s">
        <v>1008</v>
      </c>
      <c r="U7" s="4" t="s">
        <v>1011</v>
      </c>
      <c r="V7" s="4"/>
      <c r="W7" s="4"/>
      <c r="X7" s="4"/>
      <c r="Y7" s="4"/>
      <c r="Z7" s="4"/>
      <c r="AA7" s="4"/>
      <c r="AB7" s="4"/>
      <c r="AC7" s="4"/>
      <c r="AD7" s="4"/>
      <c r="AE7" s="4"/>
      <c r="AF7" s="4"/>
      <c r="AG7" s="4"/>
      <c r="AH7" s="4"/>
      <c r="AI7" s="4"/>
      <c r="AJ7" s="4"/>
      <c r="AK7" s="4"/>
      <c r="AL7" s="4"/>
      <c r="AM7" s="4"/>
      <c r="AN7" s="4"/>
      <c r="AO7" s="4"/>
    </row>
    <row r="8" ht="12.75" hidden="1" customHeight="1">
      <c r="A8" s="200">
        <v>5.0</v>
      </c>
      <c r="B8" s="200" t="s">
        <v>895</v>
      </c>
      <c r="C8" s="200" t="s">
        <v>689</v>
      </c>
      <c r="D8" s="200" t="s">
        <v>1012</v>
      </c>
      <c r="E8" s="4" t="s">
        <v>683</v>
      </c>
      <c r="F8" s="200">
        <v>2014.0</v>
      </c>
      <c r="G8" s="4" t="s">
        <v>1000</v>
      </c>
      <c r="H8" s="201">
        <v>2013.0</v>
      </c>
      <c r="I8" s="201" t="s">
        <v>683</v>
      </c>
      <c r="J8" s="200">
        <v>10444.0</v>
      </c>
      <c r="K8" s="200">
        <v>100.0</v>
      </c>
      <c r="L8" s="200">
        <v>2020.0</v>
      </c>
      <c r="M8" s="200">
        <v>100.0</v>
      </c>
      <c r="N8" s="201" t="s">
        <v>683</v>
      </c>
      <c r="O8" s="200">
        <v>0.0</v>
      </c>
      <c r="P8" s="200">
        <v>0.0</v>
      </c>
      <c r="Q8" s="201" t="s">
        <v>683</v>
      </c>
      <c r="R8" s="4">
        <v>100.0</v>
      </c>
      <c r="S8" s="4" t="s">
        <v>1013</v>
      </c>
      <c r="T8" s="4" t="s">
        <v>1014</v>
      </c>
      <c r="U8" s="4" t="s">
        <v>1015</v>
      </c>
      <c r="V8" s="4"/>
      <c r="W8" s="4"/>
      <c r="X8" s="4"/>
      <c r="Y8" s="4"/>
      <c r="Z8" s="4"/>
      <c r="AA8" s="4"/>
      <c r="AB8" s="4"/>
      <c r="AC8" s="4"/>
      <c r="AD8" s="4"/>
      <c r="AE8" s="4"/>
      <c r="AF8" s="4"/>
      <c r="AG8" s="4"/>
      <c r="AH8" s="4"/>
      <c r="AI8" s="4"/>
      <c r="AJ8" s="4"/>
      <c r="AK8" s="4"/>
      <c r="AL8" s="4"/>
      <c r="AM8" s="4"/>
      <c r="AN8" s="4"/>
      <c r="AO8" s="4"/>
    </row>
    <row r="9" ht="12.75" hidden="1" customHeight="1">
      <c r="A9" s="200">
        <v>7.0</v>
      </c>
      <c r="B9" s="200" t="s">
        <v>895</v>
      </c>
      <c r="C9" s="200" t="s">
        <v>896</v>
      </c>
      <c r="D9" s="200" t="s">
        <v>1007</v>
      </c>
      <c r="E9" s="4" t="s">
        <v>683</v>
      </c>
      <c r="F9" s="200">
        <v>2019.0</v>
      </c>
      <c r="G9" s="4" t="s">
        <v>1000</v>
      </c>
      <c r="H9" s="201">
        <v>2019.0</v>
      </c>
      <c r="I9" s="201" t="s">
        <v>683</v>
      </c>
      <c r="J9" s="200">
        <v>1402953.0</v>
      </c>
      <c r="K9" s="200">
        <v>100.0</v>
      </c>
      <c r="L9" s="200">
        <v>2019.0</v>
      </c>
      <c r="M9" s="200">
        <v>100.0</v>
      </c>
      <c r="N9" s="201" t="s">
        <v>683</v>
      </c>
      <c r="O9" s="200">
        <v>0.0</v>
      </c>
      <c r="P9" s="200">
        <v>0.0</v>
      </c>
      <c r="Q9" s="201" t="s">
        <v>683</v>
      </c>
      <c r="R9" s="4">
        <v>100.0</v>
      </c>
      <c r="S9" s="4" t="s">
        <v>1013</v>
      </c>
      <c r="T9" s="4" t="s">
        <v>1016</v>
      </c>
      <c r="U9" s="4" t="s">
        <v>1017</v>
      </c>
      <c r="V9" s="4"/>
      <c r="W9" s="4"/>
      <c r="X9" s="4"/>
      <c r="Y9" s="4"/>
      <c r="Z9" s="4"/>
      <c r="AA9" s="4"/>
      <c r="AB9" s="4"/>
      <c r="AC9" s="4"/>
      <c r="AD9" s="4"/>
      <c r="AE9" s="4"/>
      <c r="AF9" s="4"/>
      <c r="AG9" s="4"/>
      <c r="AH9" s="4"/>
      <c r="AI9" s="4"/>
      <c r="AJ9" s="4"/>
      <c r="AK9" s="4"/>
      <c r="AL9" s="4"/>
      <c r="AM9" s="4"/>
      <c r="AN9" s="4"/>
      <c r="AO9" s="4"/>
    </row>
    <row r="10" ht="12.75" hidden="1" customHeight="1">
      <c r="A10" s="200">
        <v>7.0</v>
      </c>
      <c r="B10" s="200" t="s">
        <v>895</v>
      </c>
      <c r="C10" s="200" t="s">
        <v>896</v>
      </c>
      <c r="D10" s="200" t="s">
        <v>1004</v>
      </c>
      <c r="E10" s="4" t="s">
        <v>683</v>
      </c>
      <c r="F10" s="200">
        <v>2015.0</v>
      </c>
      <c r="G10" s="4" t="s">
        <v>1000</v>
      </c>
      <c r="H10" s="201">
        <v>2015.0</v>
      </c>
      <c r="I10" s="201" t="s">
        <v>683</v>
      </c>
      <c r="J10" s="200">
        <v>1451418.0</v>
      </c>
      <c r="K10" s="200">
        <v>100.0</v>
      </c>
      <c r="L10" s="200">
        <v>2025.0</v>
      </c>
      <c r="M10" s="200">
        <v>100.0</v>
      </c>
      <c r="N10" s="201" t="s">
        <v>683</v>
      </c>
      <c r="O10" s="200">
        <v>0.0</v>
      </c>
      <c r="P10" s="200">
        <v>0.0</v>
      </c>
      <c r="Q10" s="201" t="s">
        <v>683</v>
      </c>
      <c r="R10" s="4">
        <v>100.0</v>
      </c>
      <c r="S10" s="4" t="s">
        <v>1013</v>
      </c>
      <c r="T10" s="4" t="s">
        <v>1016</v>
      </c>
      <c r="U10" s="4" t="s">
        <v>1018</v>
      </c>
      <c r="V10" s="4"/>
      <c r="W10" s="4"/>
      <c r="X10" s="4"/>
      <c r="Y10" s="4"/>
      <c r="Z10" s="4"/>
      <c r="AA10" s="4"/>
      <c r="AB10" s="4"/>
      <c r="AC10" s="4"/>
      <c r="AD10" s="4"/>
      <c r="AE10" s="4"/>
      <c r="AF10" s="4"/>
      <c r="AG10" s="4"/>
      <c r="AH10" s="4"/>
      <c r="AI10" s="4"/>
      <c r="AJ10" s="4"/>
      <c r="AK10" s="4"/>
      <c r="AL10" s="4"/>
      <c r="AM10" s="4"/>
      <c r="AN10" s="4"/>
      <c r="AO10" s="4"/>
    </row>
    <row r="11" ht="12.75" hidden="1" customHeight="1">
      <c r="A11" s="200">
        <v>7.0</v>
      </c>
      <c r="B11" s="200" t="s">
        <v>895</v>
      </c>
      <c r="C11" s="200" t="s">
        <v>896</v>
      </c>
      <c r="D11" s="200" t="s">
        <v>1004</v>
      </c>
      <c r="E11" s="4" t="s">
        <v>683</v>
      </c>
      <c r="F11" s="200">
        <v>2015.0</v>
      </c>
      <c r="G11" s="4" t="s">
        <v>1000</v>
      </c>
      <c r="H11" s="201">
        <v>2015.0</v>
      </c>
      <c r="I11" s="201" t="s">
        <v>683</v>
      </c>
      <c r="J11" s="200">
        <v>1451418.0</v>
      </c>
      <c r="K11" s="200">
        <v>100.0</v>
      </c>
      <c r="L11" s="200">
        <v>2040.0</v>
      </c>
      <c r="M11" s="200">
        <v>100.0</v>
      </c>
      <c r="N11" s="201" t="s">
        <v>683</v>
      </c>
      <c r="O11" s="200">
        <v>0.0</v>
      </c>
      <c r="P11" s="200">
        <v>0.0</v>
      </c>
      <c r="Q11" s="201" t="s">
        <v>683</v>
      </c>
      <c r="R11" s="4">
        <v>100.0</v>
      </c>
      <c r="S11" s="4" t="s">
        <v>1013</v>
      </c>
      <c r="T11" s="4" t="s">
        <v>1016</v>
      </c>
      <c r="U11" s="4" t="s">
        <v>1019</v>
      </c>
      <c r="V11" s="4"/>
      <c r="W11" s="4"/>
      <c r="X11" s="4"/>
      <c r="Y11" s="4"/>
      <c r="Z11" s="4"/>
      <c r="AA11" s="4"/>
      <c r="AB11" s="4"/>
      <c r="AC11" s="4"/>
      <c r="AD11" s="4"/>
      <c r="AE11" s="4"/>
      <c r="AF11" s="4"/>
      <c r="AG11" s="4"/>
      <c r="AH11" s="4"/>
      <c r="AI11" s="4"/>
      <c r="AJ11" s="4"/>
      <c r="AK11" s="4"/>
      <c r="AL11" s="4"/>
      <c r="AM11" s="4"/>
      <c r="AN11" s="4"/>
      <c r="AO11" s="4"/>
    </row>
    <row r="12" ht="12.75" hidden="1" customHeight="1">
      <c r="A12" s="200">
        <v>8.0</v>
      </c>
      <c r="B12" s="200" t="s">
        <v>895</v>
      </c>
      <c r="C12" s="200" t="s">
        <v>896</v>
      </c>
      <c r="D12" s="200" t="s">
        <v>999</v>
      </c>
      <c r="E12" s="4" t="s">
        <v>683</v>
      </c>
      <c r="F12" s="200">
        <v>2016.0</v>
      </c>
      <c r="G12" s="4" t="s">
        <v>1000</v>
      </c>
      <c r="H12" s="201">
        <v>2015.0</v>
      </c>
      <c r="I12" s="201" t="s">
        <v>683</v>
      </c>
      <c r="J12" s="200">
        <v>392172.0</v>
      </c>
      <c r="K12" s="200">
        <v>100.0</v>
      </c>
      <c r="L12" s="200">
        <v>2025.0</v>
      </c>
      <c r="M12" s="200">
        <v>20.0</v>
      </c>
      <c r="N12" s="201" t="s">
        <v>683</v>
      </c>
      <c r="O12" s="200">
        <v>313737.6</v>
      </c>
      <c r="P12" s="200">
        <v>305766.0</v>
      </c>
      <c r="Q12" s="201" t="s">
        <v>683</v>
      </c>
      <c r="R12" s="4">
        <v>110.16339769284902</v>
      </c>
      <c r="S12" s="4" t="s">
        <v>1013</v>
      </c>
      <c r="T12" s="4" t="s">
        <v>1014</v>
      </c>
      <c r="U12" s="4" t="s">
        <v>1020</v>
      </c>
      <c r="V12" s="4"/>
      <c r="W12" s="4"/>
      <c r="X12" s="4"/>
      <c r="Y12" s="4"/>
      <c r="Z12" s="4"/>
      <c r="AA12" s="4"/>
      <c r="AB12" s="4"/>
      <c r="AC12" s="4"/>
      <c r="AD12" s="4"/>
      <c r="AE12" s="4"/>
      <c r="AF12" s="4"/>
      <c r="AG12" s="4"/>
      <c r="AH12" s="4"/>
      <c r="AI12" s="4"/>
      <c r="AJ12" s="4"/>
      <c r="AK12" s="4"/>
      <c r="AL12" s="4"/>
      <c r="AM12" s="4"/>
      <c r="AN12" s="4"/>
      <c r="AO12" s="4"/>
    </row>
    <row r="13" ht="12.75" hidden="1" customHeight="1">
      <c r="A13" s="200">
        <v>8.0</v>
      </c>
      <c r="B13" s="200" t="s">
        <v>895</v>
      </c>
      <c r="C13" s="200" t="s">
        <v>689</v>
      </c>
      <c r="D13" s="200" t="s">
        <v>1021</v>
      </c>
      <c r="E13" s="4" t="s">
        <v>683</v>
      </c>
      <c r="F13" s="200">
        <v>2018.0</v>
      </c>
      <c r="G13" s="4" t="s">
        <v>1000</v>
      </c>
      <c r="H13" s="201">
        <v>2017.0</v>
      </c>
      <c r="I13" s="201" t="s">
        <v>683</v>
      </c>
      <c r="J13" s="200">
        <v>5264365.0</v>
      </c>
      <c r="K13" s="200">
        <v>100.0</v>
      </c>
      <c r="L13" s="200">
        <v>2030.0</v>
      </c>
      <c r="M13" s="200">
        <v>15.0</v>
      </c>
      <c r="N13" s="201" t="s">
        <v>683</v>
      </c>
      <c r="O13" s="200">
        <v>4474710.25</v>
      </c>
      <c r="P13" s="200">
        <v>5227733.0</v>
      </c>
      <c r="Q13" s="201" t="s">
        <v>683</v>
      </c>
      <c r="R13" s="4">
        <v>4.6389893811187735</v>
      </c>
      <c r="S13" s="4" t="s">
        <v>1022</v>
      </c>
      <c r="T13" s="4" t="s">
        <v>1014</v>
      </c>
      <c r="U13" s="4" t="s">
        <v>1023</v>
      </c>
      <c r="V13" s="4"/>
      <c r="W13" s="4"/>
      <c r="X13" s="4"/>
      <c r="Y13" s="4"/>
      <c r="Z13" s="4"/>
      <c r="AA13" s="4"/>
      <c r="AB13" s="4"/>
      <c r="AC13" s="4"/>
      <c r="AD13" s="4"/>
      <c r="AE13" s="4"/>
      <c r="AF13" s="4"/>
      <c r="AG13" s="4"/>
      <c r="AH13" s="4"/>
      <c r="AI13" s="4"/>
      <c r="AJ13" s="4"/>
      <c r="AK13" s="4"/>
      <c r="AL13" s="4"/>
      <c r="AM13" s="4"/>
      <c r="AN13" s="4"/>
      <c r="AO13" s="4"/>
    </row>
    <row r="14" ht="12.75" hidden="1" customHeight="1">
      <c r="A14" s="200">
        <v>8.0</v>
      </c>
      <c r="B14" s="200" t="s">
        <v>895</v>
      </c>
      <c r="C14" s="200" t="s">
        <v>896</v>
      </c>
      <c r="D14" s="200" t="s">
        <v>1004</v>
      </c>
      <c r="E14" s="4" t="s">
        <v>683</v>
      </c>
      <c r="F14" s="200">
        <v>2019.0</v>
      </c>
      <c r="G14" s="4" t="s">
        <v>1000</v>
      </c>
      <c r="H14" s="201">
        <v>2017.0</v>
      </c>
      <c r="I14" s="201" t="s">
        <v>683</v>
      </c>
      <c r="J14" s="200">
        <v>337007.0</v>
      </c>
      <c r="K14" s="200">
        <v>100.0</v>
      </c>
      <c r="L14" s="200">
        <v>2030.0</v>
      </c>
      <c r="M14" s="200">
        <v>55.0</v>
      </c>
      <c r="N14" s="201" t="s">
        <v>683</v>
      </c>
      <c r="O14" s="200">
        <v>151653.15</v>
      </c>
      <c r="P14" s="200">
        <v>302416.0</v>
      </c>
      <c r="Q14" s="201" t="s">
        <v>683</v>
      </c>
      <c r="R14" s="4">
        <v>18.662142707043852</v>
      </c>
      <c r="S14" s="4" t="s">
        <v>1024</v>
      </c>
      <c r="T14" s="4" t="s">
        <v>1008</v>
      </c>
      <c r="U14" s="4" t="s">
        <v>1025</v>
      </c>
      <c r="V14" s="4"/>
      <c r="W14" s="4"/>
      <c r="X14" s="4"/>
      <c r="Y14" s="4"/>
      <c r="Z14" s="4"/>
      <c r="AA14" s="4"/>
      <c r="AB14" s="4"/>
      <c r="AC14" s="4"/>
      <c r="AD14" s="4"/>
      <c r="AE14" s="4"/>
      <c r="AF14" s="4"/>
      <c r="AG14" s="4"/>
      <c r="AH14" s="4"/>
      <c r="AI14" s="4"/>
      <c r="AJ14" s="4"/>
      <c r="AK14" s="4"/>
      <c r="AL14" s="4"/>
      <c r="AM14" s="4"/>
      <c r="AN14" s="4"/>
      <c r="AO14" s="4"/>
    </row>
    <row r="15" ht="12.75" hidden="1" customHeight="1">
      <c r="A15" s="200">
        <v>8.0</v>
      </c>
      <c r="B15" s="200" t="s">
        <v>895</v>
      </c>
      <c r="C15" s="200" t="s">
        <v>689</v>
      </c>
      <c r="D15" s="200" t="s">
        <v>1021</v>
      </c>
      <c r="E15" s="4" t="s">
        <v>683</v>
      </c>
      <c r="F15" s="200">
        <v>2019.0</v>
      </c>
      <c r="G15" s="4" t="s">
        <v>1000</v>
      </c>
      <c r="H15" s="201">
        <v>2017.0</v>
      </c>
      <c r="I15" s="201" t="s">
        <v>683</v>
      </c>
      <c r="J15" s="200">
        <v>5264365.0</v>
      </c>
      <c r="K15" s="200">
        <v>100.0</v>
      </c>
      <c r="L15" s="200">
        <v>2030.0</v>
      </c>
      <c r="M15" s="200">
        <v>18.0</v>
      </c>
      <c r="N15" s="201" t="s">
        <v>683</v>
      </c>
      <c r="O15" s="200">
        <v>4316779.3</v>
      </c>
      <c r="P15" s="200">
        <v>5227733.0</v>
      </c>
      <c r="Q15" s="201" t="s">
        <v>683</v>
      </c>
      <c r="R15" s="4">
        <v>3.865824484265644</v>
      </c>
      <c r="S15" s="4" t="s">
        <v>1024</v>
      </c>
      <c r="T15" s="4" t="s">
        <v>1008</v>
      </c>
      <c r="U15" s="4" t="s">
        <v>1026</v>
      </c>
      <c r="V15" s="4"/>
      <c r="W15" s="4"/>
      <c r="X15" s="4"/>
      <c r="Y15" s="4"/>
      <c r="Z15" s="4"/>
      <c r="AA15" s="4"/>
      <c r="AB15" s="4"/>
      <c r="AC15" s="4"/>
      <c r="AD15" s="4"/>
      <c r="AE15" s="4"/>
      <c r="AF15" s="4"/>
      <c r="AG15" s="4"/>
      <c r="AH15" s="4"/>
      <c r="AI15" s="4"/>
      <c r="AJ15" s="4"/>
      <c r="AK15" s="4"/>
      <c r="AL15" s="4"/>
      <c r="AM15" s="4"/>
      <c r="AN15" s="4"/>
      <c r="AO15" s="4"/>
    </row>
    <row r="16" ht="12.75" hidden="1" customHeight="1">
      <c r="A16" s="200">
        <v>10.0</v>
      </c>
      <c r="B16" s="200" t="s">
        <v>895</v>
      </c>
      <c r="C16" s="200" t="s">
        <v>899</v>
      </c>
      <c r="D16" s="200" t="s">
        <v>1027</v>
      </c>
      <c r="E16" s="4" t="s">
        <v>683</v>
      </c>
      <c r="F16" s="200">
        <v>2018.0</v>
      </c>
      <c r="G16" s="4" t="s">
        <v>1000</v>
      </c>
      <c r="H16" s="201">
        <v>2011.0</v>
      </c>
      <c r="I16" s="201" t="s">
        <v>683</v>
      </c>
      <c r="J16" s="200">
        <v>188349.0</v>
      </c>
      <c r="K16" s="200">
        <v>100.0</v>
      </c>
      <c r="L16" s="200">
        <v>2025.0</v>
      </c>
      <c r="M16" s="200">
        <v>100.0</v>
      </c>
      <c r="N16" s="201" t="s">
        <v>683</v>
      </c>
      <c r="O16" s="200">
        <v>0.0</v>
      </c>
      <c r="P16" s="200">
        <v>0.0</v>
      </c>
      <c r="Q16" s="201" t="s">
        <v>683</v>
      </c>
      <c r="R16" s="4">
        <v>100.0</v>
      </c>
      <c r="S16" s="4" t="s">
        <v>1001</v>
      </c>
      <c r="T16" s="4" t="s">
        <v>1028</v>
      </c>
      <c r="U16" s="4" t="s">
        <v>1029</v>
      </c>
      <c r="V16" s="4"/>
      <c r="W16" s="4"/>
      <c r="X16" s="4"/>
      <c r="Y16" s="4"/>
      <c r="Z16" s="4"/>
      <c r="AA16" s="4"/>
      <c r="AB16" s="4"/>
      <c r="AC16" s="4"/>
      <c r="AD16" s="4"/>
      <c r="AE16" s="4"/>
      <c r="AF16" s="4"/>
      <c r="AG16" s="4"/>
      <c r="AH16" s="4"/>
      <c r="AI16" s="4"/>
      <c r="AJ16" s="4"/>
      <c r="AK16" s="4"/>
      <c r="AL16" s="4"/>
      <c r="AM16" s="4"/>
      <c r="AN16" s="4"/>
      <c r="AO16" s="4"/>
    </row>
    <row r="17" ht="12.75" hidden="1" customHeight="1">
      <c r="A17" s="200">
        <v>10.0</v>
      </c>
      <c r="B17" s="200" t="s">
        <v>895</v>
      </c>
      <c r="C17" s="200" t="s">
        <v>899</v>
      </c>
      <c r="D17" s="200" t="s">
        <v>1027</v>
      </c>
      <c r="E17" s="4" t="s">
        <v>683</v>
      </c>
      <c r="F17" s="200">
        <v>2018.0</v>
      </c>
      <c r="G17" s="4" t="s">
        <v>1000</v>
      </c>
      <c r="H17" s="201">
        <v>2011.0</v>
      </c>
      <c r="I17" s="201" t="s">
        <v>683</v>
      </c>
      <c r="J17" s="200">
        <v>188349.0</v>
      </c>
      <c r="K17" s="200">
        <v>100.0</v>
      </c>
      <c r="L17" s="200">
        <v>2040.0</v>
      </c>
      <c r="M17" s="200">
        <v>100.0</v>
      </c>
      <c r="N17" s="201" t="s">
        <v>683</v>
      </c>
      <c r="O17" s="200">
        <v>0.0</v>
      </c>
      <c r="P17" s="200">
        <v>0.0</v>
      </c>
      <c r="Q17" s="201" t="s">
        <v>683</v>
      </c>
      <c r="R17" s="4">
        <v>100.0</v>
      </c>
      <c r="S17" s="4" t="s">
        <v>1001</v>
      </c>
      <c r="T17" s="4" t="s">
        <v>1028</v>
      </c>
      <c r="U17" s="4" t="s">
        <v>1030</v>
      </c>
      <c r="V17" s="4"/>
      <c r="W17" s="4"/>
      <c r="X17" s="4"/>
      <c r="Y17" s="4"/>
      <c r="Z17" s="4"/>
      <c r="AA17" s="4"/>
      <c r="AB17" s="4"/>
      <c r="AC17" s="4"/>
      <c r="AD17" s="4"/>
      <c r="AE17" s="4"/>
      <c r="AF17" s="4"/>
      <c r="AG17" s="4"/>
      <c r="AH17" s="4"/>
      <c r="AI17" s="4"/>
      <c r="AJ17" s="4"/>
      <c r="AK17" s="4"/>
      <c r="AL17" s="4"/>
      <c r="AM17" s="4"/>
      <c r="AN17" s="4"/>
      <c r="AO17" s="4"/>
    </row>
    <row r="18" ht="12.75" hidden="1" customHeight="1">
      <c r="A18" s="200">
        <v>11.0</v>
      </c>
      <c r="B18" s="200" t="s">
        <v>895</v>
      </c>
      <c r="C18" s="200" t="s">
        <v>896</v>
      </c>
      <c r="D18" s="200" t="s">
        <v>999</v>
      </c>
      <c r="E18" s="4" t="s">
        <v>683</v>
      </c>
      <c r="F18" s="200">
        <v>2010.0</v>
      </c>
      <c r="G18" s="4" t="s">
        <v>1031</v>
      </c>
      <c r="H18" s="201">
        <v>2010.0</v>
      </c>
      <c r="I18" s="201" t="s">
        <v>683</v>
      </c>
      <c r="J18" s="200">
        <v>3964.0</v>
      </c>
      <c r="K18" s="200">
        <v>23.0</v>
      </c>
      <c r="L18" s="200">
        <v>2020.0</v>
      </c>
      <c r="M18" s="200">
        <v>20.0</v>
      </c>
      <c r="N18" s="201" t="s">
        <v>683</v>
      </c>
      <c r="O18" s="200">
        <v>3171.2</v>
      </c>
      <c r="P18" s="200">
        <v>1232.0</v>
      </c>
      <c r="Q18" s="201" t="s">
        <v>683</v>
      </c>
      <c r="R18" s="4">
        <v>344.6014127144298</v>
      </c>
      <c r="S18" s="4" t="s">
        <v>1013</v>
      </c>
      <c r="T18" s="4" t="s">
        <v>1002</v>
      </c>
      <c r="U18" s="4" t="s">
        <v>1032</v>
      </c>
      <c r="V18" s="4"/>
      <c r="W18" s="4"/>
      <c r="X18" s="4"/>
      <c r="Y18" s="4"/>
      <c r="Z18" s="4"/>
      <c r="AA18" s="4"/>
      <c r="AB18" s="4"/>
      <c r="AC18" s="4"/>
      <c r="AD18" s="4"/>
      <c r="AE18" s="4"/>
      <c r="AF18" s="4"/>
      <c r="AG18" s="4"/>
      <c r="AH18" s="4"/>
      <c r="AI18" s="4"/>
      <c r="AJ18" s="4"/>
      <c r="AK18" s="4"/>
      <c r="AL18" s="4"/>
      <c r="AM18" s="4"/>
      <c r="AN18" s="4"/>
      <c r="AO18" s="4"/>
    </row>
    <row r="19" ht="12.75" hidden="1" customHeight="1">
      <c r="A19" s="200">
        <v>12.0</v>
      </c>
      <c r="B19" s="200" t="s">
        <v>895</v>
      </c>
      <c r="C19" s="200" t="s">
        <v>900</v>
      </c>
      <c r="D19" s="200" t="s">
        <v>1033</v>
      </c>
      <c r="E19" s="4" t="s">
        <v>683</v>
      </c>
      <c r="F19" s="200">
        <v>2018.0</v>
      </c>
      <c r="G19" s="202"/>
      <c r="H19" s="201">
        <v>2017.0</v>
      </c>
      <c r="I19" s="201" t="s">
        <v>683</v>
      </c>
      <c r="J19" s="200">
        <v>651065.0</v>
      </c>
      <c r="K19" s="200">
        <v>26.0</v>
      </c>
      <c r="L19" s="200">
        <v>2027.0</v>
      </c>
      <c r="M19" s="200">
        <v>60.0</v>
      </c>
      <c r="N19" s="201" t="s">
        <v>683</v>
      </c>
      <c r="O19" s="200">
        <v>260426.0</v>
      </c>
      <c r="P19" s="200">
        <v>556281.0</v>
      </c>
      <c r="Q19" s="201" t="s">
        <v>683</v>
      </c>
      <c r="R19" s="4">
        <v>24.26383438417567</v>
      </c>
      <c r="S19" s="4" t="s">
        <v>1001</v>
      </c>
      <c r="T19" s="4" t="s">
        <v>1002</v>
      </c>
      <c r="U19" s="4" t="s">
        <v>1034</v>
      </c>
      <c r="V19" s="4"/>
      <c r="W19" s="4"/>
      <c r="X19" s="4"/>
      <c r="Y19" s="4"/>
      <c r="Z19" s="4"/>
      <c r="AA19" s="4"/>
      <c r="AB19" s="4"/>
      <c r="AC19" s="4"/>
      <c r="AD19" s="4"/>
      <c r="AE19" s="4"/>
      <c r="AF19" s="4"/>
      <c r="AG19" s="4"/>
      <c r="AH19" s="4"/>
      <c r="AI19" s="4"/>
      <c r="AJ19" s="4"/>
      <c r="AK19" s="4"/>
      <c r="AL19" s="4"/>
      <c r="AM19" s="4"/>
      <c r="AN19" s="4"/>
      <c r="AO19" s="4"/>
    </row>
    <row r="20" ht="12.75" hidden="1" customHeight="1">
      <c r="A20" s="200">
        <v>13.0</v>
      </c>
      <c r="B20" s="200" t="s">
        <v>895</v>
      </c>
      <c r="C20" s="200" t="s">
        <v>896</v>
      </c>
      <c r="D20" s="200" t="s">
        <v>999</v>
      </c>
      <c r="E20" s="4" t="s">
        <v>683</v>
      </c>
      <c r="F20" s="200">
        <v>2013.0</v>
      </c>
      <c r="G20" s="4" t="s">
        <v>1000</v>
      </c>
      <c r="H20" s="201">
        <v>2012.0</v>
      </c>
      <c r="I20" s="201" t="s">
        <v>683</v>
      </c>
      <c r="J20" s="200">
        <v>385000.0</v>
      </c>
      <c r="K20" s="200">
        <v>94.0</v>
      </c>
      <c r="L20" s="200">
        <v>2020.0</v>
      </c>
      <c r="M20" s="200">
        <v>10.0</v>
      </c>
      <c r="N20" s="201" t="s">
        <v>683</v>
      </c>
      <c r="O20" s="200">
        <v>346500.0</v>
      </c>
      <c r="P20" s="200">
        <v>265588.0</v>
      </c>
      <c r="Q20" s="201" t="s">
        <v>683</v>
      </c>
      <c r="R20" s="4">
        <v>310.16103896103897</v>
      </c>
      <c r="S20" s="4" t="s">
        <v>1013</v>
      </c>
      <c r="T20" s="4" t="s">
        <v>1028</v>
      </c>
      <c r="U20" s="4" t="s">
        <v>1035</v>
      </c>
      <c r="V20" s="4"/>
      <c r="W20" s="4"/>
      <c r="X20" s="4"/>
      <c r="Y20" s="4"/>
      <c r="Z20" s="4"/>
      <c r="AA20" s="4"/>
      <c r="AB20" s="4"/>
      <c r="AC20" s="4"/>
      <c r="AD20" s="4"/>
      <c r="AE20" s="4"/>
      <c r="AF20" s="4"/>
      <c r="AG20" s="4"/>
      <c r="AH20" s="4"/>
      <c r="AI20" s="4"/>
      <c r="AJ20" s="4"/>
      <c r="AK20" s="4"/>
      <c r="AL20" s="4"/>
      <c r="AM20" s="4"/>
      <c r="AN20" s="4"/>
      <c r="AO20" s="4"/>
    </row>
    <row r="21" ht="12.75" hidden="1" customHeight="1">
      <c r="A21" s="200">
        <v>14.0</v>
      </c>
      <c r="B21" s="200" t="s">
        <v>895</v>
      </c>
      <c r="C21" s="200" t="s">
        <v>896</v>
      </c>
      <c r="D21" s="200" t="s">
        <v>1004</v>
      </c>
      <c r="E21" s="4" t="s">
        <v>683</v>
      </c>
      <c r="F21" s="200">
        <v>2012.0</v>
      </c>
      <c r="G21" s="4" t="s">
        <v>1000</v>
      </c>
      <c r="H21" s="201">
        <v>2012.0</v>
      </c>
      <c r="I21" s="201" t="s">
        <v>683</v>
      </c>
      <c r="J21" s="200">
        <v>160400.0</v>
      </c>
      <c r="K21" s="200">
        <v>100.0</v>
      </c>
      <c r="L21" s="200">
        <v>2020.0</v>
      </c>
      <c r="M21" s="200">
        <v>7.0</v>
      </c>
      <c r="N21" s="201" t="s">
        <v>683</v>
      </c>
      <c r="O21" s="200">
        <v>149172.0</v>
      </c>
      <c r="P21" s="200">
        <v>50550.0</v>
      </c>
      <c r="Q21" s="201" t="s">
        <v>683</v>
      </c>
      <c r="R21" s="4">
        <v>978.3576772354827</v>
      </c>
      <c r="S21" s="4" t="s">
        <v>1001</v>
      </c>
      <c r="T21" s="4" t="s">
        <v>1028</v>
      </c>
      <c r="U21" s="4" t="s">
        <v>1036</v>
      </c>
      <c r="V21" s="4"/>
      <c r="W21" s="4"/>
      <c r="X21" s="4"/>
      <c r="Y21" s="4"/>
      <c r="Z21" s="4"/>
      <c r="AA21" s="4"/>
      <c r="AB21" s="4"/>
      <c r="AC21" s="4"/>
      <c r="AD21" s="4"/>
      <c r="AE21" s="4"/>
      <c r="AF21" s="4"/>
      <c r="AG21" s="4"/>
      <c r="AH21" s="4"/>
      <c r="AI21" s="4"/>
      <c r="AJ21" s="4"/>
      <c r="AK21" s="4"/>
      <c r="AL21" s="4"/>
      <c r="AM21" s="4"/>
      <c r="AN21" s="4"/>
      <c r="AO21" s="4"/>
    </row>
    <row r="22" ht="12.75" hidden="1" customHeight="1">
      <c r="A22" s="200">
        <v>14.0</v>
      </c>
      <c r="B22" s="200" t="s">
        <v>895</v>
      </c>
      <c r="C22" s="200" t="s">
        <v>896</v>
      </c>
      <c r="D22" s="200" t="s">
        <v>1004</v>
      </c>
      <c r="E22" s="4" t="s">
        <v>683</v>
      </c>
      <c r="F22" s="200">
        <v>2012.0</v>
      </c>
      <c r="G22" s="4" t="s">
        <v>1000</v>
      </c>
      <c r="H22" s="201">
        <v>2012.0</v>
      </c>
      <c r="I22" s="201" t="s">
        <v>683</v>
      </c>
      <c r="J22" s="200">
        <v>160400.0</v>
      </c>
      <c r="K22" s="200">
        <v>100.0</v>
      </c>
      <c r="L22" s="200">
        <v>2036.0</v>
      </c>
      <c r="M22" s="200">
        <v>52.0</v>
      </c>
      <c r="N22" s="201" t="s">
        <v>683</v>
      </c>
      <c r="O22" s="200">
        <v>76992.0</v>
      </c>
      <c r="P22" s="200">
        <v>50550.0</v>
      </c>
      <c r="Q22" s="201" t="s">
        <v>683</v>
      </c>
      <c r="R22" s="4">
        <v>131.7019950124688</v>
      </c>
      <c r="S22" s="4" t="s">
        <v>1001</v>
      </c>
      <c r="T22" s="4" t="s">
        <v>1028</v>
      </c>
      <c r="U22" s="4" t="s">
        <v>1037</v>
      </c>
      <c r="V22" s="4"/>
      <c r="W22" s="4"/>
      <c r="X22" s="4"/>
      <c r="Y22" s="4"/>
      <c r="Z22" s="4"/>
      <c r="AA22" s="4"/>
      <c r="AB22" s="4"/>
      <c r="AC22" s="4"/>
      <c r="AD22" s="4"/>
      <c r="AE22" s="4"/>
      <c r="AF22" s="4"/>
      <c r="AG22" s="4"/>
      <c r="AH22" s="4"/>
      <c r="AI22" s="4"/>
      <c r="AJ22" s="4"/>
      <c r="AK22" s="4"/>
      <c r="AL22" s="4"/>
      <c r="AM22" s="4"/>
      <c r="AN22" s="4"/>
      <c r="AO22" s="4"/>
    </row>
    <row r="23" ht="12.75" hidden="1" customHeight="1">
      <c r="A23" s="200">
        <v>14.0</v>
      </c>
      <c r="B23" s="200" t="s">
        <v>895</v>
      </c>
      <c r="C23" s="200" t="s">
        <v>902</v>
      </c>
      <c r="D23" s="200" t="s">
        <v>1038</v>
      </c>
      <c r="E23" s="4" t="s">
        <v>683</v>
      </c>
      <c r="F23" s="200">
        <v>2011.0</v>
      </c>
      <c r="G23" s="4" t="s">
        <v>1000</v>
      </c>
      <c r="H23" s="201">
        <v>2011.0</v>
      </c>
      <c r="I23" s="201" t="s">
        <v>683</v>
      </c>
      <c r="J23" s="200">
        <v>154270.0</v>
      </c>
      <c r="K23" s="200">
        <v>100.0</v>
      </c>
      <c r="L23" s="200">
        <v>2019.0</v>
      </c>
      <c r="M23" s="200">
        <v>100.0</v>
      </c>
      <c r="N23" s="201" t="s">
        <v>683</v>
      </c>
      <c r="O23" s="200">
        <v>0.0</v>
      </c>
      <c r="P23" s="200">
        <v>0.0</v>
      </c>
      <c r="Q23" s="201" t="s">
        <v>683</v>
      </c>
      <c r="R23" s="4">
        <v>100.0</v>
      </c>
      <c r="S23" s="4" t="s">
        <v>1013</v>
      </c>
      <c r="T23" s="4" t="s">
        <v>1014</v>
      </c>
      <c r="U23" s="4" t="s">
        <v>1039</v>
      </c>
      <c r="V23" s="4"/>
      <c r="W23" s="4"/>
      <c r="X23" s="4"/>
      <c r="Y23" s="4"/>
      <c r="Z23" s="4"/>
      <c r="AA23" s="4"/>
      <c r="AB23" s="4"/>
      <c r="AC23" s="4"/>
      <c r="AD23" s="4"/>
      <c r="AE23" s="4"/>
      <c r="AF23" s="4"/>
      <c r="AG23" s="4"/>
      <c r="AH23" s="4"/>
      <c r="AI23" s="4"/>
      <c r="AJ23" s="4"/>
      <c r="AK23" s="4"/>
      <c r="AL23" s="4"/>
      <c r="AM23" s="4"/>
      <c r="AN23" s="4"/>
      <c r="AO23" s="4"/>
    </row>
    <row r="24" ht="12.75" hidden="1" customHeight="1">
      <c r="A24" s="200">
        <v>14.0</v>
      </c>
      <c r="B24" s="200" t="s">
        <v>895</v>
      </c>
      <c r="C24" s="200" t="s">
        <v>896</v>
      </c>
      <c r="D24" s="200" t="s">
        <v>1040</v>
      </c>
      <c r="E24" s="4" t="s">
        <v>683</v>
      </c>
      <c r="F24" s="200">
        <v>2020.0</v>
      </c>
      <c r="G24" s="4" t="s">
        <v>1000</v>
      </c>
      <c r="H24" s="201">
        <v>2015.0</v>
      </c>
      <c r="I24" s="201" t="s">
        <v>683</v>
      </c>
      <c r="J24" s="200">
        <v>3.84E7</v>
      </c>
      <c r="K24" s="200">
        <v>100.0</v>
      </c>
      <c r="L24" s="200">
        <v>2030.0</v>
      </c>
      <c r="M24" s="200">
        <v>75.0</v>
      </c>
      <c r="N24" s="201" t="s">
        <v>683</v>
      </c>
      <c r="O24" s="200">
        <v>9600000.0</v>
      </c>
      <c r="P24" s="200">
        <v>2.51E7</v>
      </c>
      <c r="Q24" s="201" t="s">
        <v>683</v>
      </c>
      <c r="R24" s="4">
        <v>46.18055555555556</v>
      </c>
      <c r="S24" s="4" t="s">
        <v>1024</v>
      </c>
      <c r="T24" s="4" t="s">
        <v>1028</v>
      </c>
      <c r="U24" s="4" t="s">
        <v>1041</v>
      </c>
      <c r="V24" s="4"/>
      <c r="W24" s="4"/>
      <c r="X24" s="4"/>
      <c r="Y24" s="4"/>
      <c r="Z24" s="4"/>
      <c r="AA24" s="4"/>
      <c r="AB24" s="4"/>
      <c r="AC24" s="4"/>
      <c r="AD24" s="4"/>
      <c r="AE24" s="4"/>
      <c r="AF24" s="4"/>
      <c r="AG24" s="4"/>
      <c r="AH24" s="4"/>
      <c r="AI24" s="4"/>
      <c r="AJ24" s="4"/>
      <c r="AK24" s="4"/>
      <c r="AL24" s="4"/>
      <c r="AM24" s="4"/>
      <c r="AN24" s="4"/>
      <c r="AO24" s="4"/>
    </row>
    <row r="25" ht="12.75" hidden="1" customHeight="1">
      <c r="A25" s="200">
        <v>15.0</v>
      </c>
      <c r="B25" s="200" t="s">
        <v>895</v>
      </c>
      <c r="C25" s="200" t="s">
        <v>900</v>
      </c>
      <c r="D25" s="200" t="s">
        <v>1033</v>
      </c>
      <c r="E25" s="4" t="s">
        <v>683</v>
      </c>
      <c r="F25" s="200">
        <v>2011.0</v>
      </c>
      <c r="G25" s="4" t="s">
        <v>1000</v>
      </c>
      <c r="H25" s="201">
        <v>2008.0</v>
      </c>
      <c r="I25" s="201" t="s">
        <v>683</v>
      </c>
      <c r="J25" s="200">
        <v>1354054.0</v>
      </c>
      <c r="K25" s="200">
        <v>100.0</v>
      </c>
      <c r="L25" s="200">
        <v>2020.0</v>
      </c>
      <c r="M25" s="200">
        <v>20.0</v>
      </c>
      <c r="N25" s="201" t="s">
        <v>683</v>
      </c>
      <c r="O25" s="200">
        <v>1083243.2</v>
      </c>
      <c r="P25" s="200">
        <v>990955.0</v>
      </c>
      <c r="Q25" s="201" t="s">
        <v>683</v>
      </c>
      <c r="R25" s="4">
        <v>134.07847840632644</v>
      </c>
      <c r="S25" s="4" t="s">
        <v>1013</v>
      </c>
      <c r="T25" s="4" t="s">
        <v>1014</v>
      </c>
      <c r="U25" s="4" t="s">
        <v>1042</v>
      </c>
      <c r="V25" s="4"/>
      <c r="W25" s="4"/>
      <c r="X25" s="4"/>
      <c r="Y25" s="4"/>
      <c r="Z25" s="4"/>
      <c r="AA25" s="4"/>
      <c r="AB25" s="4"/>
      <c r="AC25" s="4"/>
      <c r="AD25" s="4"/>
      <c r="AE25" s="4"/>
      <c r="AF25" s="4"/>
      <c r="AG25" s="4"/>
      <c r="AH25" s="4"/>
      <c r="AI25" s="4"/>
      <c r="AJ25" s="4"/>
      <c r="AK25" s="4"/>
      <c r="AL25" s="4"/>
      <c r="AM25" s="4"/>
      <c r="AN25" s="4"/>
      <c r="AO25" s="4"/>
    </row>
    <row r="26" ht="12.75" hidden="1" customHeight="1">
      <c r="A26" s="200">
        <v>15.0</v>
      </c>
      <c r="B26" s="200" t="s">
        <v>895</v>
      </c>
      <c r="C26" s="200" t="s">
        <v>900</v>
      </c>
      <c r="D26" s="200" t="s">
        <v>1033</v>
      </c>
      <c r="E26" s="4" t="s">
        <v>683</v>
      </c>
      <c r="F26" s="200">
        <v>2009.0</v>
      </c>
      <c r="G26" s="4" t="s">
        <v>1031</v>
      </c>
      <c r="H26" s="201">
        <v>2008.0</v>
      </c>
      <c r="I26" s="201" t="s">
        <v>683</v>
      </c>
      <c r="J26" s="200">
        <v>865777.0</v>
      </c>
      <c r="K26" s="200">
        <v>64.0</v>
      </c>
      <c r="L26" s="200">
        <v>2020.0</v>
      </c>
      <c r="M26" s="200">
        <v>30.0</v>
      </c>
      <c r="N26" s="201" t="s">
        <v>683</v>
      </c>
      <c r="O26" s="200">
        <v>606043.9</v>
      </c>
      <c r="P26" s="200">
        <v>597179.0</v>
      </c>
      <c r="Q26" s="201" t="s">
        <v>683</v>
      </c>
      <c r="R26" s="4">
        <v>103.41308058156625</v>
      </c>
      <c r="S26" s="4" t="s">
        <v>1013</v>
      </c>
      <c r="T26" s="4" t="s">
        <v>1014</v>
      </c>
      <c r="U26" s="4" t="s">
        <v>1043</v>
      </c>
      <c r="V26" s="4"/>
      <c r="W26" s="4"/>
      <c r="X26" s="4"/>
      <c r="Y26" s="4"/>
      <c r="Z26" s="4"/>
      <c r="AA26" s="4"/>
      <c r="AB26" s="4"/>
      <c r="AC26" s="4"/>
      <c r="AD26" s="4"/>
      <c r="AE26" s="4"/>
      <c r="AF26" s="4"/>
      <c r="AG26" s="4"/>
      <c r="AH26" s="4"/>
      <c r="AI26" s="4"/>
      <c r="AJ26" s="4"/>
      <c r="AK26" s="4"/>
      <c r="AL26" s="4"/>
      <c r="AM26" s="4"/>
      <c r="AN26" s="4"/>
      <c r="AO26" s="4"/>
    </row>
    <row r="27" ht="12.75" hidden="1" customHeight="1">
      <c r="A27" s="200">
        <v>15.0</v>
      </c>
      <c r="B27" s="200" t="s">
        <v>895</v>
      </c>
      <c r="C27" s="200" t="s">
        <v>896</v>
      </c>
      <c r="D27" s="200" t="s">
        <v>1004</v>
      </c>
      <c r="E27" s="4" t="s">
        <v>683</v>
      </c>
      <c r="F27" s="200">
        <v>2019.0</v>
      </c>
      <c r="G27" s="4" t="s">
        <v>1000</v>
      </c>
      <c r="H27" s="201">
        <v>2015.0</v>
      </c>
      <c r="I27" s="201" t="s">
        <v>683</v>
      </c>
      <c r="J27" s="200">
        <v>8766803.0</v>
      </c>
      <c r="K27" s="200">
        <v>100.0</v>
      </c>
      <c r="L27" s="200">
        <v>2030.0</v>
      </c>
      <c r="M27" s="200">
        <v>26.0</v>
      </c>
      <c r="N27" s="201" t="s">
        <v>683</v>
      </c>
      <c r="O27" s="200">
        <v>6487434.22</v>
      </c>
      <c r="P27" s="200">
        <v>6525042.0</v>
      </c>
      <c r="Q27" s="201" t="s">
        <v>683</v>
      </c>
      <c r="R27" s="4">
        <v>98.35007918288674</v>
      </c>
      <c r="S27" s="4" t="s">
        <v>1024</v>
      </c>
      <c r="T27" s="4" t="s">
        <v>1008</v>
      </c>
      <c r="U27" s="4" t="s">
        <v>1044</v>
      </c>
      <c r="V27" s="4"/>
      <c r="W27" s="4"/>
      <c r="X27" s="4"/>
      <c r="Y27" s="4"/>
      <c r="Z27" s="4"/>
      <c r="AA27" s="4"/>
      <c r="AB27" s="4"/>
      <c r="AC27" s="4"/>
      <c r="AD27" s="4"/>
      <c r="AE27" s="4"/>
      <c r="AF27" s="4"/>
      <c r="AG27" s="4"/>
      <c r="AH27" s="4"/>
      <c r="AI27" s="4"/>
      <c r="AJ27" s="4"/>
      <c r="AK27" s="4"/>
      <c r="AL27" s="4"/>
      <c r="AM27" s="4"/>
      <c r="AN27" s="4"/>
      <c r="AO27" s="4"/>
    </row>
    <row r="28" ht="12.75" hidden="1" customHeight="1">
      <c r="A28" s="200">
        <v>16.0</v>
      </c>
      <c r="B28" s="200" t="s">
        <v>895</v>
      </c>
      <c r="C28" s="200" t="s">
        <v>896</v>
      </c>
      <c r="D28" s="200" t="s">
        <v>1004</v>
      </c>
      <c r="E28" s="4" t="s">
        <v>683</v>
      </c>
      <c r="F28" s="200">
        <v>2015.0</v>
      </c>
      <c r="G28" s="4" t="s">
        <v>1000</v>
      </c>
      <c r="H28" s="201">
        <v>2010.0</v>
      </c>
      <c r="I28" s="201" t="s">
        <v>683</v>
      </c>
      <c r="J28" s="200">
        <v>1750939.0</v>
      </c>
      <c r="K28" s="200">
        <v>100.0</v>
      </c>
      <c r="L28" s="200">
        <v>2020.0</v>
      </c>
      <c r="M28" s="200">
        <v>100.0</v>
      </c>
      <c r="N28" s="201" t="s">
        <v>683</v>
      </c>
      <c r="O28" s="200">
        <v>0.0</v>
      </c>
      <c r="P28" s="200">
        <v>0.0</v>
      </c>
      <c r="Q28" s="201" t="s">
        <v>683</v>
      </c>
      <c r="R28" s="4">
        <v>100.0</v>
      </c>
      <c r="S28" s="4" t="s">
        <v>1001</v>
      </c>
      <c r="T28" s="4" t="s">
        <v>1028</v>
      </c>
      <c r="U28" s="4" t="s">
        <v>1045</v>
      </c>
      <c r="V28" s="4"/>
      <c r="W28" s="4"/>
      <c r="X28" s="4"/>
      <c r="Y28" s="4"/>
      <c r="Z28" s="4"/>
      <c r="AA28" s="4"/>
      <c r="AB28" s="4"/>
      <c r="AC28" s="4"/>
      <c r="AD28" s="4"/>
      <c r="AE28" s="4"/>
      <c r="AF28" s="4"/>
      <c r="AG28" s="4"/>
      <c r="AH28" s="4"/>
      <c r="AI28" s="4"/>
      <c r="AJ28" s="4"/>
      <c r="AK28" s="4"/>
      <c r="AL28" s="4"/>
      <c r="AM28" s="4"/>
      <c r="AN28" s="4"/>
      <c r="AO28" s="4"/>
    </row>
    <row r="29" ht="12.75" hidden="1" customHeight="1">
      <c r="A29" s="200">
        <v>16.0</v>
      </c>
      <c r="B29" s="200" t="s">
        <v>895</v>
      </c>
      <c r="C29" s="200" t="s">
        <v>896</v>
      </c>
      <c r="D29" s="200" t="s">
        <v>1004</v>
      </c>
      <c r="E29" s="4" t="s">
        <v>683</v>
      </c>
      <c r="F29" s="200">
        <v>2015.0</v>
      </c>
      <c r="G29" s="4" t="s">
        <v>1000</v>
      </c>
      <c r="H29" s="200">
        <v>2010.0</v>
      </c>
      <c r="I29" s="201" t="s">
        <v>683</v>
      </c>
      <c r="J29" s="200">
        <v>1750939.0</v>
      </c>
      <c r="K29" s="200">
        <v>100.0</v>
      </c>
      <c r="L29" s="200">
        <v>2040.0</v>
      </c>
      <c r="M29" s="200">
        <v>100.0</v>
      </c>
      <c r="N29" s="201" t="s">
        <v>683</v>
      </c>
      <c r="O29" s="200">
        <v>0.0</v>
      </c>
      <c r="P29" s="200">
        <v>0.0</v>
      </c>
      <c r="Q29" s="201" t="s">
        <v>683</v>
      </c>
      <c r="R29" s="4">
        <v>100.0</v>
      </c>
      <c r="S29" s="4" t="s">
        <v>1001</v>
      </c>
      <c r="T29" s="4" t="s">
        <v>1028</v>
      </c>
      <c r="U29" s="4" t="s">
        <v>1046</v>
      </c>
      <c r="V29" s="4"/>
      <c r="W29" s="4"/>
      <c r="X29" s="4"/>
      <c r="Y29" s="4"/>
      <c r="Z29" s="4"/>
      <c r="AA29" s="4"/>
      <c r="AB29" s="4"/>
      <c r="AC29" s="4"/>
      <c r="AD29" s="4"/>
      <c r="AE29" s="4"/>
      <c r="AF29" s="4"/>
      <c r="AG29" s="4"/>
      <c r="AH29" s="4"/>
      <c r="AI29" s="4"/>
      <c r="AJ29" s="4"/>
      <c r="AK29" s="4"/>
      <c r="AL29" s="4"/>
      <c r="AM29" s="4"/>
      <c r="AN29" s="4"/>
      <c r="AO29" s="4"/>
    </row>
    <row r="30" ht="12.75" hidden="1" customHeight="1">
      <c r="A30" s="200">
        <v>16.0</v>
      </c>
      <c r="B30" s="200" t="s">
        <v>895</v>
      </c>
      <c r="C30" s="200" t="s">
        <v>896</v>
      </c>
      <c r="D30" s="200" t="s">
        <v>999</v>
      </c>
      <c r="E30" s="4" t="s">
        <v>683</v>
      </c>
      <c r="F30" s="200">
        <v>2015.0</v>
      </c>
      <c r="G30" s="4" t="s">
        <v>1000</v>
      </c>
      <c r="H30" s="200">
        <v>2010.0</v>
      </c>
      <c r="I30" s="201" t="s">
        <v>683</v>
      </c>
      <c r="J30" s="200">
        <v>1785417.0</v>
      </c>
      <c r="K30" s="200">
        <v>100.0</v>
      </c>
      <c r="L30" s="200">
        <v>2020.0</v>
      </c>
      <c r="M30" s="200">
        <v>50.0</v>
      </c>
      <c r="N30" s="201" t="s">
        <v>683</v>
      </c>
      <c r="O30" s="200">
        <v>892708.5</v>
      </c>
      <c r="P30" s="200">
        <v>791409.0</v>
      </c>
      <c r="Q30" s="201" t="s">
        <v>683</v>
      </c>
      <c r="R30" s="4">
        <v>111.34743312066593</v>
      </c>
      <c r="S30" s="4" t="s">
        <v>1001</v>
      </c>
      <c r="T30" s="4" t="s">
        <v>1028</v>
      </c>
      <c r="U30" s="4" t="s">
        <v>1047</v>
      </c>
      <c r="V30" s="4"/>
      <c r="W30" s="4"/>
      <c r="X30" s="4"/>
      <c r="Y30" s="4"/>
      <c r="Z30" s="4"/>
      <c r="AA30" s="4"/>
      <c r="AB30" s="4"/>
      <c r="AC30" s="4"/>
      <c r="AD30" s="4"/>
      <c r="AE30" s="4"/>
      <c r="AF30" s="4"/>
      <c r="AG30" s="4"/>
      <c r="AH30" s="4"/>
      <c r="AI30" s="4"/>
      <c r="AJ30" s="4"/>
      <c r="AK30" s="4"/>
      <c r="AL30" s="4"/>
      <c r="AM30" s="4"/>
      <c r="AN30" s="4"/>
      <c r="AO30" s="4"/>
    </row>
    <row r="31" ht="12.75" hidden="1" customHeight="1">
      <c r="A31" s="200">
        <v>18.0</v>
      </c>
      <c r="B31" s="200" t="s">
        <v>895</v>
      </c>
      <c r="C31" s="200" t="s">
        <v>896</v>
      </c>
      <c r="D31" s="200" t="s">
        <v>1040</v>
      </c>
      <c r="E31" s="4" t="s">
        <v>683</v>
      </c>
      <c r="F31" s="200">
        <v>2016.0</v>
      </c>
      <c r="G31" s="4" t="s">
        <v>1000</v>
      </c>
      <c r="H31" s="201">
        <v>2013.0</v>
      </c>
      <c r="I31" s="201" t="s">
        <v>683</v>
      </c>
      <c r="J31" s="200">
        <v>379288.0</v>
      </c>
      <c r="K31" s="200">
        <v>100.0</v>
      </c>
      <c r="L31" s="200">
        <v>2030.0</v>
      </c>
      <c r="M31" s="200">
        <v>35.0</v>
      </c>
      <c r="N31" s="201" t="s">
        <v>683</v>
      </c>
      <c r="O31" s="200">
        <v>246537.2</v>
      </c>
      <c r="P31" s="200">
        <v>491674.0</v>
      </c>
      <c r="Q31" s="201" t="s">
        <v>683</v>
      </c>
      <c r="R31" s="4">
        <v>-84.65937681731486</v>
      </c>
      <c r="S31" s="4" t="s">
        <v>1001</v>
      </c>
      <c r="T31" s="4" t="s">
        <v>1008</v>
      </c>
      <c r="U31" s="4" t="s">
        <v>1048</v>
      </c>
      <c r="V31" s="4"/>
      <c r="W31" s="4"/>
      <c r="X31" s="4"/>
      <c r="Y31" s="4"/>
      <c r="Z31" s="4"/>
      <c r="AA31" s="4"/>
      <c r="AB31" s="4"/>
      <c r="AC31" s="4"/>
      <c r="AD31" s="4"/>
      <c r="AE31" s="4"/>
      <c r="AF31" s="4"/>
      <c r="AG31" s="4"/>
      <c r="AH31" s="4"/>
      <c r="AI31" s="4"/>
      <c r="AJ31" s="4"/>
      <c r="AK31" s="4"/>
      <c r="AL31" s="4"/>
      <c r="AM31" s="4"/>
      <c r="AN31" s="4"/>
      <c r="AO31" s="4"/>
    </row>
    <row r="32" ht="12.75" hidden="1" customHeight="1">
      <c r="A32" s="200">
        <v>19.0</v>
      </c>
      <c r="B32" s="200" t="s">
        <v>895</v>
      </c>
      <c r="C32" s="200" t="s">
        <v>896</v>
      </c>
      <c r="D32" s="200" t="s">
        <v>999</v>
      </c>
      <c r="E32" s="4" t="s">
        <v>683</v>
      </c>
      <c r="F32" s="200">
        <v>2016.0</v>
      </c>
      <c r="G32" s="4" t="s">
        <v>1000</v>
      </c>
      <c r="H32" s="201">
        <v>2014.0</v>
      </c>
      <c r="I32" s="201" t="s">
        <v>683</v>
      </c>
      <c r="J32" s="200">
        <v>33189.21</v>
      </c>
      <c r="K32" s="200">
        <v>100.0</v>
      </c>
      <c r="L32" s="200">
        <v>2020.0</v>
      </c>
      <c r="M32" s="200">
        <v>30.0</v>
      </c>
      <c r="N32" s="201" t="s">
        <v>683</v>
      </c>
      <c r="O32" s="200">
        <v>23232.446999999996</v>
      </c>
      <c r="P32" s="200">
        <v>25958.0</v>
      </c>
      <c r="Q32" s="201" t="s">
        <v>683</v>
      </c>
      <c r="R32" s="4">
        <v>72.62611352705692</v>
      </c>
      <c r="S32" s="4" t="s">
        <v>1001</v>
      </c>
      <c r="T32" s="4" t="s">
        <v>1028</v>
      </c>
      <c r="U32" s="4" t="s">
        <v>1049</v>
      </c>
      <c r="V32" s="4"/>
      <c r="W32" s="4"/>
      <c r="X32" s="4"/>
      <c r="Y32" s="4"/>
      <c r="Z32" s="4"/>
      <c r="AA32" s="4"/>
      <c r="AB32" s="4"/>
      <c r="AC32" s="4"/>
      <c r="AD32" s="4"/>
      <c r="AE32" s="4"/>
      <c r="AF32" s="4"/>
      <c r="AG32" s="4"/>
      <c r="AH32" s="4"/>
      <c r="AI32" s="4"/>
      <c r="AJ32" s="4"/>
      <c r="AK32" s="4"/>
      <c r="AL32" s="4"/>
      <c r="AM32" s="4"/>
      <c r="AN32" s="4"/>
      <c r="AO32" s="4"/>
    </row>
    <row r="33" ht="12.75" hidden="1" customHeight="1">
      <c r="A33" s="200">
        <v>89.0</v>
      </c>
      <c r="B33" s="200" t="s">
        <v>895</v>
      </c>
      <c r="C33" s="200" t="s">
        <v>896</v>
      </c>
      <c r="D33" s="200" t="s">
        <v>999</v>
      </c>
      <c r="E33" s="4" t="s">
        <v>683</v>
      </c>
      <c r="F33" s="200">
        <v>2019.0</v>
      </c>
      <c r="G33" s="4" t="s">
        <v>1000</v>
      </c>
      <c r="H33" s="201">
        <v>2018.0</v>
      </c>
      <c r="I33" s="201" t="s">
        <v>683</v>
      </c>
      <c r="J33" s="200">
        <v>150157.0</v>
      </c>
      <c r="K33" s="200">
        <v>100.0</v>
      </c>
      <c r="L33" s="200">
        <v>2025.0</v>
      </c>
      <c r="M33" s="200">
        <v>20.0</v>
      </c>
      <c r="N33" s="201" t="s">
        <v>683</v>
      </c>
      <c r="O33" s="200">
        <v>120125.6</v>
      </c>
      <c r="P33" s="200">
        <v>138307.0</v>
      </c>
      <c r="Q33" s="201" t="s">
        <v>683</v>
      </c>
      <c r="R33" s="4">
        <v>39.458699894110836</v>
      </c>
      <c r="S33" s="4" t="s">
        <v>1001</v>
      </c>
      <c r="T33" s="4" t="s">
        <v>1008</v>
      </c>
      <c r="U33" s="4" t="s">
        <v>1050</v>
      </c>
      <c r="V33" s="4"/>
      <c r="W33" s="4"/>
      <c r="X33" s="4"/>
      <c r="Y33" s="4"/>
      <c r="Z33" s="4"/>
      <c r="AA33" s="4"/>
      <c r="AB33" s="4"/>
      <c r="AC33" s="4"/>
      <c r="AD33" s="4"/>
      <c r="AE33" s="4"/>
      <c r="AF33" s="4"/>
      <c r="AG33" s="4"/>
      <c r="AH33" s="4"/>
      <c r="AI33" s="4"/>
      <c r="AJ33" s="4"/>
      <c r="AK33" s="4"/>
      <c r="AL33" s="4"/>
      <c r="AM33" s="4"/>
      <c r="AN33" s="4"/>
      <c r="AO33" s="4"/>
    </row>
    <row r="34" ht="12.75" hidden="1" customHeight="1">
      <c r="A34" s="200">
        <v>89.0</v>
      </c>
      <c r="B34" s="200" t="s">
        <v>895</v>
      </c>
      <c r="C34" s="200" t="s">
        <v>902</v>
      </c>
      <c r="D34" s="200" t="s">
        <v>1038</v>
      </c>
      <c r="E34" s="4" t="s">
        <v>683</v>
      </c>
      <c r="F34" s="200">
        <v>2015.0</v>
      </c>
      <c r="G34" s="4" t="s">
        <v>1000</v>
      </c>
      <c r="H34" s="201">
        <v>2014.0</v>
      </c>
      <c r="I34" s="201" t="s">
        <v>683</v>
      </c>
      <c r="J34" s="200">
        <v>205197.0</v>
      </c>
      <c r="K34" s="200">
        <v>100.0</v>
      </c>
      <c r="L34" s="200">
        <v>2020.0</v>
      </c>
      <c r="M34" s="200">
        <v>96.0</v>
      </c>
      <c r="N34" s="201" t="s">
        <v>683</v>
      </c>
      <c r="O34" s="200">
        <v>8207.88</v>
      </c>
      <c r="P34" s="200"/>
      <c r="Q34" s="201" t="s">
        <v>683</v>
      </c>
      <c r="R34" s="4">
        <v>104.16666666666667</v>
      </c>
      <c r="S34" s="4" t="s">
        <v>1001</v>
      </c>
      <c r="T34" s="4" t="s">
        <v>1014</v>
      </c>
      <c r="U34" s="4" t="s">
        <v>1051</v>
      </c>
      <c r="V34" s="4"/>
      <c r="W34" s="4"/>
      <c r="X34" s="4"/>
      <c r="Y34" s="4"/>
      <c r="Z34" s="4"/>
      <c r="AA34" s="4"/>
      <c r="AB34" s="4"/>
      <c r="AC34" s="4"/>
      <c r="AD34" s="4"/>
      <c r="AE34" s="4"/>
      <c r="AF34" s="4"/>
      <c r="AG34" s="4"/>
      <c r="AH34" s="4"/>
      <c r="AI34" s="4"/>
      <c r="AJ34" s="4"/>
      <c r="AK34" s="4"/>
      <c r="AL34" s="4"/>
      <c r="AM34" s="4"/>
      <c r="AN34" s="4"/>
      <c r="AO34" s="4"/>
    </row>
    <row r="35" ht="12.75" hidden="1" customHeight="1">
      <c r="A35" s="200">
        <v>89.0</v>
      </c>
      <c r="B35" s="200" t="s">
        <v>895</v>
      </c>
      <c r="C35" s="200" t="s">
        <v>896</v>
      </c>
      <c r="D35" s="200" t="s">
        <v>1004</v>
      </c>
      <c r="E35" s="4" t="s">
        <v>683</v>
      </c>
      <c r="F35" s="200">
        <v>2015.0</v>
      </c>
      <c r="G35" s="4" t="s">
        <v>1000</v>
      </c>
      <c r="H35" s="201">
        <v>2014.0</v>
      </c>
      <c r="I35" s="201" t="s">
        <v>683</v>
      </c>
      <c r="J35" s="200">
        <v>214161.0</v>
      </c>
      <c r="K35" s="200">
        <v>100.0</v>
      </c>
      <c r="L35" s="200">
        <v>2040.0</v>
      </c>
      <c r="M35" s="200">
        <v>92.0</v>
      </c>
      <c r="N35" s="201" t="s">
        <v>683</v>
      </c>
      <c r="O35" s="200">
        <v>17132.88</v>
      </c>
      <c r="P35" s="200"/>
      <c r="Q35" s="201" t="s">
        <v>683</v>
      </c>
      <c r="R35" s="4">
        <v>108.69565217391303</v>
      </c>
      <c r="S35" s="4" t="s">
        <v>1001</v>
      </c>
      <c r="T35" s="4" t="s">
        <v>1014</v>
      </c>
      <c r="U35" s="4" t="s">
        <v>1052</v>
      </c>
      <c r="V35" s="4"/>
      <c r="W35" s="4"/>
      <c r="X35" s="4"/>
      <c r="Y35" s="4"/>
      <c r="Z35" s="4"/>
      <c r="AA35" s="4"/>
      <c r="AB35" s="4"/>
      <c r="AC35" s="4"/>
      <c r="AD35" s="4"/>
      <c r="AE35" s="4"/>
      <c r="AF35" s="4"/>
      <c r="AG35" s="4"/>
      <c r="AH35" s="4"/>
      <c r="AI35" s="4"/>
      <c r="AJ35" s="4"/>
      <c r="AK35" s="4"/>
      <c r="AL35" s="4"/>
      <c r="AM35" s="4"/>
      <c r="AN35" s="4"/>
      <c r="AO35" s="4"/>
    </row>
    <row r="36" ht="12.75" hidden="1" customHeight="1">
      <c r="A36" s="200">
        <v>20.0</v>
      </c>
      <c r="B36" s="200" t="s">
        <v>895</v>
      </c>
      <c r="C36" s="200" t="s">
        <v>896</v>
      </c>
      <c r="D36" s="200" t="s">
        <v>1004</v>
      </c>
      <c r="E36" s="4" t="s">
        <v>683</v>
      </c>
      <c r="F36" s="200">
        <v>2018.0</v>
      </c>
      <c r="G36" s="4" t="s">
        <v>1000</v>
      </c>
      <c r="H36" s="201">
        <v>2017.0</v>
      </c>
      <c r="I36" s="201" t="s">
        <v>683</v>
      </c>
      <c r="J36" s="200">
        <v>1004000.0</v>
      </c>
      <c r="K36" s="200">
        <v>70.0</v>
      </c>
      <c r="L36" s="200">
        <v>2025.0</v>
      </c>
      <c r="M36" s="200">
        <v>25.0</v>
      </c>
      <c r="N36" s="201" t="s">
        <v>683</v>
      </c>
      <c r="O36" s="200">
        <v>753000.0</v>
      </c>
      <c r="P36" s="200">
        <v>976000.0</v>
      </c>
      <c r="Q36" s="201" t="s">
        <v>683</v>
      </c>
      <c r="R36" s="4">
        <v>11.155378486055776</v>
      </c>
      <c r="S36" s="4" t="s">
        <v>1001</v>
      </c>
      <c r="T36" s="4" t="s">
        <v>1028</v>
      </c>
      <c r="U36" s="4" t="s">
        <v>1053</v>
      </c>
      <c r="V36" s="4"/>
      <c r="W36" s="4"/>
      <c r="X36" s="4"/>
      <c r="Y36" s="4"/>
      <c r="Z36" s="4"/>
      <c r="AA36" s="4"/>
      <c r="AB36" s="4"/>
      <c r="AC36" s="4"/>
      <c r="AD36" s="4"/>
      <c r="AE36" s="4"/>
      <c r="AF36" s="4"/>
      <c r="AG36" s="4"/>
      <c r="AH36" s="4"/>
      <c r="AI36" s="4"/>
      <c r="AJ36" s="4"/>
      <c r="AK36" s="4"/>
      <c r="AL36" s="4"/>
      <c r="AM36" s="4"/>
      <c r="AN36" s="4"/>
      <c r="AO36" s="4"/>
    </row>
    <row r="37" ht="12.75" hidden="1" customHeight="1">
      <c r="A37" s="200">
        <v>22.0</v>
      </c>
      <c r="B37" s="200" t="s">
        <v>895</v>
      </c>
      <c r="C37" s="200" t="s">
        <v>896</v>
      </c>
      <c r="D37" s="200" t="s">
        <v>1004</v>
      </c>
      <c r="E37" s="4" t="s">
        <v>683</v>
      </c>
      <c r="F37" s="200">
        <v>2015.0</v>
      </c>
      <c r="G37" s="4" t="s">
        <v>1000</v>
      </c>
      <c r="H37" s="201">
        <v>2015.0</v>
      </c>
      <c r="I37" s="201" t="s">
        <v>683</v>
      </c>
      <c r="J37" s="200">
        <v>379183.76</v>
      </c>
      <c r="K37" s="200">
        <v>100.0</v>
      </c>
      <c r="L37" s="200">
        <v>2020.0</v>
      </c>
      <c r="M37" s="200">
        <v>5.0</v>
      </c>
      <c r="N37" s="201" t="s">
        <v>683</v>
      </c>
      <c r="O37" s="200">
        <v>360224.57200000004</v>
      </c>
      <c r="P37" s="200">
        <v>300349.0</v>
      </c>
      <c r="Q37" s="201" t="s">
        <v>683</v>
      </c>
      <c r="R37" s="4">
        <v>415.81295570253405</v>
      </c>
      <c r="S37" s="4" t="s">
        <v>1001</v>
      </c>
      <c r="T37" s="4" t="s">
        <v>1002</v>
      </c>
      <c r="U37" s="4" t="s">
        <v>1054</v>
      </c>
      <c r="V37" s="4"/>
      <c r="W37" s="4"/>
      <c r="X37" s="4"/>
      <c r="Y37" s="4"/>
      <c r="Z37" s="4"/>
      <c r="AA37" s="4"/>
      <c r="AB37" s="4"/>
      <c r="AC37" s="4"/>
      <c r="AD37" s="4"/>
      <c r="AE37" s="4"/>
      <c r="AF37" s="4"/>
      <c r="AG37" s="4"/>
      <c r="AH37" s="4"/>
      <c r="AI37" s="4"/>
      <c r="AJ37" s="4"/>
      <c r="AK37" s="4"/>
      <c r="AL37" s="4"/>
      <c r="AM37" s="4"/>
      <c r="AN37" s="4"/>
      <c r="AO37" s="4"/>
    </row>
    <row r="38" ht="12.75" hidden="1" customHeight="1">
      <c r="A38" s="200">
        <v>23.0</v>
      </c>
      <c r="B38" s="200" t="s">
        <v>895</v>
      </c>
      <c r="C38" s="200" t="s">
        <v>896</v>
      </c>
      <c r="D38" s="200" t="s">
        <v>1004</v>
      </c>
      <c r="E38" s="4" t="s">
        <v>683</v>
      </c>
      <c r="F38" s="200">
        <v>2018.0</v>
      </c>
      <c r="G38" s="4" t="s">
        <v>1000</v>
      </c>
      <c r="H38" s="201">
        <v>2017.0</v>
      </c>
      <c r="I38" s="201" t="s">
        <v>683</v>
      </c>
      <c r="J38" s="200">
        <v>11719.0</v>
      </c>
      <c r="K38" s="200">
        <v>100.0</v>
      </c>
      <c r="L38" s="200">
        <v>2019.0</v>
      </c>
      <c r="M38" s="200">
        <v>100.0</v>
      </c>
      <c r="N38" s="201" t="s">
        <v>683</v>
      </c>
      <c r="O38" s="200">
        <v>0.0</v>
      </c>
      <c r="P38" s="200">
        <v>0.0</v>
      </c>
      <c r="Q38" s="201" t="s">
        <v>683</v>
      </c>
      <c r="R38" s="4">
        <v>100.0</v>
      </c>
      <c r="S38" s="4" t="s">
        <v>1013</v>
      </c>
      <c r="T38" s="4" t="s">
        <v>1002</v>
      </c>
      <c r="U38" s="4" t="s">
        <v>1055</v>
      </c>
      <c r="V38" s="4"/>
      <c r="W38" s="4"/>
      <c r="X38" s="4"/>
      <c r="Y38" s="4"/>
      <c r="Z38" s="4"/>
      <c r="AA38" s="4"/>
      <c r="AB38" s="4"/>
      <c r="AC38" s="4"/>
      <c r="AD38" s="4"/>
      <c r="AE38" s="4"/>
      <c r="AF38" s="4"/>
      <c r="AG38" s="4"/>
      <c r="AH38" s="4"/>
      <c r="AI38" s="4"/>
      <c r="AJ38" s="4"/>
      <c r="AK38" s="4"/>
      <c r="AL38" s="4"/>
      <c r="AM38" s="4"/>
      <c r="AN38" s="4"/>
      <c r="AO38" s="4"/>
    </row>
    <row r="39" ht="12.75" hidden="1" customHeight="1">
      <c r="A39" s="200">
        <v>23.0</v>
      </c>
      <c r="B39" s="200" t="s">
        <v>895</v>
      </c>
      <c r="C39" s="200" t="s">
        <v>689</v>
      </c>
      <c r="D39" s="200" t="s">
        <v>1056</v>
      </c>
      <c r="E39" s="4" t="s">
        <v>683</v>
      </c>
      <c r="F39" s="200">
        <v>2018.0</v>
      </c>
      <c r="G39" s="4" t="s">
        <v>1000</v>
      </c>
      <c r="H39" s="201">
        <v>2017.0</v>
      </c>
      <c r="I39" s="201" t="s">
        <v>683</v>
      </c>
      <c r="J39" s="200">
        <v>62340.0</v>
      </c>
      <c r="K39" s="200">
        <v>100.0</v>
      </c>
      <c r="L39" s="200">
        <v>2019.0</v>
      </c>
      <c r="M39" s="200">
        <v>100.0</v>
      </c>
      <c r="N39" s="201" t="s">
        <v>683</v>
      </c>
      <c r="O39" s="200">
        <v>0.0</v>
      </c>
      <c r="P39" s="200">
        <v>0.0</v>
      </c>
      <c r="Q39" s="201" t="s">
        <v>683</v>
      </c>
      <c r="R39" s="4">
        <v>100.0</v>
      </c>
      <c r="S39" s="4" t="s">
        <v>1013</v>
      </c>
      <c r="T39" s="4" t="s">
        <v>1002</v>
      </c>
      <c r="U39" s="4" t="s">
        <v>1057</v>
      </c>
      <c r="V39" s="4"/>
      <c r="W39" s="4"/>
      <c r="X39" s="4"/>
      <c r="Y39" s="4"/>
      <c r="Z39" s="4"/>
      <c r="AA39" s="4"/>
      <c r="AB39" s="4"/>
      <c r="AC39" s="4"/>
      <c r="AD39" s="4"/>
      <c r="AE39" s="4"/>
      <c r="AF39" s="4"/>
      <c r="AG39" s="4"/>
      <c r="AH39" s="4"/>
      <c r="AI39" s="4"/>
      <c r="AJ39" s="4"/>
      <c r="AK39" s="4"/>
      <c r="AL39" s="4"/>
      <c r="AM39" s="4"/>
      <c r="AN39" s="4"/>
      <c r="AO39" s="4"/>
    </row>
    <row r="40" ht="12.75" hidden="1" customHeight="1">
      <c r="A40" s="200">
        <v>27.0</v>
      </c>
      <c r="B40" s="200" t="s">
        <v>895</v>
      </c>
      <c r="C40" s="200" t="s">
        <v>896</v>
      </c>
      <c r="D40" s="200" t="s">
        <v>1004</v>
      </c>
      <c r="E40" s="4" t="s">
        <v>683</v>
      </c>
      <c r="F40" s="200">
        <v>2017.0</v>
      </c>
      <c r="G40" s="4" t="s">
        <v>1000</v>
      </c>
      <c r="H40" s="201">
        <v>2007.0</v>
      </c>
      <c r="I40" s="201" t="s">
        <v>683</v>
      </c>
      <c r="J40" s="200">
        <v>450733.0</v>
      </c>
      <c r="K40" s="200">
        <v>100.0</v>
      </c>
      <c r="L40" s="200">
        <v>2022.0</v>
      </c>
      <c r="M40" s="200">
        <v>60.0</v>
      </c>
      <c r="N40" s="201" t="s">
        <v>683</v>
      </c>
      <c r="O40" s="200">
        <v>180293.2</v>
      </c>
      <c r="P40" s="200">
        <v>228610.0</v>
      </c>
      <c r="Q40" s="201" t="s">
        <v>683</v>
      </c>
      <c r="R40" s="4">
        <v>82.13399063303552</v>
      </c>
      <c r="S40" s="4" t="s">
        <v>1001</v>
      </c>
      <c r="T40" s="4" t="s">
        <v>1008</v>
      </c>
      <c r="U40" s="4" t="s">
        <v>1058</v>
      </c>
      <c r="V40" s="4"/>
      <c r="W40" s="4"/>
      <c r="X40" s="4"/>
      <c r="Y40" s="4"/>
      <c r="Z40" s="4"/>
      <c r="AA40" s="4"/>
      <c r="AB40" s="4"/>
      <c r="AC40" s="4"/>
      <c r="AD40" s="4"/>
      <c r="AE40" s="4"/>
      <c r="AF40" s="4"/>
      <c r="AG40" s="4"/>
      <c r="AH40" s="4"/>
      <c r="AI40" s="4"/>
      <c r="AJ40" s="4"/>
      <c r="AK40" s="4"/>
      <c r="AL40" s="4"/>
      <c r="AM40" s="4"/>
      <c r="AN40" s="4"/>
      <c r="AO40" s="4"/>
    </row>
    <row r="41" ht="12.75" hidden="1" customHeight="1">
      <c r="A41" s="200">
        <v>27.0</v>
      </c>
      <c r="B41" s="200" t="s">
        <v>895</v>
      </c>
      <c r="C41" s="200" t="s">
        <v>689</v>
      </c>
      <c r="D41" s="200" t="s">
        <v>1059</v>
      </c>
      <c r="E41" s="4" t="s">
        <v>683</v>
      </c>
      <c r="F41" s="200">
        <v>2017.0</v>
      </c>
      <c r="G41" s="4" t="s">
        <v>1060</v>
      </c>
      <c r="H41" s="201">
        <v>2016.0</v>
      </c>
      <c r="I41" s="201" t="s">
        <v>683</v>
      </c>
      <c r="J41" s="200">
        <v>2.6233018E7</v>
      </c>
      <c r="K41" s="200">
        <v>100.0</v>
      </c>
      <c r="L41" s="200">
        <v>2022.0</v>
      </c>
      <c r="M41" s="200">
        <v>13.0</v>
      </c>
      <c r="N41" s="201" t="s">
        <v>683</v>
      </c>
      <c r="O41" s="200">
        <v>2.282272566E7</v>
      </c>
      <c r="P41" s="200">
        <v>2.4929174E7</v>
      </c>
      <c r="Q41" s="201" t="s">
        <v>683</v>
      </c>
      <c r="R41" s="4">
        <v>38.2326167380712</v>
      </c>
      <c r="S41" s="4" t="s">
        <v>1001</v>
      </c>
      <c r="T41" s="4" t="s">
        <v>1008</v>
      </c>
      <c r="U41" s="4" t="s">
        <v>1061</v>
      </c>
      <c r="V41" s="4"/>
      <c r="W41" s="4"/>
      <c r="X41" s="4"/>
      <c r="Y41" s="4"/>
      <c r="Z41" s="4"/>
      <c r="AA41" s="4"/>
      <c r="AB41" s="4"/>
      <c r="AC41" s="4"/>
      <c r="AD41" s="4"/>
      <c r="AE41" s="4"/>
      <c r="AF41" s="4"/>
      <c r="AG41" s="4"/>
      <c r="AH41" s="4"/>
      <c r="AI41" s="4"/>
      <c r="AJ41" s="4"/>
      <c r="AK41" s="4"/>
      <c r="AL41" s="4"/>
      <c r="AM41" s="4"/>
      <c r="AN41" s="4"/>
      <c r="AO41" s="4"/>
    </row>
    <row r="42" ht="12.75" hidden="1" customHeight="1">
      <c r="A42" s="200">
        <v>28.0</v>
      </c>
      <c r="B42" s="200" t="s">
        <v>895</v>
      </c>
      <c r="C42" s="200" t="s">
        <v>896</v>
      </c>
      <c r="D42" s="200" t="s">
        <v>999</v>
      </c>
      <c r="E42" s="4" t="s">
        <v>683</v>
      </c>
      <c r="F42" s="200">
        <v>2006.0</v>
      </c>
      <c r="G42" s="4" t="s">
        <v>1000</v>
      </c>
      <c r="H42" s="201">
        <v>2005.0</v>
      </c>
      <c r="I42" s="201" t="s">
        <v>683</v>
      </c>
      <c r="J42" s="200">
        <v>1091759.0</v>
      </c>
      <c r="K42" s="200">
        <v>100.0</v>
      </c>
      <c r="L42" s="200">
        <v>2020.0</v>
      </c>
      <c r="M42" s="200">
        <v>35.0</v>
      </c>
      <c r="N42" s="201" t="s">
        <v>683</v>
      </c>
      <c r="O42" s="200">
        <v>709643.35</v>
      </c>
      <c r="P42" s="200">
        <v>616900.0</v>
      </c>
      <c r="Q42" s="201" t="s">
        <v>683</v>
      </c>
      <c r="R42" s="4">
        <v>124.27101585606346</v>
      </c>
      <c r="S42" s="4" t="s">
        <v>1013</v>
      </c>
      <c r="T42" s="4" t="s">
        <v>1028</v>
      </c>
      <c r="U42" s="4" t="s">
        <v>1062</v>
      </c>
      <c r="V42" s="4"/>
      <c r="W42" s="4"/>
      <c r="X42" s="4"/>
      <c r="Y42" s="4"/>
      <c r="Z42" s="4"/>
      <c r="AA42" s="4"/>
      <c r="AB42" s="4"/>
      <c r="AC42" s="4"/>
      <c r="AD42" s="4"/>
      <c r="AE42" s="4"/>
      <c r="AF42" s="4"/>
      <c r="AG42" s="4"/>
      <c r="AH42" s="4"/>
      <c r="AI42" s="4"/>
      <c r="AJ42" s="4"/>
      <c r="AK42" s="4"/>
      <c r="AL42" s="4"/>
      <c r="AM42" s="4"/>
      <c r="AN42" s="4"/>
      <c r="AO42" s="4"/>
    </row>
    <row r="43" ht="12.75" hidden="1" customHeight="1">
      <c r="A43" s="200">
        <v>28.0</v>
      </c>
      <c r="B43" s="200" t="s">
        <v>895</v>
      </c>
      <c r="C43" s="200" t="s">
        <v>896</v>
      </c>
      <c r="D43" s="200" t="s">
        <v>999</v>
      </c>
      <c r="E43" s="4" t="s">
        <v>683</v>
      </c>
      <c r="F43" s="200">
        <v>2006.0</v>
      </c>
      <c r="G43" s="4" t="s">
        <v>1000</v>
      </c>
      <c r="H43" s="201">
        <v>2005.0</v>
      </c>
      <c r="I43" s="201" t="s">
        <v>683</v>
      </c>
      <c r="J43" s="200">
        <v>1091759.0</v>
      </c>
      <c r="K43" s="200">
        <v>100.0</v>
      </c>
      <c r="L43" s="200">
        <v>2050.0</v>
      </c>
      <c r="M43" s="200">
        <v>80.0</v>
      </c>
      <c r="N43" s="201" t="s">
        <v>683</v>
      </c>
      <c r="O43" s="200">
        <v>218351.8</v>
      </c>
      <c r="P43" s="200">
        <v>616900.0</v>
      </c>
      <c r="Q43" s="201" t="s">
        <v>683</v>
      </c>
      <c r="R43" s="4">
        <v>54.36856943702777</v>
      </c>
      <c r="S43" s="4" t="s">
        <v>1001</v>
      </c>
      <c r="T43" s="4" t="s">
        <v>1028</v>
      </c>
      <c r="U43" s="4" t="s">
        <v>1063</v>
      </c>
      <c r="V43" s="4"/>
      <c r="W43" s="4"/>
      <c r="X43" s="4"/>
      <c r="Y43" s="4"/>
      <c r="Z43" s="4"/>
      <c r="AA43" s="4"/>
      <c r="AB43" s="4"/>
      <c r="AC43" s="4"/>
      <c r="AD43" s="4"/>
      <c r="AE43" s="4"/>
      <c r="AF43" s="4"/>
      <c r="AG43" s="4"/>
      <c r="AH43" s="4"/>
      <c r="AI43" s="4"/>
      <c r="AJ43" s="4"/>
      <c r="AK43" s="4"/>
      <c r="AL43" s="4"/>
      <c r="AM43" s="4"/>
      <c r="AN43" s="4"/>
      <c r="AO43" s="4"/>
    </row>
    <row r="44" ht="12.75" hidden="1" customHeight="1">
      <c r="A44" s="200">
        <v>30.0</v>
      </c>
      <c r="B44" s="200" t="s">
        <v>895</v>
      </c>
      <c r="C44" s="200" t="s">
        <v>896</v>
      </c>
      <c r="D44" s="200" t="s">
        <v>1004</v>
      </c>
      <c r="E44" s="4" t="s">
        <v>683</v>
      </c>
      <c r="F44" s="200">
        <v>2016.0</v>
      </c>
      <c r="G44" s="4" t="s">
        <v>1000</v>
      </c>
      <c r="H44" s="201">
        <v>2002.0</v>
      </c>
      <c r="I44" s="201" t="s">
        <v>683</v>
      </c>
      <c r="J44" s="200">
        <v>699761.0</v>
      </c>
      <c r="K44" s="200">
        <v>95.0</v>
      </c>
      <c r="L44" s="200">
        <v>2020.0</v>
      </c>
      <c r="M44" s="200">
        <v>25.0</v>
      </c>
      <c r="N44" s="201" t="s">
        <v>683</v>
      </c>
      <c r="O44" s="200">
        <v>524820.75</v>
      </c>
      <c r="P44" s="200">
        <v>474312.0</v>
      </c>
      <c r="Q44" s="201" t="s">
        <v>683</v>
      </c>
      <c r="R44" s="4">
        <v>128.8720005830562</v>
      </c>
      <c r="S44" s="4" t="s">
        <v>1013</v>
      </c>
      <c r="T44" s="4" t="s">
        <v>1008</v>
      </c>
      <c r="U44" s="4" t="s">
        <v>1064</v>
      </c>
      <c r="V44" s="4"/>
      <c r="W44" s="4"/>
      <c r="X44" s="4"/>
      <c r="Y44" s="4"/>
      <c r="Z44" s="4"/>
      <c r="AA44" s="4"/>
      <c r="AB44" s="4"/>
      <c r="AC44" s="4"/>
      <c r="AD44" s="4"/>
      <c r="AE44" s="4"/>
      <c r="AF44" s="4"/>
      <c r="AG44" s="4"/>
      <c r="AH44" s="4"/>
      <c r="AI44" s="4"/>
      <c r="AJ44" s="4"/>
      <c r="AK44" s="4"/>
      <c r="AL44" s="4"/>
      <c r="AM44" s="4"/>
      <c r="AN44" s="4"/>
      <c r="AO44" s="4"/>
    </row>
    <row r="45" ht="12.75" hidden="1" customHeight="1">
      <c r="A45" s="200">
        <v>30.0</v>
      </c>
      <c r="B45" s="200" t="s">
        <v>895</v>
      </c>
      <c r="C45" s="200" t="s">
        <v>896</v>
      </c>
      <c r="D45" s="200" t="s">
        <v>1004</v>
      </c>
      <c r="E45" s="4" t="s">
        <v>683</v>
      </c>
      <c r="F45" s="200">
        <v>2016.0</v>
      </c>
      <c r="G45" s="4" t="s">
        <v>1000</v>
      </c>
      <c r="H45" s="201">
        <v>2002.0</v>
      </c>
      <c r="I45" s="201" t="s">
        <v>683</v>
      </c>
      <c r="J45" s="200">
        <v>699761.0</v>
      </c>
      <c r="K45" s="200">
        <v>95.0</v>
      </c>
      <c r="L45" s="200">
        <v>2050.0</v>
      </c>
      <c r="M45" s="200">
        <v>50.0</v>
      </c>
      <c r="N45" s="201" t="s">
        <v>683</v>
      </c>
      <c r="O45" s="200">
        <v>349880.5</v>
      </c>
      <c r="P45" s="200">
        <v>474312.0</v>
      </c>
      <c r="Q45" s="201" t="s">
        <v>683</v>
      </c>
      <c r="R45" s="4">
        <v>64.4360002915281</v>
      </c>
      <c r="S45" s="4" t="s">
        <v>1001</v>
      </c>
      <c r="T45" s="4" t="s">
        <v>1008</v>
      </c>
      <c r="U45" s="4" t="s">
        <v>1065</v>
      </c>
      <c r="V45" s="4"/>
      <c r="W45" s="4"/>
      <c r="X45" s="4"/>
      <c r="Y45" s="4"/>
      <c r="Z45" s="4"/>
      <c r="AA45" s="4"/>
      <c r="AB45" s="4"/>
      <c r="AC45" s="4"/>
      <c r="AD45" s="4"/>
      <c r="AE45" s="4"/>
      <c r="AF45" s="4"/>
      <c r="AG45" s="4"/>
      <c r="AH45" s="4"/>
      <c r="AI45" s="4"/>
      <c r="AJ45" s="4"/>
      <c r="AK45" s="4"/>
      <c r="AL45" s="4"/>
      <c r="AM45" s="4"/>
      <c r="AN45" s="4"/>
      <c r="AO45" s="4"/>
    </row>
    <row r="46" ht="12.75" hidden="1" customHeight="1">
      <c r="A46" s="200">
        <v>30.0</v>
      </c>
      <c r="B46" s="200" t="s">
        <v>895</v>
      </c>
      <c r="C46" s="200" t="s">
        <v>689</v>
      </c>
      <c r="D46" s="200" t="s">
        <v>1059</v>
      </c>
      <c r="E46" s="4" t="s">
        <v>683</v>
      </c>
      <c r="F46" s="200">
        <v>2016.0</v>
      </c>
      <c r="G46" s="4" t="s">
        <v>1000</v>
      </c>
      <c r="H46" s="201">
        <v>2016.0</v>
      </c>
      <c r="I46" s="201" t="s">
        <v>683</v>
      </c>
      <c r="J46" s="200">
        <v>4.72E7</v>
      </c>
      <c r="K46" s="200">
        <v>90.0</v>
      </c>
      <c r="L46" s="200">
        <v>2022.0</v>
      </c>
      <c r="M46" s="200">
        <v>5.0</v>
      </c>
      <c r="N46" s="201" t="s">
        <v>683</v>
      </c>
      <c r="O46" s="200">
        <v>4.484E7</v>
      </c>
      <c r="P46" s="200">
        <v>4.2014727E7</v>
      </c>
      <c r="Q46" s="201" t="s">
        <v>683</v>
      </c>
      <c r="R46" s="4">
        <v>219.71495762711862</v>
      </c>
      <c r="S46" s="4" t="s">
        <v>1013</v>
      </c>
      <c r="T46" s="4" t="s">
        <v>1008</v>
      </c>
      <c r="U46" s="4" t="s">
        <v>1066</v>
      </c>
      <c r="V46" s="4"/>
      <c r="W46" s="4"/>
      <c r="X46" s="4"/>
      <c r="Y46" s="4"/>
      <c r="Z46" s="4"/>
      <c r="AA46" s="4"/>
      <c r="AB46" s="4"/>
      <c r="AC46" s="4"/>
      <c r="AD46" s="4"/>
      <c r="AE46" s="4"/>
      <c r="AF46" s="4"/>
      <c r="AG46" s="4"/>
      <c r="AH46" s="4"/>
      <c r="AI46" s="4"/>
      <c r="AJ46" s="4"/>
      <c r="AK46" s="4"/>
      <c r="AL46" s="4"/>
      <c r="AM46" s="4"/>
      <c r="AN46" s="4"/>
      <c r="AO46" s="4"/>
    </row>
    <row r="47" ht="12.75" hidden="1" customHeight="1">
      <c r="A47" s="200">
        <v>31.0</v>
      </c>
      <c r="B47" s="200" t="s">
        <v>895</v>
      </c>
      <c r="C47" s="200" t="s">
        <v>896</v>
      </c>
      <c r="D47" s="200" t="s">
        <v>1067</v>
      </c>
      <c r="E47" s="4" t="s">
        <v>683</v>
      </c>
      <c r="F47" s="200">
        <v>2019.0</v>
      </c>
      <c r="G47" s="4" t="s">
        <v>1068</v>
      </c>
      <c r="H47" s="201">
        <v>2018.0</v>
      </c>
      <c r="I47" s="201" t="s">
        <v>683</v>
      </c>
      <c r="J47" s="200">
        <v>2001609.0</v>
      </c>
      <c r="K47" s="200">
        <v>5.0</v>
      </c>
      <c r="L47" s="200">
        <v>2030.0</v>
      </c>
      <c r="M47" s="200">
        <v>50.0</v>
      </c>
      <c r="N47" s="201" t="s">
        <v>683</v>
      </c>
      <c r="O47" s="200">
        <v>1000804.5</v>
      </c>
      <c r="P47" s="200">
        <v>1974441.0</v>
      </c>
      <c r="Q47" s="201" t="s">
        <v>683</v>
      </c>
      <c r="R47" s="4">
        <v>2.7146160913545057</v>
      </c>
      <c r="S47" s="4" t="s">
        <v>1024</v>
      </c>
      <c r="T47" s="4" t="s">
        <v>1028</v>
      </c>
      <c r="U47" s="4" t="s">
        <v>1069</v>
      </c>
      <c r="V47" s="4"/>
      <c r="W47" s="4"/>
      <c r="X47" s="4"/>
      <c r="Y47" s="4"/>
      <c r="Z47" s="4"/>
      <c r="AA47" s="4"/>
      <c r="AB47" s="4"/>
      <c r="AC47" s="4"/>
      <c r="AD47" s="4"/>
      <c r="AE47" s="4"/>
      <c r="AF47" s="4"/>
      <c r="AG47" s="4"/>
      <c r="AH47" s="4"/>
      <c r="AI47" s="4"/>
      <c r="AJ47" s="4"/>
      <c r="AK47" s="4"/>
      <c r="AL47" s="4"/>
      <c r="AM47" s="4"/>
      <c r="AN47" s="4"/>
      <c r="AO47" s="4"/>
    </row>
    <row r="48" ht="12.75" hidden="1" customHeight="1">
      <c r="A48" s="200">
        <v>31.0</v>
      </c>
      <c r="B48" s="200" t="s">
        <v>895</v>
      </c>
      <c r="C48" s="200" t="s">
        <v>900</v>
      </c>
      <c r="D48" s="200" t="s">
        <v>1033</v>
      </c>
      <c r="E48" s="4" t="s">
        <v>683</v>
      </c>
      <c r="F48" s="200">
        <v>2018.0</v>
      </c>
      <c r="G48" s="4" t="s">
        <v>1068</v>
      </c>
      <c r="H48" s="201">
        <v>2017.0</v>
      </c>
      <c r="I48" s="201" t="s">
        <v>683</v>
      </c>
      <c r="J48" s="200">
        <v>388377.0</v>
      </c>
      <c r="K48" s="200">
        <v>20.0</v>
      </c>
      <c r="L48" s="200">
        <v>2019.0</v>
      </c>
      <c r="M48" s="200">
        <v>100.0</v>
      </c>
      <c r="N48" s="201" t="s">
        <v>683</v>
      </c>
      <c r="O48" s="200">
        <v>0.0</v>
      </c>
      <c r="P48" s="200">
        <v>367572.0</v>
      </c>
      <c r="Q48" s="201" t="s">
        <v>683</v>
      </c>
      <c r="R48" s="4">
        <v>5.35690836481048</v>
      </c>
      <c r="S48" s="4" t="s">
        <v>1001</v>
      </c>
      <c r="T48" s="4" t="s">
        <v>1002</v>
      </c>
      <c r="U48" s="4" t="s">
        <v>1070</v>
      </c>
      <c r="V48" s="4"/>
      <c r="W48" s="4"/>
      <c r="X48" s="4"/>
      <c r="Y48" s="4"/>
      <c r="Z48" s="4"/>
      <c r="AA48" s="4"/>
      <c r="AB48" s="4"/>
      <c r="AC48" s="4"/>
      <c r="AD48" s="4"/>
      <c r="AE48" s="4"/>
      <c r="AF48" s="4"/>
      <c r="AG48" s="4"/>
      <c r="AH48" s="4"/>
      <c r="AI48" s="4"/>
      <c r="AJ48" s="4"/>
      <c r="AK48" s="4"/>
      <c r="AL48" s="4"/>
      <c r="AM48" s="4"/>
      <c r="AN48" s="4"/>
      <c r="AO48" s="4"/>
    </row>
    <row r="49" ht="12.75" hidden="1" customHeight="1">
      <c r="A49" s="200">
        <v>31.0</v>
      </c>
      <c r="B49" s="200" t="s">
        <v>895</v>
      </c>
      <c r="C49" s="200" t="s">
        <v>896</v>
      </c>
      <c r="D49" s="200" t="s">
        <v>999</v>
      </c>
      <c r="E49" s="4" t="s">
        <v>683</v>
      </c>
      <c r="F49" s="200">
        <v>2017.0</v>
      </c>
      <c r="G49" s="4" t="s">
        <v>1068</v>
      </c>
      <c r="H49" s="201">
        <v>2017.0</v>
      </c>
      <c r="I49" s="201" t="s">
        <v>683</v>
      </c>
      <c r="J49" s="200">
        <v>1925233.0</v>
      </c>
      <c r="K49" s="200">
        <v>95.0</v>
      </c>
      <c r="L49" s="200">
        <v>2019.0</v>
      </c>
      <c r="M49" s="200">
        <v>100.0</v>
      </c>
      <c r="N49" s="201" t="s">
        <v>683</v>
      </c>
      <c r="O49" s="200">
        <v>0.0</v>
      </c>
      <c r="P49" s="200">
        <v>1968858.0</v>
      </c>
      <c r="Q49" s="201" t="s">
        <v>683</v>
      </c>
      <c r="R49" s="4">
        <v>-2.265959496850511</v>
      </c>
      <c r="S49" s="4" t="s">
        <v>1001</v>
      </c>
      <c r="T49" s="4" t="s">
        <v>1002</v>
      </c>
      <c r="U49" s="4" t="s">
        <v>1071</v>
      </c>
      <c r="V49" s="4"/>
      <c r="W49" s="4"/>
      <c r="X49" s="4"/>
      <c r="Y49" s="4"/>
      <c r="Z49" s="4"/>
      <c r="AA49" s="4"/>
      <c r="AB49" s="4"/>
      <c r="AC49" s="4"/>
      <c r="AD49" s="4"/>
      <c r="AE49" s="4"/>
      <c r="AF49" s="4"/>
      <c r="AG49" s="4"/>
      <c r="AH49" s="4"/>
      <c r="AI49" s="4"/>
      <c r="AJ49" s="4"/>
      <c r="AK49" s="4"/>
      <c r="AL49" s="4"/>
      <c r="AM49" s="4"/>
      <c r="AN49" s="4"/>
      <c r="AO49" s="4"/>
    </row>
    <row r="50" ht="12.75" hidden="1" customHeight="1">
      <c r="A50" s="200">
        <v>34.0</v>
      </c>
      <c r="B50" s="200" t="s">
        <v>895</v>
      </c>
      <c r="C50" s="200" t="s">
        <v>896</v>
      </c>
      <c r="D50" s="200" t="s">
        <v>1004</v>
      </c>
      <c r="E50" s="4" t="s">
        <v>683</v>
      </c>
      <c r="F50" s="200">
        <v>2017.0</v>
      </c>
      <c r="G50" s="4" t="s">
        <v>1000</v>
      </c>
      <c r="H50" s="200">
        <v>2010.0</v>
      </c>
      <c r="I50" s="201" t="s">
        <v>683</v>
      </c>
      <c r="J50" s="200">
        <v>1766531.0</v>
      </c>
      <c r="K50" s="200">
        <v>100.0</v>
      </c>
      <c r="L50" s="200">
        <v>2030.0</v>
      </c>
      <c r="M50" s="200">
        <v>36.0</v>
      </c>
      <c r="N50" s="201" t="s">
        <v>683</v>
      </c>
      <c r="O50" s="200">
        <v>1130579.84</v>
      </c>
      <c r="P50" s="200">
        <v>1121031.46</v>
      </c>
      <c r="Q50" s="201" t="s">
        <v>683</v>
      </c>
      <c r="R50" s="4">
        <v>101.50143290877874</v>
      </c>
      <c r="S50" s="4" t="s">
        <v>1013</v>
      </c>
      <c r="T50" s="4" t="s">
        <v>1008</v>
      </c>
      <c r="U50" s="4" t="s">
        <v>1072</v>
      </c>
      <c r="V50" s="4"/>
      <c r="W50" s="4"/>
      <c r="X50" s="4"/>
      <c r="Y50" s="4"/>
      <c r="Z50" s="4"/>
      <c r="AA50" s="4"/>
      <c r="AB50" s="4"/>
      <c r="AC50" s="4"/>
      <c r="AD50" s="4"/>
      <c r="AE50" s="4"/>
      <c r="AF50" s="4"/>
      <c r="AG50" s="4"/>
      <c r="AH50" s="4"/>
      <c r="AI50" s="4"/>
      <c r="AJ50" s="4"/>
      <c r="AK50" s="4"/>
      <c r="AL50" s="4"/>
      <c r="AM50" s="4"/>
      <c r="AN50" s="4"/>
      <c r="AO50" s="4"/>
    </row>
    <row r="51" ht="12.75" hidden="1" customHeight="1">
      <c r="A51" s="200">
        <v>34.0</v>
      </c>
      <c r="B51" s="200" t="s">
        <v>895</v>
      </c>
      <c r="C51" s="200" t="s">
        <v>896</v>
      </c>
      <c r="D51" s="200" t="s">
        <v>1004</v>
      </c>
      <c r="E51" s="4" t="s">
        <v>683</v>
      </c>
      <c r="F51" s="200">
        <v>2017.0</v>
      </c>
      <c r="G51" s="4" t="s">
        <v>1000</v>
      </c>
      <c r="H51" s="200">
        <v>2010.0</v>
      </c>
      <c r="I51" s="201" t="s">
        <v>683</v>
      </c>
      <c r="J51" s="200">
        <v>1766531.0</v>
      </c>
      <c r="K51" s="200">
        <v>100.0</v>
      </c>
      <c r="L51" s="200">
        <v>2050.0</v>
      </c>
      <c r="M51" s="200">
        <v>56.0</v>
      </c>
      <c r="N51" s="201" t="s">
        <v>683</v>
      </c>
      <c r="O51" s="200">
        <v>777273.64</v>
      </c>
      <c r="P51" s="200">
        <v>1121031.46</v>
      </c>
      <c r="Q51" s="201" t="s">
        <v>683</v>
      </c>
      <c r="R51" s="4">
        <v>65.25092115564347</v>
      </c>
      <c r="S51" s="4" t="s">
        <v>1001</v>
      </c>
      <c r="T51" s="4" t="s">
        <v>1008</v>
      </c>
      <c r="U51" s="4" t="s">
        <v>1073</v>
      </c>
      <c r="V51" s="4"/>
      <c r="W51" s="4"/>
      <c r="X51" s="4"/>
      <c r="Y51" s="4"/>
      <c r="Z51" s="4"/>
      <c r="AA51" s="4"/>
      <c r="AB51" s="4"/>
      <c r="AC51" s="4"/>
      <c r="AD51" s="4"/>
      <c r="AE51" s="4"/>
      <c r="AF51" s="4"/>
      <c r="AG51" s="4"/>
      <c r="AH51" s="4"/>
      <c r="AI51" s="4"/>
      <c r="AJ51" s="4"/>
      <c r="AK51" s="4"/>
      <c r="AL51" s="4"/>
      <c r="AM51" s="4"/>
      <c r="AN51" s="4"/>
      <c r="AO51" s="4"/>
    </row>
    <row r="52" ht="12.75" hidden="1" customHeight="1">
      <c r="A52" s="200">
        <v>37.0</v>
      </c>
      <c r="B52" s="200" t="s">
        <v>895</v>
      </c>
      <c r="C52" s="200" t="s">
        <v>900</v>
      </c>
      <c r="D52" s="200" t="s">
        <v>1033</v>
      </c>
      <c r="E52" s="4" t="s">
        <v>683</v>
      </c>
      <c r="F52" s="200">
        <v>2019.0</v>
      </c>
      <c r="G52" s="4" t="s">
        <v>1000</v>
      </c>
      <c r="H52" s="201">
        <v>2005.0</v>
      </c>
      <c r="I52" s="201" t="s">
        <v>683</v>
      </c>
      <c r="J52" s="200">
        <v>1.388E8</v>
      </c>
      <c r="K52" s="200">
        <v>100.0</v>
      </c>
      <c r="L52" s="200">
        <v>2030.0</v>
      </c>
      <c r="M52" s="200">
        <v>50.0</v>
      </c>
      <c r="N52" s="201" t="s">
        <v>683</v>
      </c>
      <c r="O52" s="200">
        <v>6.94E7</v>
      </c>
      <c r="P52" s="200">
        <v>8.437E7</v>
      </c>
      <c r="Q52" s="201" t="s">
        <v>683</v>
      </c>
      <c r="R52" s="4">
        <v>78.42939481268012</v>
      </c>
      <c r="S52" s="4" t="s">
        <v>1001</v>
      </c>
      <c r="T52" s="4" t="s">
        <v>1028</v>
      </c>
      <c r="U52" s="4" t="s">
        <v>1074</v>
      </c>
      <c r="V52" s="4"/>
      <c r="W52" s="4"/>
      <c r="X52" s="4"/>
      <c r="Y52" s="4"/>
      <c r="Z52" s="4"/>
      <c r="AA52" s="4"/>
      <c r="AB52" s="4"/>
      <c r="AC52" s="4"/>
      <c r="AD52" s="4"/>
      <c r="AE52" s="4"/>
      <c r="AF52" s="4"/>
      <c r="AG52" s="4"/>
      <c r="AH52" s="4"/>
      <c r="AI52" s="4"/>
      <c r="AJ52" s="4"/>
      <c r="AK52" s="4"/>
      <c r="AL52" s="4"/>
      <c r="AM52" s="4"/>
      <c r="AN52" s="4"/>
      <c r="AO52" s="4"/>
    </row>
    <row r="53" ht="12.75" hidden="1" customHeight="1">
      <c r="A53" s="200">
        <v>37.0</v>
      </c>
      <c r="B53" s="200" t="s">
        <v>895</v>
      </c>
      <c r="C53" s="200" t="s">
        <v>900</v>
      </c>
      <c r="D53" s="200" t="s">
        <v>1033</v>
      </c>
      <c r="E53" s="4" t="s">
        <v>683</v>
      </c>
      <c r="F53" s="200">
        <v>2019.0</v>
      </c>
      <c r="G53" s="4" t="s">
        <v>1000</v>
      </c>
      <c r="H53" s="201">
        <v>2005.0</v>
      </c>
      <c r="I53" s="201" t="s">
        <v>683</v>
      </c>
      <c r="J53" s="200">
        <v>1.388E8</v>
      </c>
      <c r="K53" s="200">
        <v>100.0</v>
      </c>
      <c r="L53" s="200">
        <v>2050.0</v>
      </c>
      <c r="M53" s="200">
        <v>100.0</v>
      </c>
      <c r="N53" s="201" t="s">
        <v>683</v>
      </c>
      <c r="O53" s="200">
        <v>0.0</v>
      </c>
      <c r="P53" s="200">
        <v>8.437E7</v>
      </c>
      <c r="Q53" s="201" t="s">
        <v>683</v>
      </c>
      <c r="R53" s="4">
        <v>39.21469740634006</v>
      </c>
      <c r="S53" s="4" t="s">
        <v>1001</v>
      </c>
      <c r="T53" s="4" t="s">
        <v>1028</v>
      </c>
      <c r="U53" s="4" t="s">
        <v>1075</v>
      </c>
      <c r="V53" s="4"/>
      <c r="W53" s="4"/>
      <c r="X53" s="4"/>
      <c r="Y53" s="4"/>
      <c r="Z53" s="4"/>
      <c r="AA53" s="4"/>
      <c r="AB53" s="4"/>
      <c r="AC53" s="4"/>
      <c r="AD53" s="4"/>
      <c r="AE53" s="4"/>
      <c r="AF53" s="4"/>
      <c r="AG53" s="4"/>
      <c r="AH53" s="4"/>
      <c r="AI53" s="4"/>
      <c r="AJ53" s="4"/>
      <c r="AK53" s="4"/>
      <c r="AL53" s="4"/>
      <c r="AM53" s="4"/>
      <c r="AN53" s="4"/>
      <c r="AO53" s="4"/>
    </row>
    <row r="54" ht="12.75" hidden="1" customHeight="1">
      <c r="A54" s="200">
        <v>38.0</v>
      </c>
      <c r="B54" s="200" t="s">
        <v>895</v>
      </c>
      <c r="C54" s="200" t="s">
        <v>896</v>
      </c>
      <c r="D54" s="200" t="s">
        <v>1076</v>
      </c>
      <c r="E54" s="4" t="s">
        <v>683</v>
      </c>
      <c r="F54" s="200">
        <v>2019.0</v>
      </c>
      <c r="G54" s="4" t="s">
        <v>1000</v>
      </c>
      <c r="H54" s="201">
        <v>2019.0</v>
      </c>
      <c r="I54" s="201" t="s">
        <v>683</v>
      </c>
      <c r="J54" s="200">
        <v>5380359.0</v>
      </c>
      <c r="K54" s="200">
        <v>100.0</v>
      </c>
      <c r="L54" s="200">
        <v>2030.0</v>
      </c>
      <c r="M54" s="200">
        <v>30.0</v>
      </c>
      <c r="N54" s="201" t="s">
        <v>683</v>
      </c>
      <c r="O54" s="200">
        <v>3766251.3</v>
      </c>
      <c r="P54" s="200">
        <v>5380359.0</v>
      </c>
      <c r="Q54" s="201" t="s">
        <v>683</v>
      </c>
      <c r="R54" s="4">
        <v>0.0</v>
      </c>
      <c r="S54" s="4" t="s">
        <v>1024</v>
      </c>
      <c r="T54" s="4" t="s">
        <v>1028</v>
      </c>
      <c r="U54" s="4" t="s">
        <v>1077</v>
      </c>
      <c r="V54" s="4"/>
      <c r="W54" s="4"/>
      <c r="X54" s="4"/>
      <c r="Y54" s="4"/>
      <c r="Z54" s="4"/>
      <c r="AA54" s="4"/>
      <c r="AB54" s="4"/>
      <c r="AC54" s="4"/>
      <c r="AD54" s="4"/>
      <c r="AE54" s="4"/>
      <c r="AF54" s="4"/>
      <c r="AG54" s="4"/>
      <c r="AH54" s="4"/>
      <c r="AI54" s="4"/>
      <c r="AJ54" s="4"/>
      <c r="AK54" s="4"/>
      <c r="AL54" s="4"/>
      <c r="AM54" s="4"/>
      <c r="AN54" s="4"/>
      <c r="AO54" s="4"/>
    </row>
    <row r="55" ht="12.75" hidden="1" customHeight="1">
      <c r="A55" s="200">
        <v>38.0</v>
      </c>
      <c r="B55" s="200" t="s">
        <v>895</v>
      </c>
      <c r="C55" s="200" t="s">
        <v>896</v>
      </c>
      <c r="D55" s="200" t="s">
        <v>1076</v>
      </c>
      <c r="E55" s="4" t="s">
        <v>683</v>
      </c>
      <c r="F55" s="200">
        <v>2019.0</v>
      </c>
      <c r="G55" s="4" t="s">
        <v>1000</v>
      </c>
      <c r="H55" s="201">
        <v>2019.0</v>
      </c>
      <c r="I55" s="201" t="s">
        <v>683</v>
      </c>
      <c r="J55" s="200">
        <v>5380359.0</v>
      </c>
      <c r="K55" s="200">
        <v>100.0</v>
      </c>
      <c r="L55" s="200">
        <v>2050.0</v>
      </c>
      <c r="M55" s="200">
        <v>100.0</v>
      </c>
      <c r="N55" s="201" t="s">
        <v>683</v>
      </c>
      <c r="O55" s="200">
        <v>0.0</v>
      </c>
      <c r="P55" s="200">
        <v>5380359.0</v>
      </c>
      <c r="Q55" s="201" t="s">
        <v>683</v>
      </c>
      <c r="R55" s="4">
        <v>0.0</v>
      </c>
      <c r="S55" s="4" t="s">
        <v>1024</v>
      </c>
      <c r="T55" s="4" t="s">
        <v>1028</v>
      </c>
      <c r="U55" s="4" t="s">
        <v>1078</v>
      </c>
      <c r="V55" s="4"/>
      <c r="W55" s="4"/>
      <c r="X55" s="4"/>
      <c r="Y55" s="4"/>
      <c r="Z55" s="4"/>
      <c r="AA55" s="4"/>
      <c r="AB55" s="4"/>
      <c r="AC55" s="4"/>
      <c r="AD55" s="4"/>
      <c r="AE55" s="4"/>
      <c r="AF55" s="4"/>
      <c r="AG55" s="4"/>
      <c r="AH55" s="4"/>
      <c r="AI55" s="4"/>
      <c r="AJ55" s="4"/>
      <c r="AK55" s="4"/>
      <c r="AL55" s="4"/>
      <c r="AM55" s="4"/>
      <c r="AN55" s="4"/>
      <c r="AO55" s="4"/>
    </row>
    <row r="56" ht="12.75" hidden="1" customHeight="1">
      <c r="A56" s="200">
        <v>41.0</v>
      </c>
      <c r="B56" s="200" t="s">
        <v>895</v>
      </c>
      <c r="C56" s="200" t="s">
        <v>896</v>
      </c>
      <c r="D56" s="200" t="s">
        <v>1079</v>
      </c>
      <c r="E56" s="4" t="s">
        <v>683</v>
      </c>
      <c r="F56" s="200">
        <v>2017.0</v>
      </c>
      <c r="G56" s="4" t="s">
        <v>1000</v>
      </c>
      <c r="H56" s="201">
        <v>2015.0</v>
      </c>
      <c r="I56" s="201" t="s">
        <v>683</v>
      </c>
      <c r="J56" s="200">
        <v>1133000.0</v>
      </c>
      <c r="K56" s="200">
        <v>100.0</v>
      </c>
      <c r="L56" s="200">
        <v>2022.0</v>
      </c>
      <c r="M56" s="200">
        <v>15.0</v>
      </c>
      <c r="N56" s="201" t="s">
        <v>683</v>
      </c>
      <c r="O56" s="200">
        <v>963050.0</v>
      </c>
      <c r="P56" s="200">
        <v>994191.0</v>
      </c>
      <c r="Q56" s="201" t="s">
        <v>683</v>
      </c>
      <c r="R56" s="4">
        <v>81.67637540453075</v>
      </c>
      <c r="S56" s="4" t="s">
        <v>1001</v>
      </c>
      <c r="T56" s="4" t="s">
        <v>1028</v>
      </c>
      <c r="U56" s="4" t="s">
        <v>1080</v>
      </c>
      <c r="V56" s="4"/>
      <c r="W56" s="4"/>
      <c r="X56" s="4"/>
      <c r="Y56" s="4"/>
      <c r="Z56" s="4"/>
      <c r="AA56" s="4"/>
      <c r="AB56" s="4"/>
      <c r="AC56" s="4"/>
      <c r="AD56" s="4"/>
      <c r="AE56" s="4"/>
      <c r="AF56" s="4"/>
      <c r="AG56" s="4"/>
      <c r="AH56" s="4"/>
      <c r="AI56" s="4"/>
      <c r="AJ56" s="4"/>
      <c r="AK56" s="4"/>
      <c r="AL56" s="4"/>
      <c r="AM56" s="4"/>
      <c r="AN56" s="4"/>
      <c r="AO56" s="4"/>
    </row>
    <row r="57" ht="12.75" hidden="1" customHeight="1">
      <c r="A57" s="200">
        <v>45.0</v>
      </c>
      <c r="B57" s="200" t="s">
        <v>895</v>
      </c>
      <c r="C57" s="200" t="s">
        <v>896</v>
      </c>
      <c r="D57" s="200" t="s">
        <v>999</v>
      </c>
      <c r="E57" s="4" t="s">
        <v>683</v>
      </c>
      <c r="F57" s="200">
        <v>2018.0</v>
      </c>
      <c r="G57" s="4" t="s">
        <v>1000</v>
      </c>
      <c r="H57" s="201">
        <v>2017.0</v>
      </c>
      <c r="I57" s="201" t="s">
        <v>683</v>
      </c>
      <c r="J57" s="200">
        <v>4168442.0</v>
      </c>
      <c r="K57" s="200">
        <v>100.0</v>
      </c>
      <c r="L57" s="200">
        <v>2023.0</v>
      </c>
      <c r="M57" s="200">
        <v>16.2</v>
      </c>
      <c r="N57" s="201" t="s">
        <v>683</v>
      </c>
      <c r="O57" s="200">
        <v>3493154.3959999997</v>
      </c>
      <c r="P57" s="200">
        <v>3636301.0</v>
      </c>
      <c r="Q57" s="201" t="s">
        <v>683</v>
      </c>
      <c r="R57" s="4">
        <v>78.80212769313619</v>
      </c>
      <c r="S57" s="4" t="s">
        <v>1001</v>
      </c>
      <c r="T57" s="4" t="s">
        <v>1002</v>
      </c>
      <c r="U57" s="4" t="s">
        <v>1081</v>
      </c>
      <c r="V57" s="4"/>
      <c r="W57" s="4"/>
      <c r="X57" s="4"/>
      <c r="Y57" s="4"/>
      <c r="Z57" s="4"/>
      <c r="AA57" s="4"/>
      <c r="AB57" s="4"/>
      <c r="AC57" s="4"/>
      <c r="AD57" s="4"/>
      <c r="AE57" s="4"/>
      <c r="AF57" s="4"/>
      <c r="AG57" s="4"/>
      <c r="AH57" s="4"/>
      <c r="AI57" s="4"/>
      <c r="AJ57" s="4"/>
      <c r="AK57" s="4"/>
      <c r="AL57" s="4"/>
      <c r="AM57" s="4"/>
      <c r="AN57" s="4"/>
      <c r="AO57" s="4"/>
    </row>
    <row r="58" ht="12.75" hidden="1" customHeight="1">
      <c r="A58" s="200">
        <v>45.0</v>
      </c>
      <c r="B58" s="200" t="s">
        <v>895</v>
      </c>
      <c r="C58" s="200" t="s">
        <v>896</v>
      </c>
      <c r="D58" s="200" t="s">
        <v>999</v>
      </c>
      <c r="E58" s="4" t="s">
        <v>683</v>
      </c>
      <c r="F58" s="200">
        <v>2018.0</v>
      </c>
      <c r="G58" s="4" t="s">
        <v>1000</v>
      </c>
      <c r="H58" s="201">
        <v>2017.0</v>
      </c>
      <c r="I58" s="201" t="s">
        <v>683</v>
      </c>
      <c r="J58" s="200">
        <v>4168442.0</v>
      </c>
      <c r="K58" s="200">
        <v>100.0</v>
      </c>
      <c r="L58" s="200">
        <v>2035.0</v>
      </c>
      <c r="M58" s="200">
        <v>75.0</v>
      </c>
      <c r="N58" s="201" t="s">
        <v>683</v>
      </c>
      <c r="O58" s="200">
        <v>1042110.5</v>
      </c>
      <c r="P58" s="200">
        <v>3636301.0</v>
      </c>
      <c r="Q58" s="201" t="s">
        <v>683</v>
      </c>
      <c r="R58" s="4">
        <v>17.02125958171742</v>
      </c>
      <c r="S58" s="4" t="s">
        <v>1001</v>
      </c>
      <c r="T58" s="4" t="s">
        <v>1002</v>
      </c>
      <c r="U58" s="4" t="s">
        <v>1082</v>
      </c>
      <c r="V58" s="4"/>
      <c r="W58" s="4"/>
      <c r="X58" s="4"/>
      <c r="Y58" s="4"/>
      <c r="Z58" s="4"/>
      <c r="AA58" s="4"/>
      <c r="AB58" s="4"/>
      <c r="AC58" s="4"/>
      <c r="AD58" s="4"/>
      <c r="AE58" s="4"/>
      <c r="AF58" s="4"/>
      <c r="AG58" s="4"/>
      <c r="AH58" s="4"/>
      <c r="AI58" s="4"/>
      <c r="AJ58" s="4"/>
      <c r="AK58" s="4"/>
      <c r="AL58" s="4"/>
      <c r="AM58" s="4"/>
      <c r="AN58" s="4"/>
      <c r="AO58" s="4"/>
    </row>
    <row r="59" ht="12.75" hidden="1" customHeight="1">
      <c r="A59" s="200">
        <v>47.0</v>
      </c>
      <c r="B59" s="200" t="s">
        <v>895</v>
      </c>
      <c r="C59" s="200" t="s">
        <v>896</v>
      </c>
      <c r="D59" s="200" t="s">
        <v>1004</v>
      </c>
      <c r="E59" s="4" t="s">
        <v>683</v>
      </c>
      <c r="F59" s="200">
        <v>2015.0</v>
      </c>
      <c r="G59" s="4" t="s">
        <v>1000</v>
      </c>
      <c r="H59" s="201">
        <v>2011.0</v>
      </c>
      <c r="I59" s="201" t="s">
        <v>683</v>
      </c>
      <c r="J59" s="200">
        <v>3005160.75</v>
      </c>
      <c r="K59" s="200">
        <v>100.0</v>
      </c>
      <c r="L59" s="200">
        <v>2020.0</v>
      </c>
      <c r="M59" s="200">
        <v>20.0</v>
      </c>
      <c r="N59" s="201" t="s">
        <v>683</v>
      </c>
      <c r="O59" s="200">
        <v>2404128.6</v>
      </c>
      <c r="P59" s="200">
        <v>2385024.54</v>
      </c>
      <c r="Q59" s="201" t="s">
        <v>683</v>
      </c>
      <c r="R59" s="4">
        <v>103.17854211293024</v>
      </c>
      <c r="S59" s="4" t="s">
        <v>1013</v>
      </c>
      <c r="T59" s="4" t="s">
        <v>1028</v>
      </c>
      <c r="U59" s="4" t="s">
        <v>1083</v>
      </c>
      <c r="V59" s="4"/>
      <c r="W59" s="4"/>
      <c r="X59" s="4"/>
      <c r="Y59" s="4"/>
      <c r="Z59" s="4"/>
      <c r="AA59" s="4"/>
      <c r="AB59" s="4"/>
      <c r="AC59" s="4"/>
      <c r="AD59" s="4"/>
      <c r="AE59" s="4"/>
      <c r="AF59" s="4"/>
      <c r="AG59" s="4"/>
      <c r="AH59" s="4"/>
      <c r="AI59" s="4"/>
      <c r="AJ59" s="4"/>
      <c r="AK59" s="4"/>
      <c r="AL59" s="4"/>
      <c r="AM59" s="4"/>
      <c r="AN59" s="4"/>
      <c r="AO59" s="4"/>
    </row>
    <row r="60" ht="12.75" hidden="1" customHeight="1">
      <c r="A60" s="200">
        <v>48.0</v>
      </c>
      <c r="B60" s="200" t="s">
        <v>895</v>
      </c>
      <c r="C60" s="200" t="s">
        <v>896</v>
      </c>
      <c r="D60" s="200" t="s">
        <v>1004</v>
      </c>
      <c r="E60" s="4" t="s">
        <v>683</v>
      </c>
      <c r="F60" s="200">
        <v>2018.0</v>
      </c>
      <c r="G60" s="4" t="s">
        <v>1000</v>
      </c>
      <c r="H60" s="200">
        <v>2010.0</v>
      </c>
      <c r="I60" s="201" t="s">
        <v>683</v>
      </c>
      <c r="J60" s="200">
        <v>6173746.0</v>
      </c>
      <c r="K60" s="200">
        <v>100.0</v>
      </c>
      <c r="L60" s="200">
        <v>2030.0</v>
      </c>
      <c r="M60" s="200">
        <v>31.0</v>
      </c>
      <c r="N60" s="201" t="s">
        <v>683</v>
      </c>
      <c r="O60" s="200">
        <v>4259884.74</v>
      </c>
      <c r="P60" s="200">
        <v>5311575.0</v>
      </c>
      <c r="Q60" s="201" t="s">
        <v>683</v>
      </c>
      <c r="R60" s="4">
        <v>45.04877223963455</v>
      </c>
      <c r="S60" s="4" t="s">
        <v>1001</v>
      </c>
      <c r="T60" s="4" t="s">
        <v>1028</v>
      </c>
      <c r="U60" s="4" t="s">
        <v>1084</v>
      </c>
      <c r="V60" s="4"/>
      <c r="W60" s="4"/>
      <c r="X60" s="4"/>
      <c r="Y60" s="4"/>
      <c r="Z60" s="4"/>
      <c r="AA60" s="4"/>
      <c r="AB60" s="4"/>
      <c r="AC60" s="4"/>
      <c r="AD60" s="4"/>
      <c r="AE60" s="4"/>
      <c r="AF60" s="4"/>
      <c r="AG60" s="4"/>
      <c r="AH60" s="4"/>
      <c r="AI60" s="4"/>
      <c r="AJ60" s="4"/>
      <c r="AK60" s="4"/>
      <c r="AL60" s="4"/>
      <c r="AM60" s="4"/>
      <c r="AN60" s="4"/>
      <c r="AO60" s="4"/>
    </row>
    <row r="61" ht="12.75" hidden="1" customHeight="1">
      <c r="A61" s="200">
        <v>48.0</v>
      </c>
      <c r="B61" s="200" t="s">
        <v>895</v>
      </c>
      <c r="C61" s="200" t="s">
        <v>689</v>
      </c>
      <c r="D61" s="200" t="s">
        <v>1059</v>
      </c>
      <c r="E61" s="4" t="s">
        <v>683</v>
      </c>
      <c r="F61" s="200">
        <v>2017.0</v>
      </c>
      <c r="G61" s="4" t="s">
        <v>1031</v>
      </c>
      <c r="H61" s="201">
        <v>2016.0</v>
      </c>
      <c r="I61" s="201" t="s">
        <v>683</v>
      </c>
      <c r="J61" s="200">
        <v>8023097.0</v>
      </c>
      <c r="K61" s="200">
        <v>100.0</v>
      </c>
      <c r="L61" s="200">
        <v>2021.0</v>
      </c>
      <c r="M61" s="200">
        <v>4.0</v>
      </c>
      <c r="N61" s="201" t="s">
        <v>683</v>
      </c>
      <c r="O61" s="200">
        <v>7702173.12</v>
      </c>
      <c r="P61" s="200">
        <v>7763604.0</v>
      </c>
      <c r="Q61" s="201" t="s">
        <v>683</v>
      </c>
      <c r="R61" s="4">
        <v>80.85811501468825</v>
      </c>
      <c r="S61" s="4" t="s">
        <v>1001</v>
      </c>
      <c r="T61" s="4" t="s">
        <v>1002</v>
      </c>
      <c r="U61" s="4" t="s">
        <v>1085</v>
      </c>
      <c r="V61" s="4"/>
      <c r="W61" s="4"/>
      <c r="X61" s="4"/>
      <c r="Y61" s="4"/>
      <c r="Z61" s="4"/>
      <c r="AA61" s="4"/>
      <c r="AB61" s="4"/>
      <c r="AC61" s="4"/>
      <c r="AD61" s="4"/>
      <c r="AE61" s="4"/>
      <c r="AF61" s="4"/>
      <c r="AG61" s="4"/>
      <c r="AH61" s="4"/>
      <c r="AI61" s="4"/>
      <c r="AJ61" s="4"/>
      <c r="AK61" s="4"/>
      <c r="AL61" s="4"/>
      <c r="AM61" s="4"/>
      <c r="AN61" s="4"/>
      <c r="AO61" s="4"/>
    </row>
    <row r="62" ht="12.75" hidden="1" customHeight="1">
      <c r="A62" s="200">
        <v>49.0</v>
      </c>
      <c r="B62" s="200" t="s">
        <v>895</v>
      </c>
      <c r="C62" s="200" t="s">
        <v>896</v>
      </c>
      <c r="D62" s="200" t="s">
        <v>1004</v>
      </c>
      <c r="E62" s="4" t="s">
        <v>683</v>
      </c>
      <c r="F62" s="200">
        <v>2017.0</v>
      </c>
      <c r="G62" s="4" t="s">
        <v>1000</v>
      </c>
      <c r="H62" s="201">
        <v>2016.0</v>
      </c>
      <c r="I62" s="201" t="s">
        <v>683</v>
      </c>
      <c r="J62" s="200">
        <v>82840.0</v>
      </c>
      <c r="K62" s="200">
        <v>100.0</v>
      </c>
      <c r="L62" s="200">
        <v>2025.0</v>
      </c>
      <c r="M62" s="200">
        <v>25.0</v>
      </c>
      <c r="N62" s="201" t="s">
        <v>683</v>
      </c>
      <c r="O62" s="200">
        <v>62130.0</v>
      </c>
      <c r="P62" s="200">
        <v>73735.0</v>
      </c>
      <c r="Q62" s="201" t="s">
        <v>683</v>
      </c>
      <c r="R62" s="4">
        <v>43.964268469338485</v>
      </c>
      <c r="S62" s="4" t="s">
        <v>1001</v>
      </c>
      <c r="T62" s="4" t="s">
        <v>1028</v>
      </c>
      <c r="U62" s="4" t="s">
        <v>1086</v>
      </c>
      <c r="V62" s="4"/>
      <c r="W62" s="4"/>
      <c r="X62" s="4"/>
      <c r="Y62" s="4"/>
      <c r="Z62" s="4"/>
      <c r="AA62" s="4"/>
      <c r="AB62" s="4"/>
      <c r="AC62" s="4"/>
      <c r="AD62" s="4"/>
      <c r="AE62" s="4"/>
      <c r="AF62" s="4"/>
      <c r="AG62" s="4"/>
      <c r="AH62" s="4"/>
      <c r="AI62" s="4"/>
      <c r="AJ62" s="4"/>
      <c r="AK62" s="4"/>
      <c r="AL62" s="4"/>
      <c r="AM62" s="4"/>
      <c r="AN62" s="4"/>
      <c r="AO62" s="4"/>
    </row>
    <row r="63" ht="12.75" hidden="1" customHeight="1">
      <c r="A63" s="200">
        <v>50.0</v>
      </c>
      <c r="B63" s="200" t="s">
        <v>895</v>
      </c>
      <c r="C63" s="200" t="s">
        <v>899</v>
      </c>
      <c r="D63" s="200" t="s">
        <v>1027</v>
      </c>
      <c r="E63" s="4" t="s">
        <v>683</v>
      </c>
      <c r="F63" s="200">
        <v>2015.0</v>
      </c>
      <c r="G63" s="4" t="s">
        <v>1000</v>
      </c>
      <c r="H63" s="201">
        <v>2019.0</v>
      </c>
      <c r="I63" s="201" t="s">
        <v>683</v>
      </c>
      <c r="J63" s="200">
        <v>157255.0</v>
      </c>
      <c r="K63" s="200">
        <v>100.0</v>
      </c>
      <c r="L63" s="200">
        <v>2019.0</v>
      </c>
      <c r="M63" s="200">
        <v>100.0</v>
      </c>
      <c r="N63" s="201" t="s">
        <v>683</v>
      </c>
      <c r="O63" s="200">
        <v>0.0</v>
      </c>
      <c r="P63" s="200">
        <v>0.0</v>
      </c>
      <c r="Q63" s="201" t="s">
        <v>683</v>
      </c>
      <c r="R63" s="4">
        <v>100.0</v>
      </c>
      <c r="S63" s="4" t="s">
        <v>1001</v>
      </c>
      <c r="T63" s="4" t="s">
        <v>1014</v>
      </c>
      <c r="U63" s="4" t="s">
        <v>1087</v>
      </c>
      <c r="V63" s="4"/>
      <c r="W63" s="4"/>
      <c r="X63" s="4"/>
      <c r="Y63" s="4"/>
      <c r="Z63" s="4"/>
      <c r="AA63" s="4"/>
      <c r="AB63" s="4"/>
      <c r="AC63" s="4"/>
      <c r="AD63" s="4"/>
      <c r="AE63" s="4"/>
      <c r="AF63" s="4"/>
      <c r="AG63" s="4"/>
      <c r="AH63" s="4"/>
      <c r="AI63" s="4"/>
      <c r="AJ63" s="4"/>
      <c r="AK63" s="4"/>
      <c r="AL63" s="4"/>
      <c r="AM63" s="4"/>
      <c r="AN63" s="4"/>
      <c r="AO63" s="4"/>
    </row>
    <row r="64" ht="12.75" hidden="1" customHeight="1">
      <c r="A64" s="200">
        <v>50.0</v>
      </c>
      <c r="B64" s="200" t="s">
        <v>895</v>
      </c>
      <c r="C64" s="200" t="s">
        <v>896</v>
      </c>
      <c r="D64" s="200" t="s">
        <v>1004</v>
      </c>
      <c r="E64" s="4" t="s">
        <v>683</v>
      </c>
      <c r="F64" s="200">
        <v>2015.0</v>
      </c>
      <c r="G64" s="4" t="s">
        <v>1000</v>
      </c>
      <c r="H64" s="201">
        <v>2013.0</v>
      </c>
      <c r="I64" s="201" t="s">
        <v>683</v>
      </c>
      <c r="J64" s="200">
        <v>251687.0</v>
      </c>
      <c r="K64" s="200">
        <v>100.0</v>
      </c>
      <c r="L64" s="200">
        <v>2020.0</v>
      </c>
      <c r="M64" s="200">
        <v>15.0</v>
      </c>
      <c r="N64" s="201" t="s">
        <v>683</v>
      </c>
      <c r="O64" s="200">
        <v>213933.95</v>
      </c>
      <c r="P64" s="200">
        <v>21782.0</v>
      </c>
      <c r="Q64" s="201" t="s">
        <v>683</v>
      </c>
      <c r="R64" s="4">
        <v>608.9706659461953</v>
      </c>
      <c r="S64" s="4" t="s">
        <v>1001</v>
      </c>
      <c r="T64" s="4" t="s">
        <v>1028</v>
      </c>
      <c r="U64" s="4" t="s">
        <v>1088</v>
      </c>
      <c r="V64" s="4"/>
      <c r="W64" s="4"/>
      <c r="X64" s="4"/>
      <c r="Y64" s="4"/>
      <c r="Z64" s="4"/>
      <c r="AA64" s="4"/>
      <c r="AB64" s="4"/>
      <c r="AC64" s="4"/>
      <c r="AD64" s="4"/>
      <c r="AE64" s="4"/>
      <c r="AF64" s="4"/>
      <c r="AG64" s="4"/>
      <c r="AH64" s="4"/>
      <c r="AI64" s="4"/>
      <c r="AJ64" s="4"/>
      <c r="AK64" s="4"/>
      <c r="AL64" s="4"/>
      <c r="AM64" s="4"/>
      <c r="AN64" s="4"/>
      <c r="AO64" s="4"/>
    </row>
    <row r="65" ht="12.75" hidden="1" customHeight="1">
      <c r="A65" s="200">
        <v>50.0</v>
      </c>
      <c r="B65" s="200" t="s">
        <v>895</v>
      </c>
      <c r="C65" s="200" t="s">
        <v>896</v>
      </c>
      <c r="D65" s="200" t="s">
        <v>1004</v>
      </c>
      <c r="E65" s="4" t="s">
        <v>683</v>
      </c>
      <c r="F65" s="200">
        <v>2015.0</v>
      </c>
      <c r="G65" s="4" t="s">
        <v>1000</v>
      </c>
      <c r="H65" s="201">
        <v>2013.0</v>
      </c>
      <c r="I65" s="201" t="s">
        <v>683</v>
      </c>
      <c r="J65" s="200">
        <v>251687.0</v>
      </c>
      <c r="K65" s="200">
        <v>100.0</v>
      </c>
      <c r="L65" s="200">
        <v>2036.0</v>
      </c>
      <c r="M65" s="200">
        <v>50.0</v>
      </c>
      <c r="N65" s="201" t="s">
        <v>683</v>
      </c>
      <c r="O65" s="200">
        <v>125843.5</v>
      </c>
      <c r="P65" s="200">
        <v>21782.0</v>
      </c>
      <c r="Q65" s="201" t="s">
        <v>683</v>
      </c>
      <c r="R65" s="4">
        <v>182.69119978385854</v>
      </c>
      <c r="S65" s="4" t="s">
        <v>1001</v>
      </c>
      <c r="T65" s="4" t="s">
        <v>1028</v>
      </c>
      <c r="U65" s="4" t="s">
        <v>1089</v>
      </c>
      <c r="V65" s="4"/>
      <c r="W65" s="4"/>
      <c r="X65" s="4"/>
      <c r="Y65" s="4"/>
      <c r="Z65" s="4"/>
      <c r="AA65" s="4"/>
      <c r="AB65" s="4"/>
      <c r="AC65" s="4"/>
      <c r="AD65" s="4"/>
      <c r="AE65" s="4"/>
      <c r="AF65" s="4"/>
      <c r="AG65" s="4"/>
      <c r="AH65" s="4"/>
      <c r="AI65" s="4"/>
      <c r="AJ65" s="4"/>
      <c r="AK65" s="4"/>
      <c r="AL65" s="4"/>
      <c r="AM65" s="4"/>
      <c r="AN65" s="4"/>
      <c r="AO65" s="4"/>
    </row>
    <row r="66" ht="12.75" hidden="1" customHeight="1">
      <c r="A66" s="200">
        <v>53.0</v>
      </c>
      <c r="B66" s="200" t="s">
        <v>895</v>
      </c>
      <c r="C66" s="200" t="s">
        <v>899</v>
      </c>
      <c r="D66" s="200" t="s">
        <v>1090</v>
      </c>
      <c r="E66" s="4" t="s">
        <v>683</v>
      </c>
      <c r="F66" s="200">
        <v>2018.0</v>
      </c>
      <c r="G66" s="4" t="s">
        <v>1000</v>
      </c>
      <c r="H66" s="201">
        <v>2005.0</v>
      </c>
      <c r="I66" s="201" t="s">
        <v>683</v>
      </c>
      <c r="J66" s="200">
        <v>2028000.0</v>
      </c>
      <c r="K66" s="200">
        <v>100.0</v>
      </c>
      <c r="L66" s="200">
        <v>2025.0</v>
      </c>
      <c r="M66" s="200">
        <v>40.0</v>
      </c>
      <c r="N66" s="201" t="s">
        <v>683</v>
      </c>
      <c r="O66" s="200">
        <v>1216800.0</v>
      </c>
      <c r="P66" s="200">
        <v>1222623.0</v>
      </c>
      <c r="Q66" s="201" t="s">
        <v>683</v>
      </c>
      <c r="R66" s="4">
        <v>99.28217455621302</v>
      </c>
      <c r="S66" s="4" t="s">
        <v>1001</v>
      </c>
      <c r="T66" s="4" t="s">
        <v>1028</v>
      </c>
      <c r="U66" s="4" t="s">
        <v>1091</v>
      </c>
      <c r="V66" s="4"/>
      <c r="W66" s="4"/>
      <c r="X66" s="4"/>
      <c r="Y66" s="4"/>
      <c r="Z66" s="4"/>
      <c r="AA66" s="4"/>
      <c r="AB66" s="4"/>
      <c r="AC66" s="4"/>
      <c r="AD66" s="4"/>
      <c r="AE66" s="4"/>
      <c r="AF66" s="4"/>
      <c r="AG66" s="4"/>
      <c r="AH66" s="4"/>
      <c r="AI66" s="4"/>
      <c r="AJ66" s="4"/>
      <c r="AK66" s="4"/>
      <c r="AL66" s="4"/>
      <c r="AM66" s="4"/>
      <c r="AN66" s="4"/>
      <c r="AO66" s="4"/>
    </row>
    <row r="67" ht="12.75" hidden="1" customHeight="1">
      <c r="A67" s="200">
        <v>55.0</v>
      </c>
      <c r="B67" s="200" t="s">
        <v>895</v>
      </c>
      <c r="C67" s="200" t="s">
        <v>896</v>
      </c>
      <c r="D67" s="200" t="s">
        <v>1004</v>
      </c>
      <c r="E67" s="4" t="s">
        <v>683</v>
      </c>
      <c r="F67" s="200">
        <v>2015.0</v>
      </c>
      <c r="G67" s="4" t="s">
        <v>1000</v>
      </c>
      <c r="H67" s="201" t="s">
        <v>901</v>
      </c>
      <c r="I67" s="201" t="s">
        <v>683</v>
      </c>
      <c r="J67" s="200">
        <v>1364881.0</v>
      </c>
      <c r="K67" s="200">
        <v>100.0</v>
      </c>
      <c r="L67" s="200">
        <v>2020.0</v>
      </c>
      <c r="M67" s="200">
        <v>20.0</v>
      </c>
      <c r="N67" s="201" t="s">
        <v>683</v>
      </c>
      <c r="O67" s="200">
        <v>1091904.8</v>
      </c>
      <c r="P67" s="200">
        <v>933636.0</v>
      </c>
      <c r="Q67" s="201" t="s">
        <v>683</v>
      </c>
      <c r="R67" s="4">
        <v>157.97897399113918</v>
      </c>
      <c r="S67" s="4" t="s">
        <v>1001</v>
      </c>
      <c r="T67" s="4" t="s">
        <v>1028</v>
      </c>
      <c r="U67" s="4" t="s">
        <v>1092</v>
      </c>
      <c r="V67" s="4"/>
      <c r="W67" s="4"/>
      <c r="X67" s="4"/>
      <c r="Y67" s="4"/>
      <c r="Z67" s="4"/>
      <c r="AA67" s="4"/>
      <c r="AB67" s="4"/>
      <c r="AC67" s="4"/>
      <c r="AD67" s="4"/>
      <c r="AE67" s="4"/>
      <c r="AF67" s="4"/>
      <c r="AG67" s="4"/>
      <c r="AH67" s="4"/>
      <c r="AI67" s="4"/>
      <c r="AJ67" s="4"/>
      <c r="AK67" s="4"/>
      <c r="AL67" s="4"/>
      <c r="AM67" s="4"/>
      <c r="AN67" s="4"/>
      <c r="AO67" s="4"/>
    </row>
    <row r="68" ht="12.75" hidden="1" customHeight="1">
      <c r="A68" s="200">
        <v>55.0</v>
      </c>
      <c r="B68" s="200" t="s">
        <v>895</v>
      </c>
      <c r="C68" s="200" t="s">
        <v>896</v>
      </c>
      <c r="D68" s="200" t="s">
        <v>1004</v>
      </c>
      <c r="E68" s="4" t="s">
        <v>683</v>
      </c>
      <c r="F68" s="200">
        <v>2015.0</v>
      </c>
      <c r="G68" s="4" t="s">
        <v>1000</v>
      </c>
      <c r="H68" s="201" t="s">
        <v>901</v>
      </c>
      <c r="I68" s="201" t="s">
        <v>683</v>
      </c>
      <c r="J68" s="200">
        <v>1364881.0</v>
      </c>
      <c r="K68" s="200">
        <v>100.0</v>
      </c>
      <c r="L68" s="200">
        <v>2050.0</v>
      </c>
      <c r="M68" s="200">
        <v>80.0</v>
      </c>
      <c r="N68" s="201" t="s">
        <v>683</v>
      </c>
      <c r="O68" s="200">
        <v>272976.2</v>
      </c>
      <c r="P68" s="200">
        <v>933636.0</v>
      </c>
      <c r="Q68" s="201" t="s">
        <v>683</v>
      </c>
      <c r="R68" s="4">
        <v>39.49474349778478</v>
      </c>
      <c r="S68" s="4" t="s">
        <v>1001</v>
      </c>
      <c r="T68" s="4" t="s">
        <v>1028</v>
      </c>
      <c r="U68" s="4" t="s">
        <v>1093</v>
      </c>
      <c r="V68" s="4"/>
      <c r="W68" s="4"/>
      <c r="X68" s="4"/>
      <c r="Y68" s="4"/>
      <c r="Z68" s="4"/>
      <c r="AA68" s="4"/>
      <c r="AB68" s="4"/>
      <c r="AC68" s="4"/>
      <c r="AD68" s="4"/>
      <c r="AE68" s="4"/>
      <c r="AF68" s="4"/>
      <c r="AG68" s="4"/>
      <c r="AH68" s="4"/>
      <c r="AI68" s="4"/>
      <c r="AJ68" s="4"/>
      <c r="AK68" s="4"/>
      <c r="AL68" s="4"/>
      <c r="AM68" s="4"/>
      <c r="AN68" s="4"/>
      <c r="AO68" s="4"/>
    </row>
    <row r="69" ht="12.75" hidden="1" customHeight="1">
      <c r="A69" s="200">
        <v>56.0</v>
      </c>
      <c r="B69" s="200" t="s">
        <v>895</v>
      </c>
      <c r="C69" s="200" t="s">
        <v>896</v>
      </c>
      <c r="D69" s="200" t="s">
        <v>1004</v>
      </c>
      <c r="E69" s="4" t="s">
        <v>683</v>
      </c>
      <c r="F69" s="200">
        <v>2008.0</v>
      </c>
      <c r="G69" s="4" t="s">
        <v>1000</v>
      </c>
      <c r="H69" s="201">
        <v>2005.0</v>
      </c>
      <c r="I69" s="201" t="s">
        <v>683</v>
      </c>
      <c r="J69" s="200">
        <v>1392704.0</v>
      </c>
      <c r="K69" s="200">
        <v>100.0</v>
      </c>
      <c r="L69" s="200">
        <v>2020.0</v>
      </c>
      <c r="M69" s="200">
        <v>50.0</v>
      </c>
      <c r="N69" s="201" t="s">
        <v>683</v>
      </c>
      <c r="O69" s="200">
        <v>696352.0</v>
      </c>
      <c r="P69" s="200">
        <v>637798.0</v>
      </c>
      <c r="Q69" s="201" t="s">
        <v>683</v>
      </c>
      <c r="R69" s="4">
        <v>108.40867836956023</v>
      </c>
      <c r="S69" s="4" t="s">
        <v>1094</v>
      </c>
      <c r="T69" s="4"/>
      <c r="U69" s="4" t="s">
        <v>1095</v>
      </c>
      <c r="V69" s="4"/>
      <c r="W69" s="4"/>
      <c r="X69" s="4"/>
      <c r="Y69" s="4"/>
      <c r="Z69" s="4"/>
      <c r="AA69" s="4"/>
      <c r="AB69" s="4"/>
      <c r="AC69" s="4"/>
      <c r="AD69" s="4"/>
      <c r="AE69" s="4"/>
      <c r="AF69" s="4"/>
      <c r="AG69" s="4"/>
      <c r="AH69" s="4"/>
      <c r="AI69" s="4"/>
      <c r="AJ69" s="4"/>
      <c r="AK69" s="4"/>
      <c r="AL69" s="4"/>
      <c r="AM69" s="4"/>
      <c r="AN69" s="4"/>
      <c r="AO69" s="4"/>
    </row>
    <row r="70" ht="12.75" hidden="1" customHeight="1">
      <c r="A70" s="200">
        <v>59.0</v>
      </c>
      <c r="B70" s="200" t="s">
        <v>895</v>
      </c>
      <c r="C70" s="200" t="s">
        <v>896</v>
      </c>
      <c r="D70" s="200" t="s">
        <v>999</v>
      </c>
      <c r="E70" s="4" t="s">
        <v>683</v>
      </c>
      <c r="F70" s="200">
        <v>2012.0</v>
      </c>
      <c r="G70" s="4" t="s">
        <v>1000</v>
      </c>
      <c r="H70" s="201" t="s">
        <v>901</v>
      </c>
      <c r="I70" s="201" t="s">
        <v>683</v>
      </c>
      <c r="J70" s="200">
        <v>1271358.0</v>
      </c>
      <c r="K70" s="200">
        <v>96.0</v>
      </c>
      <c r="L70" s="200">
        <v>2020.0</v>
      </c>
      <c r="M70" s="200">
        <v>35.0</v>
      </c>
      <c r="N70" s="201" t="s">
        <v>683</v>
      </c>
      <c r="O70" s="200">
        <v>826382.7</v>
      </c>
      <c r="P70" s="200">
        <v>771435.0</v>
      </c>
      <c r="Q70" s="201" t="s">
        <v>683</v>
      </c>
      <c r="R70" s="4">
        <v>112.34848316299801</v>
      </c>
      <c r="S70" s="4" t="s">
        <v>1013</v>
      </c>
      <c r="T70" s="4" t="s">
        <v>1028</v>
      </c>
      <c r="U70" s="4" t="s">
        <v>1096</v>
      </c>
      <c r="V70" s="4"/>
      <c r="W70" s="4"/>
      <c r="X70" s="4"/>
      <c r="Y70" s="4"/>
      <c r="Z70" s="4"/>
      <c r="AA70" s="4"/>
      <c r="AB70" s="4"/>
      <c r="AC70" s="4"/>
      <c r="AD70" s="4"/>
      <c r="AE70" s="4"/>
      <c r="AF70" s="4"/>
      <c r="AG70" s="4"/>
      <c r="AH70" s="4"/>
      <c r="AI70" s="4"/>
      <c r="AJ70" s="4"/>
      <c r="AK70" s="4"/>
      <c r="AL70" s="4"/>
      <c r="AM70" s="4"/>
      <c r="AN70" s="4"/>
      <c r="AO70" s="4"/>
    </row>
    <row r="71" ht="12.75" hidden="1" customHeight="1">
      <c r="A71" s="200">
        <v>60.0</v>
      </c>
      <c r="B71" s="200" t="s">
        <v>895</v>
      </c>
      <c r="C71" s="200" t="s">
        <v>896</v>
      </c>
      <c r="D71" s="200" t="s">
        <v>999</v>
      </c>
      <c r="E71" s="4" t="s">
        <v>683</v>
      </c>
      <c r="F71" s="200">
        <v>2019.0</v>
      </c>
      <c r="G71" s="4" t="s">
        <v>1000</v>
      </c>
      <c r="H71" s="201">
        <v>2016.0</v>
      </c>
      <c r="I71" s="201" t="s">
        <v>683</v>
      </c>
      <c r="J71" s="200">
        <v>2710148.0</v>
      </c>
      <c r="K71" s="200">
        <v>100.0</v>
      </c>
      <c r="L71" s="200">
        <v>2030.0</v>
      </c>
      <c r="M71" s="200">
        <v>40.0</v>
      </c>
      <c r="N71" s="201" t="s">
        <v>683</v>
      </c>
      <c r="O71" s="200">
        <v>1626088.8</v>
      </c>
      <c r="P71" s="200">
        <v>2108505.0</v>
      </c>
      <c r="Q71" s="201" t="s">
        <v>683</v>
      </c>
      <c r="R71" s="4">
        <v>55.499090824560135</v>
      </c>
      <c r="S71" s="4" t="s">
        <v>1001</v>
      </c>
      <c r="T71" s="4" t="s">
        <v>1016</v>
      </c>
      <c r="U71" s="4" t="s">
        <v>1097</v>
      </c>
      <c r="V71" s="4"/>
      <c r="W71" s="4"/>
      <c r="X71" s="4"/>
      <c r="Y71" s="4"/>
      <c r="Z71" s="4"/>
      <c r="AA71" s="4"/>
      <c r="AB71" s="4"/>
      <c r="AC71" s="4"/>
      <c r="AD71" s="4"/>
      <c r="AE71" s="4"/>
      <c r="AF71" s="4"/>
      <c r="AG71" s="4"/>
      <c r="AH71" s="4"/>
      <c r="AI71" s="4"/>
      <c r="AJ71" s="4"/>
      <c r="AK71" s="4"/>
      <c r="AL71" s="4"/>
      <c r="AM71" s="4"/>
      <c r="AN71" s="4"/>
      <c r="AO71" s="4"/>
    </row>
    <row r="72" ht="12.75" hidden="1" customHeight="1">
      <c r="A72" s="200">
        <v>61.0</v>
      </c>
      <c r="B72" s="200" t="s">
        <v>895</v>
      </c>
      <c r="C72" s="200" t="s">
        <v>896</v>
      </c>
      <c r="D72" s="200" t="s">
        <v>999</v>
      </c>
      <c r="E72" s="4" t="s">
        <v>683</v>
      </c>
      <c r="F72" s="200">
        <v>2018.0</v>
      </c>
      <c r="G72" s="4" t="s">
        <v>1000</v>
      </c>
      <c r="H72" s="201">
        <v>2016.0</v>
      </c>
      <c r="I72" s="201" t="s">
        <v>683</v>
      </c>
      <c r="J72" s="200">
        <v>99214.39</v>
      </c>
      <c r="K72" s="200">
        <v>100.0</v>
      </c>
      <c r="L72" s="200">
        <v>2025.0</v>
      </c>
      <c r="M72" s="200">
        <v>38.0</v>
      </c>
      <c r="N72" s="201" t="s">
        <v>683</v>
      </c>
      <c r="O72" s="200">
        <v>61512.9218</v>
      </c>
      <c r="P72" s="200">
        <v>56898.96</v>
      </c>
      <c r="Q72" s="201" t="s">
        <v>683</v>
      </c>
      <c r="R72" s="4">
        <v>112.23814885808612</v>
      </c>
      <c r="S72" s="4" t="s">
        <v>1001</v>
      </c>
      <c r="T72" s="4" t="s">
        <v>1008</v>
      </c>
      <c r="U72" s="4" t="s">
        <v>1098</v>
      </c>
      <c r="V72" s="4"/>
      <c r="W72" s="4"/>
      <c r="X72" s="4"/>
      <c r="Y72" s="4"/>
      <c r="Z72" s="4"/>
      <c r="AA72" s="4"/>
      <c r="AB72" s="4"/>
      <c r="AC72" s="4"/>
      <c r="AD72" s="4"/>
      <c r="AE72" s="4"/>
      <c r="AF72" s="4"/>
      <c r="AG72" s="4"/>
      <c r="AH72" s="4"/>
      <c r="AI72" s="4"/>
      <c r="AJ72" s="4"/>
      <c r="AK72" s="4"/>
      <c r="AL72" s="4"/>
      <c r="AM72" s="4"/>
      <c r="AN72" s="4"/>
      <c r="AO72" s="4"/>
    </row>
    <row r="73" ht="12.75" hidden="1" customHeight="1">
      <c r="A73" s="200">
        <v>61.0</v>
      </c>
      <c r="B73" s="200" t="s">
        <v>895</v>
      </c>
      <c r="C73" s="200" t="s">
        <v>689</v>
      </c>
      <c r="D73" s="200" t="s">
        <v>1021</v>
      </c>
      <c r="E73" s="4" t="s">
        <v>683</v>
      </c>
      <c r="F73" s="200">
        <v>2018.0</v>
      </c>
      <c r="G73" s="4" t="s">
        <v>1000</v>
      </c>
      <c r="H73" s="201">
        <v>2016.0</v>
      </c>
      <c r="I73" s="201" t="s">
        <v>683</v>
      </c>
      <c r="J73" s="200">
        <v>848977.95</v>
      </c>
      <c r="K73" s="200">
        <v>100.0</v>
      </c>
      <c r="L73" s="200">
        <v>2025.0</v>
      </c>
      <c r="M73" s="200">
        <v>20.0</v>
      </c>
      <c r="N73" s="201" t="s">
        <v>683</v>
      </c>
      <c r="O73" s="200">
        <v>679182.36</v>
      </c>
      <c r="P73" s="200">
        <v>503012.19</v>
      </c>
      <c r="Q73" s="201" t="s">
        <v>683</v>
      </c>
      <c r="R73" s="4">
        <v>203.75426711612477</v>
      </c>
      <c r="S73" s="4" t="s">
        <v>1001</v>
      </c>
      <c r="T73" s="4" t="s">
        <v>1008</v>
      </c>
      <c r="U73" s="4" t="s">
        <v>1099</v>
      </c>
      <c r="V73" s="4"/>
      <c r="W73" s="4"/>
      <c r="X73" s="4"/>
      <c r="Y73" s="4"/>
      <c r="Z73" s="4"/>
      <c r="AA73" s="4"/>
      <c r="AB73" s="4"/>
      <c r="AC73" s="4"/>
      <c r="AD73" s="4"/>
      <c r="AE73" s="4"/>
      <c r="AF73" s="4"/>
      <c r="AG73" s="4"/>
      <c r="AH73" s="4"/>
      <c r="AI73" s="4"/>
      <c r="AJ73" s="4"/>
      <c r="AK73" s="4"/>
      <c r="AL73" s="4"/>
      <c r="AM73" s="4"/>
      <c r="AN73" s="4"/>
      <c r="AO73" s="4"/>
    </row>
    <row r="74" ht="12.75" hidden="1" customHeight="1">
      <c r="A74" s="200">
        <v>62.0</v>
      </c>
      <c r="B74" s="200" t="s">
        <v>895</v>
      </c>
      <c r="C74" s="200" t="s">
        <v>899</v>
      </c>
      <c r="D74" s="200" t="s">
        <v>1100</v>
      </c>
      <c r="E74" s="4" t="s">
        <v>683</v>
      </c>
      <c r="F74" s="200">
        <v>2018.0</v>
      </c>
      <c r="G74" s="4" t="s">
        <v>1000</v>
      </c>
      <c r="H74" s="201">
        <v>2015.0</v>
      </c>
      <c r="I74" s="201" t="s">
        <v>683</v>
      </c>
      <c r="J74" s="200">
        <v>8446246.48</v>
      </c>
      <c r="K74" s="200">
        <v>100.0</v>
      </c>
      <c r="L74" s="200">
        <v>2030.0</v>
      </c>
      <c r="M74" s="200">
        <v>36.0</v>
      </c>
      <c r="N74" s="201" t="s">
        <v>683</v>
      </c>
      <c r="O74" s="200">
        <v>5405597.7472</v>
      </c>
      <c r="P74" s="200">
        <v>8132508.36</v>
      </c>
      <c r="Q74" s="201" t="s">
        <v>683</v>
      </c>
      <c r="R74" s="4">
        <v>10.318131016439128</v>
      </c>
      <c r="S74" s="4" t="s">
        <v>1001</v>
      </c>
      <c r="T74" s="4" t="s">
        <v>1008</v>
      </c>
      <c r="U74" s="4" t="s">
        <v>1101</v>
      </c>
      <c r="V74" s="4"/>
      <c r="W74" s="4"/>
      <c r="X74" s="4"/>
      <c r="Y74" s="4"/>
      <c r="Z74" s="4"/>
      <c r="AA74" s="4"/>
      <c r="AB74" s="4"/>
      <c r="AC74" s="4"/>
      <c r="AD74" s="4"/>
      <c r="AE74" s="4"/>
      <c r="AF74" s="4"/>
      <c r="AG74" s="4"/>
      <c r="AH74" s="4"/>
      <c r="AI74" s="4"/>
      <c r="AJ74" s="4"/>
      <c r="AK74" s="4"/>
      <c r="AL74" s="4"/>
      <c r="AM74" s="4"/>
      <c r="AN74" s="4"/>
      <c r="AO74" s="4"/>
    </row>
    <row r="75" ht="12.75" hidden="1" customHeight="1">
      <c r="A75" s="200">
        <v>64.0</v>
      </c>
      <c r="B75" s="200" t="s">
        <v>895</v>
      </c>
      <c r="C75" s="200" t="s">
        <v>896</v>
      </c>
      <c r="D75" s="200" t="s">
        <v>1004</v>
      </c>
      <c r="E75" s="4" t="s">
        <v>683</v>
      </c>
      <c r="F75" s="200">
        <v>2016.0</v>
      </c>
      <c r="G75" s="202"/>
      <c r="H75" s="201">
        <v>2015.0</v>
      </c>
      <c r="I75" s="201" t="s">
        <v>683</v>
      </c>
      <c r="J75" s="200">
        <v>1458970.0</v>
      </c>
      <c r="K75" s="200">
        <v>100.0</v>
      </c>
      <c r="L75" s="200">
        <v>2025.0</v>
      </c>
      <c r="M75" s="200">
        <v>40.0</v>
      </c>
      <c r="N75" s="201" t="s">
        <v>683</v>
      </c>
      <c r="O75" s="200">
        <v>875382.0</v>
      </c>
      <c r="P75" s="200">
        <v>1071970.0</v>
      </c>
      <c r="Q75" s="201" t="s">
        <v>683</v>
      </c>
      <c r="R75" s="4">
        <v>66.31390638601205</v>
      </c>
      <c r="S75" s="4" t="s">
        <v>1001</v>
      </c>
      <c r="T75" s="4" t="s">
        <v>1028</v>
      </c>
      <c r="U75" s="4" t="s">
        <v>1102</v>
      </c>
      <c r="V75" s="4"/>
      <c r="W75" s="4"/>
      <c r="X75" s="4"/>
      <c r="Y75" s="4"/>
      <c r="Z75" s="4"/>
      <c r="AA75" s="4"/>
      <c r="AB75" s="4"/>
      <c r="AC75" s="4"/>
      <c r="AD75" s="4"/>
      <c r="AE75" s="4"/>
      <c r="AF75" s="4"/>
      <c r="AG75" s="4"/>
      <c r="AH75" s="4"/>
      <c r="AI75" s="4"/>
      <c r="AJ75" s="4"/>
      <c r="AK75" s="4"/>
      <c r="AL75" s="4"/>
      <c r="AM75" s="4"/>
      <c r="AN75" s="4"/>
      <c r="AO75" s="4"/>
    </row>
    <row r="76" ht="12.75" hidden="1" customHeight="1">
      <c r="A76" s="200">
        <v>65.0</v>
      </c>
      <c r="B76" s="200" t="s">
        <v>895</v>
      </c>
      <c r="C76" s="200" t="s">
        <v>896</v>
      </c>
      <c r="D76" s="200" t="s">
        <v>1076</v>
      </c>
      <c r="E76" s="4" t="s">
        <v>683</v>
      </c>
      <c r="F76" s="200">
        <v>2015.0</v>
      </c>
      <c r="G76" s="4" t="s">
        <v>1000</v>
      </c>
      <c r="H76" s="201">
        <v>2012.0</v>
      </c>
      <c r="I76" s="201" t="s">
        <v>683</v>
      </c>
      <c r="J76" s="200">
        <v>176955.0</v>
      </c>
      <c r="K76" s="200">
        <v>100.0</v>
      </c>
      <c r="L76" s="200">
        <v>2020.0</v>
      </c>
      <c r="M76" s="200">
        <v>10.0</v>
      </c>
      <c r="N76" s="201" t="s">
        <v>683</v>
      </c>
      <c r="O76" s="200">
        <v>159259.5</v>
      </c>
      <c r="P76" s="200">
        <v>129852.0</v>
      </c>
      <c r="Q76" s="201" t="s">
        <v>683</v>
      </c>
      <c r="R76" s="4">
        <v>266.186318555565</v>
      </c>
      <c r="S76" s="4" t="s">
        <v>1013</v>
      </c>
      <c r="T76" s="4" t="s">
        <v>1016</v>
      </c>
      <c r="U76" s="4" t="s">
        <v>1103</v>
      </c>
      <c r="V76" s="4"/>
      <c r="W76" s="4"/>
      <c r="X76" s="4"/>
      <c r="Y76" s="4"/>
      <c r="Z76" s="4"/>
      <c r="AA76" s="4"/>
      <c r="AB76" s="4"/>
      <c r="AC76" s="4"/>
      <c r="AD76" s="4"/>
      <c r="AE76" s="4"/>
      <c r="AF76" s="4"/>
      <c r="AG76" s="4"/>
      <c r="AH76" s="4"/>
      <c r="AI76" s="4"/>
      <c r="AJ76" s="4"/>
      <c r="AK76" s="4"/>
      <c r="AL76" s="4"/>
      <c r="AM76" s="4"/>
      <c r="AN76" s="4"/>
      <c r="AO76" s="4"/>
    </row>
    <row r="77" ht="12.75" hidden="1" customHeight="1">
      <c r="A77" s="200">
        <v>65.0</v>
      </c>
      <c r="B77" s="200" t="s">
        <v>895</v>
      </c>
      <c r="C77" s="200" t="s">
        <v>899</v>
      </c>
      <c r="D77" s="200" t="s">
        <v>1007</v>
      </c>
      <c r="E77" s="4" t="s">
        <v>683</v>
      </c>
      <c r="F77" s="200">
        <v>2015.0</v>
      </c>
      <c r="G77" s="4" t="s">
        <v>1000</v>
      </c>
      <c r="H77" s="201">
        <v>2019.0</v>
      </c>
      <c r="I77" s="201" t="s">
        <v>683</v>
      </c>
      <c r="J77" s="200">
        <v>129852.0</v>
      </c>
      <c r="K77" s="200">
        <v>100.0</v>
      </c>
      <c r="L77" s="200">
        <v>2019.0</v>
      </c>
      <c r="M77" s="200">
        <v>100.0</v>
      </c>
      <c r="N77" s="201" t="s">
        <v>683</v>
      </c>
      <c r="O77" s="200">
        <v>0.0</v>
      </c>
      <c r="P77" s="200">
        <v>129852.0</v>
      </c>
      <c r="Q77" s="201" t="s">
        <v>683</v>
      </c>
      <c r="R77" s="4">
        <v>0.0</v>
      </c>
      <c r="S77" s="4" t="s">
        <v>1013</v>
      </c>
      <c r="T77" s="4" t="s">
        <v>1028</v>
      </c>
      <c r="U77" s="4" t="s">
        <v>1104</v>
      </c>
      <c r="V77" s="4"/>
      <c r="W77" s="4"/>
      <c r="X77" s="4"/>
      <c r="Y77" s="4"/>
      <c r="Z77" s="4"/>
      <c r="AA77" s="4"/>
      <c r="AB77" s="4"/>
      <c r="AC77" s="4"/>
      <c r="AD77" s="4"/>
      <c r="AE77" s="4"/>
      <c r="AF77" s="4"/>
      <c r="AG77" s="4"/>
      <c r="AH77" s="4"/>
      <c r="AI77" s="4"/>
      <c r="AJ77" s="4"/>
      <c r="AK77" s="4"/>
      <c r="AL77" s="4"/>
      <c r="AM77" s="4"/>
      <c r="AN77" s="4"/>
      <c r="AO77" s="4"/>
    </row>
    <row r="78" ht="12.75" hidden="1" customHeight="1">
      <c r="A78" s="200">
        <v>66.0</v>
      </c>
      <c r="B78" s="200" t="s">
        <v>895</v>
      </c>
      <c r="C78" s="200" t="s">
        <v>899</v>
      </c>
      <c r="D78" s="200" t="s">
        <v>1105</v>
      </c>
      <c r="E78" s="4" t="s">
        <v>683</v>
      </c>
      <c r="F78" s="200">
        <v>2013.0</v>
      </c>
      <c r="G78" s="4" t="s">
        <v>1000</v>
      </c>
      <c r="H78" s="201">
        <v>2018.0</v>
      </c>
      <c r="I78" s="201" t="s">
        <v>683</v>
      </c>
      <c r="J78" s="200">
        <v>0.01</v>
      </c>
      <c r="K78" s="200">
        <v>100.0</v>
      </c>
      <c r="L78" s="200">
        <v>2019.0</v>
      </c>
      <c r="M78" s="200">
        <v>100.0</v>
      </c>
      <c r="N78" s="201" t="s">
        <v>683</v>
      </c>
      <c r="O78" s="200">
        <v>0.0</v>
      </c>
      <c r="P78" s="200">
        <v>0.0</v>
      </c>
      <c r="Q78" s="201" t="s">
        <v>683</v>
      </c>
      <c r="R78" s="4">
        <v>100.0</v>
      </c>
      <c r="S78" s="4" t="s">
        <v>1013</v>
      </c>
      <c r="T78" s="4" t="s">
        <v>1014</v>
      </c>
      <c r="U78" s="4" t="s">
        <v>1106</v>
      </c>
      <c r="V78" s="4"/>
      <c r="W78" s="4"/>
      <c r="X78" s="4"/>
      <c r="Y78" s="4"/>
      <c r="Z78" s="4"/>
      <c r="AA78" s="4"/>
      <c r="AB78" s="4"/>
      <c r="AC78" s="4"/>
      <c r="AD78" s="4"/>
      <c r="AE78" s="4"/>
      <c r="AF78" s="4"/>
      <c r="AG78" s="4"/>
      <c r="AH78" s="4"/>
      <c r="AI78" s="4"/>
      <c r="AJ78" s="4"/>
      <c r="AK78" s="4"/>
      <c r="AL78" s="4"/>
      <c r="AM78" s="4"/>
      <c r="AN78" s="4"/>
      <c r="AO78" s="4"/>
    </row>
    <row r="79" ht="12.75" hidden="1" customHeight="1">
      <c r="A79" s="200">
        <v>66.0</v>
      </c>
      <c r="B79" s="200" t="s">
        <v>895</v>
      </c>
      <c r="C79" s="200" t="s">
        <v>896</v>
      </c>
      <c r="D79" s="200" t="s">
        <v>1004</v>
      </c>
      <c r="E79" s="4" t="s">
        <v>683</v>
      </c>
      <c r="F79" s="200">
        <v>2017.0</v>
      </c>
      <c r="G79" s="4" t="s">
        <v>1000</v>
      </c>
      <c r="H79" s="201">
        <v>2013.0</v>
      </c>
      <c r="I79" s="201" t="s">
        <v>683</v>
      </c>
      <c r="J79" s="200">
        <v>920143.0</v>
      </c>
      <c r="K79" s="200">
        <v>100.0</v>
      </c>
      <c r="L79" s="200">
        <v>2030.0</v>
      </c>
      <c r="M79" s="200">
        <v>75.0</v>
      </c>
      <c r="N79" s="201" t="s">
        <v>683</v>
      </c>
      <c r="O79" s="200">
        <v>230035.75</v>
      </c>
      <c r="P79" s="200">
        <v>388787.0</v>
      </c>
      <c r="Q79" s="201" t="s">
        <v>683</v>
      </c>
      <c r="R79" s="4">
        <v>76.99614806249319</v>
      </c>
      <c r="S79" s="4" t="s">
        <v>1001</v>
      </c>
      <c r="T79" s="4" t="s">
        <v>1028</v>
      </c>
      <c r="U79" s="4" t="s">
        <v>1107</v>
      </c>
      <c r="V79" s="4"/>
      <c r="W79" s="4"/>
      <c r="X79" s="4"/>
      <c r="Y79" s="4"/>
      <c r="Z79" s="4"/>
      <c r="AA79" s="4"/>
      <c r="AB79" s="4"/>
      <c r="AC79" s="4"/>
      <c r="AD79" s="4"/>
      <c r="AE79" s="4"/>
      <c r="AF79" s="4"/>
      <c r="AG79" s="4"/>
      <c r="AH79" s="4"/>
      <c r="AI79" s="4"/>
      <c r="AJ79" s="4"/>
      <c r="AK79" s="4"/>
      <c r="AL79" s="4"/>
      <c r="AM79" s="4"/>
      <c r="AN79" s="4"/>
      <c r="AO79" s="4"/>
    </row>
    <row r="80" ht="12.75" hidden="1" customHeight="1">
      <c r="A80" s="200">
        <v>66.0</v>
      </c>
      <c r="B80" s="200" t="s">
        <v>895</v>
      </c>
      <c r="C80" s="200" t="s">
        <v>896</v>
      </c>
      <c r="D80" s="200" t="s">
        <v>1004</v>
      </c>
      <c r="E80" s="4" t="s">
        <v>683</v>
      </c>
      <c r="F80" s="200">
        <v>2017.0</v>
      </c>
      <c r="G80" s="4" t="s">
        <v>1000</v>
      </c>
      <c r="H80" s="201">
        <v>2013.0</v>
      </c>
      <c r="I80" s="201" t="s">
        <v>683</v>
      </c>
      <c r="J80" s="200">
        <v>920143.0</v>
      </c>
      <c r="K80" s="200">
        <v>100.0</v>
      </c>
      <c r="L80" s="200">
        <v>2045.0</v>
      </c>
      <c r="M80" s="200">
        <v>75.0</v>
      </c>
      <c r="N80" s="201" t="s">
        <v>683</v>
      </c>
      <c r="O80" s="200">
        <v>230035.75</v>
      </c>
      <c r="P80" s="200">
        <v>388787.0</v>
      </c>
      <c r="Q80" s="201" t="s">
        <v>683</v>
      </c>
      <c r="R80" s="4">
        <v>76.99614806249319</v>
      </c>
      <c r="S80" s="4" t="s">
        <v>1001</v>
      </c>
      <c r="T80" s="4" t="s">
        <v>1028</v>
      </c>
      <c r="U80" s="4" t="s">
        <v>1108</v>
      </c>
      <c r="V80" s="4"/>
      <c r="W80" s="4"/>
      <c r="X80" s="4"/>
      <c r="Y80" s="4"/>
      <c r="Z80" s="4"/>
      <c r="AA80" s="4"/>
      <c r="AB80" s="4"/>
      <c r="AC80" s="4"/>
      <c r="AD80" s="4"/>
      <c r="AE80" s="4"/>
      <c r="AF80" s="4"/>
      <c r="AG80" s="4"/>
      <c r="AH80" s="4"/>
      <c r="AI80" s="4"/>
      <c r="AJ80" s="4"/>
      <c r="AK80" s="4"/>
      <c r="AL80" s="4"/>
      <c r="AM80" s="4"/>
      <c r="AN80" s="4"/>
      <c r="AO80" s="4"/>
    </row>
    <row r="81" ht="12.75" hidden="1" customHeight="1">
      <c r="A81" s="200">
        <v>67.0</v>
      </c>
      <c r="B81" s="200" t="s">
        <v>895</v>
      </c>
      <c r="C81" s="200" t="s">
        <v>896</v>
      </c>
      <c r="D81" s="200" t="s">
        <v>1004</v>
      </c>
      <c r="E81" s="4" t="s">
        <v>683</v>
      </c>
      <c r="F81" s="200">
        <v>2015.0</v>
      </c>
      <c r="G81" s="4" t="s">
        <v>1000</v>
      </c>
      <c r="H81" s="201">
        <v>2013.0</v>
      </c>
      <c r="I81" s="201" t="s">
        <v>683</v>
      </c>
      <c r="J81" s="200">
        <v>1566367.0</v>
      </c>
      <c r="K81" s="200">
        <v>90.0</v>
      </c>
      <c r="L81" s="200">
        <v>2020.0</v>
      </c>
      <c r="M81" s="200">
        <v>15.0</v>
      </c>
      <c r="N81" s="201" t="s">
        <v>683</v>
      </c>
      <c r="O81" s="200">
        <v>1331411.95</v>
      </c>
      <c r="P81" s="200">
        <v>1336793.0</v>
      </c>
      <c r="Q81" s="201" t="s">
        <v>683</v>
      </c>
      <c r="R81" s="4">
        <v>97.70975341879222</v>
      </c>
      <c r="S81" s="4" t="s">
        <v>1013</v>
      </c>
      <c r="T81" s="4" t="s">
        <v>1028</v>
      </c>
      <c r="U81" s="4" t="s">
        <v>1109</v>
      </c>
      <c r="V81" s="4"/>
      <c r="W81" s="4"/>
      <c r="X81" s="4"/>
      <c r="Y81" s="4"/>
      <c r="Z81" s="4"/>
      <c r="AA81" s="4"/>
      <c r="AB81" s="4"/>
      <c r="AC81" s="4"/>
      <c r="AD81" s="4"/>
      <c r="AE81" s="4"/>
      <c r="AF81" s="4"/>
      <c r="AG81" s="4"/>
      <c r="AH81" s="4"/>
      <c r="AI81" s="4"/>
      <c r="AJ81" s="4"/>
      <c r="AK81" s="4"/>
      <c r="AL81" s="4"/>
      <c r="AM81" s="4"/>
      <c r="AN81" s="4"/>
      <c r="AO81" s="4"/>
    </row>
    <row r="82" ht="12.75" hidden="1" customHeight="1">
      <c r="A82" s="200">
        <v>67.0</v>
      </c>
      <c r="B82" s="200" t="s">
        <v>895</v>
      </c>
      <c r="C82" s="200" t="s">
        <v>899</v>
      </c>
      <c r="D82" s="200" t="s">
        <v>1067</v>
      </c>
      <c r="E82" s="4" t="s">
        <v>683</v>
      </c>
      <c r="F82" s="200">
        <v>2019.0</v>
      </c>
      <c r="G82" s="4" t="s">
        <v>1000</v>
      </c>
      <c r="H82" s="201">
        <v>2018.0</v>
      </c>
      <c r="I82" s="201" t="s">
        <v>683</v>
      </c>
      <c r="J82" s="200">
        <v>1.890334E7</v>
      </c>
      <c r="K82" s="200">
        <v>80.0</v>
      </c>
      <c r="L82" s="200">
        <v>2025.0</v>
      </c>
      <c r="M82" s="200">
        <v>10.0</v>
      </c>
      <c r="N82" s="201" t="s">
        <v>683</v>
      </c>
      <c r="O82" s="200">
        <v>1.7013006E7</v>
      </c>
      <c r="P82" s="200"/>
      <c r="Q82" s="201" t="s">
        <v>683</v>
      </c>
      <c r="R82" s="4">
        <v>1000.0</v>
      </c>
      <c r="S82" s="4" t="s">
        <v>1024</v>
      </c>
      <c r="T82" s="4" t="s">
        <v>1008</v>
      </c>
      <c r="U82" s="4" t="s">
        <v>1110</v>
      </c>
      <c r="V82" s="4"/>
      <c r="W82" s="4"/>
      <c r="X82" s="4"/>
      <c r="Y82" s="4"/>
      <c r="Z82" s="4"/>
      <c r="AA82" s="4"/>
      <c r="AB82" s="4"/>
      <c r="AC82" s="4"/>
      <c r="AD82" s="4"/>
      <c r="AE82" s="4"/>
      <c r="AF82" s="4"/>
      <c r="AG82" s="4"/>
      <c r="AH82" s="4"/>
      <c r="AI82" s="4"/>
      <c r="AJ82" s="4"/>
      <c r="AK82" s="4"/>
      <c r="AL82" s="4"/>
      <c r="AM82" s="4"/>
      <c r="AN82" s="4"/>
      <c r="AO82" s="4"/>
    </row>
    <row r="83" ht="12.75" hidden="1" customHeight="1">
      <c r="A83" s="200">
        <v>68.0</v>
      </c>
      <c r="B83" s="200" t="s">
        <v>895</v>
      </c>
      <c r="C83" s="200" t="s">
        <v>899</v>
      </c>
      <c r="D83" s="200" t="s">
        <v>1111</v>
      </c>
      <c r="E83" s="4" t="s">
        <v>683</v>
      </c>
      <c r="F83" s="200">
        <v>2017.0</v>
      </c>
      <c r="G83" s="4" t="s">
        <v>1000</v>
      </c>
      <c r="H83" s="201">
        <v>2012.0</v>
      </c>
      <c r="I83" s="201" t="s">
        <v>683</v>
      </c>
      <c r="J83" s="200">
        <v>465350.0</v>
      </c>
      <c r="K83" s="200">
        <v>100.0</v>
      </c>
      <c r="L83" s="200">
        <v>2022.0</v>
      </c>
      <c r="M83" s="200">
        <v>100.0</v>
      </c>
      <c r="N83" s="201" t="s">
        <v>683</v>
      </c>
      <c r="O83" s="200">
        <v>0.0</v>
      </c>
      <c r="P83" s="200">
        <v>304200.0</v>
      </c>
      <c r="Q83" s="201" t="s">
        <v>683</v>
      </c>
      <c r="R83" s="4">
        <v>34.62984850112819</v>
      </c>
      <c r="S83" s="4" t="s">
        <v>1001</v>
      </c>
      <c r="T83" s="4" t="s">
        <v>1014</v>
      </c>
      <c r="U83" s="4" t="s">
        <v>1112</v>
      </c>
      <c r="V83" s="4"/>
      <c r="W83" s="4"/>
      <c r="X83" s="4"/>
      <c r="Y83" s="4"/>
      <c r="Z83" s="4"/>
      <c r="AA83" s="4"/>
      <c r="AB83" s="4"/>
      <c r="AC83" s="4"/>
      <c r="AD83" s="4"/>
      <c r="AE83" s="4"/>
      <c r="AF83" s="4"/>
      <c r="AG83" s="4"/>
      <c r="AH83" s="4"/>
      <c r="AI83" s="4"/>
      <c r="AJ83" s="4"/>
      <c r="AK83" s="4"/>
      <c r="AL83" s="4"/>
      <c r="AM83" s="4"/>
      <c r="AN83" s="4"/>
      <c r="AO83" s="4"/>
    </row>
    <row r="84" ht="12.75" hidden="1" customHeight="1">
      <c r="A84" s="200">
        <v>68.0</v>
      </c>
      <c r="B84" s="200" t="s">
        <v>895</v>
      </c>
      <c r="C84" s="200" t="s">
        <v>896</v>
      </c>
      <c r="D84" s="200" t="s">
        <v>1004</v>
      </c>
      <c r="E84" s="4" t="s">
        <v>683</v>
      </c>
      <c r="F84" s="200">
        <v>2017.0</v>
      </c>
      <c r="G84" s="4" t="s">
        <v>1000</v>
      </c>
      <c r="H84" s="201">
        <v>2012.0</v>
      </c>
      <c r="I84" s="201" t="s">
        <v>683</v>
      </c>
      <c r="J84" s="200">
        <v>357990.0</v>
      </c>
      <c r="K84" s="200">
        <v>100.0</v>
      </c>
      <c r="L84" s="200">
        <v>2022.0</v>
      </c>
      <c r="M84" s="200">
        <v>90.0</v>
      </c>
      <c r="N84" s="201" t="s">
        <v>683</v>
      </c>
      <c r="O84" s="200">
        <v>35799.0</v>
      </c>
      <c r="P84" s="200">
        <v>204500.0</v>
      </c>
      <c r="Q84" s="201" t="s">
        <v>683</v>
      </c>
      <c r="R84" s="4">
        <v>47.639443684025935</v>
      </c>
      <c r="S84" s="4" t="s">
        <v>1001</v>
      </c>
      <c r="T84" s="4" t="s">
        <v>1028</v>
      </c>
      <c r="U84" s="4" t="s">
        <v>1113</v>
      </c>
      <c r="V84" s="4"/>
      <c r="W84" s="4"/>
      <c r="X84" s="4"/>
      <c r="Y84" s="4"/>
      <c r="Z84" s="4"/>
      <c r="AA84" s="4"/>
      <c r="AB84" s="4"/>
      <c r="AC84" s="4"/>
      <c r="AD84" s="4"/>
      <c r="AE84" s="4"/>
      <c r="AF84" s="4"/>
      <c r="AG84" s="4"/>
      <c r="AH84" s="4"/>
      <c r="AI84" s="4"/>
      <c r="AJ84" s="4"/>
      <c r="AK84" s="4"/>
      <c r="AL84" s="4"/>
      <c r="AM84" s="4"/>
      <c r="AN84" s="4"/>
      <c r="AO84" s="4"/>
    </row>
    <row r="85" ht="12.75" hidden="1" customHeight="1">
      <c r="A85" s="200">
        <v>68.0</v>
      </c>
      <c r="B85" s="200" t="s">
        <v>895</v>
      </c>
      <c r="C85" s="200" t="s">
        <v>896</v>
      </c>
      <c r="D85" s="200" t="s">
        <v>1004</v>
      </c>
      <c r="E85" s="4" t="s">
        <v>683</v>
      </c>
      <c r="F85" s="200">
        <v>2017.0</v>
      </c>
      <c r="G85" s="4" t="s">
        <v>1000</v>
      </c>
      <c r="H85" s="201">
        <v>2012.0</v>
      </c>
      <c r="I85" s="201" t="s">
        <v>683</v>
      </c>
      <c r="J85" s="200">
        <v>357990.0</v>
      </c>
      <c r="K85" s="200">
        <v>100.0</v>
      </c>
      <c r="L85" s="200">
        <v>2033.0</v>
      </c>
      <c r="M85" s="200">
        <v>90.0</v>
      </c>
      <c r="N85" s="201" t="s">
        <v>683</v>
      </c>
      <c r="O85" s="200">
        <v>35799.0</v>
      </c>
      <c r="P85" s="200">
        <v>204500.0</v>
      </c>
      <c r="Q85" s="201" t="s">
        <v>683</v>
      </c>
      <c r="R85" s="4">
        <v>47.639443684025935</v>
      </c>
      <c r="S85" s="4" t="s">
        <v>1001</v>
      </c>
      <c r="T85" s="4" t="s">
        <v>1028</v>
      </c>
      <c r="U85" s="4" t="s">
        <v>1114</v>
      </c>
      <c r="V85" s="4"/>
      <c r="W85" s="4"/>
      <c r="X85" s="4"/>
      <c r="Y85" s="4"/>
      <c r="Z85" s="4"/>
      <c r="AA85" s="4"/>
      <c r="AB85" s="4"/>
      <c r="AC85" s="4"/>
      <c r="AD85" s="4"/>
      <c r="AE85" s="4"/>
      <c r="AF85" s="4"/>
      <c r="AG85" s="4"/>
      <c r="AH85" s="4"/>
      <c r="AI85" s="4"/>
      <c r="AJ85" s="4"/>
      <c r="AK85" s="4"/>
      <c r="AL85" s="4"/>
      <c r="AM85" s="4"/>
      <c r="AN85" s="4"/>
      <c r="AO85" s="4"/>
    </row>
    <row r="86" ht="12.75" hidden="1" customHeight="1">
      <c r="A86" s="200">
        <v>71.0</v>
      </c>
      <c r="B86" s="200" t="s">
        <v>895</v>
      </c>
      <c r="C86" s="200" t="s">
        <v>896</v>
      </c>
      <c r="D86" s="200" t="s">
        <v>1004</v>
      </c>
      <c r="E86" s="4" t="s">
        <v>683</v>
      </c>
      <c r="F86" s="200">
        <v>2019.0</v>
      </c>
      <c r="G86" s="4" t="s">
        <v>1000</v>
      </c>
      <c r="H86" s="201">
        <v>2015.0</v>
      </c>
      <c r="I86" s="201" t="s">
        <v>683</v>
      </c>
      <c r="J86" s="200">
        <v>264394.0</v>
      </c>
      <c r="K86" s="200">
        <v>100.0</v>
      </c>
      <c r="L86" s="200">
        <v>2025.0</v>
      </c>
      <c r="M86" s="200">
        <v>65.0</v>
      </c>
      <c r="N86" s="201" t="s">
        <v>683</v>
      </c>
      <c r="O86" s="200">
        <v>92537.9</v>
      </c>
      <c r="P86" s="200">
        <v>255779.0</v>
      </c>
      <c r="Q86" s="201" t="s">
        <v>683</v>
      </c>
      <c r="R86" s="4">
        <v>5.012914874712041</v>
      </c>
      <c r="S86" s="4" t="s">
        <v>1001</v>
      </c>
      <c r="T86" s="4" t="s">
        <v>1008</v>
      </c>
      <c r="U86" s="4" t="s">
        <v>1115</v>
      </c>
      <c r="V86" s="4"/>
      <c r="W86" s="4"/>
      <c r="X86" s="4"/>
      <c r="Y86" s="4"/>
      <c r="Z86" s="4"/>
      <c r="AA86" s="4"/>
      <c r="AB86" s="4"/>
      <c r="AC86" s="4"/>
      <c r="AD86" s="4"/>
      <c r="AE86" s="4"/>
      <c r="AF86" s="4"/>
      <c r="AG86" s="4"/>
      <c r="AH86" s="4"/>
      <c r="AI86" s="4"/>
      <c r="AJ86" s="4"/>
      <c r="AK86" s="4"/>
      <c r="AL86" s="4"/>
      <c r="AM86" s="4"/>
      <c r="AN86" s="4"/>
      <c r="AO86" s="4"/>
    </row>
    <row r="87" ht="12.75" hidden="1" customHeight="1">
      <c r="A87" s="200">
        <v>73.0</v>
      </c>
      <c r="B87" s="200" t="s">
        <v>895</v>
      </c>
      <c r="C87" s="200" t="s">
        <v>896</v>
      </c>
      <c r="D87" s="200" t="s">
        <v>999</v>
      </c>
      <c r="E87" s="4" t="s">
        <v>683</v>
      </c>
      <c r="F87" s="200">
        <v>2020.0</v>
      </c>
      <c r="G87" s="4" t="s">
        <v>1068</v>
      </c>
      <c r="H87" s="201">
        <v>2013.0</v>
      </c>
      <c r="I87" s="201" t="s">
        <v>683</v>
      </c>
      <c r="J87" s="200">
        <v>8081870.0</v>
      </c>
      <c r="K87" s="200">
        <v>77.0</v>
      </c>
      <c r="L87" s="200">
        <v>2025.0</v>
      </c>
      <c r="M87" s="200">
        <v>4.6</v>
      </c>
      <c r="N87" s="201" t="s">
        <v>683</v>
      </c>
      <c r="O87" s="200">
        <v>7710103.98</v>
      </c>
      <c r="P87" s="200"/>
      <c r="Q87" s="201" t="s">
        <v>683</v>
      </c>
      <c r="R87" s="4">
        <v>2173.9130434782633</v>
      </c>
      <c r="S87" s="4" t="s">
        <v>1024</v>
      </c>
      <c r="T87" s="4" t="s">
        <v>1016</v>
      </c>
      <c r="U87" s="4" t="s">
        <v>1116</v>
      </c>
      <c r="V87" s="4"/>
      <c r="W87" s="4"/>
      <c r="X87" s="4"/>
      <c r="Y87" s="4"/>
      <c r="Z87" s="4"/>
      <c r="AA87" s="4"/>
      <c r="AB87" s="4"/>
      <c r="AC87" s="4"/>
      <c r="AD87" s="4"/>
      <c r="AE87" s="4"/>
      <c r="AF87" s="4"/>
      <c r="AG87" s="4"/>
      <c r="AH87" s="4"/>
      <c r="AI87" s="4"/>
      <c r="AJ87" s="4"/>
      <c r="AK87" s="4"/>
      <c r="AL87" s="4"/>
      <c r="AM87" s="4"/>
      <c r="AN87" s="4"/>
      <c r="AO87" s="4"/>
    </row>
    <row r="88" ht="12.75" hidden="1" customHeight="1">
      <c r="A88" s="200">
        <v>74.0</v>
      </c>
      <c r="B88" s="200" t="s">
        <v>895</v>
      </c>
      <c r="C88" s="200" t="s">
        <v>896</v>
      </c>
      <c r="D88" s="200" t="s">
        <v>1004</v>
      </c>
      <c r="E88" s="4" t="s">
        <v>683</v>
      </c>
      <c r="F88" s="200">
        <v>2018.0</v>
      </c>
      <c r="G88" s="4" t="s">
        <v>1000</v>
      </c>
      <c r="H88" s="201">
        <v>2015.0</v>
      </c>
      <c r="I88" s="201" t="s">
        <v>683</v>
      </c>
      <c r="J88" s="200">
        <v>459516.0</v>
      </c>
      <c r="K88" s="200">
        <v>100.0</v>
      </c>
      <c r="L88" s="200">
        <v>2025.0</v>
      </c>
      <c r="M88" s="200">
        <v>26.0</v>
      </c>
      <c r="N88" s="201" t="s">
        <v>683</v>
      </c>
      <c r="O88" s="200">
        <v>340041.84</v>
      </c>
      <c r="P88" s="200">
        <v>365543.0</v>
      </c>
      <c r="Q88" s="201" t="s">
        <v>683</v>
      </c>
      <c r="R88" s="4">
        <v>78.65550174196665</v>
      </c>
      <c r="S88" s="4" t="s">
        <v>1001</v>
      </c>
      <c r="T88" s="4" t="s">
        <v>1028</v>
      </c>
      <c r="U88" s="4" t="s">
        <v>1117</v>
      </c>
      <c r="V88" s="4"/>
      <c r="W88" s="4"/>
      <c r="X88" s="4"/>
      <c r="Y88" s="4"/>
      <c r="Z88" s="4"/>
      <c r="AA88" s="4"/>
      <c r="AB88" s="4"/>
      <c r="AC88" s="4"/>
      <c r="AD88" s="4"/>
      <c r="AE88" s="4"/>
      <c r="AF88" s="4"/>
      <c r="AG88" s="4"/>
      <c r="AH88" s="4"/>
      <c r="AI88" s="4"/>
      <c r="AJ88" s="4"/>
      <c r="AK88" s="4"/>
      <c r="AL88" s="4"/>
      <c r="AM88" s="4"/>
      <c r="AN88" s="4"/>
      <c r="AO88" s="4"/>
    </row>
    <row r="89" ht="12.75" hidden="1" customHeight="1">
      <c r="A89" s="200">
        <v>74.0</v>
      </c>
      <c r="B89" s="200" t="s">
        <v>895</v>
      </c>
      <c r="C89" s="200" t="s">
        <v>896</v>
      </c>
      <c r="D89" s="200" t="s">
        <v>1004</v>
      </c>
      <c r="E89" s="4" t="s">
        <v>683</v>
      </c>
      <c r="F89" s="200">
        <v>2018.0</v>
      </c>
      <c r="G89" s="4" t="s">
        <v>1000</v>
      </c>
      <c r="H89" s="201">
        <v>2015.0</v>
      </c>
      <c r="I89" s="201" t="s">
        <v>683</v>
      </c>
      <c r="J89" s="200">
        <v>459516.0</v>
      </c>
      <c r="K89" s="200">
        <v>100.0</v>
      </c>
      <c r="L89" s="200">
        <v>2050.0</v>
      </c>
      <c r="M89" s="200">
        <v>65.0</v>
      </c>
      <c r="N89" s="201" t="s">
        <v>683</v>
      </c>
      <c r="O89" s="200">
        <v>160830.6</v>
      </c>
      <c r="P89" s="200">
        <v>365543.0</v>
      </c>
      <c r="Q89" s="201" t="s">
        <v>683</v>
      </c>
      <c r="R89" s="4">
        <v>31.462200696786653</v>
      </c>
      <c r="S89" s="4" t="s">
        <v>1001</v>
      </c>
      <c r="T89" s="4" t="s">
        <v>1028</v>
      </c>
      <c r="U89" s="4" t="s">
        <v>1118</v>
      </c>
      <c r="V89" s="4"/>
      <c r="W89" s="4"/>
      <c r="X89" s="4"/>
      <c r="Y89" s="4"/>
      <c r="Z89" s="4"/>
      <c r="AA89" s="4"/>
      <c r="AB89" s="4"/>
      <c r="AC89" s="4"/>
      <c r="AD89" s="4"/>
      <c r="AE89" s="4"/>
      <c r="AF89" s="4"/>
      <c r="AG89" s="4"/>
      <c r="AH89" s="4"/>
      <c r="AI89" s="4"/>
      <c r="AJ89" s="4"/>
      <c r="AK89" s="4"/>
      <c r="AL89" s="4"/>
      <c r="AM89" s="4"/>
      <c r="AN89" s="4"/>
      <c r="AO89" s="4"/>
    </row>
    <row r="90" ht="12.75" hidden="1" customHeight="1">
      <c r="A90" s="200">
        <v>74.0</v>
      </c>
      <c r="B90" s="200" t="s">
        <v>895</v>
      </c>
      <c r="C90" s="200" t="s">
        <v>896</v>
      </c>
      <c r="D90" s="200" t="s">
        <v>1004</v>
      </c>
      <c r="E90" s="4" t="s">
        <v>683</v>
      </c>
      <c r="F90" s="200">
        <v>2016.0</v>
      </c>
      <c r="G90" s="4" t="s">
        <v>1068</v>
      </c>
      <c r="H90" s="201">
        <v>2015.0</v>
      </c>
      <c r="I90" s="201" t="s">
        <v>683</v>
      </c>
      <c r="J90" s="200">
        <v>373626.0</v>
      </c>
      <c r="K90" s="200">
        <v>81.0</v>
      </c>
      <c r="L90" s="200">
        <v>2020.0</v>
      </c>
      <c r="M90" s="200">
        <v>20.0</v>
      </c>
      <c r="N90" s="201" t="s">
        <v>683</v>
      </c>
      <c r="O90" s="200">
        <v>298900.8</v>
      </c>
      <c r="P90" s="200">
        <v>211880.0</v>
      </c>
      <c r="Q90" s="201" t="s">
        <v>683</v>
      </c>
      <c r="R90" s="4">
        <v>216.45442233677525</v>
      </c>
      <c r="S90" s="4" t="s">
        <v>1013</v>
      </c>
      <c r="T90" s="4" t="s">
        <v>1028</v>
      </c>
      <c r="U90" s="4" t="s">
        <v>1119</v>
      </c>
      <c r="V90" s="4"/>
      <c r="W90" s="4"/>
      <c r="X90" s="4"/>
      <c r="Y90" s="4"/>
      <c r="Z90" s="4"/>
      <c r="AA90" s="4"/>
      <c r="AB90" s="4"/>
      <c r="AC90" s="4"/>
      <c r="AD90" s="4"/>
      <c r="AE90" s="4"/>
      <c r="AF90" s="4"/>
      <c r="AG90" s="4"/>
      <c r="AH90" s="4"/>
      <c r="AI90" s="4"/>
      <c r="AJ90" s="4"/>
      <c r="AK90" s="4"/>
      <c r="AL90" s="4"/>
      <c r="AM90" s="4"/>
      <c r="AN90" s="4"/>
      <c r="AO90" s="4"/>
    </row>
    <row r="91" ht="12.75" hidden="1" customHeight="1">
      <c r="A91" s="200">
        <v>74.0</v>
      </c>
      <c r="B91" s="200" t="s">
        <v>895</v>
      </c>
      <c r="C91" s="200" t="s">
        <v>689</v>
      </c>
      <c r="D91" s="200" t="s">
        <v>1056</v>
      </c>
      <c r="E91" s="4" t="s">
        <v>683</v>
      </c>
      <c r="F91" s="200">
        <v>2019.0</v>
      </c>
      <c r="G91" s="4" t="s">
        <v>1000</v>
      </c>
      <c r="H91" s="201">
        <v>2019.0</v>
      </c>
      <c r="I91" s="201" t="s">
        <v>683</v>
      </c>
      <c r="J91" s="200">
        <v>173807.0</v>
      </c>
      <c r="K91" s="200">
        <v>100.0</v>
      </c>
      <c r="L91" s="200">
        <v>2025.0</v>
      </c>
      <c r="M91" s="200">
        <v>25.0</v>
      </c>
      <c r="N91" s="201" t="s">
        <v>683</v>
      </c>
      <c r="O91" s="200">
        <v>130355.25</v>
      </c>
      <c r="P91" s="200">
        <v>173807.0</v>
      </c>
      <c r="Q91" s="201" t="s">
        <v>683</v>
      </c>
      <c r="R91" s="4">
        <v>0.0</v>
      </c>
      <c r="S91" s="4" t="s">
        <v>1024</v>
      </c>
      <c r="T91" s="4" t="s">
        <v>1014</v>
      </c>
      <c r="U91" s="4" t="s">
        <v>1120</v>
      </c>
      <c r="V91" s="4"/>
      <c r="W91" s="4"/>
      <c r="X91" s="4"/>
      <c r="Y91" s="4"/>
      <c r="Z91" s="4"/>
      <c r="AA91" s="4"/>
      <c r="AB91" s="4"/>
      <c r="AC91" s="4"/>
      <c r="AD91" s="4"/>
      <c r="AE91" s="4"/>
      <c r="AF91" s="4"/>
      <c r="AG91" s="4"/>
      <c r="AH91" s="4"/>
      <c r="AI91" s="4"/>
      <c r="AJ91" s="4"/>
      <c r="AK91" s="4"/>
      <c r="AL91" s="4"/>
      <c r="AM91" s="4"/>
      <c r="AN91" s="4"/>
      <c r="AO91" s="4"/>
    </row>
    <row r="92" ht="12.75" hidden="1" customHeight="1">
      <c r="A92" s="200">
        <v>76.0</v>
      </c>
      <c r="B92" s="200" t="s">
        <v>895</v>
      </c>
      <c r="C92" s="200" t="s">
        <v>899</v>
      </c>
      <c r="D92" s="200" t="s">
        <v>1040</v>
      </c>
      <c r="E92" s="4" t="s">
        <v>683</v>
      </c>
      <c r="F92" s="200">
        <v>2016.0</v>
      </c>
      <c r="G92" s="4" t="s">
        <v>1000</v>
      </c>
      <c r="H92" s="201">
        <v>2015.0</v>
      </c>
      <c r="I92" s="201" t="s">
        <v>683</v>
      </c>
      <c r="J92" s="200">
        <v>5.8755109E7</v>
      </c>
      <c r="K92" s="200">
        <v>100.0</v>
      </c>
      <c r="L92" s="200">
        <v>2030.0</v>
      </c>
      <c r="M92" s="200">
        <v>20.0</v>
      </c>
      <c r="N92" s="201" t="s">
        <v>683</v>
      </c>
      <c r="O92" s="200">
        <v>4.70040872E7</v>
      </c>
      <c r="P92" s="200">
        <v>5.5442735E7</v>
      </c>
      <c r="Q92" s="201" t="s">
        <v>683</v>
      </c>
      <c r="R92" s="4">
        <v>28.18796574779566</v>
      </c>
      <c r="S92" s="4" t="s">
        <v>1001</v>
      </c>
      <c r="T92" s="4" t="s">
        <v>1008</v>
      </c>
      <c r="U92" s="4" t="s">
        <v>1121</v>
      </c>
      <c r="V92" s="4"/>
      <c r="W92" s="4"/>
      <c r="X92" s="4"/>
      <c r="Y92" s="4"/>
      <c r="Z92" s="4"/>
      <c r="AA92" s="4"/>
      <c r="AB92" s="4"/>
      <c r="AC92" s="4"/>
      <c r="AD92" s="4"/>
      <c r="AE92" s="4"/>
      <c r="AF92" s="4"/>
      <c r="AG92" s="4"/>
      <c r="AH92" s="4"/>
      <c r="AI92" s="4"/>
      <c r="AJ92" s="4"/>
      <c r="AK92" s="4"/>
      <c r="AL92" s="4"/>
      <c r="AM92" s="4"/>
      <c r="AN92" s="4"/>
      <c r="AO92" s="4"/>
    </row>
    <row r="93" ht="12.75" hidden="1" customHeight="1">
      <c r="A93" s="200">
        <v>77.0</v>
      </c>
      <c r="B93" s="200" t="s">
        <v>895</v>
      </c>
      <c r="C93" s="200" t="s">
        <v>896</v>
      </c>
      <c r="D93" s="200" t="s">
        <v>999</v>
      </c>
      <c r="E93" s="4" t="s">
        <v>683</v>
      </c>
      <c r="F93" s="200">
        <v>2013.0</v>
      </c>
      <c r="G93" s="4" t="s">
        <v>1000</v>
      </c>
      <c r="H93" s="201">
        <v>2012.0</v>
      </c>
      <c r="I93" s="201" t="s">
        <v>683</v>
      </c>
      <c r="J93" s="200">
        <v>2005730.0</v>
      </c>
      <c r="K93" s="200">
        <v>100.0</v>
      </c>
      <c r="L93" s="200">
        <v>2020.0</v>
      </c>
      <c r="M93" s="200">
        <v>20.0</v>
      </c>
      <c r="N93" s="201" t="s">
        <v>683</v>
      </c>
      <c r="O93" s="200">
        <v>1604584.0</v>
      </c>
      <c r="P93" s="200">
        <v>1496924.0</v>
      </c>
      <c r="Q93" s="201" t="s">
        <v>683</v>
      </c>
      <c r="R93" s="4">
        <v>126.83810881823577</v>
      </c>
      <c r="S93" s="4" t="s">
        <v>1001</v>
      </c>
      <c r="T93" s="4" t="s">
        <v>1008</v>
      </c>
      <c r="U93" s="4" t="s">
        <v>1122</v>
      </c>
      <c r="V93" s="4"/>
      <c r="W93" s="4"/>
      <c r="X93" s="4"/>
      <c r="Y93" s="4"/>
      <c r="Z93" s="4"/>
      <c r="AA93" s="4"/>
      <c r="AB93" s="4"/>
      <c r="AC93" s="4"/>
      <c r="AD93" s="4"/>
      <c r="AE93" s="4"/>
      <c r="AF93" s="4"/>
      <c r="AG93" s="4"/>
      <c r="AH93" s="4"/>
      <c r="AI93" s="4"/>
      <c r="AJ93" s="4"/>
      <c r="AK93" s="4"/>
      <c r="AL93" s="4"/>
      <c r="AM93" s="4"/>
      <c r="AN93" s="4"/>
      <c r="AO93" s="4"/>
    </row>
    <row r="94" ht="12.75" hidden="1" customHeight="1">
      <c r="A94" s="200">
        <v>77.0</v>
      </c>
      <c r="B94" s="200" t="s">
        <v>895</v>
      </c>
      <c r="C94" s="200" t="s">
        <v>896</v>
      </c>
      <c r="D94" s="200" t="s">
        <v>999</v>
      </c>
      <c r="E94" s="4" t="s">
        <v>683</v>
      </c>
      <c r="F94" s="200">
        <v>2002.0</v>
      </c>
      <c r="G94" s="4" t="s">
        <v>1000</v>
      </c>
      <c r="H94" s="201">
        <v>2000.0</v>
      </c>
      <c r="I94" s="201" t="s">
        <v>683</v>
      </c>
      <c r="J94" s="200">
        <v>3479388.0</v>
      </c>
      <c r="K94" s="200">
        <v>100.0</v>
      </c>
      <c r="L94" s="200">
        <v>2050.0</v>
      </c>
      <c r="M94" s="200">
        <v>60.0</v>
      </c>
      <c r="N94" s="201" t="s">
        <v>683</v>
      </c>
      <c r="O94" s="200">
        <v>1391755.2</v>
      </c>
      <c r="P94" s="200">
        <v>1496924.0</v>
      </c>
      <c r="Q94" s="201" t="s">
        <v>683</v>
      </c>
      <c r="R94" s="4">
        <v>94.96229413525214</v>
      </c>
      <c r="S94" s="4" t="s">
        <v>1001</v>
      </c>
      <c r="T94" s="4" t="s">
        <v>1008</v>
      </c>
      <c r="U94" s="4" t="s">
        <v>1123</v>
      </c>
      <c r="V94" s="4"/>
      <c r="W94" s="4"/>
      <c r="X94" s="4"/>
      <c r="Y94" s="4"/>
      <c r="Z94" s="4"/>
      <c r="AA94" s="4"/>
      <c r="AB94" s="4"/>
      <c r="AC94" s="4"/>
      <c r="AD94" s="4"/>
      <c r="AE94" s="4"/>
      <c r="AF94" s="4"/>
      <c r="AG94" s="4"/>
      <c r="AH94" s="4"/>
      <c r="AI94" s="4"/>
      <c r="AJ94" s="4"/>
      <c r="AK94" s="4"/>
      <c r="AL94" s="4"/>
      <c r="AM94" s="4"/>
      <c r="AN94" s="4"/>
      <c r="AO94" s="4"/>
    </row>
    <row r="95" ht="12.75" hidden="1" customHeight="1">
      <c r="A95" s="200">
        <v>78.0</v>
      </c>
      <c r="B95" s="200" t="s">
        <v>895</v>
      </c>
      <c r="C95" s="200" t="s">
        <v>896</v>
      </c>
      <c r="D95" s="200" t="s">
        <v>1004</v>
      </c>
      <c r="E95" s="4" t="s">
        <v>683</v>
      </c>
      <c r="F95" s="200">
        <v>2016.0</v>
      </c>
      <c r="G95" s="4" t="s">
        <v>1000</v>
      </c>
      <c r="H95" s="200">
        <v>2010.0</v>
      </c>
      <c r="I95" s="201" t="s">
        <v>683</v>
      </c>
      <c r="J95" s="200">
        <v>914050.0</v>
      </c>
      <c r="K95" s="200">
        <v>100.0</v>
      </c>
      <c r="L95" s="200">
        <v>2030.0</v>
      </c>
      <c r="M95" s="200">
        <v>40.0</v>
      </c>
      <c r="N95" s="201" t="s">
        <v>683</v>
      </c>
      <c r="O95" s="200">
        <v>548430.0</v>
      </c>
      <c r="P95" s="200">
        <v>555882.0</v>
      </c>
      <c r="Q95" s="201" t="s">
        <v>683</v>
      </c>
      <c r="R95" s="4">
        <v>97.96181828127564</v>
      </c>
      <c r="S95" s="4" t="s">
        <v>1001</v>
      </c>
      <c r="T95" s="4" t="s">
        <v>1008</v>
      </c>
      <c r="U95" s="4" t="s">
        <v>1124</v>
      </c>
      <c r="V95" s="4"/>
      <c r="W95" s="4"/>
      <c r="X95" s="4"/>
      <c r="Y95" s="4"/>
      <c r="Z95" s="4"/>
      <c r="AA95" s="4"/>
      <c r="AB95" s="4"/>
      <c r="AC95" s="4"/>
      <c r="AD95" s="4"/>
      <c r="AE95" s="4"/>
      <c r="AF95" s="4"/>
      <c r="AG95" s="4"/>
      <c r="AH95" s="4"/>
      <c r="AI95" s="4"/>
      <c r="AJ95" s="4"/>
      <c r="AK95" s="4"/>
      <c r="AL95" s="4"/>
      <c r="AM95" s="4"/>
      <c r="AN95" s="4"/>
      <c r="AO95" s="4"/>
    </row>
    <row r="96" ht="12.75" hidden="1" customHeight="1">
      <c r="A96" s="200">
        <v>78.0</v>
      </c>
      <c r="B96" s="200" t="s">
        <v>895</v>
      </c>
      <c r="C96" s="200" t="s">
        <v>896</v>
      </c>
      <c r="D96" s="200" t="s">
        <v>1004</v>
      </c>
      <c r="E96" s="4" t="s">
        <v>683</v>
      </c>
      <c r="F96" s="200">
        <v>2016.0</v>
      </c>
      <c r="G96" s="4" t="s">
        <v>1000</v>
      </c>
      <c r="H96" s="200">
        <v>2010.0</v>
      </c>
      <c r="I96" s="201" t="s">
        <v>683</v>
      </c>
      <c r="J96" s="200">
        <v>914050.0</v>
      </c>
      <c r="K96" s="200">
        <v>100.0</v>
      </c>
      <c r="L96" s="200">
        <v>2040.0</v>
      </c>
      <c r="M96" s="200">
        <v>60.0</v>
      </c>
      <c r="N96" s="201" t="s">
        <v>683</v>
      </c>
      <c r="O96" s="200">
        <v>365620.0</v>
      </c>
      <c r="P96" s="200">
        <v>555882.0</v>
      </c>
      <c r="Q96" s="201" t="s">
        <v>683</v>
      </c>
      <c r="R96" s="4">
        <v>65.30787885418377</v>
      </c>
      <c r="S96" s="4" t="s">
        <v>1001</v>
      </c>
      <c r="T96" s="4" t="s">
        <v>1008</v>
      </c>
      <c r="U96" s="4" t="s">
        <v>1125</v>
      </c>
      <c r="V96" s="4"/>
      <c r="W96" s="4"/>
      <c r="X96" s="4"/>
      <c r="Y96" s="4"/>
      <c r="Z96" s="4"/>
      <c r="AA96" s="4"/>
      <c r="AB96" s="4"/>
      <c r="AC96" s="4"/>
      <c r="AD96" s="4"/>
      <c r="AE96" s="4"/>
      <c r="AF96" s="4"/>
      <c r="AG96" s="4"/>
      <c r="AH96" s="4"/>
      <c r="AI96" s="4"/>
      <c r="AJ96" s="4"/>
      <c r="AK96" s="4"/>
      <c r="AL96" s="4"/>
      <c r="AM96" s="4"/>
      <c r="AN96" s="4"/>
      <c r="AO96" s="4"/>
    </row>
    <row r="97" ht="12.75" hidden="1" customHeight="1">
      <c r="A97" s="200">
        <v>78.0</v>
      </c>
      <c r="B97" s="200" t="s">
        <v>895</v>
      </c>
      <c r="C97" s="200" t="s">
        <v>899</v>
      </c>
      <c r="D97" s="200" t="s">
        <v>1040</v>
      </c>
      <c r="E97" s="4" t="s">
        <v>683</v>
      </c>
      <c r="F97" s="200">
        <v>2016.0</v>
      </c>
      <c r="G97" s="4" t="s">
        <v>1000</v>
      </c>
      <c r="H97" s="200">
        <v>2010.0</v>
      </c>
      <c r="I97" s="201" t="s">
        <v>683</v>
      </c>
      <c r="J97" s="200">
        <v>8062275.0</v>
      </c>
      <c r="K97" s="200">
        <v>100.0</v>
      </c>
      <c r="L97" s="200">
        <v>2030.0</v>
      </c>
      <c r="M97" s="200">
        <v>40.0</v>
      </c>
      <c r="N97" s="201" t="s">
        <v>683</v>
      </c>
      <c r="O97" s="200">
        <v>4837365.0</v>
      </c>
      <c r="P97" s="200">
        <v>4682492.0</v>
      </c>
      <c r="Q97" s="201" t="s">
        <v>683</v>
      </c>
      <c r="R97" s="4">
        <v>104.80239758628922</v>
      </c>
      <c r="S97" s="4" t="s">
        <v>1013</v>
      </c>
      <c r="T97" s="4" t="s">
        <v>1008</v>
      </c>
      <c r="U97" s="4" t="s">
        <v>1126</v>
      </c>
      <c r="V97" s="4"/>
      <c r="W97" s="4"/>
      <c r="X97" s="4"/>
      <c r="Y97" s="4"/>
      <c r="Z97" s="4"/>
      <c r="AA97" s="4"/>
      <c r="AB97" s="4"/>
      <c r="AC97" s="4"/>
      <c r="AD97" s="4"/>
      <c r="AE97" s="4"/>
      <c r="AF97" s="4"/>
      <c r="AG97" s="4"/>
      <c r="AH97" s="4"/>
      <c r="AI97" s="4"/>
      <c r="AJ97" s="4"/>
      <c r="AK97" s="4"/>
      <c r="AL97" s="4"/>
      <c r="AM97" s="4"/>
      <c r="AN97" s="4"/>
      <c r="AO97" s="4"/>
    </row>
    <row r="98" ht="12.75" hidden="1" customHeight="1">
      <c r="A98" s="200">
        <v>79.0</v>
      </c>
      <c r="B98" s="200" t="s">
        <v>895</v>
      </c>
      <c r="C98" s="200" t="s">
        <v>896</v>
      </c>
      <c r="D98" s="200" t="s">
        <v>1004</v>
      </c>
      <c r="E98" s="4" t="s">
        <v>683</v>
      </c>
      <c r="F98" s="200">
        <v>2012.0</v>
      </c>
      <c r="G98" s="4" t="s">
        <v>1000</v>
      </c>
      <c r="H98" s="200">
        <v>2010.0</v>
      </c>
      <c r="I98" s="201" t="s">
        <v>683</v>
      </c>
      <c r="J98" s="200">
        <v>5422275.0</v>
      </c>
      <c r="K98" s="200">
        <v>100.0</v>
      </c>
      <c r="L98" s="200">
        <v>2020.0</v>
      </c>
      <c r="M98" s="200">
        <v>30.0</v>
      </c>
      <c r="N98" s="201" t="s">
        <v>683</v>
      </c>
      <c r="O98" s="200">
        <v>3795592.5</v>
      </c>
      <c r="P98" s="200">
        <v>4050000.0</v>
      </c>
      <c r="Q98" s="201" t="s">
        <v>683</v>
      </c>
      <c r="R98" s="4">
        <v>84.3603469023611</v>
      </c>
      <c r="S98" s="4" t="s">
        <v>1001</v>
      </c>
      <c r="T98" s="4" t="s">
        <v>1008</v>
      </c>
      <c r="U98" s="4" t="s">
        <v>1127</v>
      </c>
      <c r="V98" s="4"/>
      <c r="W98" s="4"/>
      <c r="X98" s="4"/>
      <c r="Y98" s="4"/>
      <c r="Z98" s="4"/>
      <c r="AA98" s="4"/>
      <c r="AB98" s="4"/>
      <c r="AC98" s="4"/>
      <c r="AD98" s="4"/>
      <c r="AE98" s="4"/>
      <c r="AF98" s="4"/>
      <c r="AG98" s="4"/>
      <c r="AH98" s="4"/>
      <c r="AI98" s="4"/>
      <c r="AJ98" s="4"/>
      <c r="AK98" s="4"/>
      <c r="AL98" s="4"/>
      <c r="AM98" s="4"/>
      <c r="AN98" s="4"/>
      <c r="AO98" s="4"/>
    </row>
    <row r="99" ht="12.75" hidden="1" customHeight="1">
      <c r="A99" s="200">
        <v>79.0</v>
      </c>
      <c r="B99" s="200" t="s">
        <v>895</v>
      </c>
      <c r="C99" s="200" t="s">
        <v>896</v>
      </c>
      <c r="D99" s="200" t="s">
        <v>1004</v>
      </c>
      <c r="E99" s="4" t="s">
        <v>683</v>
      </c>
      <c r="F99" s="200">
        <v>2018.0</v>
      </c>
      <c r="G99" s="4" t="s">
        <v>1000</v>
      </c>
      <c r="H99" s="200">
        <v>2010.0</v>
      </c>
      <c r="I99" s="201" t="s">
        <v>683</v>
      </c>
      <c r="J99" s="200">
        <v>5422275.0</v>
      </c>
      <c r="K99" s="200">
        <v>100.0</v>
      </c>
      <c r="L99" s="200">
        <v>2030.0</v>
      </c>
      <c r="M99" s="200">
        <v>50.0</v>
      </c>
      <c r="N99" s="201" t="s">
        <v>683</v>
      </c>
      <c r="O99" s="200">
        <v>2711137.5</v>
      </c>
      <c r="P99" s="200">
        <v>4050000.0</v>
      </c>
      <c r="Q99" s="201" t="s">
        <v>683</v>
      </c>
      <c r="R99" s="4">
        <v>50.61620814141665</v>
      </c>
      <c r="S99" s="4" t="s">
        <v>1001</v>
      </c>
      <c r="T99" s="4" t="s">
        <v>1008</v>
      </c>
      <c r="U99" s="4" t="s">
        <v>1128</v>
      </c>
      <c r="V99" s="4"/>
      <c r="W99" s="4"/>
      <c r="X99" s="4"/>
      <c r="Y99" s="4"/>
      <c r="Z99" s="4"/>
      <c r="AA99" s="4"/>
      <c r="AB99" s="4"/>
      <c r="AC99" s="4"/>
      <c r="AD99" s="4"/>
      <c r="AE99" s="4"/>
      <c r="AF99" s="4"/>
      <c r="AG99" s="4"/>
      <c r="AH99" s="4"/>
      <c r="AI99" s="4"/>
      <c r="AJ99" s="4"/>
      <c r="AK99" s="4"/>
      <c r="AL99" s="4"/>
      <c r="AM99" s="4"/>
      <c r="AN99" s="4"/>
      <c r="AO99" s="4"/>
    </row>
    <row r="100" ht="12.75" hidden="1" customHeight="1">
      <c r="A100" s="200">
        <v>80.0</v>
      </c>
      <c r="B100" s="200" t="s">
        <v>895</v>
      </c>
      <c r="C100" s="200" t="s">
        <v>896</v>
      </c>
      <c r="D100" s="200" t="s">
        <v>1004</v>
      </c>
      <c r="E100" s="4" t="s">
        <v>683</v>
      </c>
      <c r="F100" s="200">
        <v>2015.0</v>
      </c>
      <c r="G100" s="4" t="s">
        <v>1000</v>
      </c>
      <c r="H100" s="201">
        <v>2014.0</v>
      </c>
      <c r="I100" s="201" t="s">
        <v>683</v>
      </c>
      <c r="J100" s="200">
        <v>230637.0</v>
      </c>
      <c r="K100" s="200">
        <v>100.0</v>
      </c>
      <c r="L100" s="200">
        <v>2025.0</v>
      </c>
      <c r="M100" s="200">
        <v>30.0</v>
      </c>
      <c r="N100" s="201" t="s">
        <v>683</v>
      </c>
      <c r="O100" s="200">
        <v>161445.9</v>
      </c>
      <c r="P100" s="200">
        <v>189350.0</v>
      </c>
      <c r="Q100" s="201" t="s">
        <v>683</v>
      </c>
      <c r="R100" s="4">
        <v>59.670969243154104</v>
      </c>
      <c r="S100" s="4" t="s">
        <v>1001</v>
      </c>
      <c r="T100" s="4" t="s">
        <v>1016</v>
      </c>
      <c r="U100" s="4" t="s">
        <v>1129</v>
      </c>
      <c r="V100" s="4"/>
      <c r="W100" s="4"/>
      <c r="X100" s="4"/>
      <c r="Y100" s="4"/>
      <c r="Z100" s="4"/>
      <c r="AA100" s="4"/>
      <c r="AB100" s="4"/>
      <c r="AC100" s="4"/>
      <c r="AD100" s="4"/>
      <c r="AE100" s="4"/>
      <c r="AF100" s="4"/>
      <c r="AG100" s="4"/>
      <c r="AH100" s="4"/>
      <c r="AI100" s="4"/>
      <c r="AJ100" s="4"/>
      <c r="AK100" s="4"/>
      <c r="AL100" s="4"/>
      <c r="AM100" s="4"/>
      <c r="AN100" s="4"/>
      <c r="AO100" s="4"/>
    </row>
    <row r="101" ht="12.75" hidden="1" customHeight="1">
      <c r="A101" s="200">
        <v>82.0</v>
      </c>
      <c r="B101" s="200" t="s">
        <v>895</v>
      </c>
      <c r="C101" s="200" t="s">
        <v>896</v>
      </c>
      <c r="D101" s="200" t="s">
        <v>1004</v>
      </c>
      <c r="E101" s="4" t="s">
        <v>683</v>
      </c>
      <c r="F101" s="200">
        <v>2016.0</v>
      </c>
      <c r="G101" s="4" t="s">
        <v>1000</v>
      </c>
      <c r="H101" s="201">
        <v>2015.0</v>
      </c>
      <c r="I101" s="201" t="s">
        <v>683</v>
      </c>
      <c r="J101" s="200">
        <v>106542.0</v>
      </c>
      <c r="K101" s="200">
        <v>100.0</v>
      </c>
      <c r="L101" s="200">
        <v>2050.0</v>
      </c>
      <c r="M101" s="200">
        <v>100.0</v>
      </c>
      <c r="N101" s="201" t="s">
        <v>683</v>
      </c>
      <c r="O101" s="200">
        <v>0.0</v>
      </c>
      <c r="P101" s="200">
        <v>140506.0</v>
      </c>
      <c r="Q101" s="201" t="s">
        <v>683</v>
      </c>
      <c r="R101" s="4">
        <v>-31.878508006232288</v>
      </c>
      <c r="S101" s="4" t="s">
        <v>1013</v>
      </c>
      <c r="T101" s="4" t="s">
        <v>1028</v>
      </c>
      <c r="U101" s="4" t="s">
        <v>1130</v>
      </c>
      <c r="V101" s="4"/>
      <c r="W101" s="4"/>
      <c r="X101" s="4"/>
      <c r="Y101" s="4"/>
      <c r="Z101" s="4"/>
      <c r="AA101" s="4"/>
      <c r="AB101" s="4"/>
      <c r="AC101" s="4"/>
      <c r="AD101" s="4"/>
      <c r="AE101" s="4"/>
      <c r="AF101" s="4"/>
      <c r="AG101" s="4"/>
      <c r="AH101" s="4"/>
      <c r="AI101" s="4"/>
      <c r="AJ101" s="4"/>
      <c r="AK101" s="4"/>
      <c r="AL101" s="4"/>
      <c r="AM101" s="4"/>
      <c r="AN101" s="4"/>
      <c r="AO101" s="4"/>
    </row>
    <row r="102" ht="12.75" customHeight="1">
      <c r="A102" s="200">
        <v>82.0</v>
      </c>
      <c r="B102" s="200" t="s">
        <v>895</v>
      </c>
      <c r="C102" s="200" t="s">
        <v>896</v>
      </c>
      <c r="D102" s="200" t="s">
        <v>1004</v>
      </c>
      <c r="E102" s="4" t="s">
        <v>683</v>
      </c>
      <c r="F102" s="200">
        <v>2016.0</v>
      </c>
      <c r="G102" s="4" t="s">
        <v>1000</v>
      </c>
      <c r="H102" s="201">
        <v>2015.0</v>
      </c>
      <c r="I102" s="201" t="s">
        <v>683</v>
      </c>
      <c r="J102" s="200">
        <v>106542.0</v>
      </c>
      <c r="K102" s="200">
        <v>100.0</v>
      </c>
      <c r="L102" s="200">
        <v>2050.0</v>
      </c>
      <c r="M102" s="200">
        <v>52.0</v>
      </c>
      <c r="N102" s="201" t="s">
        <v>683</v>
      </c>
      <c r="O102" s="200">
        <v>51140.16</v>
      </c>
      <c r="P102" s="200">
        <v>140506.0</v>
      </c>
      <c r="Q102" s="201" t="s">
        <v>683</v>
      </c>
      <c r="R102" s="4">
        <v>-61.30482308890824</v>
      </c>
      <c r="S102" s="4" t="s">
        <v>1131</v>
      </c>
      <c r="T102" s="4" t="s">
        <v>1028</v>
      </c>
      <c r="U102" s="4" t="s">
        <v>1132</v>
      </c>
      <c r="V102" s="4"/>
      <c r="W102" s="4"/>
      <c r="X102" s="4"/>
      <c r="Y102" s="4"/>
      <c r="Z102" s="4"/>
      <c r="AA102" s="4"/>
      <c r="AB102" s="4"/>
      <c r="AC102" s="4"/>
      <c r="AD102" s="4"/>
      <c r="AE102" s="4"/>
      <c r="AF102" s="4"/>
      <c r="AG102" s="4"/>
      <c r="AH102" s="4"/>
      <c r="AI102" s="4"/>
      <c r="AJ102" s="4"/>
      <c r="AK102" s="4"/>
      <c r="AL102" s="4"/>
      <c r="AM102" s="4"/>
      <c r="AN102" s="4"/>
      <c r="AO102" s="4"/>
    </row>
    <row r="103" ht="12.75" customHeight="1">
      <c r="A103" s="200">
        <v>82.0</v>
      </c>
      <c r="B103" s="200" t="s">
        <v>895</v>
      </c>
      <c r="C103" s="200" t="s">
        <v>896</v>
      </c>
      <c r="D103" s="200" t="s">
        <v>1004</v>
      </c>
      <c r="E103" s="4" t="s">
        <v>683</v>
      </c>
      <c r="F103" s="200">
        <v>2016.0</v>
      </c>
      <c r="G103" s="4" t="s">
        <v>1000</v>
      </c>
      <c r="H103" s="201">
        <v>2015.0</v>
      </c>
      <c r="I103" s="201" t="s">
        <v>683</v>
      </c>
      <c r="J103" s="200">
        <v>106542.0</v>
      </c>
      <c r="K103" s="200">
        <v>100.0</v>
      </c>
      <c r="L103" s="200">
        <v>2030.0</v>
      </c>
      <c r="M103" s="200">
        <v>27.0</v>
      </c>
      <c r="N103" s="201" t="s">
        <v>683</v>
      </c>
      <c r="O103" s="200">
        <v>77775.66</v>
      </c>
      <c r="P103" s="200">
        <v>140506.0</v>
      </c>
      <c r="Q103" s="201" t="s">
        <v>683</v>
      </c>
      <c r="R103" s="4">
        <v>-118.06854817123069</v>
      </c>
      <c r="S103" s="4" t="s">
        <v>1131</v>
      </c>
      <c r="T103" s="4" t="s">
        <v>1028</v>
      </c>
      <c r="U103" s="4" t="s">
        <v>1133</v>
      </c>
      <c r="V103" s="4"/>
      <c r="W103" s="4"/>
      <c r="X103" s="4"/>
      <c r="Y103" s="4"/>
      <c r="Z103" s="4"/>
      <c r="AA103" s="4"/>
      <c r="AB103" s="4"/>
      <c r="AC103" s="4"/>
      <c r="AD103" s="4"/>
      <c r="AE103" s="4"/>
      <c r="AF103" s="4"/>
      <c r="AG103" s="4"/>
      <c r="AH103" s="4"/>
      <c r="AI103" s="4"/>
      <c r="AJ103" s="4"/>
      <c r="AK103" s="4"/>
      <c r="AL103" s="4"/>
      <c r="AM103" s="4"/>
      <c r="AN103" s="4"/>
      <c r="AO103" s="4"/>
    </row>
    <row r="104" ht="12.75" hidden="1" customHeight="1">
      <c r="A104" s="200">
        <v>82.0</v>
      </c>
      <c r="B104" s="200" t="s">
        <v>895</v>
      </c>
      <c r="C104" s="200" t="s">
        <v>896</v>
      </c>
      <c r="D104" s="200" t="s">
        <v>1004</v>
      </c>
      <c r="E104" s="4" t="s">
        <v>683</v>
      </c>
      <c r="F104" s="200">
        <v>2019.0</v>
      </c>
      <c r="G104" s="4" t="s">
        <v>1000</v>
      </c>
      <c r="H104" s="201">
        <v>2018.0</v>
      </c>
      <c r="I104" s="201" t="s">
        <v>683</v>
      </c>
      <c r="J104" s="200">
        <v>162938.0</v>
      </c>
      <c r="K104" s="200">
        <v>100.0</v>
      </c>
      <c r="L104" s="200">
        <v>2030.0</v>
      </c>
      <c r="M104" s="200">
        <v>50.0</v>
      </c>
      <c r="N104" s="201" t="s">
        <v>683</v>
      </c>
      <c r="O104" s="200">
        <v>81469.0</v>
      </c>
      <c r="P104" s="200">
        <v>140506.0</v>
      </c>
      <c r="Q104" s="201" t="s">
        <v>683</v>
      </c>
      <c r="R104" s="4">
        <v>27.534399587573187</v>
      </c>
      <c r="S104" s="4" t="s">
        <v>1024</v>
      </c>
      <c r="T104" s="4" t="s">
        <v>1008</v>
      </c>
      <c r="U104" s="4" t="s">
        <v>1134</v>
      </c>
      <c r="V104" s="4"/>
      <c r="W104" s="4"/>
      <c r="X104" s="4"/>
      <c r="Y104" s="4"/>
      <c r="Z104" s="4"/>
      <c r="AA104" s="4"/>
      <c r="AB104" s="4"/>
      <c r="AC104" s="4"/>
      <c r="AD104" s="4"/>
      <c r="AE104" s="4"/>
      <c r="AF104" s="4"/>
      <c r="AG104" s="4"/>
      <c r="AH104" s="4"/>
      <c r="AI104" s="4"/>
      <c r="AJ104" s="4"/>
      <c r="AK104" s="4"/>
      <c r="AL104" s="4"/>
      <c r="AM104" s="4"/>
      <c r="AN104" s="4"/>
      <c r="AO104" s="4"/>
    </row>
    <row r="105" ht="12.75" hidden="1" customHeight="1">
      <c r="A105" s="200">
        <v>82.0</v>
      </c>
      <c r="B105" s="200" t="s">
        <v>895</v>
      </c>
      <c r="C105" s="200" t="s">
        <v>689</v>
      </c>
      <c r="D105" s="200" t="s">
        <v>1135</v>
      </c>
      <c r="E105" s="4" t="s">
        <v>683</v>
      </c>
      <c r="F105" s="200">
        <v>2018.0</v>
      </c>
      <c r="G105" s="4" t="s">
        <v>1000</v>
      </c>
      <c r="H105" s="201">
        <v>2018.0</v>
      </c>
      <c r="I105" s="201" t="s">
        <v>683</v>
      </c>
      <c r="J105" s="200">
        <v>67890.0</v>
      </c>
      <c r="K105" s="200">
        <v>100.0</v>
      </c>
      <c r="L105" s="200">
        <v>2030.0</v>
      </c>
      <c r="M105" s="200">
        <v>50.0</v>
      </c>
      <c r="N105" s="201" t="s">
        <v>683</v>
      </c>
      <c r="O105" s="200">
        <v>33945.0</v>
      </c>
      <c r="P105" s="200">
        <v>61544.0</v>
      </c>
      <c r="Q105" s="201" t="s">
        <v>683</v>
      </c>
      <c r="R105" s="4">
        <v>18.694947709530123</v>
      </c>
      <c r="S105" s="4" t="s">
        <v>1024</v>
      </c>
      <c r="T105" s="4" t="s">
        <v>1008</v>
      </c>
      <c r="U105" s="4" t="s">
        <v>1136</v>
      </c>
      <c r="V105" s="4"/>
      <c r="W105" s="4"/>
      <c r="X105" s="4"/>
      <c r="Y105" s="4"/>
      <c r="Z105" s="4"/>
      <c r="AA105" s="4"/>
      <c r="AB105" s="4"/>
      <c r="AC105" s="4"/>
      <c r="AD105" s="4"/>
      <c r="AE105" s="4"/>
      <c r="AF105" s="4"/>
      <c r="AG105" s="4"/>
      <c r="AH105" s="4"/>
      <c r="AI105" s="4"/>
      <c r="AJ105" s="4"/>
      <c r="AK105" s="4"/>
      <c r="AL105" s="4"/>
      <c r="AM105" s="4"/>
      <c r="AN105" s="4"/>
      <c r="AO105" s="4"/>
    </row>
    <row r="106" ht="12.75" hidden="1" customHeight="1">
      <c r="A106" s="200">
        <v>84.0</v>
      </c>
      <c r="B106" s="200" t="s">
        <v>895</v>
      </c>
      <c r="C106" s="200" t="s">
        <v>896</v>
      </c>
      <c r="D106" s="200" t="s">
        <v>1004</v>
      </c>
      <c r="E106" s="4" t="s">
        <v>683</v>
      </c>
      <c r="F106" s="200">
        <v>2020.0</v>
      </c>
      <c r="G106" s="4" t="s">
        <v>1000</v>
      </c>
      <c r="H106" s="201">
        <v>2019.0</v>
      </c>
      <c r="I106" s="201" t="s">
        <v>683</v>
      </c>
      <c r="J106" s="200">
        <v>266578.01</v>
      </c>
      <c r="K106" s="200">
        <v>100.0</v>
      </c>
      <c r="L106" s="200">
        <v>2035.0</v>
      </c>
      <c r="M106" s="200">
        <v>68.0</v>
      </c>
      <c r="N106" s="201" t="s">
        <v>683</v>
      </c>
      <c r="O106" s="200">
        <v>85304.9632</v>
      </c>
      <c r="P106" s="200">
        <v>266578.01</v>
      </c>
      <c r="Q106" s="201" t="s">
        <v>683</v>
      </c>
      <c r="R106" s="4">
        <v>0.0</v>
      </c>
      <c r="S106" s="4" t="s">
        <v>1024</v>
      </c>
      <c r="T106" s="4" t="s">
        <v>1008</v>
      </c>
      <c r="U106" s="4" t="s">
        <v>1137</v>
      </c>
      <c r="V106" s="4"/>
      <c r="W106" s="4"/>
      <c r="X106" s="4"/>
      <c r="Y106" s="4"/>
      <c r="Z106" s="4"/>
      <c r="AA106" s="4"/>
      <c r="AB106" s="4"/>
      <c r="AC106" s="4"/>
      <c r="AD106" s="4"/>
      <c r="AE106" s="4"/>
      <c r="AF106" s="4"/>
      <c r="AG106" s="4"/>
      <c r="AH106" s="4"/>
      <c r="AI106" s="4"/>
      <c r="AJ106" s="4"/>
      <c r="AK106" s="4"/>
      <c r="AL106" s="4"/>
      <c r="AM106" s="4"/>
      <c r="AN106" s="4"/>
      <c r="AO106" s="4"/>
    </row>
    <row r="107" ht="12.75" hidden="1" customHeight="1">
      <c r="A107" s="200">
        <v>84.0</v>
      </c>
      <c r="B107" s="200" t="s">
        <v>895</v>
      </c>
      <c r="C107" s="200" t="s">
        <v>902</v>
      </c>
      <c r="D107" s="200" t="s">
        <v>1038</v>
      </c>
      <c r="E107" s="4" t="s">
        <v>683</v>
      </c>
      <c r="F107" s="200">
        <v>2019.0</v>
      </c>
      <c r="G107" s="4" t="s">
        <v>1000</v>
      </c>
      <c r="H107" s="201">
        <v>2018.0</v>
      </c>
      <c r="I107" s="201" t="s">
        <v>683</v>
      </c>
      <c r="J107" s="200">
        <v>259394.23</v>
      </c>
      <c r="K107" s="200">
        <v>100.0</v>
      </c>
      <c r="L107" s="200">
        <v>2019.0</v>
      </c>
      <c r="M107" s="200">
        <v>1.0</v>
      </c>
      <c r="N107" s="201" t="s">
        <v>683</v>
      </c>
      <c r="O107" s="200">
        <v>256800.2877</v>
      </c>
      <c r="P107" s="200">
        <v>249714.82</v>
      </c>
      <c r="Q107" s="201" t="s">
        <v>683</v>
      </c>
      <c r="R107" s="4">
        <v>373.1544067113564</v>
      </c>
      <c r="S107" s="4" t="s">
        <v>1013</v>
      </c>
      <c r="T107" s="4" t="s">
        <v>1014</v>
      </c>
      <c r="U107" s="4" t="s">
        <v>1138</v>
      </c>
      <c r="V107" s="4"/>
      <c r="W107" s="4"/>
      <c r="X107" s="4"/>
      <c r="Y107" s="4"/>
      <c r="Z107" s="4"/>
      <c r="AA107" s="4"/>
      <c r="AB107" s="4"/>
      <c r="AC107" s="4"/>
      <c r="AD107" s="4"/>
      <c r="AE107" s="4"/>
      <c r="AF107" s="4"/>
      <c r="AG107" s="4"/>
      <c r="AH107" s="4"/>
      <c r="AI107" s="4"/>
      <c r="AJ107" s="4"/>
      <c r="AK107" s="4"/>
      <c r="AL107" s="4"/>
      <c r="AM107" s="4"/>
      <c r="AN107" s="4"/>
      <c r="AO107" s="4"/>
    </row>
    <row r="108" ht="12.75" hidden="1" customHeight="1">
      <c r="A108" s="200">
        <v>87.0</v>
      </c>
      <c r="B108" s="200" t="s">
        <v>895</v>
      </c>
      <c r="C108" s="200" t="s">
        <v>896</v>
      </c>
      <c r="D108" s="200" t="s">
        <v>1004</v>
      </c>
      <c r="E108" s="4" t="s">
        <v>683</v>
      </c>
      <c r="F108" s="200">
        <v>2019.0</v>
      </c>
      <c r="G108" s="4" t="s">
        <v>1000</v>
      </c>
      <c r="H108" s="201">
        <v>2017.0</v>
      </c>
      <c r="I108" s="201" t="s">
        <v>683</v>
      </c>
      <c r="J108" s="200">
        <v>2567880.0</v>
      </c>
      <c r="K108" s="200">
        <v>100.0</v>
      </c>
      <c r="L108" s="200">
        <v>2030.0</v>
      </c>
      <c r="M108" s="200">
        <v>30.0</v>
      </c>
      <c r="N108" s="201" t="s">
        <v>683</v>
      </c>
      <c r="O108" s="200">
        <v>1797516.0</v>
      </c>
      <c r="P108" s="200">
        <v>2298450.0</v>
      </c>
      <c r="Q108" s="201" t="s">
        <v>683</v>
      </c>
      <c r="R108" s="4">
        <v>34.97437574964562</v>
      </c>
      <c r="S108" s="4" t="s">
        <v>1001</v>
      </c>
      <c r="T108" s="4" t="s">
        <v>1008</v>
      </c>
      <c r="U108" s="4" t="s">
        <v>1139</v>
      </c>
      <c r="V108" s="4"/>
      <c r="W108" s="4"/>
      <c r="X108" s="4"/>
      <c r="Y108" s="4"/>
      <c r="Z108" s="4"/>
      <c r="AA108" s="4"/>
      <c r="AB108" s="4"/>
      <c r="AC108" s="4"/>
      <c r="AD108" s="4"/>
      <c r="AE108" s="4"/>
      <c r="AF108" s="4"/>
      <c r="AG108" s="4"/>
      <c r="AH108" s="4"/>
      <c r="AI108" s="4"/>
      <c r="AJ108" s="4"/>
      <c r="AK108" s="4"/>
      <c r="AL108" s="4"/>
      <c r="AM108" s="4"/>
      <c r="AN108" s="4"/>
      <c r="AO108" s="4"/>
    </row>
    <row r="109" ht="12.75" hidden="1" customHeight="1">
      <c r="A109" s="200">
        <v>87.0</v>
      </c>
      <c r="B109" s="200" t="s">
        <v>895</v>
      </c>
      <c r="C109" s="200" t="s">
        <v>689</v>
      </c>
      <c r="D109" s="200" t="s">
        <v>1140</v>
      </c>
      <c r="E109" s="4" t="s">
        <v>683</v>
      </c>
      <c r="F109" s="200">
        <v>2019.0</v>
      </c>
      <c r="G109" s="4" t="s">
        <v>1000</v>
      </c>
      <c r="H109" s="201">
        <v>2017.0</v>
      </c>
      <c r="I109" s="201" t="s">
        <v>683</v>
      </c>
      <c r="J109" s="200">
        <v>2.6939E7</v>
      </c>
      <c r="K109" s="200">
        <v>100.0</v>
      </c>
      <c r="L109" s="200">
        <v>2030.0</v>
      </c>
      <c r="M109" s="200">
        <v>30.0</v>
      </c>
      <c r="N109" s="201" t="s">
        <v>683</v>
      </c>
      <c r="O109" s="200">
        <v>1.88573E7</v>
      </c>
      <c r="P109" s="200">
        <v>2.6363E7</v>
      </c>
      <c r="Q109" s="201" t="s">
        <v>683</v>
      </c>
      <c r="R109" s="4">
        <v>7.127213333828279</v>
      </c>
      <c r="S109" s="4" t="s">
        <v>1001</v>
      </c>
      <c r="T109" s="4" t="s">
        <v>1008</v>
      </c>
      <c r="U109" s="4" t="s">
        <v>1141</v>
      </c>
      <c r="V109" s="4"/>
      <c r="W109" s="4"/>
      <c r="X109" s="4"/>
      <c r="Y109" s="4"/>
      <c r="Z109" s="4"/>
      <c r="AA109" s="4"/>
      <c r="AB109" s="4"/>
      <c r="AC109" s="4"/>
      <c r="AD109" s="4"/>
      <c r="AE109" s="4"/>
      <c r="AF109" s="4"/>
      <c r="AG109" s="4"/>
      <c r="AH109" s="4"/>
      <c r="AI109" s="4"/>
      <c r="AJ109" s="4"/>
      <c r="AK109" s="4"/>
      <c r="AL109" s="4"/>
      <c r="AM109" s="4"/>
      <c r="AN109" s="4"/>
      <c r="AO109" s="4"/>
    </row>
    <row r="110" ht="12.75" hidden="1" customHeight="1">
      <c r="A110" s="200">
        <v>88.0</v>
      </c>
      <c r="B110" s="200" t="s">
        <v>895</v>
      </c>
      <c r="C110" s="200" t="s">
        <v>896</v>
      </c>
      <c r="D110" s="200" t="s">
        <v>999</v>
      </c>
      <c r="E110" s="4" t="s">
        <v>683</v>
      </c>
      <c r="F110" s="200">
        <v>2016.0</v>
      </c>
      <c r="G110" s="4" t="s">
        <v>1000</v>
      </c>
      <c r="H110" s="201">
        <v>2015.0</v>
      </c>
      <c r="I110" s="201" t="s">
        <v>683</v>
      </c>
      <c r="J110" s="200">
        <v>2408435.0</v>
      </c>
      <c r="K110" s="200">
        <v>100.0</v>
      </c>
      <c r="L110" s="200">
        <v>2020.0</v>
      </c>
      <c r="M110" s="200">
        <v>15.0</v>
      </c>
      <c r="N110" s="201" t="s">
        <v>683</v>
      </c>
      <c r="O110" s="200">
        <v>2047169.75</v>
      </c>
      <c r="P110" s="200">
        <v>2034760.0</v>
      </c>
      <c r="Q110" s="201" t="s">
        <v>683</v>
      </c>
      <c r="R110" s="4">
        <v>103.43507990320131</v>
      </c>
      <c r="S110" s="4" t="s">
        <v>1013</v>
      </c>
      <c r="T110" s="4" t="s">
        <v>1016</v>
      </c>
      <c r="U110" s="4" t="s">
        <v>1142</v>
      </c>
      <c r="V110" s="4"/>
      <c r="W110" s="4"/>
      <c r="X110" s="4"/>
      <c r="Y110" s="4"/>
      <c r="Z110" s="4"/>
      <c r="AA110" s="4"/>
      <c r="AB110" s="4"/>
      <c r="AC110" s="4"/>
      <c r="AD110" s="4"/>
      <c r="AE110" s="4"/>
      <c r="AF110" s="4"/>
      <c r="AG110" s="4"/>
      <c r="AH110" s="4"/>
      <c r="AI110" s="4"/>
      <c r="AJ110" s="4"/>
      <c r="AK110" s="4"/>
      <c r="AL110" s="4"/>
      <c r="AM110" s="4"/>
      <c r="AN110" s="4"/>
      <c r="AO110" s="4"/>
    </row>
    <row r="111" ht="12.75" hidden="1" customHeight="1">
      <c r="A111" s="200">
        <v>6.0</v>
      </c>
      <c r="B111" s="200" t="s">
        <v>895</v>
      </c>
      <c r="C111" s="200" t="s">
        <v>896</v>
      </c>
      <c r="D111" s="200" t="s">
        <v>999</v>
      </c>
      <c r="E111" s="4" t="s">
        <v>683</v>
      </c>
      <c r="F111" s="200">
        <v>2010.0</v>
      </c>
      <c r="G111" s="4" t="s">
        <v>1000</v>
      </c>
      <c r="H111" s="201">
        <v>2007.0</v>
      </c>
      <c r="I111" s="201" t="s">
        <v>683</v>
      </c>
      <c r="J111" s="200">
        <v>188715.0</v>
      </c>
      <c r="K111" s="200">
        <v>66.0</v>
      </c>
      <c r="L111" s="200">
        <v>2020.0</v>
      </c>
      <c r="M111" s="200">
        <v>20.0</v>
      </c>
      <c r="N111" s="201" t="s">
        <v>683</v>
      </c>
      <c r="O111" s="200">
        <v>150972.0</v>
      </c>
      <c r="P111" s="200">
        <v>126094.0</v>
      </c>
      <c r="Q111" s="201" t="s">
        <v>683</v>
      </c>
      <c r="R111" s="4">
        <v>165.91420925734573</v>
      </c>
      <c r="S111" s="4" t="s">
        <v>1013</v>
      </c>
      <c r="T111" s="4" t="s">
        <v>1002</v>
      </c>
      <c r="U111" s="4" t="s">
        <v>1143</v>
      </c>
      <c r="V111" s="4"/>
      <c r="W111" s="4"/>
      <c r="X111" s="4"/>
      <c r="Y111" s="4"/>
      <c r="Z111" s="4"/>
      <c r="AA111" s="4"/>
      <c r="AB111" s="4"/>
      <c r="AC111" s="4"/>
      <c r="AD111" s="4"/>
      <c r="AE111" s="4"/>
      <c r="AF111" s="4"/>
      <c r="AG111" s="4"/>
      <c r="AH111" s="4"/>
      <c r="AI111" s="4"/>
      <c r="AJ111" s="4"/>
      <c r="AK111" s="4"/>
      <c r="AL111" s="4"/>
      <c r="AM111" s="4"/>
      <c r="AN111" s="4"/>
      <c r="AO111" s="4"/>
    </row>
    <row r="112" ht="12.75" hidden="1" customHeight="1">
      <c r="A112" s="200">
        <v>29.0</v>
      </c>
      <c r="B112" s="200" t="s">
        <v>895</v>
      </c>
      <c r="C112" s="200" t="s">
        <v>899</v>
      </c>
      <c r="D112" s="200" t="s">
        <v>1040</v>
      </c>
      <c r="E112" s="4" t="s">
        <v>683</v>
      </c>
      <c r="F112" s="200">
        <v>2019.0</v>
      </c>
      <c r="G112" s="4" t="s">
        <v>1000</v>
      </c>
      <c r="H112" s="201">
        <v>2015.0</v>
      </c>
      <c r="I112" s="201" t="s">
        <v>683</v>
      </c>
      <c r="J112" s="200">
        <v>7.014441E7</v>
      </c>
      <c r="K112" s="200">
        <v>100.0</v>
      </c>
      <c r="L112" s="200">
        <v>2030.0</v>
      </c>
      <c r="M112" s="200">
        <v>25.0</v>
      </c>
      <c r="N112" s="201" t="s">
        <v>683</v>
      </c>
      <c r="O112" s="200">
        <v>5.26083075E7</v>
      </c>
      <c r="P112" s="200">
        <v>5.26083075E7</v>
      </c>
      <c r="Q112" s="201" t="s">
        <v>683</v>
      </c>
      <c r="R112" s="4">
        <v>100.0</v>
      </c>
      <c r="S112" s="4" t="s">
        <v>1024</v>
      </c>
      <c r="T112" s="4" t="s">
        <v>1008</v>
      </c>
      <c r="U112" s="4" t="s">
        <v>1144</v>
      </c>
      <c r="V112" s="4"/>
      <c r="W112" s="4"/>
      <c r="X112" s="4"/>
      <c r="Y112" s="4"/>
      <c r="Z112" s="4"/>
      <c r="AA112" s="4"/>
      <c r="AB112" s="4"/>
      <c r="AC112" s="4"/>
      <c r="AD112" s="4"/>
      <c r="AE112" s="4"/>
      <c r="AF112" s="4"/>
      <c r="AG112" s="4"/>
      <c r="AH112" s="4"/>
      <c r="AI112" s="4"/>
      <c r="AJ112" s="4"/>
      <c r="AK112" s="4"/>
      <c r="AL112" s="4"/>
      <c r="AM112" s="4"/>
      <c r="AN112" s="4"/>
      <c r="AO112" s="4"/>
    </row>
    <row r="113" ht="12.75" hidden="1" customHeight="1">
      <c r="A113" s="200">
        <v>36.0</v>
      </c>
      <c r="B113" s="200" t="s">
        <v>895</v>
      </c>
      <c r="C113" s="200" t="s">
        <v>896</v>
      </c>
      <c r="D113" s="200" t="s">
        <v>1004</v>
      </c>
      <c r="E113" s="4" t="s">
        <v>683</v>
      </c>
      <c r="F113" s="200">
        <v>2015.0</v>
      </c>
      <c r="G113" s="4" t="s">
        <v>1000</v>
      </c>
      <c r="H113" s="201">
        <v>2006.0</v>
      </c>
      <c r="I113" s="201" t="s">
        <v>683</v>
      </c>
      <c r="J113" s="200">
        <v>4.21E7</v>
      </c>
      <c r="K113" s="200">
        <v>100.0</v>
      </c>
      <c r="L113" s="200">
        <v>2025.0</v>
      </c>
      <c r="M113" s="200">
        <v>0.0</v>
      </c>
      <c r="N113" s="201" t="s">
        <v>683</v>
      </c>
      <c r="O113" s="200">
        <v>4.21E7</v>
      </c>
      <c r="P113" s="200">
        <v>3.3581018E7</v>
      </c>
      <c r="Q113" s="201" t="s">
        <v>683</v>
      </c>
      <c r="R113" s="4" t="s">
        <v>683</v>
      </c>
      <c r="S113" s="4" t="s">
        <v>1001</v>
      </c>
      <c r="T113" s="4" t="s">
        <v>1002</v>
      </c>
      <c r="U113" s="4" t="s">
        <v>1145</v>
      </c>
      <c r="V113" s="4"/>
      <c r="W113" s="4"/>
      <c r="X113" s="4"/>
      <c r="Y113" s="4"/>
      <c r="Z113" s="4"/>
      <c r="AA113" s="4"/>
      <c r="AB113" s="4"/>
      <c r="AC113" s="4"/>
      <c r="AD113" s="4"/>
      <c r="AE113" s="4"/>
      <c r="AF113" s="4"/>
      <c r="AG113" s="4"/>
      <c r="AH113" s="4"/>
      <c r="AI113" s="4"/>
      <c r="AJ113" s="4"/>
      <c r="AK113" s="4"/>
      <c r="AL113" s="4"/>
      <c r="AM113" s="4"/>
      <c r="AN113" s="4"/>
      <c r="AO113" s="4"/>
    </row>
    <row r="114" ht="12.75" hidden="1" customHeight="1">
      <c r="A114" s="200">
        <v>51.0</v>
      </c>
      <c r="B114" s="200" t="s">
        <v>895</v>
      </c>
      <c r="C114" s="200" t="s">
        <v>896</v>
      </c>
      <c r="D114" s="200" t="s">
        <v>999</v>
      </c>
      <c r="E114" s="4" t="s">
        <v>683</v>
      </c>
      <c r="F114" s="200">
        <v>2015.0</v>
      </c>
      <c r="G114" s="4" t="s">
        <v>1000</v>
      </c>
      <c r="H114" s="200">
        <v>2010.0</v>
      </c>
      <c r="I114" s="201" t="s">
        <v>683</v>
      </c>
      <c r="J114" s="200">
        <v>3073094.0</v>
      </c>
      <c r="K114" s="200">
        <v>100.0</v>
      </c>
      <c r="L114" s="200">
        <v>2020.0</v>
      </c>
      <c r="M114" s="200">
        <v>20.0</v>
      </c>
      <c r="N114" s="201" t="s">
        <v>683</v>
      </c>
      <c r="O114" s="200">
        <v>2458475.2</v>
      </c>
      <c r="P114" s="200">
        <v>1948233.0</v>
      </c>
      <c r="Q114" s="201" t="s">
        <v>683</v>
      </c>
      <c r="R114" s="4">
        <v>183.0176688379855</v>
      </c>
      <c r="S114" s="4" t="s">
        <v>1013</v>
      </c>
      <c r="T114" s="4" t="s">
        <v>1014</v>
      </c>
      <c r="U114" s="4" t="s">
        <v>1146</v>
      </c>
      <c r="V114" s="4"/>
      <c r="W114" s="4"/>
      <c r="X114" s="4"/>
      <c r="Y114" s="4"/>
      <c r="Z114" s="4"/>
      <c r="AA114" s="4"/>
      <c r="AB114" s="4"/>
      <c r="AC114" s="4"/>
      <c r="AD114" s="4"/>
      <c r="AE114" s="4"/>
      <c r="AF114" s="4"/>
      <c r="AG114" s="4"/>
      <c r="AH114" s="4"/>
      <c r="AI114" s="4"/>
      <c r="AJ114" s="4"/>
      <c r="AK114" s="4"/>
      <c r="AL114" s="4"/>
      <c r="AM114" s="4"/>
      <c r="AN114" s="4"/>
      <c r="AO114" s="4"/>
    </row>
    <row r="115" ht="12.75" hidden="1" customHeight="1">
      <c r="A115" s="200">
        <v>51.0</v>
      </c>
      <c r="B115" s="200" t="s">
        <v>895</v>
      </c>
      <c r="C115" s="200" t="s">
        <v>896</v>
      </c>
      <c r="D115" s="200" t="s">
        <v>999</v>
      </c>
      <c r="E115" s="4" t="s">
        <v>683</v>
      </c>
      <c r="F115" s="200">
        <v>2018.0</v>
      </c>
      <c r="G115" s="4" t="s">
        <v>1068</v>
      </c>
      <c r="H115" s="200">
        <v>2011.0</v>
      </c>
      <c r="I115" s="201" t="s">
        <v>683</v>
      </c>
      <c r="J115" s="200">
        <v>3020011.0</v>
      </c>
      <c r="K115" s="200">
        <v>100.0</v>
      </c>
      <c r="L115" s="200">
        <v>2030.0</v>
      </c>
      <c r="M115" s="200">
        <v>39.9</v>
      </c>
      <c r="N115" s="201" t="s">
        <v>683</v>
      </c>
      <c r="O115" s="200">
        <v>1815026.611</v>
      </c>
      <c r="P115" s="200">
        <v>1948233.0</v>
      </c>
      <c r="Q115" s="201" t="s">
        <v>683</v>
      </c>
      <c r="R115" s="4">
        <v>88.94538466921168</v>
      </c>
      <c r="S115" s="4" t="s">
        <v>1001</v>
      </c>
      <c r="T115" s="4" t="s">
        <v>1028</v>
      </c>
      <c r="U115" s="4" t="s">
        <v>1147</v>
      </c>
      <c r="V115" s="4"/>
      <c r="W115" s="4"/>
      <c r="X115" s="4"/>
      <c r="Y115" s="4"/>
      <c r="Z115" s="4"/>
      <c r="AA115" s="4"/>
      <c r="AB115" s="4"/>
      <c r="AC115" s="4"/>
      <c r="AD115" s="4"/>
      <c r="AE115" s="4"/>
      <c r="AF115" s="4"/>
      <c r="AG115" s="4"/>
      <c r="AH115" s="4"/>
      <c r="AI115" s="4"/>
      <c r="AJ115" s="4"/>
      <c r="AK115" s="4"/>
      <c r="AL115" s="4"/>
      <c r="AM115" s="4"/>
      <c r="AN115" s="4"/>
      <c r="AO115" s="4"/>
    </row>
    <row r="116" ht="12.75" hidden="1" customHeight="1">
      <c r="A116" s="200">
        <v>51.0</v>
      </c>
      <c r="B116" s="200" t="s">
        <v>895</v>
      </c>
      <c r="C116" s="200" t="s">
        <v>896</v>
      </c>
      <c r="D116" s="200" t="s">
        <v>999</v>
      </c>
      <c r="E116" s="4" t="s">
        <v>683</v>
      </c>
      <c r="F116" s="200">
        <v>2018.0</v>
      </c>
      <c r="G116" s="4" t="s">
        <v>1000</v>
      </c>
      <c r="H116" s="200">
        <v>2011.0</v>
      </c>
      <c r="I116" s="201" t="s">
        <v>683</v>
      </c>
      <c r="J116" s="200">
        <v>3020011.0</v>
      </c>
      <c r="K116" s="200">
        <v>100.0</v>
      </c>
      <c r="L116" s="200">
        <v>2035.0</v>
      </c>
      <c r="M116" s="200">
        <v>50.4</v>
      </c>
      <c r="N116" s="201" t="s">
        <v>683</v>
      </c>
      <c r="O116" s="200">
        <v>1497925.456</v>
      </c>
      <c r="P116" s="200">
        <v>1948233.0</v>
      </c>
      <c r="Q116" s="201" t="s">
        <v>683</v>
      </c>
      <c r="R116" s="4">
        <v>70.41509619645925</v>
      </c>
      <c r="S116" s="4" t="s">
        <v>1001</v>
      </c>
      <c r="T116" s="4" t="s">
        <v>1028</v>
      </c>
      <c r="U116" s="4" t="s">
        <v>1148</v>
      </c>
      <c r="V116" s="4"/>
      <c r="W116" s="4"/>
      <c r="X116" s="4"/>
      <c r="Y116" s="4"/>
      <c r="Z116" s="4"/>
      <c r="AA116" s="4"/>
      <c r="AB116" s="4"/>
      <c r="AC116" s="4"/>
      <c r="AD116" s="4"/>
      <c r="AE116" s="4"/>
      <c r="AF116" s="4"/>
      <c r="AG116" s="4"/>
      <c r="AH116" s="4"/>
      <c r="AI116" s="4"/>
      <c r="AJ116" s="4"/>
      <c r="AK116" s="4"/>
      <c r="AL116" s="4"/>
      <c r="AM116" s="4"/>
      <c r="AN116" s="4"/>
      <c r="AO116" s="4"/>
    </row>
    <row r="117" ht="12.75" hidden="1" customHeight="1">
      <c r="A117" s="200">
        <v>85.0</v>
      </c>
      <c r="B117" s="200" t="s">
        <v>895</v>
      </c>
      <c r="C117" s="200" t="s">
        <v>900</v>
      </c>
      <c r="D117" s="200" t="s">
        <v>1033</v>
      </c>
      <c r="E117" s="4" t="s">
        <v>683</v>
      </c>
      <c r="F117" s="200">
        <v>2018.0</v>
      </c>
      <c r="G117" s="4" t="s">
        <v>1149</v>
      </c>
      <c r="H117" s="200">
        <v>2007.0</v>
      </c>
      <c r="I117" s="201" t="s">
        <v>683</v>
      </c>
      <c r="J117" s="200">
        <v>1.56650363E8</v>
      </c>
      <c r="K117" s="200">
        <v>100.0</v>
      </c>
      <c r="L117" s="200">
        <v>2050.0</v>
      </c>
      <c r="M117" s="200">
        <v>100.0</v>
      </c>
      <c r="N117" s="201" t="s">
        <v>683</v>
      </c>
      <c r="O117" s="200">
        <v>0.0</v>
      </c>
      <c r="P117" s="200">
        <v>8.8213565E7</v>
      </c>
      <c r="Q117" s="201" t="s">
        <v>683</v>
      </c>
      <c r="R117" s="4">
        <v>43.68760894604502</v>
      </c>
      <c r="S117" s="4" t="s">
        <v>1001</v>
      </c>
      <c r="T117" s="4" t="s">
        <v>1028</v>
      </c>
      <c r="U117" s="4" t="s">
        <v>1150</v>
      </c>
      <c r="V117" s="4"/>
      <c r="W117" s="4"/>
      <c r="X117" s="4"/>
      <c r="Y117" s="4"/>
      <c r="Z117" s="4"/>
      <c r="AA117" s="4"/>
      <c r="AB117" s="4"/>
      <c r="AC117" s="4"/>
      <c r="AD117" s="4"/>
      <c r="AE117" s="4"/>
      <c r="AF117" s="4"/>
      <c r="AG117" s="4"/>
      <c r="AH117" s="4"/>
      <c r="AI117" s="4"/>
      <c r="AJ117" s="4"/>
      <c r="AK117" s="4"/>
      <c r="AL117" s="4"/>
      <c r="AM117" s="4"/>
      <c r="AN117" s="4"/>
      <c r="AO117" s="4"/>
    </row>
    <row r="118" ht="12.75" hidden="1" customHeight="1">
      <c r="A118" s="200">
        <v>85.0</v>
      </c>
      <c r="B118" s="200" t="s">
        <v>895</v>
      </c>
      <c r="C118" s="200" t="s">
        <v>900</v>
      </c>
      <c r="D118" s="200" t="s">
        <v>1033</v>
      </c>
      <c r="E118" s="4" t="s">
        <v>683</v>
      </c>
      <c r="F118" s="200">
        <v>2018.0</v>
      </c>
      <c r="G118" s="4" t="s">
        <v>1149</v>
      </c>
      <c r="H118" s="200">
        <v>2007.0</v>
      </c>
      <c r="I118" s="201" t="s">
        <v>683</v>
      </c>
      <c r="J118" s="200">
        <v>1.56650363E8</v>
      </c>
      <c r="K118" s="200">
        <v>100.0</v>
      </c>
      <c r="L118" s="200">
        <v>2030.0</v>
      </c>
      <c r="M118" s="200">
        <v>50.0</v>
      </c>
      <c r="N118" s="201" t="s">
        <v>683</v>
      </c>
      <c r="O118" s="200">
        <v>7.83251815E7</v>
      </c>
      <c r="P118" s="200">
        <v>8.8213565E7</v>
      </c>
      <c r="Q118" s="201" t="s">
        <v>683</v>
      </c>
      <c r="R118" s="4">
        <v>87.37521789209003</v>
      </c>
      <c r="S118" s="4" t="s">
        <v>1001</v>
      </c>
      <c r="T118" s="4" t="s">
        <v>1028</v>
      </c>
      <c r="U118" s="4" t="s">
        <v>1150</v>
      </c>
      <c r="V118" s="4"/>
      <c r="W118" s="4"/>
      <c r="X118" s="4"/>
      <c r="Y118" s="4"/>
      <c r="Z118" s="4"/>
      <c r="AA118" s="4"/>
      <c r="AB118" s="4"/>
      <c r="AC118" s="4"/>
      <c r="AD118" s="4"/>
      <c r="AE118" s="4"/>
      <c r="AF118" s="4"/>
      <c r="AG118" s="4"/>
      <c r="AH118" s="4"/>
      <c r="AI118" s="4"/>
      <c r="AJ118" s="4"/>
      <c r="AK118" s="4"/>
      <c r="AL118" s="4"/>
      <c r="AM118" s="4"/>
      <c r="AN118" s="4"/>
      <c r="AO118" s="4"/>
    </row>
    <row r="119" ht="12.75" hidden="1" customHeight="1">
      <c r="A119" s="200">
        <v>95.0</v>
      </c>
      <c r="B119" s="200" t="s">
        <v>895</v>
      </c>
      <c r="C119" s="200" t="s">
        <v>896</v>
      </c>
      <c r="D119" s="200" t="s">
        <v>1004</v>
      </c>
      <c r="E119" s="4" t="s">
        <v>683</v>
      </c>
      <c r="F119" s="200">
        <v>2016.0</v>
      </c>
      <c r="G119" s="4" t="s">
        <v>1000</v>
      </c>
      <c r="H119" s="200">
        <v>2014.0</v>
      </c>
      <c r="I119" s="201" t="s">
        <v>683</v>
      </c>
      <c r="J119" s="200">
        <v>415211.0</v>
      </c>
      <c r="K119" s="200">
        <v>100.0</v>
      </c>
      <c r="L119" s="200">
        <v>2029.0</v>
      </c>
      <c r="M119" s="200">
        <v>40.0</v>
      </c>
      <c r="N119" s="201" t="s">
        <v>683</v>
      </c>
      <c r="O119" s="200">
        <v>249126.6</v>
      </c>
      <c r="P119" s="200">
        <v>232928.0</v>
      </c>
      <c r="Q119" s="201" t="s">
        <v>683</v>
      </c>
      <c r="R119" s="4">
        <v>109.75323389794586</v>
      </c>
      <c r="S119" s="4" t="s">
        <v>1013</v>
      </c>
      <c r="T119" s="4" t="s">
        <v>1028</v>
      </c>
      <c r="U119" s="4" t="s">
        <v>1151</v>
      </c>
      <c r="V119" s="4"/>
      <c r="W119" s="4"/>
      <c r="X119" s="4"/>
      <c r="Y119" s="4"/>
      <c r="Z119" s="4"/>
      <c r="AA119" s="4"/>
      <c r="AB119" s="4"/>
      <c r="AC119" s="4"/>
      <c r="AD119" s="4"/>
      <c r="AE119" s="4"/>
      <c r="AF119" s="4"/>
      <c r="AG119" s="4"/>
      <c r="AH119" s="4"/>
      <c r="AI119" s="4"/>
      <c r="AJ119" s="4"/>
      <c r="AK119" s="4"/>
      <c r="AL119" s="4"/>
      <c r="AM119" s="4"/>
      <c r="AN119" s="4"/>
      <c r="AO119" s="4"/>
    </row>
    <row r="120" ht="12.75" hidden="1" customHeight="1">
      <c r="A120" s="200">
        <v>95.0</v>
      </c>
      <c r="B120" s="200" t="s">
        <v>895</v>
      </c>
      <c r="C120" s="200" t="s">
        <v>896</v>
      </c>
      <c r="D120" s="200" t="s">
        <v>1004</v>
      </c>
      <c r="E120" s="4" t="s">
        <v>683</v>
      </c>
      <c r="F120" s="200">
        <v>2016.0</v>
      </c>
      <c r="G120" s="4" t="s">
        <v>1000</v>
      </c>
      <c r="H120" s="200">
        <v>2014.0</v>
      </c>
      <c r="I120" s="201" t="s">
        <v>683</v>
      </c>
      <c r="J120" s="200">
        <v>415211.0</v>
      </c>
      <c r="K120" s="200">
        <v>100.0</v>
      </c>
      <c r="L120" s="200">
        <v>2044.0</v>
      </c>
      <c r="M120" s="200">
        <v>60.0</v>
      </c>
      <c r="N120" s="201" t="s">
        <v>683</v>
      </c>
      <c r="O120" s="200">
        <v>166084.4</v>
      </c>
      <c r="P120" s="200">
        <v>232928.0</v>
      </c>
      <c r="Q120" s="201" t="s">
        <v>683</v>
      </c>
      <c r="R120" s="4">
        <v>73.16882259863058</v>
      </c>
      <c r="S120" s="4" t="s">
        <v>1001</v>
      </c>
      <c r="T120" s="4" t="s">
        <v>1028</v>
      </c>
      <c r="U120" s="4" t="s">
        <v>1151</v>
      </c>
      <c r="V120" s="4"/>
      <c r="W120" s="4"/>
      <c r="X120" s="4"/>
      <c r="Y120" s="4"/>
      <c r="Z120" s="4"/>
      <c r="AA120" s="4"/>
      <c r="AB120" s="4"/>
      <c r="AC120" s="4"/>
      <c r="AD120" s="4"/>
      <c r="AE120" s="4"/>
      <c r="AF120" s="4"/>
      <c r="AG120" s="4"/>
      <c r="AH120" s="4"/>
      <c r="AI120" s="4"/>
      <c r="AJ120" s="4"/>
      <c r="AK120" s="4"/>
      <c r="AL120" s="4"/>
      <c r="AM120" s="4"/>
      <c r="AN120" s="4"/>
      <c r="AO120" s="4"/>
    </row>
    <row r="121" ht="12.75" hidden="1" customHeight="1">
      <c r="A121" s="200">
        <v>93.0</v>
      </c>
      <c r="B121" s="200" t="s">
        <v>895</v>
      </c>
      <c r="C121" s="200" t="s">
        <v>896</v>
      </c>
      <c r="D121" s="200" t="s">
        <v>1004</v>
      </c>
      <c r="E121" s="4" t="s">
        <v>683</v>
      </c>
      <c r="F121" s="200">
        <v>2019.0</v>
      </c>
      <c r="G121" s="4" t="s">
        <v>1152</v>
      </c>
      <c r="H121" s="200">
        <v>2017.0</v>
      </c>
      <c r="I121" s="201" t="s">
        <v>683</v>
      </c>
      <c r="J121" s="200">
        <v>95079.0</v>
      </c>
      <c r="K121" s="200">
        <v>55.0</v>
      </c>
      <c r="L121" s="200">
        <v>2023.0</v>
      </c>
      <c r="M121" s="200">
        <v>3.0</v>
      </c>
      <c r="N121" s="201" t="s">
        <v>683</v>
      </c>
      <c r="O121" s="200">
        <v>92226.63</v>
      </c>
      <c r="P121" s="200">
        <v>82785.0</v>
      </c>
      <c r="Q121" s="201" t="s">
        <v>683</v>
      </c>
      <c r="R121" s="4">
        <v>431.0100022086903</v>
      </c>
      <c r="S121" s="4" t="s">
        <v>1001</v>
      </c>
      <c r="T121" s="4" t="s">
        <v>1016</v>
      </c>
      <c r="U121" s="4" t="s">
        <v>1153</v>
      </c>
      <c r="V121" s="4"/>
      <c r="W121" s="4"/>
      <c r="X121" s="4"/>
      <c r="Y121" s="4"/>
      <c r="Z121" s="4"/>
      <c r="AA121" s="4"/>
      <c r="AB121" s="4"/>
      <c r="AC121" s="4"/>
      <c r="AD121" s="4"/>
      <c r="AE121" s="4"/>
      <c r="AF121" s="4"/>
      <c r="AG121" s="4"/>
      <c r="AH121" s="4"/>
      <c r="AI121" s="4"/>
      <c r="AJ121" s="4"/>
      <c r="AK121" s="4"/>
      <c r="AL121" s="4"/>
      <c r="AM121" s="4"/>
      <c r="AN121" s="4"/>
      <c r="AO121" s="4"/>
    </row>
    <row r="122" ht="12.75" hidden="1" customHeight="1">
      <c r="A122" s="200">
        <v>94.0</v>
      </c>
      <c r="B122" s="200" t="s">
        <v>895</v>
      </c>
      <c r="C122" s="200" t="s">
        <v>896</v>
      </c>
      <c r="D122" s="200" t="s">
        <v>1004</v>
      </c>
      <c r="E122" s="4" t="s">
        <v>683</v>
      </c>
      <c r="F122" s="200">
        <v>2016.0</v>
      </c>
      <c r="G122" s="4" t="s">
        <v>1149</v>
      </c>
      <c r="H122" s="200">
        <v>2015.0</v>
      </c>
      <c r="I122" s="201" t="s">
        <v>683</v>
      </c>
      <c r="J122" s="200">
        <v>5636000.0</v>
      </c>
      <c r="K122" s="200">
        <v>43.0</v>
      </c>
      <c r="L122" s="200">
        <v>2025.0</v>
      </c>
      <c r="M122" s="200">
        <v>12.0</v>
      </c>
      <c r="N122" s="201" t="s">
        <v>683</v>
      </c>
      <c r="O122" s="200">
        <v>4959680.0</v>
      </c>
      <c r="P122" s="200">
        <v>5938000.0</v>
      </c>
      <c r="Q122" s="201" t="s">
        <v>683</v>
      </c>
      <c r="R122" s="4">
        <v>-44.653418500118285</v>
      </c>
      <c r="S122" s="4" t="s">
        <v>1001</v>
      </c>
      <c r="T122" s="4" t="s">
        <v>1028</v>
      </c>
      <c r="U122" s="4" t="s">
        <v>1154</v>
      </c>
      <c r="V122" s="4"/>
      <c r="W122" s="4"/>
      <c r="X122" s="4"/>
      <c r="Y122" s="4"/>
      <c r="Z122" s="4"/>
      <c r="AA122" s="4"/>
      <c r="AB122" s="4"/>
      <c r="AC122" s="4"/>
      <c r="AD122" s="4"/>
      <c r="AE122" s="4"/>
      <c r="AF122" s="4"/>
      <c r="AG122" s="4"/>
      <c r="AH122" s="4"/>
      <c r="AI122" s="4"/>
      <c r="AJ122" s="4"/>
      <c r="AK122" s="4"/>
      <c r="AL122" s="4"/>
      <c r="AM122" s="4"/>
      <c r="AN122" s="4"/>
      <c r="AO122" s="4"/>
    </row>
    <row r="123" ht="12.75" hidden="1" customHeight="1">
      <c r="A123" s="200">
        <v>96.0</v>
      </c>
      <c r="B123" s="200" t="s">
        <v>895</v>
      </c>
      <c r="C123" s="200" t="s">
        <v>896</v>
      </c>
      <c r="D123" s="200" t="s">
        <v>999</v>
      </c>
      <c r="E123" s="4" t="s">
        <v>683</v>
      </c>
      <c r="F123" s="200">
        <v>2018.0</v>
      </c>
      <c r="G123" s="4" t="s">
        <v>1000</v>
      </c>
      <c r="H123" s="200">
        <v>2018.0</v>
      </c>
      <c r="I123" s="201" t="s">
        <v>683</v>
      </c>
      <c r="J123" s="200">
        <v>4418820.0</v>
      </c>
      <c r="K123" s="200">
        <v>100.0</v>
      </c>
      <c r="L123" s="200">
        <v>2035.0</v>
      </c>
      <c r="M123" s="200">
        <v>100.0</v>
      </c>
      <c r="N123" s="201" t="s">
        <v>683</v>
      </c>
      <c r="O123" s="200">
        <v>0.0</v>
      </c>
      <c r="P123" s="200">
        <v>4365627.32</v>
      </c>
      <c r="Q123" s="201" t="s">
        <v>683</v>
      </c>
      <c r="R123" s="4">
        <v>1.2037756686174068</v>
      </c>
      <c r="S123" s="4" t="s">
        <v>1001</v>
      </c>
      <c r="T123" s="4" t="s">
        <v>1028</v>
      </c>
      <c r="U123" s="4" t="s">
        <v>1155</v>
      </c>
      <c r="V123" s="4"/>
      <c r="W123" s="4"/>
      <c r="X123" s="4"/>
      <c r="Y123" s="4"/>
      <c r="Z123" s="4"/>
      <c r="AA123" s="4"/>
      <c r="AB123" s="4"/>
      <c r="AC123" s="4"/>
      <c r="AD123" s="4"/>
      <c r="AE123" s="4"/>
      <c r="AF123" s="4"/>
      <c r="AG123" s="4"/>
      <c r="AH123" s="4"/>
      <c r="AI123" s="4"/>
      <c r="AJ123" s="4"/>
      <c r="AK123" s="4"/>
      <c r="AL123" s="4"/>
      <c r="AM123" s="4"/>
      <c r="AN123" s="4"/>
      <c r="AO123" s="4"/>
    </row>
    <row r="124" ht="12.75" hidden="1" customHeight="1">
      <c r="A124" s="200">
        <v>96.0</v>
      </c>
      <c r="B124" s="200" t="s">
        <v>895</v>
      </c>
      <c r="C124" s="200" t="s">
        <v>902</v>
      </c>
      <c r="D124" s="200" t="s">
        <v>1156</v>
      </c>
      <c r="E124" s="4" t="s">
        <v>683</v>
      </c>
      <c r="F124" s="200">
        <v>2018.0</v>
      </c>
      <c r="G124" s="4" t="s">
        <v>1000</v>
      </c>
      <c r="H124" s="200">
        <v>2018.0</v>
      </c>
      <c r="I124" s="201" t="s">
        <v>683</v>
      </c>
      <c r="J124" s="200">
        <v>4033579.0</v>
      </c>
      <c r="K124" s="200">
        <v>100.0</v>
      </c>
      <c r="L124" s="200">
        <v>2025.0</v>
      </c>
      <c r="M124" s="200">
        <v>50.0</v>
      </c>
      <c r="N124" s="201" t="s">
        <v>683</v>
      </c>
      <c r="O124" s="200">
        <v>2016789.5</v>
      </c>
      <c r="P124" s="200">
        <v>4006874.47</v>
      </c>
      <c r="Q124" s="201" t="s">
        <v>683</v>
      </c>
      <c r="R124" s="4">
        <v>1.3241109198555325</v>
      </c>
      <c r="S124" s="4" t="s">
        <v>1001</v>
      </c>
      <c r="T124" s="4" t="s">
        <v>1014</v>
      </c>
      <c r="U124" s="4" t="s">
        <v>1157</v>
      </c>
      <c r="V124" s="4"/>
      <c r="W124" s="4"/>
      <c r="X124" s="4"/>
      <c r="Y124" s="4"/>
      <c r="Z124" s="4"/>
      <c r="AA124" s="4"/>
      <c r="AB124" s="4"/>
      <c r="AC124" s="4"/>
      <c r="AD124" s="4"/>
      <c r="AE124" s="4"/>
      <c r="AF124" s="4"/>
      <c r="AG124" s="4"/>
      <c r="AH124" s="4"/>
      <c r="AI124" s="4"/>
      <c r="AJ124" s="4"/>
      <c r="AK124" s="4"/>
      <c r="AL124" s="4"/>
      <c r="AM124" s="4"/>
      <c r="AN124" s="4"/>
      <c r="AO124" s="4"/>
    </row>
    <row r="125" ht="12.75" hidden="1" customHeight="1">
      <c r="A125" s="200">
        <v>99.0</v>
      </c>
      <c r="B125" s="200" t="s">
        <v>895</v>
      </c>
      <c r="C125" s="200" t="s">
        <v>896</v>
      </c>
      <c r="D125" s="200" t="s">
        <v>1004</v>
      </c>
      <c r="E125" s="4" t="s">
        <v>683</v>
      </c>
      <c r="F125" s="200">
        <v>2016.0</v>
      </c>
      <c r="G125" s="4" t="s">
        <v>1000</v>
      </c>
      <c r="H125" s="200">
        <v>2015.0</v>
      </c>
      <c r="I125" s="201" t="s">
        <v>683</v>
      </c>
      <c r="J125" s="200">
        <v>1.9547272E7</v>
      </c>
      <c r="K125" s="200">
        <v>100.0</v>
      </c>
      <c r="L125" s="200">
        <v>2025.0</v>
      </c>
      <c r="M125" s="200">
        <v>18.0</v>
      </c>
      <c r="N125" s="201" t="s">
        <v>683</v>
      </c>
      <c r="O125" s="200">
        <v>1.602876304E7</v>
      </c>
      <c r="P125" s="200">
        <v>1.7563596E7</v>
      </c>
      <c r="Q125" s="201" t="s">
        <v>683</v>
      </c>
      <c r="R125" s="4">
        <v>56.378313159105886</v>
      </c>
      <c r="S125" s="4" t="s">
        <v>1001</v>
      </c>
      <c r="T125" s="4" t="s">
        <v>1008</v>
      </c>
      <c r="U125" s="4" t="s">
        <v>1158</v>
      </c>
      <c r="V125" s="4"/>
      <c r="W125" s="4"/>
      <c r="X125" s="4"/>
      <c r="Y125" s="4"/>
      <c r="Z125" s="4"/>
      <c r="AA125" s="4"/>
      <c r="AB125" s="4"/>
      <c r="AC125" s="4"/>
      <c r="AD125" s="4"/>
      <c r="AE125" s="4"/>
      <c r="AF125" s="4"/>
      <c r="AG125" s="4"/>
      <c r="AH125" s="4"/>
      <c r="AI125" s="4"/>
      <c r="AJ125" s="4"/>
      <c r="AK125" s="4"/>
      <c r="AL125" s="4"/>
      <c r="AM125" s="4"/>
      <c r="AN125" s="4"/>
      <c r="AO125" s="4"/>
    </row>
    <row r="126" ht="12.75" hidden="1" customHeight="1">
      <c r="A126" s="200">
        <v>99.0</v>
      </c>
      <c r="B126" s="200" t="s">
        <v>895</v>
      </c>
      <c r="C126" s="200" t="s">
        <v>689</v>
      </c>
      <c r="D126" s="200" t="s">
        <v>1021</v>
      </c>
      <c r="E126" s="4" t="s">
        <v>683</v>
      </c>
      <c r="F126" s="200">
        <v>2016.0</v>
      </c>
      <c r="G126" s="4" t="s">
        <v>1000</v>
      </c>
      <c r="H126" s="200">
        <v>2015.0</v>
      </c>
      <c r="I126" s="201" t="s">
        <v>683</v>
      </c>
      <c r="J126" s="200">
        <v>1.0E9</v>
      </c>
      <c r="K126" s="200">
        <v>100.0</v>
      </c>
      <c r="L126" s="200">
        <v>2030.0</v>
      </c>
      <c r="M126" s="200">
        <v>100.0</v>
      </c>
      <c r="N126" s="201" t="s">
        <v>683</v>
      </c>
      <c r="O126" s="200">
        <v>0.0</v>
      </c>
      <c r="P126" s="200">
        <v>7.7E8</v>
      </c>
      <c r="Q126" s="201" t="s">
        <v>683</v>
      </c>
      <c r="R126" s="4">
        <v>23.0</v>
      </c>
      <c r="S126" s="4" t="s">
        <v>1001</v>
      </c>
      <c r="T126" s="4" t="s">
        <v>1008</v>
      </c>
      <c r="U126" s="4" t="s">
        <v>1159</v>
      </c>
      <c r="V126" s="4"/>
      <c r="W126" s="4"/>
      <c r="X126" s="4"/>
      <c r="Y126" s="4"/>
      <c r="Z126" s="4"/>
      <c r="AA126" s="4"/>
      <c r="AB126" s="4"/>
      <c r="AC126" s="4"/>
      <c r="AD126" s="4"/>
      <c r="AE126" s="4"/>
      <c r="AF126" s="4"/>
      <c r="AG126" s="4"/>
      <c r="AH126" s="4"/>
      <c r="AI126" s="4"/>
      <c r="AJ126" s="4"/>
      <c r="AK126" s="4"/>
      <c r="AL126" s="4"/>
      <c r="AM126" s="4"/>
      <c r="AN126" s="4"/>
      <c r="AO126" s="4"/>
    </row>
    <row r="127" ht="12.75" hidden="1" customHeight="1">
      <c r="A127" s="200">
        <v>90.0</v>
      </c>
      <c r="B127" s="200" t="s">
        <v>895</v>
      </c>
      <c r="C127" s="200" t="s">
        <v>896</v>
      </c>
      <c r="D127" s="200" t="s">
        <v>1004</v>
      </c>
      <c r="E127" s="4" t="s">
        <v>683</v>
      </c>
      <c r="F127" s="200">
        <v>2013.0</v>
      </c>
      <c r="G127" s="4" t="s">
        <v>1000</v>
      </c>
      <c r="H127" s="200">
        <v>2012.0</v>
      </c>
      <c r="I127" s="201" t="s">
        <v>683</v>
      </c>
      <c r="J127" s="200">
        <v>1742927.0</v>
      </c>
      <c r="K127" s="200">
        <v>100.0</v>
      </c>
      <c r="L127" s="200">
        <v>2020.0</v>
      </c>
      <c r="M127" s="200">
        <v>50.0</v>
      </c>
      <c r="N127" s="201" t="s">
        <v>683</v>
      </c>
      <c r="O127" s="200">
        <v>871463.5</v>
      </c>
      <c r="P127" s="200">
        <v>925998.0</v>
      </c>
      <c r="Q127" s="201" t="s">
        <v>683</v>
      </c>
      <c r="R127" s="4">
        <v>93.74219344814786</v>
      </c>
      <c r="S127" s="4" t="s">
        <v>1001</v>
      </c>
      <c r="T127" s="4" t="s">
        <v>1028</v>
      </c>
      <c r="U127" s="4" t="s">
        <v>1160</v>
      </c>
      <c r="V127" s="4"/>
      <c r="W127" s="4"/>
      <c r="X127" s="4"/>
      <c r="Y127" s="4"/>
      <c r="Z127" s="4"/>
      <c r="AA127" s="4"/>
      <c r="AB127" s="4"/>
      <c r="AC127" s="4"/>
      <c r="AD127" s="4"/>
      <c r="AE127" s="4"/>
      <c r="AF127" s="4"/>
      <c r="AG127" s="4"/>
      <c r="AH127" s="4"/>
      <c r="AI127" s="4"/>
      <c r="AJ127" s="4"/>
      <c r="AK127" s="4"/>
      <c r="AL127" s="4"/>
      <c r="AM127" s="4"/>
      <c r="AN127" s="4"/>
      <c r="AO127" s="4"/>
    </row>
    <row r="128" ht="12.75" hidden="1" customHeight="1">
      <c r="A128" s="200">
        <v>100.0</v>
      </c>
      <c r="B128" s="200" t="s">
        <v>895</v>
      </c>
      <c r="C128" s="200" t="s">
        <v>899</v>
      </c>
      <c r="D128" s="200" t="s">
        <v>1076</v>
      </c>
      <c r="E128" s="4" t="s">
        <v>683</v>
      </c>
      <c r="F128" s="200">
        <v>2008.0</v>
      </c>
      <c r="G128" s="202"/>
      <c r="H128" s="200">
        <v>2008.0</v>
      </c>
      <c r="I128" s="201" t="s">
        <v>683</v>
      </c>
      <c r="J128" s="200">
        <v>1953466.0</v>
      </c>
      <c r="K128" s="200">
        <v>100.0</v>
      </c>
      <c r="L128" s="200">
        <v>2020.0</v>
      </c>
      <c r="M128" s="200">
        <v>45.0</v>
      </c>
      <c r="N128" s="201" t="s">
        <v>683</v>
      </c>
      <c r="O128" s="200">
        <v>1074406.3</v>
      </c>
      <c r="P128" s="200">
        <v>941597.0</v>
      </c>
      <c r="Q128" s="201" t="s">
        <v>683</v>
      </c>
      <c r="R128" s="4">
        <v>115.10810926720904</v>
      </c>
      <c r="S128" s="4" t="s">
        <v>1013</v>
      </c>
      <c r="T128" s="4" t="s">
        <v>1002</v>
      </c>
      <c r="U128" s="4" t="s">
        <v>1161</v>
      </c>
      <c r="V128" s="4"/>
      <c r="W128" s="4"/>
      <c r="X128" s="4"/>
      <c r="Y128" s="4"/>
      <c r="Z128" s="4"/>
      <c r="AA128" s="4"/>
      <c r="AB128" s="4"/>
      <c r="AC128" s="4"/>
      <c r="AD128" s="4"/>
      <c r="AE128" s="4"/>
      <c r="AF128" s="4"/>
      <c r="AG128" s="4"/>
      <c r="AH128" s="4"/>
      <c r="AI128" s="4"/>
      <c r="AJ128" s="4"/>
      <c r="AK128" s="4"/>
      <c r="AL128" s="4"/>
      <c r="AM128" s="4"/>
      <c r="AN128" s="4"/>
      <c r="AO128" s="4"/>
    </row>
    <row r="129" ht="12.75" hidden="1" customHeight="1">
      <c r="A129" s="200">
        <v>1.0</v>
      </c>
      <c r="B129" s="200" t="s">
        <v>903</v>
      </c>
      <c r="C129" s="200" t="s">
        <v>896</v>
      </c>
      <c r="D129" s="200" t="s">
        <v>999</v>
      </c>
      <c r="E129" s="4" t="s">
        <v>904</v>
      </c>
      <c r="F129" s="200">
        <v>2015.0</v>
      </c>
      <c r="G129" s="202"/>
      <c r="H129" s="200">
        <v>2015.0</v>
      </c>
      <c r="I129" s="200">
        <v>937.0</v>
      </c>
      <c r="J129" s="201" t="s">
        <v>683</v>
      </c>
      <c r="K129" s="200">
        <v>50.0</v>
      </c>
      <c r="L129" s="200">
        <v>2025.0</v>
      </c>
      <c r="M129" s="200">
        <v>30.0</v>
      </c>
      <c r="N129" s="200">
        <v>655.9</v>
      </c>
      <c r="O129" s="201" t="s">
        <v>683</v>
      </c>
      <c r="P129" s="201" t="s">
        <v>683</v>
      </c>
      <c r="Q129" s="200">
        <v>907.0</v>
      </c>
      <c r="R129" s="4">
        <v>10.672358591248665</v>
      </c>
      <c r="S129" s="4" t="s">
        <v>1001</v>
      </c>
      <c r="T129" s="4" t="s">
        <v>1002</v>
      </c>
      <c r="U129" s="4" t="s">
        <v>1162</v>
      </c>
      <c r="V129" s="4"/>
      <c r="W129" s="4"/>
      <c r="X129" s="4"/>
      <c r="Y129" s="4"/>
      <c r="Z129" s="4"/>
      <c r="AA129" s="4"/>
      <c r="AB129" s="4"/>
      <c r="AC129" s="4"/>
      <c r="AD129" s="4"/>
      <c r="AE129" s="4"/>
      <c r="AF129" s="4"/>
      <c r="AG129" s="4"/>
      <c r="AH129" s="4"/>
      <c r="AI129" s="4"/>
      <c r="AJ129" s="4"/>
      <c r="AK129" s="4"/>
      <c r="AL129" s="4"/>
      <c r="AM129" s="4"/>
      <c r="AN129" s="4"/>
      <c r="AO129" s="4"/>
    </row>
    <row r="130" ht="12.75" hidden="1" customHeight="1">
      <c r="A130" s="200">
        <v>2.0</v>
      </c>
      <c r="B130" s="200" t="s">
        <v>903</v>
      </c>
      <c r="C130" s="200" t="s">
        <v>896</v>
      </c>
      <c r="D130" s="200" t="s">
        <v>999</v>
      </c>
      <c r="E130" s="4" t="s">
        <v>912</v>
      </c>
      <c r="F130" s="200">
        <v>2012.0</v>
      </c>
      <c r="G130" s="4" t="s">
        <v>1000</v>
      </c>
      <c r="H130" s="200">
        <v>2010.0</v>
      </c>
      <c r="I130" s="200">
        <v>5.34E-5</v>
      </c>
      <c r="J130" s="201" t="s">
        <v>683</v>
      </c>
      <c r="K130" s="200">
        <v>100.0</v>
      </c>
      <c r="L130" s="200">
        <v>2020.0</v>
      </c>
      <c r="M130" s="200">
        <v>40.0</v>
      </c>
      <c r="N130" s="200">
        <v>3.204E-5</v>
      </c>
      <c r="O130" s="201" t="s">
        <v>683</v>
      </c>
      <c r="P130" s="201" t="s">
        <v>683</v>
      </c>
      <c r="Q130" s="200">
        <v>3.04E-5</v>
      </c>
      <c r="R130" s="4">
        <v>107.67790262172284</v>
      </c>
      <c r="S130" s="4" t="s">
        <v>1013</v>
      </c>
      <c r="T130" s="4" t="s">
        <v>1002</v>
      </c>
      <c r="U130" s="4" t="s">
        <v>1163</v>
      </c>
      <c r="V130" s="4"/>
      <c r="W130" s="4"/>
      <c r="X130" s="4"/>
      <c r="Y130" s="4"/>
      <c r="Z130" s="4"/>
      <c r="AA130" s="4"/>
      <c r="AB130" s="4"/>
      <c r="AC130" s="4"/>
      <c r="AD130" s="4"/>
      <c r="AE130" s="4"/>
      <c r="AF130" s="4"/>
      <c r="AG130" s="4"/>
      <c r="AH130" s="4"/>
      <c r="AI130" s="4"/>
      <c r="AJ130" s="4"/>
      <c r="AK130" s="4"/>
      <c r="AL130" s="4"/>
      <c r="AM130" s="4"/>
      <c r="AN130" s="4"/>
      <c r="AO130" s="4"/>
    </row>
    <row r="131" ht="12.75" hidden="1" customHeight="1">
      <c r="A131" s="200">
        <v>5.0</v>
      </c>
      <c r="B131" s="200" t="s">
        <v>903</v>
      </c>
      <c r="C131" s="200" t="s">
        <v>689</v>
      </c>
      <c r="D131" s="200" t="s">
        <v>1056</v>
      </c>
      <c r="E131" s="4" t="s">
        <v>906</v>
      </c>
      <c r="F131" s="200">
        <v>2016.0</v>
      </c>
      <c r="G131" s="4" t="s">
        <v>1000</v>
      </c>
      <c r="H131" s="200">
        <v>2015.0</v>
      </c>
      <c r="I131" s="200">
        <v>4.0</v>
      </c>
      <c r="J131" s="201" t="s">
        <v>683</v>
      </c>
      <c r="K131" s="200">
        <v>100.0</v>
      </c>
      <c r="L131" s="200">
        <v>2025.0</v>
      </c>
      <c r="M131" s="200">
        <v>5.0</v>
      </c>
      <c r="N131" s="200">
        <v>3.8</v>
      </c>
      <c r="O131" s="201" t="s">
        <v>683</v>
      </c>
      <c r="P131" s="201" t="s">
        <v>683</v>
      </c>
      <c r="Q131" s="200">
        <v>3.9</v>
      </c>
      <c r="R131" s="4">
        <v>50.0</v>
      </c>
      <c r="S131" s="4" t="s">
        <v>1001</v>
      </c>
      <c r="T131" s="4" t="s">
        <v>1164</v>
      </c>
      <c r="U131" s="4" t="s">
        <v>1165</v>
      </c>
      <c r="V131" s="4"/>
      <c r="W131" s="4"/>
      <c r="X131" s="4"/>
      <c r="Y131" s="4"/>
      <c r="Z131" s="4"/>
      <c r="AA131" s="4"/>
      <c r="AB131" s="4"/>
      <c r="AC131" s="4"/>
      <c r="AD131" s="4"/>
      <c r="AE131" s="4"/>
      <c r="AF131" s="4"/>
      <c r="AG131" s="4"/>
      <c r="AH131" s="4"/>
      <c r="AI131" s="4"/>
      <c r="AJ131" s="4"/>
      <c r="AK131" s="4"/>
      <c r="AL131" s="4"/>
      <c r="AM131" s="4"/>
      <c r="AN131" s="4"/>
      <c r="AO131" s="4"/>
    </row>
    <row r="132" ht="12.75" hidden="1" customHeight="1">
      <c r="A132" s="200">
        <v>5.0</v>
      </c>
      <c r="B132" s="200" t="s">
        <v>903</v>
      </c>
      <c r="C132" s="200" t="s">
        <v>689</v>
      </c>
      <c r="D132" s="200" t="s">
        <v>1135</v>
      </c>
      <c r="E132" s="4" t="s">
        <v>907</v>
      </c>
      <c r="F132" s="200">
        <v>2016.0</v>
      </c>
      <c r="G132" s="4" t="s">
        <v>1000</v>
      </c>
      <c r="H132" s="200">
        <v>2015.0</v>
      </c>
      <c r="I132" s="200">
        <v>0.003574</v>
      </c>
      <c r="J132" s="201" t="s">
        <v>683</v>
      </c>
      <c r="K132" s="200">
        <v>100.0</v>
      </c>
      <c r="L132" s="200">
        <v>2025.0</v>
      </c>
      <c r="M132" s="200">
        <v>15.0</v>
      </c>
      <c r="N132" s="200">
        <v>0.0030379</v>
      </c>
      <c r="O132" s="201" t="s">
        <v>683</v>
      </c>
      <c r="P132" s="201" t="s">
        <v>683</v>
      </c>
      <c r="Q132" s="200">
        <v>0.003026</v>
      </c>
      <c r="R132" s="4">
        <v>102.21973512404404</v>
      </c>
      <c r="S132" s="4" t="s">
        <v>1001</v>
      </c>
      <c r="T132" s="4" t="s">
        <v>1164</v>
      </c>
      <c r="U132" s="4" t="s">
        <v>1166</v>
      </c>
      <c r="V132" s="4"/>
      <c r="W132" s="4"/>
      <c r="X132" s="4"/>
      <c r="Y132" s="4"/>
      <c r="Z132" s="4"/>
      <c r="AA132" s="4"/>
      <c r="AB132" s="4"/>
      <c r="AC132" s="4"/>
      <c r="AD132" s="4"/>
      <c r="AE132" s="4"/>
      <c r="AF132" s="4"/>
      <c r="AG132" s="4"/>
      <c r="AH132" s="4"/>
      <c r="AI132" s="4"/>
      <c r="AJ132" s="4"/>
      <c r="AK132" s="4"/>
      <c r="AL132" s="4"/>
      <c r="AM132" s="4"/>
      <c r="AN132" s="4"/>
      <c r="AO132" s="4"/>
    </row>
    <row r="133" ht="12.75" hidden="1" customHeight="1">
      <c r="A133" s="200">
        <v>11.0</v>
      </c>
      <c r="B133" s="200" t="s">
        <v>903</v>
      </c>
      <c r="C133" s="200" t="s">
        <v>902</v>
      </c>
      <c r="D133" s="200" t="s">
        <v>1156</v>
      </c>
      <c r="E133" s="4" t="s">
        <v>907</v>
      </c>
      <c r="F133" s="200">
        <v>2012.0</v>
      </c>
      <c r="G133" s="4" t="s">
        <v>1031</v>
      </c>
      <c r="H133" s="200">
        <v>2011.0</v>
      </c>
      <c r="I133" s="200">
        <v>14.16</v>
      </c>
      <c r="J133" s="201" t="s">
        <v>683</v>
      </c>
      <c r="K133" s="200">
        <v>83.0</v>
      </c>
      <c r="L133" s="200">
        <v>2023.0</v>
      </c>
      <c r="M133" s="200">
        <v>30.0</v>
      </c>
      <c r="N133" s="200">
        <v>9.911999999999999</v>
      </c>
      <c r="O133" s="201" t="s">
        <v>683</v>
      </c>
      <c r="P133" s="201" t="s">
        <v>683</v>
      </c>
      <c r="Q133" s="200">
        <v>8.48</v>
      </c>
      <c r="R133" s="4">
        <v>133.70998116760825</v>
      </c>
      <c r="S133" s="4" t="s">
        <v>1013</v>
      </c>
      <c r="T133" s="4" t="s">
        <v>1002</v>
      </c>
      <c r="U133" s="4" t="s">
        <v>1167</v>
      </c>
      <c r="V133" s="4"/>
      <c r="W133" s="4"/>
      <c r="X133" s="4"/>
      <c r="Y133" s="4"/>
      <c r="Z133" s="4"/>
      <c r="AA133" s="4"/>
      <c r="AB133" s="4"/>
      <c r="AC133" s="4"/>
      <c r="AD133" s="4"/>
      <c r="AE133" s="4"/>
      <c r="AF133" s="4"/>
      <c r="AG133" s="4"/>
      <c r="AH133" s="4"/>
      <c r="AI133" s="4"/>
      <c r="AJ133" s="4"/>
      <c r="AK133" s="4"/>
      <c r="AL133" s="4"/>
      <c r="AM133" s="4"/>
      <c r="AN133" s="4"/>
      <c r="AO133" s="4"/>
    </row>
    <row r="134" ht="12.75" hidden="1" customHeight="1">
      <c r="A134" s="200">
        <v>15.0</v>
      </c>
      <c r="B134" s="200" t="s">
        <v>903</v>
      </c>
      <c r="C134" s="200" t="s">
        <v>909</v>
      </c>
      <c r="D134" s="200" t="s">
        <v>1168</v>
      </c>
      <c r="E134" s="4" t="s">
        <v>908</v>
      </c>
      <c r="F134" s="200">
        <v>2015.0</v>
      </c>
      <c r="G134" s="4" t="s">
        <v>1000</v>
      </c>
      <c r="H134" s="200"/>
      <c r="I134" s="200"/>
      <c r="J134" s="201" t="s">
        <v>683</v>
      </c>
      <c r="K134" s="200"/>
      <c r="L134" s="200">
        <v>2025.0</v>
      </c>
      <c r="M134" s="200"/>
      <c r="N134" s="200">
        <v>0.0</v>
      </c>
      <c r="O134" s="201" t="s">
        <v>683</v>
      </c>
      <c r="P134" s="201" t="s">
        <v>683</v>
      </c>
      <c r="Q134" s="200"/>
      <c r="R134" s="4"/>
      <c r="S134" s="4" t="s">
        <v>1001</v>
      </c>
      <c r="T134" s="4" t="s">
        <v>1014</v>
      </c>
      <c r="U134" s="4" t="s">
        <v>1169</v>
      </c>
      <c r="V134" s="4"/>
      <c r="W134" s="4"/>
      <c r="X134" s="4"/>
      <c r="Y134" s="4"/>
      <c r="Z134" s="4"/>
      <c r="AA134" s="4"/>
      <c r="AB134" s="4"/>
      <c r="AC134" s="4"/>
      <c r="AD134" s="4"/>
      <c r="AE134" s="4"/>
      <c r="AF134" s="4"/>
      <c r="AG134" s="4"/>
      <c r="AH134" s="4"/>
      <c r="AI134" s="4"/>
      <c r="AJ134" s="4"/>
      <c r="AK134" s="4"/>
      <c r="AL134" s="4"/>
      <c r="AM134" s="4"/>
      <c r="AN134" s="4"/>
      <c r="AO134" s="4"/>
    </row>
    <row r="135" ht="12.75" hidden="1" customHeight="1">
      <c r="A135" s="200">
        <v>19.0</v>
      </c>
      <c r="B135" s="200" t="s">
        <v>903</v>
      </c>
      <c r="C135" s="200" t="s">
        <v>902</v>
      </c>
      <c r="D135" s="200" t="s">
        <v>1156</v>
      </c>
      <c r="E135" s="4" t="s">
        <v>906</v>
      </c>
      <c r="F135" s="200">
        <v>2013.0</v>
      </c>
      <c r="G135" s="4" t="s">
        <v>1170</v>
      </c>
      <c r="H135" s="200">
        <v>2011.0</v>
      </c>
      <c r="I135" s="200">
        <v>2.91</v>
      </c>
      <c r="J135" s="201" t="s">
        <v>683</v>
      </c>
      <c r="K135" s="200">
        <v>12.0</v>
      </c>
      <c r="L135" s="200">
        <v>2023.0</v>
      </c>
      <c r="M135" s="200">
        <v>30.0</v>
      </c>
      <c r="N135" s="200">
        <v>2.037</v>
      </c>
      <c r="O135" s="201" t="s">
        <v>683</v>
      </c>
      <c r="P135" s="201" t="s">
        <v>683</v>
      </c>
      <c r="Q135" s="200">
        <v>0.79</v>
      </c>
      <c r="R135" s="4">
        <v>242.84077892325308</v>
      </c>
      <c r="S135" s="4" t="s">
        <v>1013</v>
      </c>
      <c r="T135" s="4" t="s">
        <v>1014</v>
      </c>
      <c r="U135" s="4" t="s">
        <v>1171</v>
      </c>
      <c r="V135" s="4"/>
      <c r="W135" s="4"/>
      <c r="X135" s="4"/>
      <c r="Y135" s="4"/>
      <c r="Z135" s="4"/>
      <c r="AA135" s="4"/>
      <c r="AB135" s="4"/>
      <c r="AC135" s="4"/>
      <c r="AD135" s="4"/>
      <c r="AE135" s="4"/>
      <c r="AF135" s="4"/>
      <c r="AG135" s="4"/>
      <c r="AH135" s="4"/>
      <c r="AI135" s="4"/>
      <c r="AJ135" s="4"/>
      <c r="AK135" s="4"/>
      <c r="AL135" s="4"/>
      <c r="AM135" s="4"/>
      <c r="AN135" s="4"/>
      <c r="AO135" s="4"/>
    </row>
    <row r="136" ht="12.75" hidden="1" customHeight="1">
      <c r="A136" s="200">
        <v>19.0</v>
      </c>
      <c r="B136" s="200" t="s">
        <v>903</v>
      </c>
      <c r="C136" s="200" t="s">
        <v>896</v>
      </c>
      <c r="D136" s="200" t="s">
        <v>999</v>
      </c>
      <c r="E136" s="4" t="s">
        <v>906</v>
      </c>
      <c r="F136" s="200">
        <v>2016.0</v>
      </c>
      <c r="G136" s="4" t="s">
        <v>1000</v>
      </c>
      <c r="H136" s="200">
        <v>2014.0</v>
      </c>
      <c r="I136" s="200">
        <v>2.59</v>
      </c>
      <c r="J136" s="201" t="s">
        <v>683</v>
      </c>
      <c r="K136" s="200">
        <v>100.0</v>
      </c>
      <c r="L136" s="200">
        <v>2020.0</v>
      </c>
      <c r="M136" s="200">
        <v>45.0</v>
      </c>
      <c r="N136" s="200">
        <v>1.4245</v>
      </c>
      <c r="O136" s="201" t="s">
        <v>683</v>
      </c>
      <c r="P136" s="201" t="s">
        <v>683</v>
      </c>
      <c r="Q136" s="200">
        <v>1.58</v>
      </c>
      <c r="R136" s="4">
        <v>86.65808665808666</v>
      </c>
      <c r="S136" s="4" t="s">
        <v>1001</v>
      </c>
      <c r="T136" s="4" t="s">
        <v>1014</v>
      </c>
      <c r="U136" s="4" t="s">
        <v>1172</v>
      </c>
      <c r="V136" s="4"/>
      <c r="W136" s="4"/>
      <c r="X136" s="4"/>
      <c r="Y136" s="4"/>
      <c r="Z136" s="4"/>
      <c r="AA136" s="4"/>
      <c r="AB136" s="4"/>
      <c r="AC136" s="4"/>
      <c r="AD136" s="4"/>
      <c r="AE136" s="4"/>
      <c r="AF136" s="4"/>
      <c r="AG136" s="4"/>
      <c r="AH136" s="4"/>
      <c r="AI136" s="4"/>
      <c r="AJ136" s="4"/>
      <c r="AK136" s="4"/>
      <c r="AL136" s="4"/>
      <c r="AM136" s="4"/>
      <c r="AN136" s="4"/>
      <c r="AO136" s="4"/>
    </row>
    <row r="137" ht="12.75" hidden="1" customHeight="1">
      <c r="A137" s="200">
        <v>19.0</v>
      </c>
      <c r="B137" s="200" t="s">
        <v>903</v>
      </c>
      <c r="C137" s="200" t="s">
        <v>689</v>
      </c>
      <c r="D137" s="200" t="s">
        <v>1056</v>
      </c>
      <c r="E137" s="4" t="s">
        <v>906</v>
      </c>
      <c r="F137" s="200">
        <v>2016.0</v>
      </c>
      <c r="G137" s="4" t="s">
        <v>1000</v>
      </c>
      <c r="H137" s="200">
        <v>2014.0</v>
      </c>
      <c r="I137" s="200">
        <v>3.42</v>
      </c>
      <c r="J137" s="201" t="s">
        <v>683</v>
      </c>
      <c r="K137" s="200">
        <v>98.0</v>
      </c>
      <c r="L137" s="200">
        <v>2020.0</v>
      </c>
      <c r="M137" s="200">
        <v>20.0</v>
      </c>
      <c r="N137" s="200">
        <v>2.736</v>
      </c>
      <c r="O137" s="201" t="s">
        <v>683</v>
      </c>
      <c r="P137" s="201" t="s">
        <v>683</v>
      </c>
      <c r="Q137" s="200">
        <v>2.34</v>
      </c>
      <c r="R137" s="4">
        <v>157.89473684210535</v>
      </c>
      <c r="S137" s="4" t="s">
        <v>1001</v>
      </c>
      <c r="T137" s="4" t="s">
        <v>1014</v>
      </c>
      <c r="U137" s="4" t="s">
        <v>1173</v>
      </c>
      <c r="V137" s="4"/>
      <c r="W137" s="4"/>
      <c r="X137" s="4"/>
      <c r="Y137" s="4"/>
      <c r="Z137" s="4"/>
      <c r="AA137" s="4"/>
      <c r="AB137" s="4"/>
      <c r="AC137" s="4"/>
      <c r="AD137" s="4"/>
      <c r="AE137" s="4"/>
      <c r="AF137" s="4"/>
      <c r="AG137" s="4"/>
      <c r="AH137" s="4"/>
      <c r="AI137" s="4"/>
      <c r="AJ137" s="4"/>
      <c r="AK137" s="4"/>
      <c r="AL137" s="4"/>
      <c r="AM137" s="4"/>
      <c r="AN137" s="4"/>
      <c r="AO137" s="4"/>
    </row>
    <row r="138" ht="12.75" hidden="1" customHeight="1">
      <c r="A138" s="200">
        <v>32.0</v>
      </c>
      <c r="B138" s="200" t="s">
        <v>903</v>
      </c>
      <c r="C138" s="200" t="s">
        <v>896</v>
      </c>
      <c r="D138" s="200" t="s">
        <v>999</v>
      </c>
      <c r="E138" s="4" t="s">
        <v>910</v>
      </c>
      <c r="F138" s="200">
        <v>2017.0</v>
      </c>
      <c r="G138" s="4" t="s">
        <v>1000</v>
      </c>
      <c r="H138" s="200">
        <v>2017.0</v>
      </c>
      <c r="I138" s="200">
        <v>39.1</v>
      </c>
      <c r="J138" s="201" t="s">
        <v>683</v>
      </c>
      <c r="K138" s="200">
        <v>99.0</v>
      </c>
      <c r="L138" s="200">
        <v>2030.0</v>
      </c>
      <c r="M138" s="200">
        <v>10.0</v>
      </c>
      <c r="N138" s="200">
        <v>35.190000000000005</v>
      </c>
      <c r="O138" s="201" t="s">
        <v>683</v>
      </c>
      <c r="P138" s="201" t="s">
        <v>683</v>
      </c>
      <c r="Q138" s="200">
        <v>35.9</v>
      </c>
      <c r="R138" s="4">
        <v>81.84143222506408</v>
      </c>
      <c r="S138" s="4" t="s">
        <v>1001</v>
      </c>
      <c r="T138" s="4" t="s">
        <v>1016</v>
      </c>
      <c r="U138" s="4" t="s">
        <v>1174</v>
      </c>
      <c r="V138" s="4"/>
      <c r="W138" s="4"/>
      <c r="X138" s="4"/>
      <c r="Y138" s="4"/>
      <c r="Z138" s="4"/>
      <c r="AA138" s="4"/>
      <c r="AB138" s="4"/>
      <c r="AC138" s="4"/>
      <c r="AD138" s="4"/>
      <c r="AE138" s="4"/>
      <c r="AF138" s="4"/>
      <c r="AG138" s="4"/>
      <c r="AH138" s="4"/>
      <c r="AI138" s="4"/>
      <c r="AJ138" s="4"/>
      <c r="AK138" s="4"/>
      <c r="AL138" s="4"/>
      <c r="AM138" s="4"/>
      <c r="AN138" s="4"/>
      <c r="AO138" s="4"/>
    </row>
    <row r="139" ht="12.75" hidden="1" customHeight="1">
      <c r="A139" s="200">
        <v>39.0</v>
      </c>
      <c r="B139" s="200" t="s">
        <v>903</v>
      </c>
      <c r="C139" s="200" t="s">
        <v>896</v>
      </c>
      <c r="D139" s="200" t="s">
        <v>1175</v>
      </c>
      <c r="E139" s="4" t="s">
        <v>907</v>
      </c>
      <c r="F139" s="200">
        <v>2013.0</v>
      </c>
      <c r="G139" s="4" t="s">
        <v>1000</v>
      </c>
      <c r="H139" s="200">
        <v>2012.0</v>
      </c>
      <c r="I139" s="200">
        <v>0.0415</v>
      </c>
      <c r="J139" s="201" t="s">
        <v>683</v>
      </c>
      <c r="K139" s="200">
        <v>100.0</v>
      </c>
      <c r="L139" s="200">
        <v>2020.0</v>
      </c>
      <c r="M139" s="200">
        <v>20.0</v>
      </c>
      <c r="N139" s="200">
        <v>0.0332</v>
      </c>
      <c r="O139" s="201" t="s">
        <v>683</v>
      </c>
      <c r="P139" s="201" t="s">
        <v>683</v>
      </c>
      <c r="Q139" s="200">
        <v>0.0348</v>
      </c>
      <c r="R139" s="4">
        <v>80.7228915662651</v>
      </c>
      <c r="S139" s="4" t="s">
        <v>1001</v>
      </c>
      <c r="T139" s="4" t="s">
        <v>1016</v>
      </c>
      <c r="U139" s="4" t="s">
        <v>1176</v>
      </c>
      <c r="V139" s="4"/>
      <c r="W139" s="4"/>
      <c r="X139" s="4"/>
      <c r="Y139" s="4"/>
      <c r="Z139" s="4"/>
      <c r="AA139" s="4"/>
      <c r="AB139" s="4"/>
      <c r="AC139" s="4"/>
      <c r="AD139" s="4"/>
      <c r="AE139" s="4"/>
      <c r="AF139" s="4"/>
      <c r="AG139" s="4"/>
      <c r="AH139" s="4"/>
      <c r="AI139" s="4"/>
      <c r="AJ139" s="4"/>
      <c r="AK139" s="4"/>
      <c r="AL139" s="4"/>
      <c r="AM139" s="4"/>
      <c r="AN139" s="4"/>
      <c r="AO139" s="4"/>
    </row>
    <row r="140" ht="12.75" hidden="1" customHeight="1">
      <c r="A140" s="200">
        <v>44.0</v>
      </c>
      <c r="B140" s="200" t="s">
        <v>903</v>
      </c>
      <c r="C140" s="200" t="s">
        <v>900</v>
      </c>
      <c r="D140" s="200" t="s">
        <v>1033</v>
      </c>
      <c r="E140" s="4" t="s">
        <v>1177</v>
      </c>
      <c r="F140" s="200">
        <v>2011.0</v>
      </c>
      <c r="G140" s="4" t="s">
        <v>1068</v>
      </c>
      <c r="H140" s="200">
        <v>2005.0</v>
      </c>
      <c r="I140" s="200">
        <v>1.51</v>
      </c>
      <c r="J140" s="201" t="s">
        <v>683</v>
      </c>
      <c r="K140" s="200">
        <v>82.0</v>
      </c>
      <c r="L140" s="200">
        <v>2020.0</v>
      </c>
      <c r="M140" s="200">
        <v>30.0</v>
      </c>
      <c r="N140" s="200">
        <v>1.057</v>
      </c>
      <c r="O140" s="201" t="s">
        <v>683</v>
      </c>
      <c r="P140" s="201" t="s">
        <v>683</v>
      </c>
      <c r="Q140" s="200">
        <v>1.1476</v>
      </c>
      <c r="R140" s="4">
        <v>80.0</v>
      </c>
      <c r="S140" s="4" t="s">
        <v>1001</v>
      </c>
      <c r="T140" s="4" t="s">
        <v>1002</v>
      </c>
      <c r="U140" s="4" t="s">
        <v>1178</v>
      </c>
      <c r="V140" s="4"/>
      <c r="W140" s="4"/>
      <c r="X140" s="4"/>
      <c r="Y140" s="4"/>
      <c r="Z140" s="4"/>
      <c r="AA140" s="4"/>
      <c r="AB140" s="4"/>
      <c r="AC140" s="4"/>
      <c r="AD140" s="4"/>
      <c r="AE140" s="4"/>
      <c r="AF140" s="4"/>
      <c r="AG140" s="4"/>
      <c r="AH140" s="4"/>
      <c r="AI140" s="4"/>
      <c r="AJ140" s="4"/>
      <c r="AK140" s="4"/>
      <c r="AL140" s="4"/>
      <c r="AM140" s="4"/>
      <c r="AN140" s="4"/>
      <c r="AO140" s="4"/>
    </row>
    <row r="141" ht="12.75" hidden="1" customHeight="1">
      <c r="A141" s="200">
        <v>45.0</v>
      </c>
      <c r="B141" s="200" t="s">
        <v>903</v>
      </c>
      <c r="C141" s="200" t="s">
        <v>689</v>
      </c>
      <c r="D141" s="200" t="s">
        <v>1059</v>
      </c>
      <c r="E141" s="4" t="s">
        <v>1179</v>
      </c>
      <c r="F141" s="200">
        <v>2020.0</v>
      </c>
      <c r="G141" s="4" t="s">
        <v>1031</v>
      </c>
      <c r="H141" s="200">
        <v>2019.0</v>
      </c>
      <c r="I141" s="200"/>
      <c r="J141" s="201" t="s">
        <v>683</v>
      </c>
      <c r="K141" s="200"/>
      <c r="L141" s="200"/>
      <c r="M141" s="200"/>
      <c r="N141" s="200">
        <v>0.0</v>
      </c>
      <c r="O141" s="201" t="s">
        <v>683</v>
      </c>
      <c r="P141" s="201" t="s">
        <v>683</v>
      </c>
      <c r="Q141" s="200"/>
      <c r="R141" s="4"/>
      <c r="S141" s="4" t="s">
        <v>1024</v>
      </c>
      <c r="T141" s="4" t="s">
        <v>1002</v>
      </c>
      <c r="U141" s="4" t="s">
        <v>1180</v>
      </c>
      <c r="V141" s="4"/>
      <c r="W141" s="4"/>
      <c r="X141" s="4"/>
      <c r="Y141" s="4"/>
      <c r="Z141" s="4"/>
      <c r="AA141" s="4"/>
      <c r="AB141" s="4"/>
      <c r="AC141" s="4"/>
      <c r="AD141" s="4"/>
      <c r="AE141" s="4"/>
      <c r="AF141" s="4"/>
      <c r="AG141" s="4"/>
      <c r="AH141" s="4"/>
      <c r="AI141" s="4"/>
      <c r="AJ141" s="4"/>
      <c r="AK141" s="4"/>
      <c r="AL141" s="4"/>
      <c r="AM141" s="4"/>
      <c r="AN141" s="4"/>
      <c r="AO141" s="4"/>
    </row>
    <row r="142" ht="12.75" hidden="1" customHeight="1">
      <c r="A142" s="200">
        <v>52.0</v>
      </c>
      <c r="B142" s="200" t="s">
        <v>903</v>
      </c>
      <c r="C142" s="200" t="s">
        <v>896</v>
      </c>
      <c r="D142" s="200" t="s">
        <v>999</v>
      </c>
      <c r="E142" s="4" t="s">
        <v>912</v>
      </c>
      <c r="F142" s="200">
        <v>2019.0</v>
      </c>
      <c r="G142" s="4" t="s">
        <v>1000</v>
      </c>
      <c r="H142" s="200">
        <v>2018.0</v>
      </c>
      <c r="I142" s="200">
        <v>6.04754E-5</v>
      </c>
      <c r="J142" s="201" t="s">
        <v>683</v>
      </c>
      <c r="K142" s="200">
        <v>0.0</v>
      </c>
      <c r="L142" s="200">
        <v>2023.0</v>
      </c>
      <c r="M142" s="200">
        <v>10.0</v>
      </c>
      <c r="N142" s="200">
        <v>5.442786E-5</v>
      </c>
      <c r="O142" s="201" t="s">
        <v>683</v>
      </c>
      <c r="P142" s="201" t="s">
        <v>683</v>
      </c>
      <c r="Q142" s="200">
        <v>5.5644E-5</v>
      </c>
      <c r="R142" s="4">
        <v>79.890335574465</v>
      </c>
      <c r="S142" s="4" t="s">
        <v>1024</v>
      </c>
      <c r="T142" s="4" t="s">
        <v>1016</v>
      </c>
      <c r="U142" s="4" t="s">
        <v>1181</v>
      </c>
      <c r="V142" s="4"/>
      <c r="W142" s="4"/>
      <c r="X142" s="4"/>
      <c r="Y142" s="4"/>
      <c r="Z142" s="4"/>
      <c r="AA142" s="4"/>
      <c r="AB142" s="4"/>
      <c r="AC142" s="4"/>
      <c r="AD142" s="4"/>
      <c r="AE142" s="4"/>
      <c r="AF142" s="4"/>
      <c r="AG142" s="4"/>
      <c r="AH142" s="4"/>
      <c r="AI142" s="4"/>
      <c r="AJ142" s="4"/>
      <c r="AK142" s="4"/>
      <c r="AL142" s="4"/>
      <c r="AM142" s="4"/>
      <c r="AN142" s="4"/>
      <c r="AO142" s="4"/>
    </row>
    <row r="143" ht="12.75" hidden="1" customHeight="1">
      <c r="A143" s="200">
        <v>54.0</v>
      </c>
      <c r="B143" s="200" t="s">
        <v>903</v>
      </c>
      <c r="C143" s="200" t="s">
        <v>900</v>
      </c>
      <c r="D143" s="200" t="s">
        <v>1033</v>
      </c>
      <c r="E143" s="4" t="s">
        <v>1182</v>
      </c>
      <c r="F143" s="200">
        <v>2010.0</v>
      </c>
      <c r="G143" s="4" t="s">
        <v>1000</v>
      </c>
      <c r="H143" s="200">
        <v>2010.0</v>
      </c>
      <c r="I143" s="200">
        <v>100.0</v>
      </c>
      <c r="J143" s="201" t="s">
        <v>683</v>
      </c>
      <c r="K143" s="200">
        <v>75.0</v>
      </c>
      <c r="L143" s="200">
        <v>2020.0</v>
      </c>
      <c r="M143" s="200">
        <v>10.0</v>
      </c>
      <c r="N143" s="200">
        <v>90.0</v>
      </c>
      <c r="O143" s="201" t="s">
        <v>683</v>
      </c>
      <c r="P143" s="201" t="s">
        <v>683</v>
      </c>
      <c r="Q143" s="200">
        <v>61.0</v>
      </c>
      <c r="R143" s="4">
        <v>390.0</v>
      </c>
      <c r="S143" s="4" t="s">
        <v>1013</v>
      </c>
      <c r="T143" s="4" t="s">
        <v>1002</v>
      </c>
      <c r="U143" s="4" t="s">
        <v>1183</v>
      </c>
      <c r="V143" s="4"/>
      <c r="W143" s="4"/>
      <c r="X143" s="4"/>
      <c r="Y143" s="4"/>
      <c r="Z143" s="4"/>
      <c r="AA143" s="4"/>
      <c r="AB143" s="4"/>
      <c r="AC143" s="4"/>
      <c r="AD143" s="4"/>
      <c r="AE143" s="4"/>
      <c r="AF143" s="4"/>
      <c r="AG143" s="4"/>
      <c r="AH143" s="4"/>
      <c r="AI143" s="4"/>
      <c r="AJ143" s="4"/>
      <c r="AK143" s="4"/>
      <c r="AL143" s="4"/>
      <c r="AM143" s="4"/>
      <c r="AN143" s="4"/>
      <c r="AO143" s="4"/>
    </row>
    <row r="144" ht="12.75" hidden="1" customHeight="1">
      <c r="A144" s="200">
        <v>62.0</v>
      </c>
      <c r="B144" s="200" t="s">
        <v>903</v>
      </c>
      <c r="C144" s="200" t="s">
        <v>689</v>
      </c>
      <c r="D144" s="200" t="s">
        <v>1184</v>
      </c>
      <c r="E144" s="4" t="s">
        <v>914</v>
      </c>
      <c r="F144" s="200">
        <v>2018.0</v>
      </c>
      <c r="G144" s="4" t="s">
        <v>1000</v>
      </c>
      <c r="H144" s="200">
        <v>2015.0</v>
      </c>
      <c r="I144" s="200">
        <v>8.14</v>
      </c>
      <c r="J144" s="201" t="s">
        <v>683</v>
      </c>
      <c r="K144" s="200">
        <v>80.44</v>
      </c>
      <c r="L144" s="200">
        <v>2030.0</v>
      </c>
      <c r="M144" s="200">
        <v>31.0</v>
      </c>
      <c r="N144" s="200">
        <v>5.6166</v>
      </c>
      <c r="O144" s="201" t="s">
        <v>683</v>
      </c>
      <c r="P144" s="201" t="s">
        <v>683</v>
      </c>
      <c r="Q144" s="200">
        <v>8.07</v>
      </c>
      <c r="R144" s="4">
        <v>2.774035032099559</v>
      </c>
      <c r="S144" s="4" t="s">
        <v>1001</v>
      </c>
      <c r="T144" s="4" t="s">
        <v>1164</v>
      </c>
      <c r="U144" s="4" t="s">
        <v>1185</v>
      </c>
      <c r="V144" s="4"/>
      <c r="W144" s="4"/>
      <c r="X144" s="4"/>
      <c r="Y144" s="4"/>
      <c r="Z144" s="4"/>
      <c r="AA144" s="4"/>
      <c r="AB144" s="4"/>
      <c r="AC144" s="4"/>
      <c r="AD144" s="4"/>
      <c r="AE144" s="4"/>
      <c r="AF144" s="4"/>
      <c r="AG144" s="4"/>
      <c r="AH144" s="4"/>
      <c r="AI144" s="4"/>
      <c r="AJ144" s="4"/>
      <c r="AK144" s="4"/>
      <c r="AL144" s="4"/>
      <c r="AM144" s="4"/>
      <c r="AN144" s="4"/>
      <c r="AO144" s="4"/>
    </row>
    <row r="145" ht="12.75" hidden="1" customHeight="1">
      <c r="A145" s="200">
        <v>63.0</v>
      </c>
      <c r="B145" s="200" t="s">
        <v>903</v>
      </c>
      <c r="C145" s="200" t="s">
        <v>896</v>
      </c>
      <c r="D145" s="200" t="s">
        <v>1004</v>
      </c>
      <c r="E145" s="4" t="s">
        <v>912</v>
      </c>
      <c r="F145" s="200">
        <v>2013.0</v>
      </c>
      <c r="G145" s="4" t="s">
        <v>1000</v>
      </c>
      <c r="H145" s="200">
        <v>2013.0</v>
      </c>
      <c r="I145" s="200">
        <v>15.24</v>
      </c>
      <c r="J145" s="201" t="s">
        <v>683</v>
      </c>
      <c r="K145" s="200">
        <v>100.0</v>
      </c>
      <c r="L145" s="200">
        <v>2020.0</v>
      </c>
      <c r="M145" s="200">
        <v>15.0</v>
      </c>
      <c r="N145" s="200">
        <v>12.954</v>
      </c>
      <c r="O145" s="201" t="s">
        <v>683</v>
      </c>
      <c r="P145" s="201" t="s">
        <v>683</v>
      </c>
      <c r="Q145" s="200">
        <v>9.7</v>
      </c>
      <c r="R145" s="4">
        <v>242.34470691163614</v>
      </c>
      <c r="S145" s="4" t="s">
        <v>1013</v>
      </c>
      <c r="T145" s="4" t="s">
        <v>1002</v>
      </c>
      <c r="U145" s="4" t="s">
        <v>1186</v>
      </c>
      <c r="V145" s="4"/>
      <c r="W145" s="4"/>
      <c r="X145" s="4"/>
      <c r="Y145" s="4"/>
      <c r="Z145" s="4"/>
      <c r="AA145" s="4"/>
      <c r="AB145" s="4"/>
      <c r="AC145" s="4"/>
      <c r="AD145" s="4"/>
      <c r="AE145" s="4"/>
      <c r="AF145" s="4"/>
      <c r="AG145" s="4"/>
      <c r="AH145" s="4"/>
      <c r="AI145" s="4"/>
      <c r="AJ145" s="4"/>
      <c r="AK145" s="4"/>
      <c r="AL145" s="4"/>
      <c r="AM145" s="4"/>
      <c r="AN145" s="4"/>
      <c r="AO145" s="4"/>
    </row>
    <row r="146" ht="12.75" hidden="1" customHeight="1">
      <c r="A146" s="200">
        <v>71.0</v>
      </c>
      <c r="B146" s="200" t="s">
        <v>903</v>
      </c>
      <c r="C146" s="200" t="s">
        <v>899</v>
      </c>
      <c r="D146" s="200" t="s">
        <v>1007</v>
      </c>
      <c r="E146" s="4" t="s">
        <v>1182</v>
      </c>
      <c r="F146" s="200">
        <v>2015.0</v>
      </c>
      <c r="G146" s="4" t="s">
        <v>1187</v>
      </c>
      <c r="H146" s="200">
        <v>2015.0</v>
      </c>
      <c r="I146" s="200">
        <v>1.89</v>
      </c>
      <c r="J146" s="201" t="s">
        <v>683</v>
      </c>
      <c r="K146" s="200">
        <v>95.0</v>
      </c>
      <c r="L146" s="200">
        <v>2020.0</v>
      </c>
      <c r="M146" s="200">
        <v>25.0</v>
      </c>
      <c r="N146" s="200">
        <v>1.4175</v>
      </c>
      <c r="O146" s="201" t="s">
        <v>683</v>
      </c>
      <c r="P146" s="201" t="s">
        <v>683</v>
      </c>
      <c r="Q146" s="200">
        <v>1.94</v>
      </c>
      <c r="R146" s="4">
        <v>-10.582010582010593</v>
      </c>
      <c r="S146" s="4" t="s">
        <v>1001</v>
      </c>
      <c r="T146" s="4" t="s">
        <v>1014</v>
      </c>
      <c r="U146" s="4" t="s">
        <v>1188</v>
      </c>
      <c r="V146" s="4"/>
      <c r="W146" s="4"/>
      <c r="X146" s="4"/>
      <c r="Y146" s="4"/>
      <c r="Z146" s="4"/>
      <c r="AA146" s="4"/>
      <c r="AB146" s="4"/>
      <c r="AC146" s="4"/>
      <c r="AD146" s="4"/>
      <c r="AE146" s="4"/>
      <c r="AF146" s="4"/>
      <c r="AG146" s="4"/>
      <c r="AH146" s="4"/>
      <c r="AI146" s="4"/>
      <c r="AJ146" s="4"/>
      <c r="AK146" s="4"/>
      <c r="AL146" s="4"/>
      <c r="AM146" s="4"/>
      <c r="AN146" s="4"/>
      <c r="AO146" s="4"/>
    </row>
    <row r="147" ht="12.75" hidden="1" customHeight="1">
      <c r="A147" s="200">
        <v>71.0</v>
      </c>
      <c r="B147" s="200" t="s">
        <v>903</v>
      </c>
      <c r="C147" s="200" t="s">
        <v>689</v>
      </c>
      <c r="D147" s="200" t="s">
        <v>1189</v>
      </c>
      <c r="E147" s="4" t="s">
        <v>1190</v>
      </c>
      <c r="F147" s="200">
        <v>2015.0</v>
      </c>
      <c r="G147" s="4" t="s">
        <v>1191</v>
      </c>
      <c r="H147" s="200">
        <v>2015.0</v>
      </c>
      <c r="I147" s="200">
        <v>4.78</v>
      </c>
      <c r="J147" s="201" t="s">
        <v>683</v>
      </c>
      <c r="K147" s="200">
        <v>80.0</v>
      </c>
      <c r="L147" s="200">
        <v>2020.0</v>
      </c>
      <c r="M147" s="200">
        <v>35.0</v>
      </c>
      <c r="N147" s="200">
        <v>3.107</v>
      </c>
      <c r="O147" s="201" t="s">
        <v>683</v>
      </c>
      <c r="P147" s="201" t="s">
        <v>683</v>
      </c>
      <c r="Q147" s="200">
        <v>4.06</v>
      </c>
      <c r="R147" s="4">
        <v>43.036461446503324</v>
      </c>
      <c r="S147" s="4" t="s">
        <v>1001</v>
      </c>
      <c r="T147" s="4" t="s">
        <v>1014</v>
      </c>
      <c r="U147" s="4" t="s">
        <v>1192</v>
      </c>
      <c r="V147" s="4"/>
      <c r="W147" s="4"/>
      <c r="X147" s="4"/>
      <c r="Y147" s="4"/>
      <c r="Z147" s="4"/>
      <c r="AA147" s="4"/>
      <c r="AB147" s="4"/>
      <c r="AC147" s="4"/>
      <c r="AD147" s="4"/>
      <c r="AE147" s="4"/>
      <c r="AF147" s="4"/>
      <c r="AG147" s="4"/>
      <c r="AH147" s="4"/>
      <c r="AI147" s="4"/>
      <c r="AJ147" s="4"/>
      <c r="AK147" s="4"/>
      <c r="AL147" s="4"/>
      <c r="AM147" s="4"/>
      <c r="AN147" s="4"/>
      <c r="AO147" s="4"/>
    </row>
    <row r="148" ht="12.75" hidden="1" customHeight="1">
      <c r="A148" s="200">
        <v>72.0</v>
      </c>
      <c r="B148" s="200" t="s">
        <v>903</v>
      </c>
      <c r="C148" s="200" t="s">
        <v>896</v>
      </c>
      <c r="D148" s="200" t="s">
        <v>1004</v>
      </c>
      <c r="E148" s="4" t="s">
        <v>1193</v>
      </c>
      <c r="F148" s="200">
        <v>2015.0</v>
      </c>
      <c r="G148" s="4" t="s">
        <v>1000</v>
      </c>
      <c r="H148" s="200">
        <v>2014.0</v>
      </c>
      <c r="I148" s="200">
        <v>4.525</v>
      </c>
      <c r="J148" s="201" t="s">
        <v>683</v>
      </c>
      <c r="K148" s="200">
        <v>100.0</v>
      </c>
      <c r="L148" s="200">
        <v>2020.0</v>
      </c>
      <c r="M148" s="200">
        <v>15.0</v>
      </c>
      <c r="N148" s="200">
        <v>3.8462500000000004</v>
      </c>
      <c r="O148" s="201" t="s">
        <v>683</v>
      </c>
      <c r="P148" s="201" t="s">
        <v>683</v>
      </c>
      <c r="Q148" s="200">
        <v>3.841</v>
      </c>
      <c r="R148" s="4">
        <v>100.77348066298346</v>
      </c>
      <c r="S148" s="4" t="s">
        <v>1013</v>
      </c>
      <c r="T148" s="4" t="s">
        <v>1002</v>
      </c>
      <c r="U148" s="4" t="s">
        <v>1194</v>
      </c>
      <c r="V148" s="4"/>
      <c r="W148" s="4"/>
      <c r="X148" s="4"/>
      <c r="Y148" s="4"/>
      <c r="Z148" s="4"/>
      <c r="AA148" s="4"/>
      <c r="AB148" s="4"/>
      <c r="AC148" s="4"/>
      <c r="AD148" s="4"/>
      <c r="AE148" s="4"/>
      <c r="AF148" s="4"/>
      <c r="AG148" s="4"/>
      <c r="AH148" s="4"/>
      <c r="AI148" s="4"/>
      <c r="AJ148" s="4"/>
      <c r="AK148" s="4"/>
      <c r="AL148" s="4"/>
      <c r="AM148" s="4"/>
      <c r="AN148" s="4"/>
      <c r="AO148" s="4"/>
    </row>
    <row r="149" ht="12.75" hidden="1" customHeight="1">
      <c r="A149" s="200">
        <v>73.0</v>
      </c>
      <c r="B149" s="200" t="s">
        <v>903</v>
      </c>
      <c r="C149" s="200" t="s">
        <v>900</v>
      </c>
      <c r="D149" s="200" t="s">
        <v>1033</v>
      </c>
      <c r="E149" s="4" t="s">
        <v>915</v>
      </c>
      <c r="F149" s="200">
        <v>2018.0</v>
      </c>
      <c r="G149" s="4" t="s">
        <v>1149</v>
      </c>
      <c r="H149" s="200">
        <v>2017.0</v>
      </c>
      <c r="I149" s="200">
        <v>0.06</v>
      </c>
      <c r="J149" s="201" t="s">
        <v>683</v>
      </c>
      <c r="K149" s="200">
        <v>100.0</v>
      </c>
      <c r="L149" s="200">
        <v>2025.0</v>
      </c>
      <c r="M149" s="200">
        <v>13.0</v>
      </c>
      <c r="N149" s="200">
        <v>0.052199999999999996</v>
      </c>
      <c r="O149" s="201" t="s">
        <v>683</v>
      </c>
      <c r="P149" s="201" t="s">
        <v>683</v>
      </c>
      <c r="Q149" s="200"/>
      <c r="R149" s="4">
        <v>769.230769230769</v>
      </c>
      <c r="S149" s="4" t="s">
        <v>1024</v>
      </c>
      <c r="T149" s="4" t="s">
        <v>1016</v>
      </c>
      <c r="U149" s="4" t="s">
        <v>1195</v>
      </c>
      <c r="V149" s="4"/>
      <c r="W149" s="4"/>
      <c r="X149" s="4"/>
      <c r="Y149" s="4"/>
      <c r="Z149" s="4"/>
      <c r="AA149" s="4"/>
      <c r="AB149" s="4"/>
      <c r="AC149" s="4"/>
      <c r="AD149" s="4"/>
      <c r="AE149" s="4"/>
      <c r="AF149" s="4"/>
      <c r="AG149" s="4"/>
      <c r="AH149" s="4"/>
      <c r="AI149" s="4"/>
      <c r="AJ149" s="4"/>
      <c r="AK149" s="4"/>
      <c r="AL149" s="4"/>
      <c r="AM149" s="4"/>
      <c r="AN149" s="4"/>
      <c r="AO149" s="4"/>
    </row>
    <row r="150" ht="12.75" hidden="1" customHeight="1">
      <c r="A150" s="200">
        <v>73.0</v>
      </c>
      <c r="B150" s="200" t="s">
        <v>903</v>
      </c>
      <c r="C150" s="200" t="s">
        <v>900</v>
      </c>
      <c r="D150" s="200" t="s">
        <v>1033</v>
      </c>
      <c r="E150" s="4" t="s">
        <v>916</v>
      </c>
      <c r="F150" s="200">
        <v>2017.0</v>
      </c>
      <c r="G150" s="4" t="s">
        <v>1149</v>
      </c>
      <c r="H150" s="200">
        <v>2018.0</v>
      </c>
      <c r="I150" s="200">
        <v>0.113</v>
      </c>
      <c r="J150" s="201" t="s">
        <v>683</v>
      </c>
      <c r="K150" s="200"/>
      <c r="L150" s="200">
        <v>2025.0</v>
      </c>
      <c r="M150" s="200">
        <v>21.0</v>
      </c>
      <c r="N150" s="200">
        <v>0.08927</v>
      </c>
      <c r="O150" s="201" t="s">
        <v>683</v>
      </c>
      <c r="P150" s="201" t="s">
        <v>683</v>
      </c>
      <c r="Q150" s="200"/>
      <c r="R150" s="4">
        <v>476.1904761904762</v>
      </c>
      <c r="S150" s="4" t="s">
        <v>1001</v>
      </c>
      <c r="T150" s="4" t="s">
        <v>1016</v>
      </c>
      <c r="U150" s="4" t="s">
        <v>1196</v>
      </c>
      <c r="V150" s="4"/>
      <c r="W150" s="4"/>
      <c r="X150" s="4"/>
      <c r="Y150" s="4"/>
      <c r="Z150" s="4"/>
      <c r="AA150" s="4"/>
      <c r="AB150" s="4"/>
      <c r="AC150" s="4"/>
      <c r="AD150" s="4"/>
      <c r="AE150" s="4"/>
      <c r="AF150" s="4"/>
      <c r="AG150" s="4"/>
      <c r="AH150" s="4"/>
      <c r="AI150" s="4"/>
      <c r="AJ150" s="4"/>
      <c r="AK150" s="4"/>
      <c r="AL150" s="4"/>
      <c r="AM150" s="4"/>
      <c r="AN150" s="4"/>
      <c r="AO150" s="4"/>
    </row>
    <row r="151" ht="12.75" hidden="1" customHeight="1">
      <c r="A151" s="200">
        <v>73.0</v>
      </c>
      <c r="B151" s="200" t="s">
        <v>903</v>
      </c>
      <c r="C151" s="200" t="s">
        <v>896</v>
      </c>
      <c r="D151" s="200" t="s">
        <v>999</v>
      </c>
      <c r="E151" s="4" t="s">
        <v>914</v>
      </c>
      <c r="F151" s="200">
        <v>2020.0</v>
      </c>
      <c r="G151" s="4" t="s">
        <v>1068</v>
      </c>
      <c r="H151" s="200">
        <v>2013.0</v>
      </c>
      <c r="I151" s="200">
        <v>0.665</v>
      </c>
      <c r="J151" s="201" t="s">
        <v>683</v>
      </c>
      <c r="K151" s="200">
        <v>77.0</v>
      </c>
      <c r="L151" s="200">
        <v>2025.0</v>
      </c>
      <c r="M151" s="200">
        <v>4.65</v>
      </c>
      <c r="N151" s="200">
        <v>0.6340775000000001</v>
      </c>
      <c r="O151" s="201" t="s">
        <v>683</v>
      </c>
      <c r="P151" s="201" t="s">
        <v>683</v>
      </c>
      <c r="Q151" s="200"/>
      <c r="R151" s="4">
        <v>2150.537634408605</v>
      </c>
      <c r="S151" s="4" t="s">
        <v>1024</v>
      </c>
      <c r="T151" s="4" t="s">
        <v>1016</v>
      </c>
      <c r="U151" s="4" t="s">
        <v>1197</v>
      </c>
      <c r="V151" s="4"/>
      <c r="W151" s="4"/>
      <c r="X151" s="4"/>
      <c r="Y151" s="4"/>
      <c r="Z151" s="4"/>
      <c r="AA151" s="4"/>
      <c r="AB151" s="4"/>
      <c r="AC151" s="4"/>
      <c r="AD151" s="4"/>
      <c r="AE151" s="4"/>
      <c r="AF151" s="4"/>
      <c r="AG151" s="4"/>
      <c r="AH151" s="4"/>
      <c r="AI151" s="4"/>
      <c r="AJ151" s="4"/>
      <c r="AK151" s="4"/>
      <c r="AL151" s="4"/>
      <c r="AM151" s="4"/>
      <c r="AN151" s="4"/>
      <c r="AO151" s="4"/>
    </row>
    <row r="152" ht="12.75" hidden="1" customHeight="1">
      <c r="A152" s="200">
        <v>74.0</v>
      </c>
      <c r="B152" s="200" t="s">
        <v>903</v>
      </c>
      <c r="C152" s="200" t="s">
        <v>896</v>
      </c>
      <c r="D152" s="200" t="s">
        <v>1004</v>
      </c>
      <c r="E152" s="4" t="s">
        <v>917</v>
      </c>
      <c r="F152" s="200">
        <v>2018.0</v>
      </c>
      <c r="G152" s="4" t="s">
        <v>1000</v>
      </c>
      <c r="H152" s="200">
        <v>2015.0</v>
      </c>
      <c r="I152" s="200">
        <v>0.431</v>
      </c>
      <c r="J152" s="201" t="s">
        <v>683</v>
      </c>
      <c r="K152" s="200">
        <v>100.0</v>
      </c>
      <c r="L152" s="200">
        <v>2025.0</v>
      </c>
      <c r="M152" s="200">
        <v>55.0</v>
      </c>
      <c r="N152" s="200">
        <v>0.19394999999999998</v>
      </c>
      <c r="O152" s="201" t="s">
        <v>683</v>
      </c>
      <c r="P152" s="201" t="s">
        <v>683</v>
      </c>
      <c r="Q152" s="200">
        <v>0.25</v>
      </c>
      <c r="R152" s="4">
        <v>76.3551993250369</v>
      </c>
      <c r="S152" s="4" t="s">
        <v>1001</v>
      </c>
      <c r="T152" s="4" t="s">
        <v>1014</v>
      </c>
      <c r="U152" s="4" t="s">
        <v>1198</v>
      </c>
      <c r="V152" s="4"/>
      <c r="W152" s="4"/>
      <c r="X152" s="4"/>
      <c r="Y152" s="4"/>
      <c r="Z152" s="4"/>
      <c r="AA152" s="4"/>
      <c r="AB152" s="4"/>
      <c r="AC152" s="4"/>
      <c r="AD152" s="4"/>
      <c r="AE152" s="4"/>
      <c r="AF152" s="4"/>
      <c r="AG152" s="4"/>
      <c r="AH152" s="4"/>
      <c r="AI152" s="4"/>
      <c r="AJ152" s="4"/>
      <c r="AK152" s="4"/>
      <c r="AL152" s="4"/>
      <c r="AM152" s="4"/>
      <c r="AN152" s="4"/>
      <c r="AO152" s="4"/>
    </row>
    <row r="153" ht="12.75" hidden="1" customHeight="1">
      <c r="A153" s="200">
        <v>78.0</v>
      </c>
      <c r="B153" s="200" t="s">
        <v>903</v>
      </c>
      <c r="C153" s="200" t="s">
        <v>899</v>
      </c>
      <c r="D153" s="200" t="s">
        <v>1199</v>
      </c>
      <c r="E153" s="4" t="s">
        <v>1200</v>
      </c>
      <c r="F153" s="200">
        <v>2012.0</v>
      </c>
      <c r="G153" s="4" t="s">
        <v>1000</v>
      </c>
      <c r="H153" s="200">
        <v>2010.0</v>
      </c>
      <c r="I153" s="200">
        <v>8706.0</v>
      </c>
      <c r="J153" s="201" t="s">
        <v>683</v>
      </c>
      <c r="K153" s="200">
        <v>100.0</v>
      </c>
      <c r="L153" s="200">
        <v>2020.0</v>
      </c>
      <c r="M153" s="200">
        <v>30.0</v>
      </c>
      <c r="N153" s="200">
        <v>6094.2</v>
      </c>
      <c r="O153" s="201" t="s">
        <v>683</v>
      </c>
      <c r="P153" s="201" t="s">
        <v>683</v>
      </c>
      <c r="Q153" s="200">
        <v>5917.0</v>
      </c>
      <c r="R153" s="4">
        <v>106.78459300099547</v>
      </c>
      <c r="S153" s="4" t="s">
        <v>1013</v>
      </c>
      <c r="T153" s="4" t="s">
        <v>1014</v>
      </c>
      <c r="U153" s="4" t="s">
        <v>1201</v>
      </c>
      <c r="V153" s="4"/>
      <c r="W153" s="4"/>
      <c r="X153" s="4"/>
      <c r="Y153" s="4"/>
      <c r="Z153" s="4"/>
      <c r="AA153" s="4"/>
      <c r="AB153" s="4"/>
      <c r="AC153" s="4"/>
      <c r="AD153" s="4"/>
      <c r="AE153" s="4"/>
      <c r="AF153" s="4"/>
      <c r="AG153" s="4"/>
      <c r="AH153" s="4"/>
      <c r="AI153" s="4"/>
      <c r="AJ153" s="4"/>
      <c r="AK153" s="4"/>
      <c r="AL153" s="4"/>
      <c r="AM153" s="4"/>
      <c r="AN153" s="4"/>
      <c r="AO153" s="4"/>
    </row>
    <row r="154" ht="12.75" hidden="1" customHeight="1">
      <c r="A154" s="200">
        <v>29.0</v>
      </c>
      <c r="B154" s="200" t="s">
        <v>903</v>
      </c>
      <c r="C154" s="200" t="s">
        <v>899</v>
      </c>
      <c r="D154" s="200" t="s">
        <v>1199</v>
      </c>
      <c r="E154" s="4" t="s">
        <v>1202</v>
      </c>
      <c r="F154" s="200">
        <v>2013.0</v>
      </c>
      <c r="G154" s="4" t="s">
        <v>1000</v>
      </c>
      <c r="H154" s="200">
        <v>2010.0</v>
      </c>
      <c r="I154" s="200">
        <v>452.0</v>
      </c>
      <c r="J154" s="201" t="s">
        <v>683</v>
      </c>
      <c r="K154" s="200">
        <v>100.0</v>
      </c>
      <c r="L154" s="200">
        <v>2020.0</v>
      </c>
      <c r="M154" s="200">
        <v>25.0</v>
      </c>
      <c r="N154" s="200">
        <v>339.0</v>
      </c>
      <c r="O154" s="201" t="s">
        <v>683</v>
      </c>
      <c r="P154" s="201" t="s">
        <v>683</v>
      </c>
      <c r="Q154" s="200">
        <v>345.0</v>
      </c>
      <c r="R154" s="4">
        <v>94.69026548672566</v>
      </c>
      <c r="S154" s="4" t="s">
        <v>1001</v>
      </c>
      <c r="T154" s="4" t="s">
        <v>1014</v>
      </c>
      <c r="U154" s="4" t="s">
        <v>1203</v>
      </c>
      <c r="V154" s="4"/>
      <c r="W154" s="4"/>
      <c r="X154" s="4"/>
      <c r="Y154" s="4"/>
      <c r="Z154" s="4"/>
      <c r="AA154" s="4"/>
      <c r="AB154" s="4"/>
      <c r="AC154" s="4"/>
      <c r="AD154" s="4"/>
      <c r="AE154" s="4"/>
      <c r="AF154" s="4"/>
      <c r="AG154" s="4"/>
      <c r="AH154" s="4"/>
      <c r="AI154" s="4"/>
      <c r="AJ154" s="4"/>
      <c r="AK154" s="4"/>
      <c r="AL154" s="4"/>
      <c r="AM154" s="4"/>
      <c r="AN154" s="4"/>
      <c r="AO154" s="4"/>
    </row>
    <row r="155" ht="12.75" hidden="1" customHeight="1">
      <c r="A155" s="200">
        <v>58.0</v>
      </c>
      <c r="B155" s="200" t="s">
        <v>903</v>
      </c>
      <c r="C155" s="200" t="s">
        <v>896</v>
      </c>
      <c r="D155" s="200" t="s">
        <v>999</v>
      </c>
      <c r="E155" s="4" t="s">
        <v>914</v>
      </c>
      <c r="F155" s="200">
        <v>2016.0</v>
      </c>
      <c r="G155" s="4" t="s">
        <v>1000</v>
      </c>
      <c r="H155" s="200">
        <v>2015.0</v>
      </c>
      <c r="I155" s="200">
        <v>0.17</v>
      </c>
      <c r="J155" s="201" t="s">
        <v>683</v>
      </c>
      <c r="K155" s="200">
        <v>100.0</v>
      </c>
      <c r="L155" s="200">
        <v>2020.0</v>
      </c>
      <c r="M155" s="200">
        <v>15.0</v>
      </c>
      <c r="N155" s="200">
        <v>0.14450000000000002</v>
      </c>
      <c r="O155" s="201" t="s">
        <v>683</v>
      </c>
      <c r="P155" s="201" t="s">
        <v>683</v>
      </c>
      <c r="Q155" s="200">
        <v>0.185</v>
      </c>
      <c r="R155" s="4">
        <v>-58.82352941176466</v>
      </c>
      <c r="S155" s="4" t="s">
        <v>1001</v>
      </c>
      <c r="T155" s="4" t="s">
        <v>1002</v>
      </c>
      <c r="U155" s="4" t="s">
        <v>1204</v>
      </c>
      <c r="V155" s="4"/>
      <c r="W155" s="4"/>
      <c r="X155" s="4"/>
      <c r="Y155" s="4"/>
      <c r="Z155" s="4"/>
      <c r="AA155" s="4"/>
      <c r="AB155" s="4"/>
      <c r="AC155" s="4"/>
      <c r="AD155" s="4"/>
      <c r="AE155" s="4"/>
      <c r="AF155" s="4"/>
      <c r="AG155" s="4"/>
      <c r="AH155" s="4"/>
      <c r="AI155" s="4"/>
      <c r="AJ155" s="4"/>
      <c r="AK155" s="4"/>
      <c r="AL155" s="4"/>
      <c r="AM155" s="4"/>
      <c r="AN155" s="4"/>
      <c r="AO155" s="4"/>
    </row>
    <row r="156" ht="12.75" hidden="1" customHeight="1">
      <c r="A156" s="200">
        <v>92.0</v>
      </c>
      <c r="B156" s="200" t="s">
        <v>903</v>
      </c>
      <c r="C156" s="200" t="s">
        <v>900</v>
      </c>
      <c r="D156" s="200" t="s">
        <v>1033</v>
      </c>
      <c r="E156" s="4" t="s">
        <v>1205</v>
      </c>
      <c r="F156" s="200">
        <v>2018.0</v>
      </c>
      <c r="G156" s="4" t="s">
        <v>1000</v>
      </c>
      <c r="H156" s="200">
        <v>2017.0</v>
      </c>
      <c r="I156" s="200">
        <v>0.001237</v>
      </c>
      <c r="J156" s="201" t="s">
        <v>683</v>
      </c>
      <c r="K156" s="200">
        <v>93.0</v>
      </c>
      <c r="L156" s="200">
        <v>2020.0</v>
      </c>
      <c r="M156" s="200">
        <v>1.5</v>
      </c>
      <c r="N156" s="200">
        <v>0.001218445</v>
      </c>
      <c r="O156" s="201" t="s">
        <v>683</v>
      </c>
      <c r="P156" s="201" t="s">
        <v>683</v>
      </c>
      <c r="Q156" s="200">
        <v>0.01245</v>
      </c>
      <c r="R156" s="4">
        <v>-60431.15063325262</v>
      </c>
      <c r="S156" s="4" t="s">
        <v>1001</v>
      </c>
      <c r="T156" s="4" t="s">
        <v>1002</v>
      </c>
      <c r="U156" s="4" t="s">
        <v>1206</v>
      </c>
      <c r="V156" s="4"/>
      <c r="W156" s="4"/>
      <c r="X156" s="4"/>
      <c r="Y156" s="4"/>
      <c r="Z156" s="4"/>
      <c r="AA156" s="4"/>
      <c r="AB156" s="4"/>
      <c r="AC156" s="4"/>
      <c r="AD156" s="4"/>
      <c r="AE156" s="4"/>
      <c r="AF156" s="4"/>
      <c r="AG156" s="4"/>
      <c r="AH156" s="4"/>
      <c r="AI156" s="4"/>
      <c r="AJ156" s="4"/>
      <c r="AK156" s="4"/>
      <c r="AL156" s="4"/>
      <c r="AM156" s="4"/>
      <c r="AN156" s="4"/>
      <c r="AO156" s="4"/>
    </row>
    <row r="157" ht="12.75" hidden="1" customHeight="1">
      <c r="A157" s="200">
        <v>94.0</v>
      </c>
      <c r="B157" s="200" t="s">
        <v>903</v>
      </c>
      <c r="C157" s="200" t="s">
        <v>896</v>
      </c>
      <c r="D157" s="200" t="s">
        <v>1004</v>
      </c>
      <c r="E157" s="4" t="s">
        <v>1207</v>
      </c>
      <c r="F157" s="200">
        <v>2010.0</v>
      </c>
      <c r="G157" s="4" t="s">
        <v>1068</v>
      </c>
      <c r="H157" s="200">
        <v>2007.0</v>
      </c>
      <c r="I157" s="200">
        <v>1.94</v>
      </c>
      <c r="J157" s="201" t="s">
        <v>683</v>
      </c>
      <c r="K157" s="200">
        <v>95.0</v>
      </c>
      <c r="L157" s="200">
        <v>2020.0</v>
      </c>
      <c r="M157" s="200">
        <v>20.0</v>
      </c>
      <c r="N157" s="200">
        <v>1.552</v>
      </c>
      <c r="O157" s="201" t="s">
        <v>683</v>
      </c>
      <c r="P157" s="201" t="s">
        <v>683</v>
      </c>
      <c r="Q157" s="200">
        <v>1.6</v>
      </c>
      <c r="R157" s="4">
        <v>87.62886597938143</v>
      </c>
      <c r="S157" s="4" t="s">
        <v>1001</v>
      </c>
      <c r="T157" s="4" t="s">
        <v>1014</v>
      </c>
      <c r="U157" s="4" t="s">
        <v>1208</v>
      </c>
      <c r="V157" s="4"/>
      <c r="W157" s="4"/>
      <c r="X157" s="4"/>
      <c r="Y157" s="4"/>
      <c r="Z157" s="4"/>
      <c r="AA157" s="4"/>
      <c r="AB157" s="4"/>
      <c r="AC157" s="4"/>
      <c r="AD157" s="4"/>
      <c r="AE157" s="4"/>
      <c r="AF157" s="4"/>
      <c r="AG157" s="4"/>
      <c r="AH157" s="4"/>
      <c r="AI157" s="4"/>
      <c r="AJ157" s="4"/>
      <c r="AK157" s="4"/>
      <c r="AL157" s="4"/>
      <c r="AM157" s="4"/>
      <c r="AN157" s="4"/>
      <c r="AO157" s="4"/>
    </row>
    <row r="158" ht="12.75" hidden="1" customHeight="1">
      <c r="A158" s="200">
        <v>94.0</v>
      </c>
      <c r="B158" s="200" t="s">
        <v>903</v>
      </c>
      <c r="C158" s="200" t="s">
        <v>900</v>
      </c>
      <c r="D158" s="200" t="s">
        <v>1033</v>
      </c>
      <c r="E158" s="4" t="s">
        <v>1209</v>
      </c>
      <c r="F158" s="200">
        <v>2008.0</v>
      </c>
      <c r="G158" s="4" t="s">
        <v>1068</v>
      </c>
      <c r="H158" s="200">
        <v>2005.0</v>
      </c>
      <c r="I158" s="200">
        <v>1.54</v>
      </c>
      <c r="J158" s="201" t="s">
        <v>683</v>
      </c>
      <c r="K158" s="200">
        <v>59.0</v>
      </c>
      <c r="L158" s="200">
        <v>2020.0</v>
      </c>
      <c r="M158" s="200">
        <v>20.0</v>
      </c>
      <c r="N158" s="200">
        <v>1.2320000000000002</v>
      </c>
      <c r="O158" s="201" t="s">
        <v>683</v>
      </c>
      <c r="P158" s="201" t="s">
        <v>683</v>
      </c>
      <c r="Q158" s="200">
        <v>1.34</v>
      </c>
      <c r="R158" s="4">
        <v>64.93506493506496</v>
      </c>
      <c r="S158" s="4" t="s">
        <v>1001</v>
      </c>
      <c r="T158" s="4" t="s">
        <v>1014</v>
      </c>
      <c r="U158" s="4" t="s">
        <v>1210</v>
      </c>
      <c r="V158" s="4"/>
      <c r="W158" s="4"/>
      <c r="X158" s="4"/>
      <c r="Y158" s="4"/>
      <c r="Z158" s="4"/>
      <c r="AA158" s="4"/>
      <c r="AB158" s="4"/>
      <c r="AC158" s="4"/>
      <c r="AD158" s="4"/>
      <c r="AE158" s="4"/>
      <c r="AF158" s="4"/>
      <c r="AG158" s="4"/>
      <c r="AH158" s="4"/>
      <c r="AI158" s="4"/>
      <c r="AJ158" s="4"/>
      <c r="AK158" s="4"/>
      <c r="AL158" s="4"/>
      <c r="AM158" s="4"/>
      <c r="AN158" s="4"/>
      <c r="AO158" s="4"/>
    </row>
    <row r="159" ht="12.75" customHeight="1">
      <c r="A159" s="200">
        <v>96.0</v>
      </c>
      <c r="B159" s="200" t="s">
        <v>903</v>
      </c>
      <c r="C159" s="200" t="s">
        <v>896</v>
      </c>
      <c r="D159" s="200" t="s">
        <v>999</v>
      </c>
      <c r="E159" s="4" t="s">
        <v>1211</v>
      </c>
      <c r="F159" s="200">
        <v>2010.0</v>
      </c>
      <c r="G159" s="4" t="s">
        <v>1000</v>
      </c>
      <c r="H159" s="200">
        <v>2009.0</v>
      </c>
      <c r="I159" s="200">
        <v>0.118996</v>
      </c>
      <c r="J159" s="201" t="s">
        <v>683</v>
      </c>
      <c r="K159" s="200">
        <v>100.0</v>
      </c>
      <c r="L159" s="200">
        <v>2020.0</v>
      </c>
      <c r="M159" s="200">
        <v>50.0</v>
      </c>
      <c r="N159" s="200">
        <v>0.059498</v>
      </c>
      <c r="O159" s="201" t="s">
        <v>683</v>
      </c>
      <c r="P159" s="201" t="s">
        <v>683</v>
      </c>
      <c r="Q159" s="200">
        <v>0.0550841436</v>
      </c>
      <c r="R159" s="4">
        <v>107.41849541161046</v>
      </c>
      <c r="S159" s="4" t="s">
        <v>1131</v>
      </c>
      <c r="T159" s="4" t="s">
        <v>1014</v>
      </c>
      <c r="U159" s="4" t="s">
        <v>1212</v>
      </c>
      <c r="V159" s="4"/>
      <c r="W159" s="4"/>
      <c r="X159" s="4"/>
      <c r="Y159" s="4"/>
      <c r="Z159" s="4"/>
      <c r="AA159" s="4"/>
      <c r="AB159" s="4"/>
      <c r="AC159" s="4"/>
      <c r="AD159" s="4"/>
      <c r="AE159" s="4"/>
      <c r="AF159" s="4"/>
      <c r="AG159" s="4"/>
      <c r="AH159" s="4"/>
      <c r="AI159" s="4"/>
      <c r="AJ159" s="4"/>
      <c r="AK159" s="4"/>
      <c r="AL159" s="4"/>
      <c r="AM159" s="4"/>
      <c r="AN159" s="4"/>
      <c r="AO159" s="4"/>
    </row>
    <row r="160" ht="12.75" hidden="1" customHeight="1">
      <c r="A160" s="200">
        <v>96.0</v>
      </c>
      <c r="B160" s="200" t="s">
        <v>903</v>
      </c>
      <c r="C160" s="200" t="s">
        <v>896</v>
      </c>
      <c r="D160" s="200" t="s">
        <v>999</v>
      </c>
      <c r="E160" s="4" t="s">
        <v>918</v>
      </c>
      <c r="F160" s="200">
        <v>2016.0</v>
      </c>
      <c r="G160" s="4" t="s">
        <v>1000</v>
      </c>
      <c r="H160" s="200">
        <v>2016.0</v>
      </c>
      <c r="I160" s="200">
        <v>0.051919</v>
      </c>
      <c r="J160" s="201" t="s">
        <v>683</v>
      </c>
      <c r="K160" s="200">
        <v>100.0</v>
      </c>
      <c r="L160" s="200">
        <v>2025.0</v>
      </c>
      <c r="M160" s="200">
        <v>50.0</v>
      </c>
      <c r="N160" s="200">
        <v>0.0259595</v>
      </c>
      <c r="O160" s="201" t="s">
        <v>683</v>
      </c>
      <c r="P160" s="201" t="s">
        <v>683</v>
      </c>
      <c r="Q160" s="200">
        <v>0.02457</v>
      </c>
      <c r="R160" s="4">
        <v>105.35256842389104</v>
      </c>
      <c r="S160" s="4" t="s">
        <v>1013</v>
      </c>
      <c r="T160" s="4" t="s">
        <v>1014</v>
      </c>
      <c r="U160" s="4" t="s">
        <v>1213</v>
      </c>
      <c r="V160" s="4"/>
      <c r="W160" s="4"/>
      <c r="X160" s="4"/>
      <c r="Y160" s="4"/>
      <c r="Z160" s="4"/>
      <c r="AA160" s="4"/>
      <c r="AB160" s="4"/>
      <c r="AC160" s="4"/>
      <c r="AD160" s="4"/>
      <c r="AE160" s="4"/>
      <c r="AF160" s="4"/>
      <c r="AG160" s="4"/>
      <c r="AH160" s="4"/>
      <c r="AI160" s="4"/>
      <c r="AJ160" s="4"/>
      <c r="AK160" s="4"/>
      <c r="AL160" s="4"/>
      <c r="AM160" s="4"/>
      <c r="AN160" s="4"/>
      <c r="AO160" s="4"/>
    </row>
    <row r="161" ht="12.75" hidden="1" customHeight="1">
      <c r="A161" s="200">
        <v>98.0</v>
      </c>
      <c r="B161" s="200" t="s">
        <v>903</v>
      </c>
      <c r="C161" s="200" t="s">
        <v>896</v>
      </c>
      <c r="D161" s="200" t="s">
        <v>999</v>
      </c>
      <c r="E161" s="4" t="s">
        <v>907</v>
      </c>
      <c r="F161" s="200">
        <v>2012.0</v>
      </c>
      <c r="G161" s="4" t="s">
        <v>1068</v>
      </c>
      <c r="H161" s="200">
        <v>2011.0</v>
      </c>
      <c r="I161" s="200">
        <v>0.039602</v>
      </c>
      <c r="J161" s="201" t="s">
        <v>683</v>
      </c>
      <c r="K161" s="200">
        <v>50.0</v>
      </c>
      <c r="L161" s="200">
        <v>2020.0</v>
      </c>
      <c r="M161" s="200">
        <v>20.0</v>
      </c>
      <c r="N161" s="200">
        <v>0.0316816</v>
      </c>
      <c r="O161" s="201" t="s">
        <v>683</v>
      </c>
      <c r="P161" s="201" t="s">
        <v>683</v>
      </c>
      <c r="Q161" s="200">
        <v>0.033163</v>
      </c>
      <c r="R161" s="4">
        <v>81.29639917175899</v>
      </c>
      <c r="S161" s="4" t="s">
        <v>1001</v>
      </c>
      <c r="T161" s="4" t="s">
        <v>1002</v>
      </c>
      <c r="U161" s="4" t="s">
        <v>1214</v>
      </c>
      <c r="V161" s="4"/>
      <c r="W161" s="4"/>
      <c r="X161" s="4"/>
      <c r="Y161" s="4"/>
      <c r="Z161" s="4"/>
      <c r="AA161" s="4"/>
      <c r="AB161" s="4"/>
      <c r="AC161" s="4"/>
      <c r="AD161" s="4"/>
      <c r="AE161" s="4"/>
      <c r="AF161" s="4"/>
      <c r="AG161" s="4"/>
      <c r="AH161" s="4"/>
      <c r="AI161" s="4"/>
      <c r="AJ161" s="4"/>
      <c r="AK161" s="4"/>
      <c r="AL161" s="4"/>
      <c r="AM161" s="4"/>
      <c r="AN161" s="4"/>
      <c r="AO161" s="4"/>
    </row>
    <row r="162" ht="12.75" customHeight="1">
      <c r="A162" s="200"/>
      <c r="B162" s="200"/>
      <c r="C162" s="200"/>
      <c r="D162" s="200"/>
      <c r="E162" s="4"/>
      <c r="F162" s="200"/>
      <c r="G162" s="4"/>
      <c r="H162" s="4"/>
      <c r="I162" s="4"/>
      <c r="J162" s="4"/>
      <c r="K162" s="200"/>
      <c r="L162" s="200"/>
      <c r="M162" s="200"/>
      <c r="N162" s="200"/>
      <c r="O162" s="200"/>
      <c r="P162" s="200"/>
      <c r="Q162" s="200"/>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row>
    <row r="163" ht="12.75" customHeight="1">
      <c r="A163" s="200"/>
      <c r="B163" s="200"/>
      <c r="C163" s="200"/>
      <c r="D163" s="200"/>
      <c r="E163" s="4"/>
      <c r="F163" s="200"/>
      <c r="G163" s="4"/>
      <c r="H163" s="4"/>
      <c r="I163" s="4"/>
      <c r="J163" s="4"/>
      <c r="K163" s="200"/>
      <c r="L163" s="200"/>
      <c r="M163" s="200"/>
      <c r="N163" s="200"/>
      <c r="O163" s="200"/>
      <c r="P163" s="200"/>
      <c r="Q163" s="200"/>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row>
    <row r="164" ht="12.75" customHeight="1">
      <c r="A164" s="200"/>
      <c r="B164" s="200"/>
      <c r="C164" s="200"/>
      <c r="D164" s="200"/>
      <c r="E164" s="4"/>
      <c r="F164" s="200"/>
      <c r="G164" s="4"/>
      <c r="H164" s="4"/>
      <c r="I164" s="4"/>
      <c r="J164" s="4"/>
      <c r="K164" s="200"/>
      <c r="L164" s="200"/>
      <c r="M164" s="200"/>
      <c r="N164" s="200"/>
      <c r="O164" s="200"/>
      <c r="P164" s="200"/>
      <c r="Q164" s="200"/>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row>
    <row r="165" ht="12.75" customHeight="1">
      <c r="A165" s="200"/>
      <c r="B165" s="200"/>
      <c r="C165" s="200"/>
      <c r="D165" s="200"/>
      <c r="E165" s="4"/>
      <c r="F165" s="200"/>
      <c r="G165" s="4"/>
      <c r="H165" s="4"/>
      <c r="I165" s="4"/>
      <c r="J165" s="4"/>
      <c r="K165" s="200"/>
      <c r="L165" s="200"/>
      <c r="M165" s="200"/>
      <c r="N165" s="200"/>
      <c r="O165" s="200"/>
      <c r="P165" s="200"/>
      <c r="Q165" s="200"/>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row>
    <row r="166" ht="12.75" customHeight="1">
      <c r="A166" s="200"/>
      <c r="B166" s="200"/>
      <c r="C166" s="200"/>
      <c r="D166" s="200"/>
      <c r="E166" s="4"/>
      <c r="F166" s="200"/>
      <c r="G166" s="4"/>
      <c r="H166" s="4"/>
      <c r="I166" s="4"/>
      <c r="J166" s="4"/>
      <c r="K166" s="200"/>
      <c r="L166" s="200"/>
      <c r="M166" s="200"/>
      <c r="N166" s="200"/>
      <c r="O166" s="200"/>
      <c r="P166" s="200"/>
      <c r="Q166" s="200"/>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row>
    <row r="167" ht="12.75" customHeight="1">
      <c r="A167" s="200"/>
      <c r="B167" s="200"/>
      <c r="C167" s="200"/>
      <c r="D167" s="200"/>
      <c r="E167" s="4"/>
      <c r="F167" s="200"/>
      <c r="G167" s="4"/>
      <c r="H167" s="4"/>
      <c r="I167" s="4"/>
      <c r="J167" s="4"/>
      <c r="K167" s="200"/>
      <c r="L167" s="200"/>
      <c r="M167" s="200"/>
      <c r="N167" s="200"/>
      <c r="O167" s="200"/>
      <c r="P167" s="200"/>
      <c r="Q167" s="200"/>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row>
    <row r="168" ht="12.75" customHeight="1">
      <c r="A168" s="200"/>
      <c r="B168" s="200"/>
      <c r="C168" s="200"/>
      <c r="D168" s="200"/>
      <c r="E168" s="4"/>
      <c r="F168" s="200"/>
      <c r="G168" s="4"/>
      <c r="H168" s="4"/>
      <c r="I168" s="4"/>
      <c r="J168" s="4"/>
      <c r="K168" s="200"/>
      <c r="L168" s="200"/>
      <c r="M168" s="200"/>
      <c r="N168" s="200"/>
      <c r="O168" s="200"/>
      <c r="P168" s="200"/>
      <c r="Q168" s="200"/>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row>
    <row r="169" ht="12.75" customHeight="1">
      <c r="A169" s="200"/>
      <c r="B169" s="200"/>
      <c r="C169" s="200"/>
      <c r="D169" s="200"/>
      <c r="E169" s="4"/>
      <c r="F169" s="200"/>
      <c r="G169" s="4"/>
      <c r="H169" s="4"/>
      <c r="I169" s="4"/>
      <c r="J169" s="4"/>
      <c r="K169" s="200"/>
      <c r="L169" s="200"/>
      <c r="M169" s="200"/>
      <c r="N169" s="200"/>
      <c r="O169" s="200"/>
      <c r="P169" s="200"/>
      <c r="Q169" s="200"/>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row>
    <row r="170" ht="12.75" customHeight="1">
      <c r="A170" s="200"/>
      <c r="B170" s="200"/>
      <c r="C170" s="200"/>
      <c r="D170" s="200"/>
      <c r="E170" s="4"/>
      <c r="F170" s="200"/>
      <c r="G170" s="4"/>
      <c r="H170" s="4"/>
      <c r="I170" s="4"/>
      <c r="J170" s="4"/>
      <c r="K170" s="200"/>
      <c r="L170" s="200"/>
      <c r="M170" s="200"/>
      <c r="N170" s="200"/>
      <c r="O170" s="200"/>
      <c r="P170" s="200"/>
      <c r="Q170" s="200"/>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row>
    <row r="171" ht="12.75" customHeight="1">
      <c r="A171" s="200"/>
      <c r="B171" s="200"/>
      <c r="C171" s="200"/>
      <c r="D171" s="200"/>
      <c r="E171" s="4"/>
      <c r="F171" s="200"/>
      <c r="G171" s="4"/>
      <c r="H171" s="4"/>
      <c r="I171" s="4"/>
      <c r="J171" s="4"/>
      <c r="K171" s="200"/>
      <c r="L171" s="200"/>
      <c r="M171" s="200"/>
      <c r="N171" s="200"/>
      <c r="O171" s="200"/>
      <c r="P171" s="200"/>
      <c r="Q171" s="200"/>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row>
    <row r="172" ht="12.75" customHeight="1">
      <c r="A172" s="200"/>
      <c r="B172" s="200"/>
      <c r="C172" s="200"/>
      <c r="D172" s="200"/>
      <c r="E172" s="4"/>
      <c r="F172" s="200"/>
      <c r="G172" s="4"/>
      <c r="H172" s="4"/>
      <c r="I172" s="4"/>
      <c r="J172" s="4"/>
      <c r="K172" s="200"/>
      <c r="L172" s="200"/>
      <c r="M172" s="200"/>
      <c r="N172" s="200"/>
      <c r="O172" s="200"/>
      <c r="P172" s="200"/>
      <c r="Q172" s="200"/>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row>
    <row r="173" ht="12.75" customHeight="1">
      <c r="A173" s="200"/>
      <c r="B173" s="200"/>
      <c r="C173" s="200"/>
      <c r="D173" s="200"/>
      <c r="E173" s="4"/>
      <c r="F173" s="200"/>
      <c r="G173" s="4"/>
      <c r="H173" s="4"/>
      <c r="I173" s="4"/>
      <c r="J173" s="4"/>
      <c r="K173" s="200"/>
      <c r="L173" s="200"/>
      <c r="M173" s="200"/>
      <c r="N173" s="200"/>
      <c r="O173" s="200"/>
      <c r="P173" s="200"/>
      <c r="Q173" s="200"/>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row>
    <row r="174" ht="12.75" customHeight="1">
      <c r="A174" s="200"/>
      <c r="B174" s="200"/>
      <c r="C174" s="200"/>
      <c r="D174" s="200"/>
      <c r="E174" s="4"/>
      <c r="F174" s="200"/>
      <c r="G174" s="4"/>
      <c r="H174" s="4"/>
      <c r="I174" s="4"/>
      <c r="J174" s="4"/>
      <c r="K174" s="4"/>
      <c r="L174" s="200"/>
      <c r="M174" s="200"/>
      <c r="N174" s="200"/>
      <c r="O174" s="200"/>
      <c r="P174" s="200"/>
      <c r="Q174" s="200"/>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row>
    <row r="175" ht="12.75" customHeight="1">
      <c r="A175" s="200"/>
      <c r="B175" s="200"/>
      <c r="C175" s="200"/>
      <c r="D175" s="200"/>
      <c r="E175" s="4"/>
      <c r="F175" s="200"/>
      <c r="G175" s="4"/>
      <c r="H175" s="4"/>
      <c r="I175" s="4"/>
      <c r="J175" s="4"/>
      <c r="K175" s="4"/>
      <c r="L175" s="200"/>
      <c r="M175" s="200"/>
      <c r="N175" s="200"/>
      <c r="O175" s="200"/>
      <c r="P175" s="200"/>
      <c r="Q175" s="200"/>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row>
    <row r="176" ht="12.75" customHeight="1">
      <c r="A176" s="200"/>
      <c r="B176" s="200"/>
      <c r="C176" s="200"/>
      <c r="D176" s="200"/>
      <c r="E176" s="4"/>
      <c r="F176" s="200"/>
      <c r="G176" s="4"/>
      <c r="H176" s="4"/>
      <c r="I176" s="4"/>
      <c r="J176" s="4"/>
      <c r="K176" s="4"/>
      <c r="L176" s="200"/>
      <c r="M176" s="200"/>
      <c r="N176" s="200"/>
      <c r="O176" s="200"/>
      <c r="P176" s="200"/>
      <c r="Q176" s="200"/>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row>
    <row r="177" ht="12.75" customHeight="1">
      <c r="A177" s="26"/>
      <c r="B177" s="26"/>
      <c r="C177" s="26"/>
      <c r="D177" s="26"/>
      <c r="E177" s="203"/>
      <c r="F177" s="26"/>
      <c r="G177" s="203"/>
      <c r="H177" s="203"/>
      <c r="I177" s="203"/>
      <c r="J177" s="203"/>
      <c r="K177" s="203"/>
      <c r="L177" s="26"/>
      <c r="M177" s="26"/>
      <c r="N177" s="26"/>
      <c r="O177" s="26"/>
      <c r="P177" s="26"/>
      <c r="Q177" s="26"/>
      <c r="R177" s="203"/>
      <c r="S177" s="203"/>
      <c r="T177" s="203"/>
      <c r="U177" s="203"/>
      <c r="V177" s="203"/>
      <c r="W177" s="203"/>
      <c r="X177" s="203"/>
      <c r="Y177" s="203"/>
      <c r="Z177" s="203"/>
      <c r="AA177" s="203"/>
      <c r="AB177" s="203"/>
      <c r="AC177" s="203"/>
      <c r="AD177" s="203"/>
      <c r="AE177" s="203"/>
      <c r="AF177" s="203"/>
      <c r="AG177" s="203"/>
      <c r="AH177" s="203"/>
      <c r="AI177" s="203"/>
      <c r="AJ177" s="203"/>
      <c r="AK177" s="203"/>
      <c r="AL177" s="203"/>
      <c r="AM177" s="203"/>
      <c r="AN177" s="203"/>
      <c r="AO177" s="203"/>
    </row>
    <row r="178" ht="12.75" customHeight="1">
      <c r="A178" s="26"/>
      <c r="B178" s="26"/>
      <c r="C178" s="26"/>
      <c r="D178" s="26"/>
      <c r="E178" s="203"/>
      <c r="F178" s="26"/>
      <c r="G178" s="203"/>
      <c r="H178" s="203"/>
      <c r="I178" s="203"/>
      <c r="J178" s="203"/>
      <c r="K178" s="203"/>
      <c r="L178" s="26"/>
      <c r="M178" s="26"/>
      <c r="N178" s="26"/>
      <c r="O178" s="26"/>
      <c r="P178" s="26"/>
      <c r="Q178" s="26"/>
      <c r="R178" s="203"/>
      <c r="S178" s="203"/>
      <c r="T178" s="203"/>
      <c r="U178" s="203"/>
      <c r="V178" s="203"/>
      <c r="W178" s="203"/>
      <c r="X178" s="203"/>
      <c r="Y178" s="203"/>
      <c r="Z178" s="203"/>
      <c r="AA178" s="203"/>
      <c r="AB178" s="203"/>
      <c r="AC178" s="203"/>
      <c r="AD178" s="203"/>
      <c r="AE178" s="203"/>
      <c r="AF178" s="203"/>
      <c r="AG178" s="203"/>
      <c r="AH178" s="203"/>
      <c r="AI178" s="203"/>
      <c r="AJ178" s="203"/>
      <c r="AK178" s="203"/>
      <c r="AL178" s="203"/>
      <c r="AM178" s="203"/>
      <c r="AN178" s="203"/>
      <c r="AO178" s="203"/>
    </row>
    <row r="179" ht="12.75" customHeight="1">
      <c r="A179" s="26"/>
      <c r="B179" s="26"/>
      <c r="C179" s="26"/>
      <c r="D179" s="26"/>
      <c r="E179" s="203"/>
      <c r="F179" s="26"/>
      <c r="G179" s="203"/>
      <c r="H179" s="203"/>
      <c r="I179" s="203"/>
      <c r="J179" s="203"/>
      <c r="K179" s="203"/>
      <c r="L179" s="26"/>
      <c r="M179" s="26"/>
      <c r="N179" s="26"/>
      <c r="O179" s="26"/>
      <c r="P179" s="26"/>
      <c r="Q179" s="26"/>
      <c r="R179" s="203"/>
      <c r="S179" s="203"/>
      <c r="T179" s="203"/>
      <c r="U179" s="203"/>
      <c r="V179" s="203"/>
      <c r="W179" s="203"/>
      <c r="X179" s="203"/>
      <c r="Y179" s="203"/>
      <c r="Z179" s="203"/>
      <c r="AA179" s="203"/>
      <c r="AB179" s="203"/>
      <c r="AC179" s="203"/>
      <c r="AD179" s="203"/>
      <c r="AE179" s="203"/>
      <c r="AF179" s="203"/>
      <c r="AG179" s="203"/>
      <c r="AH179" s="203"/>
      <c r="AI179" s="203"/>
      <c r="AJ179" s="203"/>
      <c r="AK179" s="203"/>
      <c r="AL179" s="203"/>
      <c r="AM179" s="203"/>
      <c r="AN179" s="203"/>
      <c r="AO179" s="203"/>
    </row>
    <row r="180" ht="12.75" customHeight="1">
      <c r="A180" s="26"/>
      <c r="B180" s="26"/>
      <c r="C180" s="26"/>
      <c r="D180" s="26"/>
      <c r="E180" s="203"/>
      <c r="F180" s="26"/>
      <c r="G180" s="203"/>
      <c r="H180" s="203"/>
      <c r="I180" s="203"/>
      <c r="J180" s="203"/>
      <c r="K180" s="203"/>
      <c r="L180" s="26"/>
      <c r="M180" s="26"/>
      <c r="N180" s="26"/>
      <c r="O180" s="26"/>
      <c r="P180" s="26"/>
      <c r="Q180" s="26"/>
      <c r="R180" s="203"/>
      <c r="S180" s="203"/>
      <c r="T180" s="203"/>
      <c r="U180" s="203"/>
      <c r="V180" s="203"/>
      <c r="W180" s="203"/>
      <c r="X180" s="203"/>
      <c r="Y180" s="203"/>
      <c r="Z180" s="203"/>
      <c r="AA180" s="203"/>
      <c r="AB180" s="203"/>
      <c r="AC180" s="203"/>
      <c r="AD180" s="203"/>
      <c r="AE180" s="203"/>
      <c r="AF180" s="203"/>
      <c r="AG180" s="203"/>
      <c r="AH180" s="203"/>
      <c r="AI180" s="203"/>
      <c r="AJ180" s="203"/>
      <c r="AK180" s="203"/>
      <c r="AL180" s="203"/>
      <c r="AM180" s="203"/>
      <c r="AN180" s="203"/>
      <c r="AO180" s="203"/>
    </row>
    <row r="181" ht="12.75" customHeight="1">
      <c r="A181" s="26"/>
      <c r="B181" s="26"/>
      <c r="C181" s="26"/>
      <c r="D181" s="26"/>
      <c r="E181" s="203"/>
      <c r="F181" s="26"/>
      <c r="G181" s="203"/>
      <c r="H181" s="203"/>
      <c r="I181" s="203"/>
      <c r="J181" s="203"/>
      <c r="K181" s="203"/>
      <c r="L181" s="26"/>
      <c r="M181" s="26"/>
      <c r="N181" s="26"/>
      <c r="O181" s="26"/>
      <c r="P181" s="26"/>
      <c r="Q181" s="26"/>
      <c r="R181" s="203"/>
      <c r="S181" s="203"/>
      <c r="T181" s="203"/>
      <c r="U181" s="203"/>
      <c r="V181" s="203"/>
      <c r="W181" s="203"/>
      <c r="X181" s="203"/>
      <c r="Y181" s="203"/>
      <c r="Z181" s="203"/>
      <c r="AA181" s="203"/>
      <c r="AB181" s="203"/>
      <c r="AC181" s="203"/>
      <c r="AD181" s="203"/>
      <c r="AE181" s="203"/>
      <c r="AF181" s="203"/>
      <c r="AG181" s="203"/>
      <c r="AH181" s="203"/>
      <c r="AI181" s="203"/>
      <c r="AJ181" s="203"/>
      <c r="AK181" s="203"/>
      <c r="AL181" s="203"/>
      <c r="AM181" s="203"/>
      <c r="AN181" s="203"/>
      <c r="AO181" s="203"/>
    </row>
    <row r="182" ht="12.75" customHeight="1">
      <c r="A182" s="26"/>
      <c r="B182" s="26"/>
      <c r="C182" s="26"/>
      <c r="D182" s="26"/>
      <c r="E182" s="203"/>
      <c r="F182" s="26"/>
      <c r="G182" s="203"/>
      <c r="H182" s="203"/>
      <c r="I182" s="203"/>
      <c r="J182" s="203"/>
      <c r="K182" s="203"/>
      <c r="L182" s="26"/>
      <c r="M182" s="26"/>
      <c r="N182" s="26"/>
      <c r="O182" s="26"/>
      <c r="P182" s="26"/>
      <c r="Q182" s="26"/>
      <c r="R182" s="203"/>
      <c r="S182" s="203"/>
      <c r="T182" s="203"/>
      <c r="U182" s="203"/>
      <c r="V182" s="203"/>
      <c r="W182" s="203"/>
      <c r="X182" s="203"/>
      <c r="Y182" s="203"/>
      <c r="Z182" s="203"/>
      <c r="AA182" s="203"/>
      <c r="AB182" s="203"/>
      <c r="AC182" s="203"/>
      <c r="AD182" s="203"/>
      <c r="AE182" s="203"/>
      <c r="AF182" s="203"/>
      <c r="AG182" s="203"/>
      <c r="AH182" s="203"/>
      <c r="AI182" s="203"/>
      <c r="AJ182" s="203"/>
      <c r="AK182" s="203"/>
      <c r="AL182" s="203"/>
      <c r="AM182" s="203"/>
      <c r="AN182" s="203"/>
      <c r="AO182" s="203"/>
    </row>
    <row r="183" ht="12.75" customHeight="1">
      <c r="A183" s="26"/>
      <c r="B183" s="26"/>
      <c r="C183" s="26"/>
      <c r="D183" s="26"/>
      <c r="E183" s="203"/>
      <c r="F183" s="26"/>
      <c r="G183" s="203"/>
      <c r="H183" s="203"/>
      <c r="I183" s="203"/>
      <c r="J183" s="203"/>
      <c r="K183" s="203"/>
      <c r="L183" s="26"/>
      <c r="M183" s="26"/>
      <c r="N183" s="26"/>
      <c r="O183" s="26"/>
      <c r="P183" s="26"/>
      <c r="Q183" s="26"/>
      <c r="R183" s="203"/>
      <c r="S183" s="203"/>
      <c r="T183" s="203"/>
      <c r="U183" s="203"/>
      <c r="V183" s="203"/>
      <c r="W183" s="203"/>
      <c r="X183" s="203"/>
      <c r="Y183" s="203"/>
      <c r="Z183" s="203"/>
      <c r="AA183" s="203"/>
      <c r="AB183" s="203"/>
      <c r="AC183" s="203"/>
      <c r="AD183" s="203"/>
      <c r="AE183" s="203"/>
      <c r="AF183" s="203"/>
      <c r="AG183" s="203"/>
      <c r="AH183" s="203"/>
      <c r="AI183" s="203"/>
      <c r="AJ183" s="203"/>
      <c r="AK183" s="203"/>
      <c r="AL183" s="203"/>
      <c r="AM183" s="203"/>
      <c r="AN183" s="203"/>
      <c r="AO183" s="203"/>
    </row>
    <row r="184" ht="12.75" customHeight="1">
      <c r="A184" s="26"/>
      <c r="B184" s="26"/>
      <c r="C184" s="26"/>
      <c r="D184" s="26"/>
      <c r="E184" s="203"/>
      <c r="F184" s="26"/>
      <c r="G184" s="203"/>
      <c r="H184" s="203"/>
      <c r="I184" s="203"/>
      <c r="J184" s="203"/>
      <c r="K184" s="203"/>
      <c r="L184" s="26"/>
      <c r="M184" s="26"/>
      <c r="N184" s="26"/>
      <c r="O184" s="26"/>
      <c r="P184" s="26"/>
      <c r="Q184" s="26"/>
      <c r="R184" s="203"/>
      <c r="S184" s="203"/>
      <c r="T184" s="203"/>
      <c r="U184" s="203"/>
      <c r="V184" s="203"/>
      <c r="W184" s="203"/>
      <c r="X184" s="203"/>
      <c r="Y184" s="203"/>
      <c r="Z184" s="203"/>
      <c r="AA184" s="203"/>
      <c r="AB184" s="203"/>
      <c r="AC184" s="203"/>
      <c r="AD184" s="203"/>
      <c r="AE184" s="203"/>
      <c r="AF184" s="203"/>
      <c r="AG184" s="203"/>
      <c r="AH184" s="203"/>
      <c r="AI184" s="203"/>
      <c r="AJ184" s="203"/>
      <c r="AK184" s="203"/>
      <c r="AL184" s="203"/>
      <c r="AM184" s="203"/>
      <c r="AN184" s="203"/>
      <c r="AO184" s="203"/>
    </row>
    <row r="185" ht="12.75" customHeight="1">
      <c r="A185" s="26"/>
      <c r="B185" s="26"/>
      <c r="C185" s="26"/>
      <c r="D185" s="26"/>
      <c r="E185" s="203"/>
      <c r="F185" s="26"/>
      <c r="G185" s="203"/>
      <c r="H185" s="203"/>
      <c r="I185" s="203"/>
      <c r="J185" s="203"/>
      <c r="K185" s="203"/>
      <c r="L185" s="26"/>
      <c r="M185" s="26"/>
      <c r="N185" s="26"/>
      <c r="O185" s="26"/>
      <c r="P185" s="26"/>
      <c r="Q185" s="26"/>
      <c r="R185" s="203"/>
      <c r="S185" s="203"/>
      <c r="T185" s="203"/>
      <c r="U185" s="203"/>
      <c r="V185" s="203"/>
      <c r="W185" s="203"/>
      <c r="X185" s="203"/>
      <c r="Y185" s="203"/>
      <c r="Z185" s="203"/>
      <c r="AA185" s="203"/>
      <c r="AB185" s="203"/>
      <c r="AC185" s="203"/>
      <c r="AD185" s="203"/>
      <c r="AE185" s="203"/>
      <c r="AF185" s="203"/>
      <c r="AG185" s="203"/>
      <c r="AH185" s="203"/>
      <c r="AI185" s="203"/>
      <c r="AJ185" s="203"/>
      <c r="AK185" s="203"/>
      <c r="AL185" s="203"/>
      <c r="AM185" s="203"/>
      <c r="AN185" s="203"/>
      <c r="AO185" s="203"/>
    </row>
    <row r="186" ht="12.75" customHeight="1">
      <c r="A186" s="26"/>
      <c r="B186" s="26"/>
      <c r="C186" s="26"/>
      <c r="D186" s="26"/>
      <c r="E186" s="203"/>
      <c r="F186" s="26"/>
      <c r="G186" s="203"/>
      <c r="H186" s="203"/>
      <c r="I186" s="203"/>
      <c r="J186" s="203"/>
      <c r="K186" s="203"/>
      <c r="L186" s="26"/>
      <c r="M186" s="26"/>
      <c r="N186" s="26"/>
      <c r="O186" s="26"/>
      <c r="P186" s="26"/>
      <c r="Q186" s="26"/>
      <c r="R186" s="203"/>
      <c r="S186" s="203"/>
      <c r="T186" s="203"/>
      <c r="U186" s="203"/>
      <c r="V186" s="203"/>
      <c r="W186" s="203"/>
      <c r="X186" s="203"/>
      <c r="Y186" s="203"/>
      <c r="Z186" s="203"/>
      <c r="AA186" s="203"/>
      <c r="AB186" s="203"/>
      <c r="AC186" s="203"/>
      <c r="AD186" s="203"/>
      <c r="AE186" s="203"/>
      <c r="AF186" s="203"/>
      <c r="AG186" s="203"/>
      <c r="AH186" s="203"/>
      <c r="AI186" s="203"/>
      <c r="AJ186" s="203"/>
      <c r="AK186" s="203"/>
      <c r="AL186" s="203"/>
      <c r="AM186" s="203"/>
      <c r="AN186" s="203"/>
      <c r="AO186" s="203"/>
    </row>
    <row r="187" ht="12.75" customHeight="1">
      <c r="A187" s="26"/>
      <c r="B187" s="26"/>
      <c r="C187" s="26"/>
      <c r="D187" s="26"/>
      <c r="E187" s="203"/>
      <c r="F187" s="26"/>
      <c r="G187" s="203"/>
      <c r="H187" s="203"/>
      <c r="I187" s="203"/>
      <c r="J187" s="203"/>
      <c r="K187" s="203"/>
      <c r="L187" s="26"/>
      <c r="M187" s="26"/>
      <c r="N187" s="26"/>
      <c r="O187" s="26"/>
      <c r="P187" s="26"/>
      <c r="Q187" s="26"/>
      <c r="R187" s="203"/>
      <c r="S187" s="203"/>
      <c r="T187" s="203"/>
      <c r="U187" s="203"/>
      <c r="V187" s="203"/>
      <c r="W187" s="203"/>
      <c r="X187" s="203"/>
      <c r="Y187" s="203"/>
      <c r="Z187" s="203"/>
      <c r="AA187" s="203"/>
      <c r="AB187" s="203"/>
      <c r="AC187" s="203"/>
      <c r="AD187" s="203"/>
      <c r="AE187" s="203"/>
      <c r="AF187" s="203"/>
      <c r="AG187" s="203"/>
      <c r="AH187" s="203"/>
      <c r="AI187" s="203"/>
      <c r="AJ187" s="203"/>
      <c r="AK187" s="203"/>
      <c r="AL187" s="203"/>
      <c r="AM187" s="203"/>
      <c r="AN187" s="203"/>
      <c r="AO187" s="203"/>
    </row>
    <row r="188" ht="12.75" customHeight="1">
      <c r="A188" s="26"/>
      <c r="B188" s="26"/>
      <c r="C188" s="26"/>
      <c r="D188" s="26"/>
      <c r="E188" s="203"/>
      <c r="F188" s="26"/>
      <c r="G188" s="203"/>
      <c r="H188" s="203"/>
      <c r="I188" s="203"/>
      <c r="J188" s="203"/>
      <c r="K188" s="203"/>
      <c r="L188" s="26"/>
      <c r="M188" s="26"/>
      <c r="N188" s="26"/>
      <c r="O188" s="26"/>
      <c r="P188" s="26"/>
      <c r="Q188" s="26"/>
      <c r="R188" s="203"/>
      <c r="S188" s="203"/>
      <c r="T188" s="203"/>
      <c r="U188" s="203"/>
      <c r="V188" s="203"/>
      <c r="W188" s="203"/>
      <c r="X188" s="203"/>
      <c r="Y188" s="203"/>
      <c r="Z188" s="203"/>
      <c r="AA188" s="203"/>
      <c r="AB188" s="203"/>
      <c r="AC188" s="203"/>
      <c r="AD188" s="203"/>
      <c r="AE188" s="203"/>
      <c r="AF188" s="203"/>
      <c r="AG188" s="203"/>
      <c r="AH188" s="203"/>
      <c r="AI188" s="203"/>
      <c r="AJ188" s="203"/>
      <c r="AK188" s="203"/>
      <c r="AL188" s="203"/>
      <c r="AM188" s="203"/>
      <c r="AN188" s="203"/>
      <c r="AO188" s="203"/>
    </row>
    <row r="189" ht="12.75" customHeight="1">
      <c r="A189" s="26"/>
      <c r="B189" s="26"/>
      <c r="C189" s="26"/>
      <c r="D189" s="26"/>
      <c r="E189" s="203"/>
      <c r="F189" s="26"/>
      <c r="G189" s="203"/>
      <c r="H189" s="203"/>
      <c r="I189" s="203"/>
      <c r="J189" s="203"/>
      <c r="K189" s="203"/>
      <c r="L189" s="26"/>
      <c r="M189" s="26"/>
      <c r="N189" s="26"/>
      <c r="O189" s="26"/>
      <c r="P189" s="26"/>
      <c r="Q189" s="26"/>
      <c r="R189" s="203"/>
      <c r="S189" s="203"/>
      <c r="T189" s="203"/>
      <c r="U189" s="203"/>
      <c r="V189" s="203"/>
      <c r="W189" s="203"/>
      <c r="X189" s="203"/>
      <c r="Y189" s="203"/>
      <c r="Z189" s="203"/>
      <c r="AA189" s="203"/>
      <c r="AB189" s="203"/>
      <c r="AC189" s="203"/>
      <c r="AD189" s="203"/>
      <c r="AE189" s="203"/>
      <c r="AF189" s="203"/>
      <c r="AG189" s="203"/>
      <c r="AH189" s="203"/>
      <c r="AI189" s="203"/>
      <c r="AJ189" s="203"/>
      <c r="AK189" s="203"/>
      <c r="AL189" s="203"/>
      <c r="AM189" s="203"/>
      <c r="AN189" s="203"/>
      <c r="AO189" s="203"/>
    </row>
    <row r="190" ht="12.75" customHeight="1">
      <c r="A190" s="26"/>
      <c r="B190" s="26"/>
      <c r="C190" s="26"/>
      <c r="D190" s="26"/>
      <c r="E190" s="203"/>
      <c r="F190" s="26"/>
      <c r="G190" s="203"/>
      <c r="H190" s="203"/>
      <c r="I190" s="203"/>
      <c r="J190" s="203"/>
      <c r="K190" s="203"/>
      <c r="L190" s="26"/>
      <c r="M190" s="26"/>
      <c r="N190" s="26"/>
      <c r="O190" s="26"/>
      <c r="P190" s="26"/>
      <c r="Q190" s="26"/>
      <c r="R190" s="203"/>
      <c r="S190" s="203"/>
      <c r="T190" s="203"/>
      <c r="U190" s="203"/>
      <c r="V190" s="203"/>
      <c r="W190" s="203"/>
      <c r="X190" s="203"/>
      <c r="Y190" s="203"/>
      <c r="Z190" s="203"/>
      <c r="AA190" s="203"/>
      <c r="AB190" s="203"/>
      <c r="AC190" s="203"/>
      <c r="AD190" s="203"/>
      <c r="AE190" s="203"/>
      <c r="AF190" s="203"/>
      <c r="AG190" s="203"/>
      <c r="AH190" s="203"/>
      <c r="AI190" s="203"/>
      <c r="AJ190" s="203"/>
      <c r="AK190" s="203"/>
      <c r="AL190" s="203"/>
      <c r="AM190" s="203"/>
      <c r="AN190" s="203"/>
      <c r="AO190" s="203"/>
    </row>
    <row r="191" ht="12.75" customHeight="1">
      <c r="A191" s="26"/>
      <c r="B191" s="26"/>
      <c r="C191" s="26"/>
      <c r="D191" s="26"/>
      <c r="E191" s="203"/>
      <c r="F191" s="26"/>
      <c r="G191" s="203"/>
      <c r="H191" s="203"/>
      <c r="I191" s="203"/>
      <c r="J191" s="203"/>
      <c r="K191" s="203"/>
      <c r="L191" s="26"/>
      <c r="M191" s="26"/>
      <c r="N191" s="26"/>
      <c r="O191" s="26"/>
      <c r="P191" s="26"/>
      <c r="Q191" s="26"/>
      <c r="R191" s="203"/>
      <c r="S191" s="203"/>
      <c r="T191" s="203"/>
      <c r="U191" s="203"/>
      <c r="V191" s="203"/>
      <c r="W191" s="203"/>
      <c r="X191" s="203"/>
      <c r="Y191" s="203"/>
      <c r="Z191" s="203"/>
      <c r="AA191" s="203"/>
      <c r="AB191" s="203"/>
      <c r="AC191" s="203"/>
      <c r="AD191" s="203"/>
      <c r="AE191" s="203"/>
      <c r="AF191" s="203"/>
      <c r="AG191" s="203"/>
      <c r="AH191" s="203"/>
      <c r="AI191" s="203"/>
      <c r="AJ191" s="203"/>
      <c r="AK191" s="203"/>
      <c r="AL191" s="203"/>
      <c r="AM191" s="203"/>
      <c r="AN191" s="203"/>
      <c r="AO191" s="203"/>
    </row>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1:$U$161">
    <filterColumn colId="18">
      <filters>
        <filter val="Retired"/>
      </filters>
    </filterColumn>
  </autoFilter>
  <printOptions/>
  <pageMargins bottom="0.75" footer="0.0" header="0.0" left="0.7" right="0.7" top="0.75"/>
  <pageSetup orientation="landscape"/>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0"/>
    <col customWidth="1" min="2" max="26" width="8.71"/>
  </cols>
  <sheetData>
    <row r="1" ht="12.75" customHeight="1">
      <c r="A1" s="204" t="s">
        <v>1215</v>
      </c>
      <c r="B1" s="204" t="s">
        <v>1216</v>
      </c>
    </row>
    <row r="2" ht="12.75" customHeight="1">
      <c r="A2" s="200">
        <v>5.0</v>
      </c>
    </row>
    <row r="3" ht="12.75" customHeight="1">
      <c r="A3" s="200">
        <v>8.0</v>
      </c>
    </row>
    <row r="4" ht="12.75" customHeight="1">
      <c r="A4" s="200">
        <v>10.0</v>
      </c>
    </row>
    <row r="5" ht="12.75" customHeight="1">
      <c r="A5" s="200">
        <v>19.0</v>
      </c>
    </row>
    <row r="6" ht="12.75" customHeight="1">
      <c r="A6" s="200">
        <v>23.0</v>
      </c>
    </row>
    <row r="7" ht="12.75" customHeight="1">
      <c r="A7" s="200">
        <v>27.0</v>
      </c>
    </row>
    <row r="8" ht="12.75" customHeight="1">
      <c r="A8" s="200">
        <v>29.0</v>
      </c>
    </row>
    <row r="9" ht="12.75" customHeight="1">
      <c r="A9" s="200">
        <v>30.0</v>
      </c>
    </row>
    <row r="10" ht="12.75" customHeight="1">
      <c r="A10" s="200">
        <v>45.0</v>
      </c>
    </row>
    <row r="11" ht="12.75" customHeight="1">
      <c r="A11" s="200">
        <v>48.0</v>
      </c>
    </row>
    <row r="12" ht="12.75" customHeight="1">
      <c r="A12" s="200">
        <v>50.0</v>
      </c>
    </row>
    <row r="13" ht="12.75" customHeight="1">
      <c r="A13" s="200">
        <v>53.0</v>
      </c>
    </row>
    <row r="14" ht="12.75" customHeight="1">
      <c r="A14" s="200">
        <v>61.0</v>
      </c>
    </row>
    <row r="15" ht="12.75" customHeight="1">
      <c r="A15" s="200">
        <v>62.0</v>
      </c>
    </row>
    <row r="16" ht="12.75" customHeight="1">
      <c r="A16" s="200">
        <v>65.0</v>
      </c>
    </row>
    <row r="17" ht="12.75" customHeight="1">
      <c r="A17" s="200">
        <v>66.0</v>
      </c>
    </row>
    <row r="18" ht="12.75" customHeight="1">
      <c r="A18" s="200">
        <v>67.0</v>
      </c>
    </row>
    <row r="19" ht="12.75" customHeight="1">
      <c r="A19" s="200">
        <v>68.0</v>
      </c>
    </row>
    <row r="20" ht="12.75" customHeight="1">
      <c r="A20" s="200">
        <v>71.0</v>
      </c>
    </row>
    <row r="21" ht="12.75" customHeight="1">
      <c r="A21" s="200">
        <v>74.0</v>
      </c>
    </row>
    <row r="22" ht="12.75" customHeight="1">
      <c r="A22" s="200">
        <v>76.0</v>
      </c>
    </row>
    <row r="23" ht="12.75" customHeight="1">
      <c r="A23" s="200">
        <v>78.0</v>
      </c>
    </row>
    <row r="24" ht="12.75" customHeight="1">
      <c r="A24" s="200">
        <v>82.0</v>
      </c>
    </row>
    <row r="25" ht="12.75" customHeight="1">
      <c r="A25" s="200">
        <v>87.0</v>
      </c>
    </row>
    <row r="26" ht="12.75" customHeight="1">
      <c r="A26" s="200">
        <v>99.0</v>
      </c>
    </row>
    <row r="27" ht="12.75" customHeight="1">
      <c r="A27" s="200">
        <v>100.0</v>
      </c>
    </row>
    <row r="28" ht="12.75" customHeight="1">
      <c r="A28" s="200"/>
    </row>
    <row r="29" ht="12.75" customHeight="1">
      <c r="A29" s="200"/>
    </row>
    <row r="30" ht="12.75" customHeight="1">
      <c r="A30" s="200"/>
    </row>
    <row r="31" ht="12.75" customHeight="1">
      <c r="A31" s="200"/>
    </row>
    <row r="32" ht="12.75" customHeight="1">
      <c r="A32" s="200"/>
    </row>
    <row r="33" ht="12.75" customHeight="1">
      <c r="A33" s="200"/>
    </row>
    <row r="34" ht="12.75" customHeight="1">
      <c r="A34" s="200"/>
    </row>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1:$A$2"/>
  <printOptions/>
  <pageMargins bottom="0.75" footer="0.0" header="0.0" left="0.7" right="0.7" top="0.75"/>
  <pageSetup orientation="landscape"/>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86"/>
    <col customWidth="1" min="2" max="2" width="10.57"/>
    <col customWidth="1" min="3" max="3" width="11.43"/>
    <col customWidth="1" min="4" max="4" width="13.14"/>
    <col customWidth="1" min="5" max="5" width="26.57"/>
    <col customWidth="1" min="6" max="6" width="35.14"/>
    <col customWidth="1" min="7" max="26" width="8.71"/>
  </cols>
  <sheetData>
    <row r="1" ht="12.75" customHeight="1">
      <c r="A1" s="3" t="s">
        <v>2</v>
      </c>
      <c r="B1" s="199" t="s">
        <v>1217</v>
      </c>
      <c r="C1" s="3" t="s">
        <v>913</v>
      </c>
      <c r="D1" s="3" t="s">
        <v>1218</v>
      </c>
      <c r="E1" s="205"/>
      <c r="F1" s="205"/>
    </row>
    <row r="2" ht="12.75" hidden="1" customHeight="1">
      <c r="A2" s="5">
        <f>companies!A2</f>
        <v>1</v>
      </c>
      <c r="B2" s="4">
        <v>2019.0</v>
      </c>
      <c r="C2" s="206">
        <v>3.2136E10</v>
      </c>
      <c r="D2" s="206">
        <v>4.57E9</v>
      </c>
      <c r="E2" s="4"/>
      <c r="F2" s="4"/>
    </row>
    <row r="3" ht="12.75" hidden="1" customHeight="1">
      <c r="A3" s="5">
        <f>companies!A3</f>
        <v>2</v>
      </c>
      <c r="B3" s="4">
        <v>2019.0</v>
      </c>
      <c r="C3" s="206">
        <v>3.1904E10</v>
      </c>
      <c r="D3" s="206">
        <v>3.687E9</v>
      </c>
      <c r="E3" s="4"/>
      <c r="F3" s="4"/>
    </row>
    <row r="4" ht="12.75" hidden="1" customHeight="1">
      <c r="A4" s="5">
        <f>companies!A4</f>
        <v>3</v>
      </c>
      <c r="B4" s="4">
        <v>2019.0</v>
      </c>
      <c r="C4" s="206">
        <v>3.3266E10</v>
      </c>
      <c r="D4" s="206">
        <v>5.697E9</v>
      </c>
      <c r="E4" s="4"/>
      <c r="F4" s="4"/>
    </row>
    <row r="5" ht="12.75" hidden="1" customHeight="1">
      <c r="A5" s="5">
        <f>companies!A5</f>
        <v>4</v>
      </c>
      <c r="B5" s="4">
        <v>2019.0</v>
      </c>
      <c r="C5" s="206">
        <v>4.32E10</v>
      </c>
      <c r="D5" s="206">
        <v>4.78E9</v>
      </c>
      <c r="E5" s="4"/>
      <c r="F5" s="4"/>
    </row>
    <row r="6" ht="12.75" hidden="1" customHeight="1">
      <c r="A6" s="5">
        <f>companies!A6</f>
        <v>5</v>
      </c>
      <c r="B6" s="4">
        <v>2019.0</v>
      </c>
      <c r="C6" s="206">
        <v>1.1171E10</v>
      </c>
      <c r="D6" s="206">
        <v>2.951E9</v>
      </c>
      <c r="E6" s="4"/>
      <c r="F6" s="4"/>
    </row>
    <row r="7" ht="12.75" hidden="1" customHeight="1">
      <c r="A7" s="5">
        <f>companies!A7</f>
        <v>6</v>
      </c>
      <c r="B7" s="4">
        <v>2019.0</v>
      </c>
      <c r="C7" s="206">
        <v>4.4675E10</v>
      </c>
      <c r="D7" s="206">
        <v>4.847E9</v>
      </c>
      <c r="E7" s="4"/>
      <c r="F7" s="4"/>
    </row>
    <row r="8" ht="12.75" hidden="1" customHeight="1">
      <c r="A8" s="5">
        <f>companies!A8</f>
        <v>7</v>
      </c>
      <c r="B8" s="4">
        <v>2019.0</v>
      </c>
      <c r="C8" s="206">
        <v>1.61857E11</v>
      </c>
      <c r="D8" s="206">
        <v>3.434E10</v>
      </c>
      <c r="E8" s="4"/>
      <c r="F8" s="4"/>
    </row>
    <row r="9" ht="12.75" hidden="1" customHeight="1">
      <c r="A9" s="5">
        <f>companies!A9</f>
        <v>8</v>
      </c>
      <c r="B9" s="4">
        <v>2019.0</v>
      </c>
      <c r="C9" s="206">
        <v>2.5364E10</v>
      </c>
      <c r="D9" s="206">
        <v>6.963E9</v>
      </c>
      <c r="E9" s="4"/>
      <c r="F9" s="4"/>
    </row>
    <row r="10" ht="12.75" hidden="1" customHeight="1">
      <c r="A10" s="5">
        <f>companies!A10</f>
        <v>9</v>
      </c>
      <c r="B10" s="4">
        <v>2019.0</v>
      </c>
      <c r="C10" s="206">
        <v>2.8E11</v>
      </c>
      <c r="D10" s="206">
        <v>1.1588E10</v>
      </c>
    </row>
    <row r="11" ht="12.75" hidden="1" customHeight="1">
      <c r="A11" s="5">
        <f>companies!A11</f>
        <v>10</v>
      </c>
      <c r="B11" s="4">
        <v>2019.0</v>
      </c>
      <c r="C11" s="206">
        <v>4.3556E10</v>
      </c>
      <c r="D11" s="206">
        <v>6.921E9</v>
      </c>
      <c r="E11" s="4"/>
      <c r="F11" s="4"/>
    </row>
    <row r="12" ht="12.75" hidden="1" customHeight="1">
      <c r="A12" s="5">
        <f>companies!A12</f>
        <v>11</v>
      </c>
      <c r="B12" s="4">
        <v>2019.0</v>
      </c>
      <c r="C12" s="206">
        <v>4.975E10</v>
      </c>
      <c r="D12" s="206">
        <v>3.3E9</v>
      </c>
      <c r="E12" s="4"/>
      <c r="F12" s="4"/>
    </row>
    <row r="13" ht="12.75" hidden="1" customHeight="1">
      <c r="A13" s="5">
        <f>companies!A13</f>
        <v>12</v>
      </c>
      <c r="B13" s="4">
        <v>2019.0</v>
      </c>
      <c r="C13" s="206">
        <v>7.58E9</v>
      </c>
      <c r="D13" s="206">
        <v>1.888E9</v>
      </c>
      <c r="E13" s="4"/>
      <c r="F13" s="4"/>
    </row>
    <row r="14" ht="12.75" hidden="1" customHeight="1">
      <c r="A14" s="5">
        <f>companies!A14</f>
        <v>13</v>
      </c>
      <c r="B14" s="4">
        <v>2019.0</v>
      </c>
      <c r="C14" s="206">
        <v>2.34E10</v>
      </c>
      <c r="D14" s="206">
        <v>7.84E9</v>
      </c>
      <c r="E14" s="4"/>
      <c r="F14" s="4"/>
    </row>
    <row r="15" ht="12.75" hidden="1" customHeight="1">
      <c r="A15" s="5">
        <f>companies!A15</f>
        <v>14</v>
      </c>
      <c r="B15" s="4">
        <v>2019.0</v>
      </c>
      <c r="C15" s="206">
        <v>2.60174E11</v>
      </c>
      <c r="D15" s="206">
        <v>5.5256E10</v>
      </c>
      <c r="E15" s="4"/>
      <c r="F15" s="4"/>
    </row>
    <row r="16" ht="12.75" hidden="1" customHeight="1">
      <c r="A16" s="5">
        <f>companies!A16</f>
        <v>15</v>
      </c>
      <c r="B16" s="4">
        <v>2019.0</v>
      </c>
      <c r="C16" s="206">
        <v>1.812E11</v>
      </c>
      <c r="D16" s="206">
        <v>1.39E10</v>
      </c>
      <c r="E16" s="4"/>
      <c r="F16" s="4"/>
    </row>
    <row r="17" ht="12.75" hidden="1" customHeight="1">
      <c r="A17" s="5">
        <f>companies!A17</f>
        <v>16</v>
      </c>
      <c r="B17" s="4">
        <v>2019.0</v>
      </c>
      <c r="C17" s="206">
        <v>9.124E10</v>
      </c>
      <c r="D17" s="206">
        <v>2.5998E10</v>
      </c>
      <c r="E17" s="4"/>
      <c r="F17" s="4"/>
    </row>
    <row r="18" ht="12.75" hidden="1" customHeight="1">
      <c r="A18" s="5">
        <f>companies!A18</f>
        <v>17</v>
      </c>
      <c r="B18" s="4">
        <v>2019.0</v>
      </c>
      <c r="C18" s="206">
        <v>2.54616E11</v>
      </c>
      <c r="D18" s="206">
        <v>8.1417E10</v>
      </c>
    </row>
    <row r="19" ht="12.75" hidden="1" customHeight="1">
      <c r="A19" s="5">
        <f>companies!A19</f>
        <v>18</v>
      </c>
      <c r="B19" s="4">
        <v>2019.0</v>
      </c>
      <c r="C19" s="206">
        <v>1.35E10</v>
      </c>
      <c r="D19" s="206">
        <v>4.4E9</v>
      </c>
      <c r="E19" s="4"/>
      <c r="F19" s="4"/>
    </row>
    <row r="20" ht="12.75" hidden="1" customHeight="1">
      <c r="A20" s="5">
        <f>companies!A20</f>
        <v>19</v>
      </c>
      <c r="B20" s="4">
        <v>2019.0</v>
      </c>
      <c r="C20" s="206">
        <v>1.4539E10</v>
      </c>
      <c r="D20" s="206">
        <v>4.484E9</v>
      </c>
      <c r="E20" s="4"/>
      <c r="F20" s="4"/>
    </row>
    <row r="21" ht="12.75" hidden="1" customHeight="1">
      <c r="A21" s="5">
        <f>companies!A21</f>
        <v>20</v>
      </c>
      <c r="B21" s="4">
        <v>2019.0</v>
      </c>
      <c r="C21" s="206">
        <v>7.6559E10</v>
      </c>
      <c r="D21" s="206">
        <v>-6.36E8</v>
      </c>
      <c r="E21" s="4"/>
      <c r="F21" s="4"/>
    </row>
    <row r="22" ht="12.75" hidden="1" customHeight="1">
      <c r="A22" s="5">
        <f>companies!A22</f>
        <v>21</v>
      </c>
      <c r="B22" s="4">
        <v>2019.0</v>
      </c>
      <c r="C22" s="206">
        <v>1.5066E10</v>
      </c>
      <c r="D22" s="206">
        <v>4.865E9</v>
      </c>
    </row>
    <row r="23" ht="12.75" hidden="1" customHeight="1">
      <c r="A23" s="5">
        <f>companies!A23</f>
        <v>22</v>
      </c>
      <c r="B23" s="4">
        <v>2019.0</v>
      </c>
      <c r="C23" s="206">
        <v>2.6145E10</v>
      </c>
      <c r="D23" s="206">
        <v>3.439E9</v>
      </c>
      <c r="E23" s="4"/>
      <c r="F23" s="4"/>
    </row>
    <row r="24" ht="12.75" hidden="1" customHeight="1">
      <c r="A24" s="5">
        <f>companies!A24</f>
        <v>23</v>
      </c>
      <c r="B24" s="4">
        <v>2019.0</v>
      </c>
      <c r="C24" s="206">
        <v>2.86E10</v>
      </c>
      <c r="D24" s="206">
        <v>5.192E9</v>
      </c>
      <c r="E24" s="4"/>
      <c r="F24" s="4"/>
    </row>
    <row r="25" ht="12.75" hidden="1" customHeight="1">
      <c r="A25" s="5">
        <f>companies!A25</f>
        <v>24</v>
      </c>
      <c r="B25" s="4">
        <v>2019.0</v>
      </c>
      <c r="C25" s="206">
        <v>5.38E10</v>
      </c>
      <c r="D25" s="206">
        <v>6.093E9</v>
      </c>
    </row>
    <row r="26" ht="12.75" hidden="1" customHeight="1">
      <c r="A26" s="5">
        <f>companies!A26</f>
        <v>25</v>
      </c>
      <c r="B26" s="4">
        <v>2019.0</v>
      </c>
      <c r="C26" s="206">
        <v>4.5764E10</v>
      </c>
      <c r="D26" s="206">
        <v>1.668E9</v>
      </c>
    </row>
    <row r="27" ht="12.75" hidden="1" customHeight="1">
      <c r="A27" s="5">
        <f>companies!A27</f>
        <v>26</v>
      </c>
      <c r="B27" s="4">
        <v>2019.0</v>
      </c>
      <c r="C27" s="206">
        <v>1.46516E11</v>
      </c>
      <c r="D27" s="206">
        <v>2.924E9</v>
      </c>
    </row>
    <row r="28" ht="12.75" hidden="1" customHeight="1">
      <c r="A28" s="5">
        <f>companies!A28</f>
        <v>27</v>
      </c>
      <c r="B28" s="4">
        <v>2019.0</v>
      </c>
      <c r="C28" s="206">
        <v>5.19E10</v>
      </c>
      <c r="D28" s="206">
        <v>1.162E10</v>
      </c>
      <c r="E28" s="4"/>
      <c r="F28" s="4"/>
    </row>
    <row r="29" ht="12.75" hidden="1" customHeight="1">
      <c r="A29" s="5">
        <f>companies!A29</f>
        <v>28</v>
      </c>
      <c r="B29" s="4">
        <v>2019.0</v>
      </c>
      <c r="C29" s="206">
        <v>1.03449E11</v>
      </c>
      <c r="D29" s="206">
        <v>1.8171E10</v>
      </c>
      <c r="E29" s="4"/>
      <c r="F29" s="4"/>
    </row>
    <row r="30" ht="12.75" hidden="1" customHeight="1">
      <c r="A30" s="5">
        <f>companies!A30</f>
        <v>29</v>
      </c>
      <c r="B30" s="4">
        <v>2019.0</v>
      </c>
      <c r="C30" s="206">
        <v>3.7266E10</v>
      </c>
      <c r="D30" s="206">
        <v>3.864E10</v>
      </c>
      <c r="E30" s="4"/>
      <c r="F30" s="4"/>
    </row>
    <row r="31" ht="12.75" hidden="1" customHeight="1">
      <c r="A31" s="5">
        <f>companies!A31</f>
        <v>30</v>
      </c>
      <c r="B31" s="4">
        <v>2019.0</v>
      </c>
      <c r="C31" s="206">
        <v>1.5693E10</v>
      </c>
      <c r="D31" s="206">
        <v>2.367E9</v>
      </c>
      <c r="E31" s="4"/>
      <c r="F31" s="4"/>
    </row>
    <row r="32" ht="12.75" hidden="1" customHeight="1">
      <c r="A32" s="5">
        <f>companies!A32</f>
        <v>31</v>
      </c>
      <c r="B32" s="4">
        <v>2019.0</v>
      </c>
      <c r="C32" s="206">
        <v>1.08942E11</v>
      </c>
      <c r="D32" s="206">
        <v>1.3057E10</v>
      </c>
      <c r="E32" s="4"/>
      <c r="F32" s="4"/>
    </row>
    <row r="33" ht="12.75" hidden="1" customHeight="1">
      <c r="A33" s="5">
        <f>companies!A33</f>
        <v>32</v>
      </c>
      <c r="B33" s="4">
        <v>2019.0</v>
      </c>
      <c r="C33" s="206">
        <v>3.667E10</v>
      </c>
      <c r="D33" s="206">
        <v>7.189E9</v>
      </c>
      <c r="E33" s="4"/>
      <c r="F33" s="4"/>
    </row>
    <row r="34" ht="12.75" hidden="1" customHeight="1">
      <c r="A34" s="5">
        <f>companies!A34</f>
        <v>33</v>
      </c>
      <c r="B34" s="4">
        <v>2019.0</v>
      </c>
      <c r="C34" s="206">
        <v>1.52703E11</v>
      </c>
      <c r="D34" s="206">
        <v>3.659E9</v>
      </c>
      <c r="E34" s="4"/>
      <c r="F34" s="4"/>
    </row>
    <row r="35" ht="12.75" hidden="1" customHeight="1">
      <c r="A35" s="5">
        <f>companies!A35</f>
        <v>34</v>
      </c>
      <c r="B35" s="4">
        <v>2019.0</v>
      </c>
      <c r="C35" s="206">
        <v>2.56776E11</v>
      </c>
      <c r="D35" s="206">
        <v>6.634E9</v>
      </c>
      <c r="E35" s="4"/>
      <c r="F35" s="4"/>
    </row>
    <row r="36" ht="12.75" hidden="1" customHeight="1">
      <c r="A36" s="5">
        <f>companies!A36</f>
        <v>35</v>
      </c>
      <c r="B36" s="4">
        <v>2019.0</v>
      </c>
      <c r="C36" s="206">
        <v>1.791E10</v>
      </c>
      <c r="D36" s="206">
        <v>2.94E9</v>
      </c>
    </row>
    <row r="37" ht="12.75" hidden="1" customHeight="1">
      <c r="A37" s="5">
        <f>companies!A37</f>
        <v>36</v>
      </c>
      <c r="B37" s="4">
        <v>2019.0</v>
      </c>
      <c r="C37" s="206">
        <v>4.2951E10</v>
      </c>
      <c r="D37" s="206">
        <v>-1.359E9</v>
      </c>
      <c r="E37" s="4"/>
      <c r="F37" s="4"/>
    </row>
    <row r="38" ht="12.75" hidden="1" customHeight="1">
      <c r="A38" s="5">
        <f>companies!A38</f>
        <v>37</v>
      </c>
      <c r="B38" s="4">
        <v>2019.0</v>
      </c>
      <c r="C38" s="206">
        <v>2.5079E10</v>
      </c>
      <c r="D38" s="206">
        <v>3.707E9</v>
      </c>
      <c r="E38" s="4"/>
      <c r="F38" s="4"/>
    </row>
    <row r="39" ht="12.75" hidden="1" customHeight="1">
      <c r="A39" s="5">
        <f>companies!A39</f>
        <v>38</v>
      </c>
      <c r="B39" s="4">
        <v>2019.0</v>
      </c>
      <c r="C39" s="206">
        <v>2.157E10</v>
      </c>
      <c r="D39" s="206">
        <v>4.98E8</v>
      </c>
      <c r="E39" s="4"/>
      <c r="F39" s="4"/>
    </row>
    <row r="40" ht="12.75" hidden="1" customHeight="1">
      <c r="A40" s="5">
        <f>companies!A40</f>
        <v>39</v>
      </c>
      <c r="B40" s="4">
        <v>2019.0</v>
      </c>
      <c r="C40" s="206">
        <v>2.232E10</v>
      </c>
      <c r="D40" s="206">
        <v>8.318E9</v>
      </c>
      <c r="E40" s="4"/>
      <c r="F40" s="4"/>
    </row>
    <row r="41" ht="12.75" hidden="1" customHeight="1">
      <c r="A41" s="5">
        <f>companies!A41</f>
        <v>40</v>
      </c>
      <c r="B41" s="4">
        <v>2019.0</v>
      </c>
      <c r="C41" s="206">
        <v>1.8372E10</v>
      </c>
      <c r="D41" s="206">
        <v>2.306E9</v>
      </c>
    </row>
    <row r="42" ht="12.75" hidden="1" customHeight="1">
      <c r="A42" s="5">
        <f>companies!A42</f>
        <v>41</v>
      </c>
      <c r="B42" s="4">
        <v>2019.0</v>
      </c>
      <c r="C42" s="206">
        <v>3.4438E10</v>
      </c>
      <c r="D42" s="206">
        <v>2.936E9</v>
      </c>
      <c r="E42" s="4"/>
      <c r="F42" s="4"/>
    </row>
    <row r="43" ht="12.75" hidden="1" customHeight="1">
      <c r="A43" s="5">
        <f>companies!A43</f>
        <v>42</v>
      </c>
      <c r="B43" s="4">
        <v>2019.0</v>
      </c>
      <c r="C43" s="206">
        <v>2.64938E11</v>
      </c>
      <c r="D43" s="206">
        <v>1.434E10</v>
      </c>
    </row>
    <row r="44" ht="12.75" hidden="1" customHeight="1">
      <c r="A44" s="5">
        <f>companies!A44</f>
        <v>43</v>
      </c>
      <c r="B44" s="4">
        <v>2019.0</v>
      </c>
      <c r="C44" s="206">
        <v>7.0697E10</v>
      </c>
      <c r="D44" s="206">
        <v>1.8485E10</v>
      </c>
    </row>
    <row r="45" ht="12.75" hidden="1" customHeight="1">
      <c r="A45" s="5">
        <f>companies!A45</f>
        <v>44</v>
      </c>
      <c r="B45" s="4">
        <v>2019.0</v>
      </c>
      <c r="C45" s="206">
        <v>6.9693E10</v>
      </c>
      <c r="D45" s="206">
        <v>5.4E8</v>
      </c>
      <c r="E45" s="4"/>
      <c r="F45" s="4"/>
    </row>
    <row r="46" ht="12.75" hidden="1" customHeight="1">
      <c r="A46" s="5">
        <f>companies!A46</f>
        <v>45</v>
      </c>
      <c r="B46" s="4">
        <v>2019.0</v>
      </c>
      <c r="C46" s="206">
        <v>1.559E11</v>
      </c>
      <c r="D46" s="206">
        <v>4.7E7</v>
      </c>
      <c r="E46" s="4"/>
      <c r="F46" s="4"/>
    </row>
    <row r="47" ht="12.75" hidden="1" customHeight="1">
      <c r="A47" s="5">
        <f>companies!A47</f>
        <v>46</v>
      </c>
      <c r="B47" s="4">
        <v>2019.0</v>
      </c>
      <c r="C47" s="206">
        <v>3.935E10</v>
      </c>
      <c r="D47" s="206">
        <v>3.484E9</v>
      </c>
      <c r="E47" s="4"/>
      <c r="F47" s="4"/>
    </row>
    <row r="48" ht="12.75" hidden="1" customHeight="1">
      <c r="A48" s="5">
        <f>companies!A48</f>
        <v>47</v>
      </c>
      <c r="B48" s="4">
        <v>2019.0</v>
      </c>
      <c r="C48" s="206">
        <v>9.5214E10</v>
      </c>
      <c r="D48" s="206">
        <v>-5.439E9</v>
      </c>
      <c r="E48" s="4"/>
      <c r="F48" s="4"/>
    </row>
    <row r="49" ht="12.75" hidden="1" customHeight="1">
      <c r="A49" s="5">
        <f>companies!A49</f>
        <v>48</v>
      </c>
      <c r="B49" s="4">
        <v>2019.0</v>
      </c>
      <c r="C49" s="206">
        <v>1.37237E11</v>
      </c>
      <c r="D49" s="206">
        <v>6.581E9</v>
      </c>
      <c r="E49" s="4"/>
      <c r="F49" s="4"/>
    </row>
    <row r="50" ht="12.75" hidden="1" customHeight="1">
      <c r="A50" s="5">
        <f>companies!A50</f>
        <v>49</v>
      </c>
      <c r="B50" s="4">
        <v>2019.0</v>
      </c>
      <c r="C50" s="206">
        <v>2.2449E10</v>
      </c>
      <c r="D50" s="206">
        <v>5.386E9</v>
      </c>
      <c r="E50" s="4"/>
      <c r="F50" s="4"/>
    </row>
    <row r="51" ht="12.75" hidden="1" customHeight="1">
      <c r="A51" s="5">
        <f>companies!A51</f>
        <v>50</v>
      </c>
      <c r="B51" s="4">
        <v>2019.0</v>
      </c>
      <c r="C51" s="206">
        <v>3.6546E10</v>
      </c>
      <c r="D51" s="206">
        <v>8.47E9</v>
      </c>
      <c r="E51" s="4"/>
      <c r="F51" s="4"/>
    </row>
    <row r="52" ht="12.75" hidden="1" customHeight="1">
      <c r="A52" s="5">
        <f>companies!A52</f>
        <v>51</v>
      </c>
      <c r="B52" s="4">
        <v>2019.0</v>
      </c>
      <c r="C52" s="206">
        <v>1.102E11</v>
      </c>
      <c r="D52" s="206">
        <v>1.124E10</v>
      </c>
      <c r="E52" s="4"/>
      <c r="F52" s="4"/>
    </row>
    <row r="53" ht="12.75" hidden="1" customHeight="1">
      <c r="A53" s="5">
        <f>companies!A53</f>
        <v>52</v>
      </c>
      <c r="B53" s="4">
        <v>2019.0</v>
      </c>
      <c r="C53" s="206">
        <v>3.6709E10</v>
      </c>
      <c r="D53" s="206">
        <v>6.143E9</v>
      </c>
      <c r="E53" s="4"/>
      <c r="F53" s="4"/>
    </row>
    <row r="54" ht="12.75" hidden="1" customHeight="1">
      <c r="A54" s="5">
        <f>companies!A54</f>
        <v>53</v>
      </c>
      <c r="B54" s="4">
        <v>2019.0</v>
      </c>
      <c r="C54" s="206">
        <v>7.714E10</v>
      </c>
      <c r="D54" s="206">
        <v>9.43E9</v>
      </c>
      <c r="E54" s="4"/>
      <c r="F54" s="4"/>
    </row>
    <row r="55" ht="12.75" hidden="1" customHeight="1">
      <c r="A55" s="5">
        <f>companies!A55</f>
        <v>54</v>
      </c>
      <c r="B55" s="4">
        <v>2019.0</v>
      </c>
      <c r="C55" s="206">
        <v>7.19E10</v>
      </c>
      <c r="D55" s="206">
        <v>2.1E10</v>
      </c>
      <c r="E55" s="4"/>
      <c r="F55" s="4"/>
    </row>
    <row r="56" ht="12.75" hidden="1" customHeight="1">
      <c r="A56" s="5">
        <f>companies!A56</f>
        <v>55</v>
      </c>
      <c r="B56" s="4">
        <v>2019.0</v>
      </c>
      <c r="C56" s="206">
        <v>8.206E10</v>
      </c>
      <c r="D56" s="206">
        <v>1.512E10</v>
      </c>
      <c r="E56" s="4"/>
      <c r="F56" s="4"/>
    </row>
    <row r="57" ht="12.75" hidden="1" customHeight="1">
      <c r="A57" s="5">
        <f>companies!A57</f>
        <v>56</v>
      </c>
      <c r="B57" s="4">
        <v>2019.0</v>
      </c>
      <c r="C57" s="206">
        <v>1.156E11</v>
      </c>
      <c r="D57" s="206">
        <v>3.643E10</v>
      </c>
      <c r="E57" s="4"/>
      <c r="F57" s="4"/>
    </row>
    <row r="58" ht="12.75" hidden="1" customHeight="1">
      <c r="A58" s="5">
        <f>companies!A58</f>
        <v>57</v>
      </c>
      <c r="B58" s="4">
        <v>2019.0</v>
      </c>
      <c r="C58" s="206">
        <v>1.3209E10</v>
      </c>
      <c r="D58" s="206">
        <v>2.19E9</v>
      </c>
    </row>
    <row r="59" ht="12.75" hidden="1" customHeight="1">
      <c r="A59" s="5">
        <f>companies!A59</f>
        <v>58</v>
      </c>
      <c r="B59" s="4">
        <v>2019.0</v>
      </c>
      <c r="C59" s="206">
        <v>2.497E10</v>
      </c>
      <c r="D59" s="206">
        <v>1.935E9</v>
      </c>
      <c r="E59" s="4"/>
      <c r="F59" s="4"/>
    </row>
    <row r="60" ht="12.75" hidden="1" customHeight="1">
      <c r="A60" s="5">
        <f>companies!A60</f>
        <v>59</v>
      </c>
      <c r="B60" s="4">
        <v>2019.0</v>
      </c>
      <c r="C60" s="206">
        <v>5.981E10</v>
      </c>
      <c r="D60" s="206">
        <v>6.23E9</v>
      </c>
      <c r="E60" s="4"/>
      <c r="F60" s="4"/>
    </row>
    <row r="61" ht="12.75" hidden="1" customHeight="1">
      <c r="A61" s="5">
        <f>companies!A61</f>
        <v>60</v>
      </c>
      <c r="B61" s="4">
        <v>2019.0</v>
      </c>
      <c r="C61" s="206">
        <v>7.13E10</v>
      </c>
      <c r="D61" s="206">
        <v>2.307E9</v>
      </c>
      <c r="E61" s="4"/>
      <c r="F61" s="4"/>
    </row>
    <row r="62" ht="12.75" hidden="1" customHeight="1">
      <c r="A62" s="5">
        <f>companies!A62</f>
        <v>61</v>
      </c>
      <c r="B62" s="4">
        <v>2019.0</v>
      </c>
      <c r="C62" s="206">
        <v>1.6883E10</v>
      </c>
      <c r="D62" s="206">
        <v>8.12E9</v>
      </c>
      <c r="E62" s="4"/>
      <c r="F62" s="4"/>
    </row>
    <row r="63" ht="12.75" hidden="1" customHeight="1">
      <c r="A63" s="5">
        <f>companies!A63</f>
        <v>62</v>
      </c>
      <c r="B63" s="4">
        <v>2019.0</v>
      </c>
      <c r="C63" s="206">
        <v>2.1076E10</v>
      </c>
      <c r="D63" s="206">
        <v>6.025E9</v>
      </c>
      <c r="E63" s="4"/>
      <c r="F63" s="4"/>
    </row>
    <row r="64" ht="12.75" hidden="1" customHeight="1">
      <c r="A64" s="5">
        <f>companies!A64</f>
        <v>63</v>
      </c>
      <c r="B64" s="4">
        <v>2019.0</v>
      </c>
      <c r="C64" s="206">
        <v>3.0557E10</v>
      </c>
      <c r="D64" s="206">
        <v>4.631E9</v>
      </c>
      <c r="E64" s="4"/>
      <c r="F64" s="4"/>
    </row>
    <row r="65" ht="12.75" hidden="1" customHeight="1">
      <c r="A65" s="5">
        <f>companies!A65</f>
        <v>64</v>
      </c>
      <c r="B65" s="4">
        <v>2019.0</v>
      </c>
      <c r="C65" s="206">
        <v>4.229E10</v>
      </c>
      <c r="D65" s="206">
        <v>6.22E9</v>
      </c>
      <c r="E65" s="4"/>
      <c r="F65" s="4"/>
    </row>
    <row r="66" ht="12.75" hidden="1" customHeight="1">
      <c r="A66" s="5">
        <f>companies!A66</f>
        <v>65</v>
      </c>
      <c r="B66" s="4">
        <v>2019.0</v>
      </c>
      <c r="C66" s="206">
        <v>6.7941E10</v>
      </c>
      <c r="D66" s="206">
        <v>5.07E9</v>
      </c>
      <c r="E66" s="4"/>
      <c r="F66" s="4"/>
    </row>
    <row r="67" ht="12.75" hidden="1" customHeight="1">
      <c r="A67" s="5">
        <f>companies!A67</f>
        <v>66</v>
      </c>
      <c r="B67" s="4">
        <v>2019.0</v>
      </c>
      <c r="C67" s="206">
        <v>1.258E11</v>
      </c>
      <c r="D67" s="206">
        <v>3.924E10</v>
      </c>
      <c r="E67" s="4"/>
      <c r="F67" s="4"/>
    </row>
    <row r="68" ht="12.75" hidden="1" customHeight="1">
      <c r="A68" s="5">
        <f>companies!A68</f>
        <v>67</v>
      </c>
      <c r="B68" s="4">
        <v>2019.0</v>
      </c>
      <c r="C68" s="206">
        <v>2.587E10</v>
      </c>
      <c r="D68" s="206">
        <v>3.87E9</v>
      </c>
      <c r="E68" s="4"/>
      <c r="F68" s="4"/>
    </row>
    <row r="69" ht="12.75" hidden="1" customHeight="1">
      <c r="A69" s="5">
        <f>companies!A69</f>
        <v>68</v>
      </c>
      <c r="B69" s="4">
        <v>2019.0</v>
      </c>
      <c r="C69" s="206">
        <v>4.1419E10</v>
      </c>
      <c r="D69" s="206">
        <v>8.512E9</v>
      </c>
      <c r="E69" s="4"/>
      <c r="F69" s="4"/>
    </row>
    <row r="70" ht="12.75" hidden="1" customHeight="1">
      <c r="A70" s="5">
        <f>companies!A70</f>
        <v>69</v>
      </c>
      <c r="B70" s="4">
        <v>2019.0</v>
      </c>
      <c r="C70" s="206">
        <v>2.016E10</v>
      </c>
      <c r="D70" s="206">
        <v>1.866E9</v>
      </c>
    </row>
    <row r="71" ht="12.75" hidden="1" customHeight="1">
      <c r="A71" s="5">
        <f>companies!A71</f>
        <v>70</v>
      </c>
      <c r="B71" s="4">
        <v>2019.0</v>
      </c>
      <c r="C71" s="206">
        <v>1.9204E10</v>
      </c>
      <c r="D71" s="206">
        <v>3.769E9</v>
      </c>
    </row>
    <row r="72" ht="12.75" hidden="1" customHeight="1">
      <c r="A72" s="5">
        <f>companies!A72</f>
        <v>71</v>
      </c>
      <c r="B72" s="4">
        <v>2019.0</v>
      </c>
      <c r="C72" s="206">
        <v>3.91E10</v>
      </c>
      <c r="D72" s="206">
        <v>4.0E9</v>
      </c>
      <c r="E72" s="4"/>
      <c r="F72" s="4"/>
    </row>
    <row r="73" ht="12.75" hidden="1" customHeight="1">
      <c r="A73" s="5">
        <f>companies!A73</f>
        <v>72</v>
      </c>
      <c r="B73" s="4">
        <v>2019.0</v>
      </c>
      <c r="C73" s="206">
        <v>1.172E10</v>
      </c>
      <c r="D73" s="206">
        <v>4.141E9</v>
      </c>
      <c r="E73" s="4"/>
      <c r="F73" s="4"/>
    </row>
    <row r="74" ht="12.75" hidden="1" customHeight="1">
      <c r="A74" s="5">
        <f>companies!A74</f>
        <v>73</v>
      </c>
      <c r="B74" s="4">
        <v>2019.0</v>
      </c>
      <c r="C74" s="206">
        <v>2.123E10</v>
      </c>
      <c r="D74" s="206">
        <v>-6.52E8</v>
      </c>
      <c r="E74" s="4"/>
      <c r="F74" s="4"/>
    </row>
    <row r="75" ht="12.75" hidden="1" customHeight="1">
      <c r="A75" s="5">
        <f>companies!A75</f>
        <v>74</v>
      </c>
      <c r="B75" s="4">
        <v>2019.0</v>
      </c>
      <c r="C75" s="206">
        <v>3.95E10</v>
      </c>
      <c r="D75" s="206">
        <v>1.108E10</v>
      </c>
      <c r="E75" s="4"/>
      <c r="F75" s="4"/>
    </row>
    <row r="76" ht="12.75" hidden="1" customHeight="1">
      <c r="A76" s="5">
        <f>companies!A76</f>
        <v>75</v>
      </c>
      <c r="B76" s="4">
        <v>2019.0</v>
      </c>
      <c r="C76" s="206">
        <v>1.777E10</v>
      </c>
      <c r="D76" s="206">
        <v>2.459E9</v>
      </c>
      <c r="E76" s="4"/>
      <c r="F76" s="4"/>
    </row>
    <row r="77" ht="12.75" hidden="1" customHeight="1">
      <c r="A77" s="5">
        <f>companies!A77</f>
        <v>76</v>
      </c>
      <c r="B77" s="4">
        <v>2019.0</v>
      </c>
      <c r="C77" s="206">
        <v>6.716E10</v>
      </c>
      <c r="D77" s="206">
        <v>7.353E9</v>
      </c>
      <c r="E77" s="4"/>
      <c r="F77" s="4"/>
    </row>
    <row r="78" ht="12.75" hidden="1" customHeight="1">
      <c r="A78" s="5">
        <f>companies!A78</f>
        <v>77</v>
      </c>
      <c r="B78" s="4">
        <v>2019.0</v>
      </c>
      <c r="C78" s="206">
        <v>5.175E10</v>
      </c>
      <c r="D78" s="206">
        <v>1.627E10</v>
      </c>
      <c r="E78" s="4"/>
      <c r="F78" s="4"/>
    </row>
    <row r="79" ht="12.75" hidden="1" customHeight="1">
      <c r="A79" s="5">
        <f>companies!A79</f>
        <v>78</v>
      </c>
      <c r="B79" s="4">
        <v>2019.0</v>
      </c>
      <c r="C79" s="206">
        <v>7.982E10</v>
      </c>
      <c r="D79" s="206">
        <v>7.91E9</v>
      </c>
      <c r="E79" s="4"/>
      <c r="F79" s="4"/>
    </row>
    <row r="80" ht="12.75" hidden="1" customHeight="1">
      <c r="A80" s="5">
        <f>companies!A80</f>
        <v>79</v>
      </c>
      <c r="B80" s="4">
        <v>2019.0</v>
      </c>
      <c r="C80" s="206">
        <v>6.768E10</v>
      </c>
      <c r="D80" s="206">
        <v>3.89E9</v>
      </c>
      <c r="E80" s="4"/>
      <c r="F80" s="4"/>
    </row>
    <row r="81" ht="12.75" hidden="1" customHeight="1">
      <c r="A81" s="5">
        <f>companies!A81</f>
        <v>80</v>
      </c>
      <c r="B81" s="4">
        <v>2019.0</v>
      </c>
      <c r="C81" s="206">
        <v>2.427E10</v>
      </c>
      <c r="D81" s="206">
        <v>4.39E9</v>
      </c>
      <c r="E81" s="4"/>
      <c r="F81" s="4"/>
    </row>
    <row r="82" ht="12.75" hidden="1" customHeight="1">
      <c r="A82" s="5">
        <f>companies!A82</f>
        <v>81</v>
      </c>
      <c r="B82" s="4">
        <v>2019.0</v>
      </c>
      <c r="C82" s="206">
        <v>2.9176E10</v>
      </c>
      <c r="D82" s="206">
        <v>3.343E9</v>
      </c>
    </row>
    <row r="83" ht="12.75" hidden="1" customHeight="1">
      <c r="A83" s="5">
        <f>companies!A83</f>
        <v>82</v>
      </c>
      <c r="B83" s="4">
        <v>2019.0</v>
      </c>
      <c r="C83" s="206">
        <v>1.328E10</v>
      </c>
      <c r="D83" s="206">
        <v>1.11E9</v>
      </c>
      <c r="E83" s="4"/>
      <c r="F83" s="4"/>
    </row>
    <row r="84" ht="12.75" hidden="1" customHeight="1">
      <c r="A84" s="5">
        <f>companies!A84</f>
        <v>83</v>
      </c>
      <c r="B84" s="4">
        <v>2019.0</v>
      </c>
      <c r="C84" s="206">
        <v>3.29E10</v>
      </c>
      <c r="D84" s="206">
        <v>-1.0137E10</v>
      </c>
    </row>
    <row r="85" ht="12.75" hidden="1" customHeight="1">
      <c r="A85" s="5">
        <f>companies!A85</f>
        <v>84</v>
      </c>
      <c r="B85" s="4">
        <v>2019.0</v>
      </c>
      <c r="C85" s="206">
        <v>5.755E9</v>
      </c>
      <c r="D85" s="206">
        <v>2.098E9</v>
      </c>
      <c r="E85" s="4"/>
      <c r="F85" s="4"/>
    </row>
    <row r="86" ht="12.75" hidden="1" customHeight="1">
      <c r="A86" s="5">
        <f>companies!A86</f>
        <v>85</v>
      </c>
      <c r="B86" s="4">
        <v>2019.0</v>
      </c>
      <c r="C86" s="206">
        <v>2.1419E10</v>
      </c>
      <c r="D86" s="206">
        <v>3.25E9</v>
      </c>
      <c r="E86" s="4"/>
      <c r="F86" s="4"/>
    </row>
    <row r="87" ht="12.75" hidden="1" customHeight="1">
      <c r="A87" s="5">
        <f>companies!A87</f>
        <v>86</v>
      </c>
      <c r="B87" s="4">
        <v>2019.0</v>
      </c>
      <c r="C87" s="206">
        <v>2.651E10</v>
      </c>
      <c r="D87" s="206">
        <v>3.6E9</v>
      </c>
      <c r="E87" s="4"/>
      <c r="F87" s="4"/>
    </row>
    <row r="88" ht="12.75" hidden="1" customHeight="1">
      <c r="A88" s="5">
        <f>companies!A88</f>
        <v>87</v>
      </c>
      <c r="B88" s="4">
        <v>2019.0</v>
      </c>
      <c r="C88" s="206">
        <v>7.81E10</v>
      </c>
      <c r="D88" s="206">
        <v>3.269E9</v>
      </c>
      <c r="E88" s="4"/>
      <c r="F88" s="4"/>
    </row>
    <row r="89" ht="12.75" hidden="1" customHeight="1">
      <c r="A89" s="5">
        <f>companies!A89</f>
        <v>88</v>
      </c>
      <c r="B89" s="4">
        <v>2019.0</v>
      </c>
      <c r="C89" s="206">
        <v>1.4318E10</v>
      </c>
      <c r="D89" s="206">
        <v>5.02E9</v>
      </c>
      <c r="E89" s="4"/>
      <c r="F89" s="4"/>
    </row>
    <row r="90" ht="12.75" hidden="1" customHeight="1">
      <c r="A90" s="5">
        <f>companies!A90</f>
        <v>89</v>
      </c>
      <c r="B90" s="4">
        <v>2019.0</v>
      </c>
      <c r="C90" s="206">
        <v>2.082E10</v>
      </c>
      <c r="D90" s="206">
        <v>4.25E9</v>
      </c>
      <c r="E90" s="4"/>
      <c r="F90" s="4"/>
    </row>
    <row r="91" ht="12.75" hidden="1" customHeight="1">
      <c r="A91" s="5">
        <f>companies!A91</f>
        <v>90</v>
      </c>
      <c r="B91" s="4">
        <v>2019.0</v>
      </c>
      <c r="C91" s="206">
        <v>6.957E10</v>
      </c>
      <c r="D91" s="206">
        <v>1.105E10</v>
      </c>
      <c r="E91" s="4"/>
      <c r="F91" s="4"/>
    </row>
    <row r="92" ht="12.75" hidden="1" customHeight="1">
      <c r="A92" s="5">
        <f>companies!A92</f>
        <v>91</v>
      </c>
      <c r="B92" s="4">
        <v>2019.0</v>
      </c>
      <c r="C92" s="206">
        <v>2.554E10</v>
      </c>
      <c r="D92" s="206">
        <v>3.696E9</v>
      </c>
    </row>
    <row r="93" ht="12.75" hidden="1" customHeight="1">
      <c r="A93" s="5">
        <f>companies!A93</f>
        <v>92</v>
      </c>
      <c r="B93" s="4">
        <v>2019.0</v>
      </c>
      <c r="C93" s="206">
        <v>2.17E10</v>
      </c>
      <c r="D93" s="206">
        <v>5.9E9</v>
      </c>
      <c r="E93" s="4"/>
      <c r="F93" s="4"/>
    </row>
    <row r="94" ht="12.75" hidden="1" customHeight="1">
      <c r="A94" s="5">
        <f>companies!A94</f>
        <v>93</v>
      </c>
      <c r="B94" s="4">
        <v>2019.0</v>
      </c>
      <c r="C94" s="206">
        <v>2.422E11</v>
      </c>
      <c r="D94" s="206">
        <v>1.424E10</v>
      </c>
      <c r="E94" s="4"/>
      <c r="F94" s="4"/>
    </row>
    <row r="95" ht="12.75" hidden="1" customHeight="1">
      <c r="A95" s="5">
        <f>companies!A95</f>
        <v>94</v>
      </c>
      <c r="B95" s="4">
        <v>2019.0</v>
      </c>
      <c r="C95" s="206">
        <v>7.4094E10</v>
      </c>
      <c r="D95" s="206">
        <v>4.4E9</v>
      </c>
      <c r="E95" s="4"/>
      <c r="F95" s="4"/>
    </row>
    <row r="96" ht="12.75" hidden="1" customHeight="1">
      <c r="A96" s="5">
        <f>companies!A96</f>
        <v>95</v>
      </c>
      <c r="B96" s="4">
        <v>2019.0</v>
      </c>
      <c r="C96" s="206">
        <v>2.5775E10</v>
      </c>
      <c r="D96" s="206">
        <v>6.914E9</v>
      </c>
      <c r="E96" s="4"/>
      <c r="F96" s="4"/>
    </row>
    <row r="97" ht="12.75" hidden="1" customHeight="1">
      <c r="A97" s="5">
        <f>companies!A97</f>
        <v>96</v>
      </c>
      <c r="B97" s="4">
        <v>2019.0</v>
      </c>
      <c r="C97" s="206">
        <v>1.3186E11</v>
      </c>
      <c r="D97" s="206">
        <v>1.979E10</v>
      </c>
      <c r="E97" s="4"/>
      <c r="F97" s="4"/>
    </row>
    <row r="98" ht="12.75" hidden="1" customHeight="1">
      <c r="A98" s="5">
        <f>companies!A98</f>
        <v>97</v>
      </c>
      <c r="B98" s="4">
        <v>2019.0</v>
      </c>
      <c r="C98" s="206">
        <v>2.3E10</v>
      </c>
      <c r="D98" s="206">
        <v>1.21E10</v>
      </c>
      <c r="E98" s="4"/>
      <c r="F98" s="4"/>
    </row>
    <row r="99" ht="12.75" hidden="1" customHeight="1">
      <c r="A99" s="5">
        <f>companies!A99</f>
        <v>98</v>
      </c>
      <c r="B99" s="4">
        <v>2019.0</v>
      </c>
      <c r="C99" s="206">
        <v>1.369E11</v>
      </c>
      <c r="D99" s="206">
        <v>3.9E9</v>
      </c>
      <c r="E99" s="4"/>
      <c r="F99" s="4"/>
    </row>
    <row r="100" ht="12.75" hidden="1" customHeight="1">
      <c r="A100" s="5">
        <f>companies!A100</f>
        <v>99</v>
      </c>
      <c r="B100" s="4">
        <v>2019.0</v>
      </c>
      <c r="C100" s="206">
        <v>5.24E11</v>
      </c>
      <c r="D100" s="206">
        <v>1.488E10</v>
      </c>
      <c r="E100" s="4"/>
      <c r="F100" s="4"/>
    </row>
    <row r="101" ht="12.75" hidden="1" customHeight="1">
      <c r="A101" s="5">
        <f>companies!A101</f>
        <v>100</v>
      </c>
      <c r="B101" s="4">
        <v>2019.0</v>
      </c>
      <c r="C101" s="206">
        <v>8.506E10</v>
      </c>
      <c r="D101" s="206">
        <v>1.955E10</v>
      </c>
      <c r="E101" s="4"/>
      <c r="F101" s="4"/>
    </row>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1:$F$101">
    <filterColumn colId="5">
      <customFilters>
        <customFilter operator="notEqual" val=" "/>
      </customFilters>
    </filterColumn>
  </autoFilter>
  <printOptions/>
  <pageMargins bottom="0.75" footer="0.0" header="0.0" left="0.7" right="0.7" top="0.75"/>
  <pageSetup orientation="portrait"/>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86"/>
    <col customWidth="1" min="2" max="23" width="12.14"/>
    <col customWidth="1" min="24" max="29" width="10.57"/>
    <col customWidth="1" min="30" max="30" width="18.14"/>
    <col customWidth="1" min="31" max="31" width="18.43"/>
    <col customWidth="1" min="32" max="32" width="23.43"/>
    <col customWidth="1" min="33" max="33" width="27.29"/>
    <col customWidth="1" min="34" max="34" width="29.0"/>
    <col customWidth="1" min="35" max="36" width="20.86"/>
    <col customWidth="1" min="37" max="38" width="15.14"/>
    <col customWidth="1" min="39" max="39" width="23.43"/>
    <col customWidth="1" min="40" max="40" width="19.43"/>
    <col customWidth="1" min="41" max="41" width="21.0"/>
    <col customWidth="1" min="42" max="42" width="19.43"/>
    <col customWidth="1" min="43" max="43" width="21.0"/>
    <col customWidth="1" min="44" max="44" width="23.43"/>
    <col customWidth="1" min="45" max="45" width="19.43"/>
    <col customWidth="1" min="46" max="46" width="21.0"/>
    <col customWidth="1" min="47" max="60" width="8.71"/>
    <col customWidth="1" min="61" max="61" width="12.86"/>
  </cols>
  <sheetData>
    <row r="1" ht="12.75" customHeight="1">
      <c r="A1" s="207" t="s">
        <v>2</v>
      </c>
      <c r="B1" s="207" t="s">
        <v>1217</v>
      </c>
      <c r="C1" s="208" t="s">
        <v>1219</v>
      </c>
      <c r="D1" s="208" t="s">
        <v>1220</v>
      </c>
      <c r="E1" s="208" t="s">
        <v>1221</v>
      </c>
      <c r="F1" s="208" t="s">
        <v>1222</v>
      </c>
      <c r="G1" s="208" t="s">
        <v>1223</v>
      </c>
      <c r="H1" s="208" t="s">
        <v>1224</v>
      </c>
      <c r="I1" s="208" t="s">
        <v>1225</v>
      </c>
      <c r="J1" s="208" t="s">
        <v>1226</v>
      </c>
      <c r="K1" s="208" t="s">
        <v>1227</v>
      </c>
      <c r="L1" s="208" t="s">
        <v>1228</v>
      </c>
      <c r="M1" s="208" t="s">
        <v>1229</v>
      </c>
      <c r="N1" s="208" t="s">
        <v>1230</v>
      </c>
      <c r="O1" s="208" t="s">
        <v>1231</v>
      </c>
      <c r="P1" s="208" t="s">
        <v>1232</v>
      </c>
      <c r="Q1" s="208" t="s">
        <v>1233</v>
      </c>
      <c r="R1" s="208" t="s">
        <v>1234</v>
      </c>
      <c r="S1" s="208" t="s">
        <v>1235</v>
      </c>
      <c r="T1" s="208" t="s">
        <v>1236</v>
      </c>
      <c r="U1" s="208" t="s">
        <v>1237</v>
      </c>
      <c r="V1" s="208" t="s">
        <v>1238</v>
      </c>
      <c r="W1" s="208" t="s">
        <v>1239</v>
      </c>
      <c r="X1" s="208" t="s">
        <v>1240</v>
      </c>
      <c r="Y1" s="208" t="s">
        <v>1241</v>
      </c>
      <c r="Z1" s="209"/>
      <c r="AA1" s="209"/>
      <c r="AB1" s="209"/>
      <c r="AC1" s="209"/>
      <c r="AD1" s="205" t="s">
        <v>1242</v>
      </c>
      <c r="AE1" s="205" t="s">
        <v>1243</v>
      </c>
      <c r="AF1" s="209" t="s">
        <v>1244</v>
      </c>
      <c r="AG1" s="205" t="s">
        <v>1245</v>
      </c>
      <c r="AH1" s="205" t="s">
        <v>1246</v>
      </c>
      <c r="AI1" s="210"/>
      <c r="AJ1" s="210"/>
      <c r="AK1" s="205" t="s">
        <v>1247</v>
      </c>
      <c r="AL1" s="205" t="s">
        <v>1248</v>
      </c>
      <c r="AM1" s="209" t="s">
        <v>1249</v>
      </c>
      <c r="AN1" s="205" t="s">
        <v>1250</v>
      </c>
      <c r="AO1" s="205" t="s">
        <v>1251</v>
      </c>
      <c r="AP1" s="205" t="s">
        <v>1250</v>
      </c>
      <c r="AQ1" s="205" t="s">
        <v>1251</v>
      </c>
      <c r="AR1" s="209" t="s">
        <v>1252</v>
      </c>
      <c r="AS1" s="205" t="s">
        <v>1250</v>
      </c>
      <c r="AT1" s="205" t="s">
        <v>1251</v>
      </c>
      <c r="BI1" s="199" t="s">
        <v>1253</v>
      </c>
    </row>
    <row r="2" ht="12.75" customHeight="1">
      <c r="A2" s="5">
        <f>companies!A2</f>
        <v>1</v>
      </c>
      <c r="B2" s="200" t="s">
        <v>1254</v>
      </c>
      <c r="C2" s="211">
        <v>3960000.0</v>
      </c>
      <c r="D2" s="211">
        <v>1650000.0</v>
      </c>
      <c r="E2" s="211">
        <v>1650000.0</v>
      </c>
      <c r="F2" s="211"/>
      <c r="G2" s="211"/>
      <c r="H2" s="211"/>
      <c r="I2" s="211"/>
      <c r="J2" s="211"/>
      <c r="K2" s="211"/>
      <c r="L2" s="211"/>
      <c r="M2" s="212"/>
      <c r="N2" s="212"/>
      <c r="O2" s="212"/>
      <c r="P2" s="212"/>
      <c r="Q2" s="212"/>
      <c r="R2" s="211"/>
      <c r="S2" s="212"/>
      <c r="T2" s="212"/>
      <c r="U2" s="212"/>
      <c r="V2" s="212"/>
      <c r="W2" s="211">
        <v>9280000.0</v>
      </c>
      <c r="X2" s="200">
        <v>1650000.0</v>
      </c>
      <c r="Y2" s="200">
        <v>1.489E7</v>
      </c>
      <c r="Z2" s="200"/>
      <c r="AA2" s="200"/>
      <c r="AB2" s="200"/>
      <c r="AC2" s="200"/>
      <c r="AD2" s="213" t="s">
        <v>683</v>
      </c>
      <c r="AE2" s="213" t="s">
        <v>683</v>
      </c>
      <c r="AF2" s="214" t="str">
        <f>Table1[[#This Row],[2019 Scope 1 (MeT Co2)]]</f>
        <v>#ERROR!</v>
      </c>
      <c r="AG2" s="215" t="str">
        <f t="shared" ref="AG2:AG101" si="1">C2-AF2</f>
        <v>#ERROR!</v>
      </c>
      <c r="AH2" s="216" t="str">
        <f t="shared" ref="AH2:AH101" si="2">AG2/C2</f>
        <v>#ERROR!</v>
      </c>
      <c r="AI2" s="210"/>
      <c r="AJ2" s="210"/>
      <c r="AK2" s="213" t="s">
        <v>683</v>
      </c>
      <c r="AL2" s="213" t="s">
        <v>683</v>
      </c>
      <c r="AM2" s="214" t="str">
        <f>Table1[[#This Row],[2019 Scope 2 ]]</f>
        <v>#ERROR!</v>
      </c>
      <c r="AN2" s="215" t="str">
        <f t="shared" ref="AN2:AN101" si="3">D2-AM2</f>
        <v>#ERROR!</v>
      </c>
      <c r="AO2" s="216" t="str">
        <f t="shared" ref="AO2:AO101" si="4">AN2/D2</f>
        <v>#ERROR!</v>
      </c>
      <c r="AP2" s="215" t="str">
        <f t="shared" ref="AP2:AP101" si="5">AM2-E2</f>
        <v>#ERROR!</v>
      </c>
      <c r="AQ2" s="216" t="str">
        <f t="shared" ref="AQ2:AQ101" si="6">AP2/E2</f>
        <v>#ERROR!</v>
      </c>
      <c r="AR2" s="217" t="str">
        <f>Table1[[#This Row],[2019 Scope 3 ]]</f>
        <v>#ERROR!</v>
      </c>
      <c r="AS2" s="218" t="str">
        <f t="shared" ref="AS2:AS101" si="7">W2-AR2</f>
        <v>#ERROR!</v>
      </c>
      <c r="AT2" s="219" t="str">
        <f t="shared" ref="AT2:AT101" si="8">AS2/W2</f>
        <v>#ERROR!</v>
      </c>
      <c r="BI2" s="4">
        <v>285.0</v>
      </c>
    </row>
    <row r="3" ht="12.75" customHeight="1">
      <c r="A3" s="5">
        <f>companies!A3</f>
        <v>2</v>
      </c>
      <c r="B3" s="200" t="s">
        <v>1254</v>
      </c>
      <c r="C3" s="211">
        <v>526000.0</v>
      </c>
      <c r="D3" s="211">
        <v>506000.0</v>
      </c>
      <c r="E3" s="211">
        <v>506000.0</v>
      </c>
      <c r="F3" s="211"/>
      <c r="G3" s="211"/>
      <c r="H3" s="211"/>
      <c r="I3" s="211"/>
      <c r="J3" s="211"/>
      <c r="K3" s="211"/>
      <c r="L3" s="211"/>
      <c r="M3" s="212"/>
      <c r="N3" s="212"/>
      <c r="O3" s="212"/>
      <c r="P3" s="212"/>
      <c r="Q3" s="212"/>
      <c r="R3" s="211"/>
      <c r="S3" s="212"/>
      <c r="T3" s="212"/>
      <c r="U3" s="212"/>
      <c r="V3" s="212"/>
      <c r="W3" s="211">
        <v>1.371E7</v>
      </c>
      <c r="X3" s="200">
        <v>506000.0</v>
      </c>
      <c r="Y3" s="200">
        <v>1.4742E7</v>
      </c>
      <c r="Z3" s="200"/>
      <c r="AA3" s="200"/>
      <c r="AB3" s="200"/>
      <c r="AC3" s="200"/>
      <c r="AD3" s="213" t="s">
        <v>1255</v>
      </c>
      <c r="AE3" s="213" t="s">
        <v>1256</v>
      </c>
      <c r="AF3" s="214" t="str">
        <f>Table1[[#This Row],[2019 Scope 1 (MeT Co2)]]</f>
        <v>#ERROR!</v>
      </c>
      <c r="AG3" s="215" t="str">
        <f t="shared" si="1"/>
        <v>#ERROR!</v>
      </c>
      <c r="AH3" s="216" t="str">
        <f t="shared" si="2"/>
        <v>#ERROR!</v>
      </c>
      <c r="AI3" s="210"/>
      <c r="AJ3" s="210"/>
      <c r="AK3" s="213" t="s">
        <v>1255</v>
      </c>
      <c r="AL3" s="213" t="s">
        <v>1256</v>
      </c>
      <c r="AM3" s="214" t="str">
        <f>Table1[[#This Row],[2019 Scope 2 ]]</f>
        <v>#ERROR!</v>
      </c>
      <c r="AN3" s="215" t="str">
        <f t="shared" si="3"/>
        <v>#ERROR!</v>
      </c>
      <c r="AO3" s="216" t="str">
        <f t="shared" si="4"/>
        <v>#ERROR!</v>
      </c>
      <c r="AP3" s="215" t="str">
        <f t="shared" si="5"/>
        <v>#ERROR!</v>
      </c>
      <c r="AQ3" s="216" t="str">
        <f t="shared" si="6"/>
        <v>#ERROR!</v>
      </c>
      <c r="AR3" s="217" t="str">
        <f>Table1[[#This Row],[2019 Scope 3 ]]</f>
        <v>#ERROR!</v>
      </c>
      <c r="AS3" s="218" t="str">
        <f t="shared" si="7"/>
        <v>#ERROR!</v>
      </c>
      <c r="AT3" s="219" t="str">
        <f t="shared" si="8"/>
        <v>#ERROR!</v>
      </c>
      <c r="BI3" s="4">
        <v>64.0</v>
      </c>
    </row>
    <row r="4" ht="12.75" customHeight="1">
      <c r="A4" s="5">
        <f>companies!A4</f>
        <v>3</v>
      </c>
      <c r="B4" s="200" t="s">
        <v>1254</v>
      </c>
      <c r="C4" s="211">
        <v>299000.0</v>
      </c>
      <c r="D4" s="211">
        <v>284000.0</v>
      </c>
      <c r="E4" s="211">
        <v>284000.0</v>
      </c>
      <c r="F4" s="211"/>
      <c r="G4" s="211"/>
      <c r="H4" s="211"/>
      <c r="I4" s="211"/>
      <c r="J4" s="211"/>
      <c r="K4" s="211"/>
      <c r="L4" s="211"/>
      <c r="M4" s="212"/>
      <c r="N4" s="212"/>
      <c r="O4" s="212"/>
      <c r="P4" s="212"/>
      <c r="Q4" s="212"/>
      <c r="R4" s="211"/>
      <c r="S4" s="212"/>
      <c r="T4" s="212"/>
      <c r="U4" s="212"/>
      <c r="V4" s="212"/>
      <c r="W4" s="211">
        <v>1012988.0</v>
      </c>
      <c r="X4" s="200">
        <v>284000.0</v>
      </c>
      <c r="Y4" s="200">
        <v>1595988.0</v>
      </c>
      <c r="Z4" s="200"/>
      <c r="AA4" s="200"/>
      <c r="AB4" s="200"/>
      <c r="AC4" s="200"/>
      <c r="AD4" s="213" t="s">
        <v>683</v>
      </c>
      <c r="AE4" s="213" t="s">
        <v>683</v>
      </c>
      <c r="AF4" s="214" t="str">
        <f>Table1[[#This Row],[2019 Scope 1 (MeT Co2)]]</f>
        <v>#ERROR!</v>
      </c>
      <c r="AG4" s="215" t="str">
        <f t="shared" si="1"/>
        <v>#ERROR!</v>
      </c>
      <c r="AH4" s="216" t="str">
        <f t="shared" si="2"/>
        <v>#ERROR!</v>
      </c>
      <c r="AI4" s="210"/>
      <c r="AJ4" s="210"/>
      <c r="AK4" s="213" t="s">
        <v>683</v>
      </c>
      <c r="AL4" s="213" t="s">
        <v>683</v>
      </c>
      <c r="AM4" s="214" t="str">
        <f>Table1[[#This Row],[2019 Scope 2 ]]</f>
        <v>#ERROR!</v>
      </c>
      <c r="AN4" s="215" t="str">
        <f t="shared" si="3"/>
        <v>#ERROR!</v>
      </c>
      <c r="AO4" s="216" t="str">
        <f t="shared" si="4"/>
        <v>#ERROR!</v>
      </c>
      <c r="AP4" s="215" t="str">
        <f t="shared" si="5"/>
        <v>#ERROR!</v>
      </c>
      <c r="AQ4" s="216" t="str">
        <f t="shared" si="6"/>
        <v>#ERROR!</v>
      </c>
      <c r="AR4" s="217" t="str">
        <f>Table1[[#This Row],[2019 Scope 3 ]]</f>
        <v>#ERROR!</v>
      </c>
      <c r="AS4" s="218" t="str">
        <f t="shared" si="7"/>
        <v>#ERROR!</v>
      </c>
      <c r="AT4" s="219" t="str">
        <f t="shared" si="8"/>
        <v>#ERROR!</v>
      </c>
      <c r="BI4" s="4">
        <v>45103.0</v>
      </c>
    </row>
    <row r="5" ht="12.75" customHeight="1">
      <c r="A5" s="5">
        <f>companies!A5</f>
        <v>4</v>
      </c>
      <c r="B5" s="200" t="s">
        <v>1254</v>
      </c>
      <c r="C5" s="211">
        <v>24095.0</v>
      </c>
      <c r="D5" s="211">
        <v>243773.0</v>
      </c>
      <c r="E5" s="211">
        <v>243773.0</v>
      </c>
      <c r="F5" s="211"/>
      <c r="G5" s="211"/>
      <c r="H5" s="211"/>
      <c r="I5" s="211"/>
      <c r="J5" s="211"/>
      <c r="K5" s="211"/>
      <c r="L5" s="211"/>
      <c r="M5" s="212"/>
      <c r="N5" s="212"/>
      <c r="O5" s="212"/>
      <c r="P5" s="212"/>
      <c r="Q5" s="212"/>
      <c r="R5" s="211"/>
      <c r="S5" s="212"/>
      <c r="T5" s="212"/>
      <c r="U5" s="212"/>
      <c r="V5" s="212"/>
      <c r="W5" s="211">
        <v>974176.0</v>
      </c>
      <c r="X5" s="200">
        <v>243773.0</v>
      </c>
      <c r="Y5" s="200">
        <v>1242044.0</v>
      </c>
      <c r="Z5" s="200"/>
      <c r="AA5" s="200"/>
      <c r="AB5" s="200"/>
      <c r="AC5" s="200"/>
      <c r="AD5" s="213" t="s">
        <v>683</v>
      </c>
      <c r="AE5" s="213" t="s">
        <v>683</v>
      </c>
      <c r="AF5" s="214" t="str">
        <f>Table1[[#This Row],[2019 Scope 1 (MeT Co2)]]</f>
        <v>#ERROR!</v>
      </c>
      <c r="AG5" s="215" t="str">
        <f t="shared" si="1"/>
        <v>#ERROR!</v>
      </c>
      <c r="AH5" s="216" t="str">
        <f t="shared" si="2"/>
        <v>#ERROR!</v>
      </c>
      <c r="AI5" s="210"/>
      <c r="AJ5" s="210"/>
      <c r="AK5" s="213" t="s">
        <v>683</v>
      </c>
      <c r="AL5" s="213" t="s">
        <v>683</v>
      </c>
      <c r="AM5" s="214" t="str">
        <f>Table1[[#This Row],[2019 Scope 2 ]]</f>
        <v>#ERROR!</v>
      </c>
      <c r="AN5" s="215" t="str">
        <f t="shared" si="3"/>
        <v>#ERROR!</v>
      </c>
      <c r="AO5" s="216" t="str">
        <f t="shared" si="4"/>
        <v>#ERROR!</v>
      </c>
      <c r="AP5" s="215" t="str">
        <f t="shared" si="5"/>
        <v>#ERROR!</v>
      </c>
      <c r="AQ5" s="216" t="str">
        <f t="shared" si="6"/>
        <v>#ERROR!</v>
      </c>
      <c r="AR5" s="217" t="str">
        <f>Table1[[#This Row],[2019 Scope 3 ]]</f>
        <v>#ERROR!</v>
      </c>
      <c r="AS5" s="218" t="str">
        <f t="shared" si="7"/>
        <v>#ERROR!</v>
      </c>
      <c r="AT5" s="219" t="str">
        <f t="shared" si="8"/>
        <v>#ERROR!</v>
      </c>
      <c r="BI5" s="4">
        <v>21318.0</v>
      </c>
    </row>
    <row r="6" ht="12.75" customHeight="1">
      <c r="A6" s="5">
        <f>companies!A6</f>
        <v>5</v>
      </c>
      <c r="B6" s="200" t="s">
        <v>1254</v>
      </c>
      <c r="C6" s="211">
        <v>12119.0</v>
      </c>
      <c r="D6" s="211">
        <v>58874.0</v>
      </c>
      <c r="E6" s="211">
        <v>58874.0</v>
      </c>
      <c r="F6" s="211"/>
      <c r="G6" s="211"/>
      <c r="H6" s="211"/>
      <c r="I6" s="211"/>
      <c r="J6" s="211"/>
      <c r="K6" s="211"/>
      <c r="L6" s="211"/>
      <c r="M6" s="212"/>
      <c r="N6" s="212"/>
      <c r="O6" s="212"/>
      <c r="P6" s="212"/>
      <c r="Q6" s="212"/>
      <c r="R6" s="211"/>
      <c r="S6" s="212"/>
      <c r="T6" s="212"/>
      <c r="U6" s="212"/>
      <c r="V6" s="212"/>
      <c r="W6" s="211">
        <v>96052.51999999999</v>
      </c>
      <c r="X6" s="200">
        <v>58874.0</v>
      </c>
      <c r="Y6" s="200">
        <v>167045.52</v>
      </c>
      <c r="Z6" s="200"/>
      <c r="AA6" s="200"/>
      <c r="AB6" s="200"/>
      <c r="AC6" s="200"/>
      <c r="AD6" s="213" t="s">
        <v>1257</v>
      </c>
      <c r="AE6" s="213" t="s">
        <v>1258</v>
      </c>
      <c r="AF6" s="214" t="str">
        <f>Table1[[#This Row],[2019 Scope 1 (MeT Co2)]]</f>
        <v>#ERROR!</v>
      </c>
      <c r="AG6" s="215" t="str">
        <f t="shared" si="1"/>
        <v>#ERROR!</v>
      </c>
      <c r="AH6" s="216" t="str">
        <f t="shared" si="2"/>
        <v>#ERROR!</v>
      </c>
      <c r="AI6" s="210"/>
      <c r="AJ6" s="210"/>
      <c r="AK6" s="213" t="s">
        <v>1257</v>
      </c>
      <c r="AL6" s="213" t="s">
        <v>1258</v>
      </c>
      <c r="AM6" s="214" t="str">
        <f>Table1[[#This Row],[2019 Scope 2 ]]</f>
        <v>#ERROR!</v>
      </c>
      <c r="AN6" s="215" t="str">
        <f t="shared" si="3"/>
        <v>#ERROR!</v>
      </c>
      <c r="AO6" s="216" t="str">
        <f t="shared" si="4"/>
        <v>#ERROR!</v>
      </c>
      <c r="AP6" s="215" t="str">
        <f t="shared" si="5"/>
        <v>#ERROR!</v>
      </c>
      <c r="AQ6" s="216" t="str">
        <f t="shared" si="6"/>
        <v>#ERROR!</v>
      </c>
      <c r="AR6" s="217" t="str">
        <f>Table1[[#This Row],[2019 Scope 3 ]]</f>
        <v>#ERROR!</v>
      </c>
      <c r="AS6" s="218" t="str">
        <f t="shared" si="7"/>
        <v>#ERROR!</v>
      </c>
      <c r="AT6" s="219" t="str">
        <f t="shared" si="8"/>
        <v>#ERROR!</v>
      </c>
      <c r="BI6" s="4">
        <v>333.0</v>
      </c>
    </row>
    <row r="7" ht="12.75" customHeight="1">
      <c r="A7" s="5">
        <f>companies!A7</f>
        <v>6</v>
      </c>
      <c r="B7" s="200" t="s">
        <v>1254</v>
      </c>
      <c r="C7" s="211">
        <v>53818.0</v>
      </c>
      <c r="D7" s="211">
        <v>91209.0</v>
      </c>
      <c r="E7" s="211">
        <v>91209.0</v>
      </c>
      <c r="F7" s="211"/>
      <c r="G7" s="211"/>
      <c r="H7" s="211"/>
      <c r="I7" s="211"/>
      <c r="J7" s="211"/>
      <c r="K7" s="211"/>
      <c r="L7" s="211"/>
      <c r="M7" s="212"/>
      <c r="N7" s="212"/>
      <c r="O7" s="212"/>
      <c r="P7" s="212"/>
      <c r="Q7" s="212"/>
      <c r="R7" s="211"/>
      <c r="S7" s="212"/>
      <c r="T7" s="212"/>
      <c r="U7" s="212"/>
      <c r="V7" s="212"/>
      <c r="W7" s="211">
        <v>20119.0</v>
      </c>
      <c r="X7" s="200">
        <v>91209.0</v>
      </c>
      <c r="Y7" s="200">
        <v>165146.0</v>
      </c>
      <c r="Z7" s="200"/>
      <c r="AA7" s="200"/>
      <c r="AB7" s="200"/>
      <c r="AC7" s="200"/>
      <c r="AD7" s="213" t="s">
        <v>683</v>
      </c>
      <c r="AE7" s="213" t="s">
        <v>683</v>
      </c>
      <c r="AF7" s="214" t="str">
        <f>Table1[[#This Row],[2019 Scope 1 (MeT Co2)]]</f>
        <v>#ERROR!</v>
      </c>
      <c r="AG7" s="215" t="str">
        <f t="shared" si="1"/>
        <v>#ERROR!</v>
      </c>
      <c r="AH7" s="216" t="str">
        <f t="shared" si="2"/>
        <v>#ERROR!</v>
      </c>
      <c r="AI7" s="210"/>
      <c r="AJ7" s="210"/>
      <c r="AK7" s="213" t="s">
        <v>683</v>
      </c>
      <c r="AL7" s="213" t="s">
        <v>683</v>
      </c>
      <c r="AM7" s="214" t="str">
        <f>Table1[[#This Row],[2019 Scope 2 ]]</f>
        <v>#ERROR!</v>
      </c>
      <c r="AN7" s="215" t="str">
        <f t="shared" si="3"/>
        <v>#ERROR!</v>
      </c>
      <c r="AO7" s="216" t="str">
        <f t="shared" si="4"/>
        <v>#ERROR!</v>
      </c>
      <c r="AP7" s="215" t="str">
        <f t="shared" si="5"/>
        <v>#ERROR!</v>
      </c>
      <c r="AQ7" s="216" t="str">
        <f t="shared" si="6"/>
        <v>#ERROR!</v>
      </c>
      <c r="AR7" s="217" t="str">
        <f>Table1[[#This Row],[2019 Scope 3 ]]</f>
        <v>#ERROR!</v>
      </c>
      <c r="AS7" s="218" t="str">
        <f t="shared" si="7"/>
        <v>#ERROR!</v>
      </c>
      <c r="AT7" s="219" t="str">
        <f t="shared" si="8"/>
        <v>#ERROR!</v>
      </c>
      <c r="BI7" s="4">
        <v>582.0</v>
      </c>
    </row>
    <row r="8" ht="12.75" customHeight="1">
      <c r="A8" s="5">
        <f>companies!A8</f>
        <v>7</v>
      </c>
      <c r="B8" s="200" t="s">
        <v>1254</v>
      </c>
      <c r="C8" s="211">
        <v>66546.0</v>
      </c>
      <c r="D8" s="211">
        <v>509334.0</v>
      </c>
      <c r="E8" s="211">
        <v>509334.0</v>
      </c>
      <c r="F8" s="211"/>
      <c r="G8" s="211"/>
      <c r="H8" s="211"/>
      <c r="I8" s="211"/>
      <c r="J8" s="211"/>
      <c r="K8" s="211"/>
      <c r="L8" s="211"/>
      <c r="M8" s="212"/>
      <c r="N8" s="212"/>
      <c r="O8" s="212"/>
      <c r="P8" s="212"/>
      <c r="Q8" s="212"/>
      <c r="R8" s="211"/>
      <c r="S8" s="212"/>
      <c r="T8" s="212"/>
      <c r="U8" s="212"/>
      <c r="V8" s="212"/>
      <c r="W8" s="211">
        <v>2719024.0</v>
      </c>
      <c r="X8" s="200">
        <v>509334.0</v>
      </c>
      <c r="Y8" s="200">
        <v>3294904.0</v>
      </c>
      <c r="Z8" s="200"/>
      <c r="AA8" s="200"/>
      <c r="AB8" s="200"/>
      <c r="AC8" s="200"/>
      <c r="AD8" s="213" t="s">
        <v>683</v>
      </c>
      <c r="AE8" s="213" t="s">
        <v>683</v>
      </c>
      <c r="AF8" s="214" t="str">
        <f>Table1[[#This Row],[2019 Scope 1 (MeT Co2)]]</f>
        <v>#ERROR!</v>
      </c>
      <c r="AG8" s="215" t="str">
        <f t="shared" si="1"/>
        <v>#ERROR!</v>
      </c>
      <c r="AH8" s="216" t="str">
        <f t="shared" si="2"/>
        <v>#ERROR!</v>
      </c>
      <c r="AI8" s="210"/>
      <c r="AJ8" s="210"/>
      <c r="AK8" s="213" t="s">
        <v>683</v>
      </c>
      <c r="AL8" s="213" t="s">
        <v>683</v>
      </c>
      <c r="AM8" s="214" t="str">
        <f>Table1[[#This Row],[2019 Scope 2 ]]</f>
        <v>#ERROR!</v>
      </c>
      <c r="AN8" s="215" t="str">
        <f t="shared" si="3"/>
        <v>#ERROR!</v>
      </c>
      <c r="AO8" s="216" t="str">
        <f t="shared" si="4"/>
        <v>#ERROR!</v>
      </c>
      <c r="AP8" s="215" t="str">
        <f t="shared" si="5"/>
        <v>#ERROR!</v>
      </c>
      <c r="AQ8" s="216" t="str">
        <f t="shared" si="6"/>
        <v>#ERROR!</v>
      </c>
      <c r="AR8" s="217" t="str">
        <f>Table1[[#This Row],[2019 Scope 3 ]]</f>
        <v>#ERROR!</v>
      </c>
      <c r="AS8" s="218" t="str">
        <f t="shared" si="7"/>
        <v>#ERROR!</v>
      </c>
      <c r="AT8" s="219" t="str">
        <f t="shared" si="8"/>
        <v>#ERROR!</v>
      </c>
      <c r="BI8" s="4">
        <v>7616.0</v>
      </c>
    </row>
    <row r="9" ht="12.75" customHeight="1">
      <c r="A9" s="5">
        <f>companies!A9</f>
        <v>8</v>
      </c>
      <c r="B9" s="200" t="s">
        <v>1254</v>
      </c>
      <c r="C9" s="211">
        <v>167695.0</v>
      </c>
      <c r="D9" s="211">
        <v>168889.0</v>
      </c>
      <c r="E9" s="211">
        <v>168889.0</v>
      </c>
      <c r="F9" s="211"/>
      <c r="G9" s="211"/>
      <c r="H9" s="211"/>
      <c r="I9" s="211"/>
      <c r="J9" s="211"/>
      <c r="K9" s="211"/>
      <c r="L9" s="211"/>
      <c r="M9" s="212"/>
      <c r="N9" s="212"/>
      <c r="O9" s="212"/>
      <c r="P9" s="212"/>
      <c r="Q9" s="212"/>
      <c r="R9" s="211"/>
      <c r="S9" s="212"/>
      <c r="T9" s="212"/>
      <c r="U9" s="212"/>
      <c r="V9" s="212"/>
      <c r="W9" s="211">
        <v>5264365.0</v>
      </c>
      <c r="X9" s="200">
        <v>168889.0</v>
      </c>
      <c r="Y9" s="200">
        <v>5600949.0</v>
      </c>
      <c r="Z9" s="200"/>
      <c r="AA9" s="200"/>
      <c r="AB9" s="200"/>
      <c r="AC9" s="200"/>
      <c r="AD9" s="213" t="s">
        <v>683</v>
      </c>
      <c r="AE9" s="213" t="s">
        <v>683</v>
      </c>
      <c r="AF9" s="214" t="str">
        <f>Table1[[#This Row],[2019 Scope 1 (MeT Co2)]]</f>
        <v>#ERROR!</v>
      </c>
      <c r="AG9" s="215" t="str">
        <f t="shared" si="1"/>
        <v>#ERROR!</v>
      </c>
      <c r="AH9" s="216" t="str">
        <f t="shared" si="2"/>
        <v>#ERROR!</v>
      </c>
      <c r="AI9" s="210"/>
      <c r="AJ9" s="210"/>
      <c r="AK9" s="213" t="s">
        <v>683</v>
      </c>
      <c r="AL9" s="213" t="s">
        <v>683</v>
      </c>
      <c r="AM9" s="214" t="str">
        <f>Table1[[#This Row],[2019 Scope 2 ]]</f>
        <v>#ERROR!</v>
      </c>
      <c r="AN9" s="215" t="str">
        <f t="shared" si="3"/>
        <v>#ERROR!</v>
      </c>
      <c r="AO9" s="216" t="str">
        <f t="shared" si="4"/>
        <v>#ERROR!</v>
      </c>
      <c r="AP9" s="215" t="str">
        <f t="shared" si="5"/>
        <v>#ERROR!</v>
      </c>
      <c r="AQ9" s="216" t="str">
        <f t="shared" si="6"/>
        <v>#ERROR!</v>
      </c>
      <c r="AR9" s="217" t="str">
        <f>Table1[[#This Row],[2019 Scope 3 ]]</f>
        <v>#ERROR!</v>
      </c>
      <c r="AS9" s="218" t="str">
        <f t="shared" si="7"/>
        <v>#ERROR!</v>
      </c>
      <c r="AT9" s="219" t="str">
        <f t="shared" si="8"/>
        <v>#ERROR!</v>
      </c>
      <c r="BI9" s="4">
        <v>628.0</v>
      </c>
    </row>
    <row r="10" ht="12.75" customHeight="1">
      <c r="A10" s="5">
        <f>companies!A10</f>
        <v>9</v>
      </c>
      <c r="B10" s="200" t="s">
        <v>1254</v>
      </c>
      <c r="C10" s="211" t="s">
        <v>536</v>
      </c>
      <c r="D10" s="211" t="s">
        <v>536</v>
      </c>
      <c r="E10" s="211" t="s">
        <v>536</v>
      </c>
      <c r="F10" s="211"/>
      <c r="G10" s="211"/>
      <c r="H10" s="211"/>
      <c r="I10" s="211"/>
      <c r="J10" s="211"/>
      <c r="K10" s="211"/>
      <c r="L10" s="211"/>
      <c r="M10" s="212"/>
      <c r="N10" s="212"/>
      <c r="O10" s="212"/>
      <c r="P10" s="212"/>
      <c r="Q10" s="212"/>
      <c r="R10" s="211"/>
      <c r="S10" s="212"/>
      <c r="T10" s="212"/>
      <c r="U10" s="212"/>
      <c r="V10" s="212"/>
      <c r="W10" s="211" t="s">
        <v>536</v>
      </c>
      <c r="X10" s="200">
        <v>0.0</v>
      </c>
      <c r="Y10" s="200"/>
      <c r="Z10" s="213"/>
      <c r="AA10" s="213"/>
      <c r="AB10" s="213"/>
      <c r="AC10" s="213"/>
      <c r="AD10" s="213" t="e">
        <v>#N/A</v>
      </c>
      <c r="AE10" s="213" t="e">
        <v>#N/A</v>
      </c>
      <c r="AF10" s="214" t="str">
        <f>Table1[[#This Row],[2019 Scope 1 (MeT Co2)]]</f>
        <v>#ERROR!</v>
      </c>
      <c r="AG10" s="215" t="str">
        <f t="shared" si="1"/>
        <v>#ERROR!</v>
      </c>
      <c r="AH10" s="216" t="str">
        <f t="shared" si="2"/>
        <v>#ERROR!</v>
      </c>
      <c r="AI10" s="210"/>
      <c r="AJ10" s="210"/>
      <c r="AK10" s="213" t="e">
        <v>#N/A</v>
      </c>
      <c r="AL10" s="213" t="e">
        <v>#N/A</v>
      </c>
      <c r="AM10" s="214" t="str">
        <f>Table1[[#This Row],[2019 Scope 2 ]]</f>
        <v>#ERROR!</v>
      </c>
      <c r="AN10" s="215" t="str">
        <f t="shared" si="3"/>
        <v>#ERROR!</v>
      </c>
      <c r="AO10" s="216" t="str">
        <f t="shared" si="4"/>
        <v>#ERROR!</v>
      </c>
      <c r="AP10" s="215" t="str">
        <f t="shared" si="5"/>
        <v>#ERROR!</v>
      </c>
      <c r="AQ10" s="216" t="str">
        <f t="shared" si="6"/>
        <v>#ERROR!</v>
      </c>
      <c r="AR10" s="217" t="str">
        <f>Table1[[#This Row],[2019 Scope 3 ]]</f>
        <v>#ERROR!</v>
      </c>
      <c r="AS10" s="218" t="str">
        <f t="shared" si="7"/>
        <v>#ERROR!</v>
      </c>
      <c r="AT10" s="219" t="str">
        <f t="shared" si="8"/>
        <v>#ERROR!</v>
      </c>
    </row>
    <row r="11" ht="12.75" customHeight="1">
      <c r="A11" s="5">
        <f>companies!A11</f>
        <v>10</v>
      </c>
      <c r="B11" s="200" t="s">
        <v>1254</v>
      </c>
      <c r="C11" s="211">
        <v>24162.0</v>
      </c>
      <c r="D11" s="211">
        <v>55273.0</v>
      </c>
      <c r="E11" s="211">
        <v>55273.0</v>
      </c>
      <c r="F11" s="211"/>
      <c r="G11" s="211"/>
      <c r="H11" s="211"/>
      <c r="I11" s="211"/>
      <c r="J11" s="211"/>
      <c r="K11" s="211"/>
      <c r="L11" s="211"/>
      <c r="M11" s="212"/>
      <c r="N11" s="212"/>
      <c r="O11" s="212"/>
      <c r="P11" s="212"/>
      <c r="Q11" s="212"/>
      <c r="R11" s="211"/>
      <c r="S11" s="212"/>
      <c r="T11" s="212"/>
      <c r="U11" s="212"/>
      <c r="V11" s="212"/>
      <c r="W11" s="211">
        <v>2254145.0</v>
      </c>
      <c r="X11" s="200">
        <v>55273.0</v>
      </c>
      <c r="Y11" s="200">
        <v>2333580.0</v>
      </c>
      <c r="Z11" s="200"/>
      <c r="AA11" s="200"/>
      <c r="AB11" s="200"/>
      <c r="AC11" s="200"/>
      <c r="AD11" s="213" t="s">
        <v>683</v>
      </c>
      <c r="AE11" s="213" t="s">
        <v>683</v>
      </c>
      <c r="AF11" s="214" t="str">
        <f>Table1[[#This Row],[2019 Scope 1 (MeT Co2)]]</f>
        <v>#ERROR!</v>
      </c>
      <c r="AG11" s="215" t="str">
        <f t="shared" si="1"/>
        <v>#ERROR!</v>
      </c>
      <c r="AH11" s="216" t="str">
        <f t="shared" si="2"/>
        <v>#ERROR!</v>
      </c>
      <c r="AI11" s="210"/>
      <c r="AJ11" s="210"/>
      <c r="AK11" s="213" t="s">
        <v>683</v>
      </c>
      <c r="AL11" s="213" t="s">
        <v>683</v>
      </c>
      <c r="AM11" s="214" t="str">
        <f>Table1[[#This Row],[2019 Scope 2 ]]</f>
        <v>#ERROR!</v>
      </c>
      <c r="AN11" s="215" t="str">
        <f t="shared" si="3"/>
        <v>#ERROR!</v>
      </c>
      <c r="AO11" s="216" t="str">
        <f t="shared" si="4"/>
        <v>#ERROR!</v>
      </c>
      <c r="AP11" s="215" t="str">
        <f t="shared" si="5"/>
        <v>#ERROR!</v>
      </c>
      <c r="AQ11" s="216" t="str">
        <f t="shared" si="6"/>
        <v>#ERROR!</v>
      </c>
      <c r="AR11" s="217" t="str">
        <f>Table1[[#This Row],[2019 Scope 3 ]]</f>
        <v>#ERROR!</v>
      </c>
      <c r="AS11" s="218" t="str">
        <f t="shared" si="7"/>
        <v>#ERROR!</v>
      </c>
      <c r="AT11" s="219" t="str">
        <f t="shared" si="8"/>
        <v>#ERROR!</v>
      </c>
      <c r="BI11" s="4">
        <v>692.0</v>
      </c>
    </row>
    <row r="12" ht="12.75" customHeight="1">
      <c r="A12" s="5">
        <f>companies!A12</f>
        <v>11</v>
      </c>
      <c r="B12" s="200" t="s">
        <v>1254</v>
      </c>
      <c r="C12" s="211" t="s">
        <v>536</v>
      </c>
      <c r="D12" s="211">
        <v>9781.0</v>
      </c>
      <c r="E12" s="211">
        <v>9781.0</v>
      </c>
      <c r="F12" s="211"/>
      <c r="G12" s="211"/>
      <c r="H12" s="211"/>
      <c r="I12" s="211"/>
      <c r="J12" s="211"/>
      <c r="K12" s="211"/>
      <c r="L12" s="211"/>
      <c r="M12" s="212"/>
      <c r="N12" s="212"/>
      <c r="O12" s="212"/>
      <c r="P12" s="212"/>
      <c r="Q12" s="212"/>
      <c r="R12" s="211"/>
      <c r="S12" s="212"/>
      <c r="T12" s="212"/>
      <c r="U12" s="212"/>
      <c r="V12" s="212"/>
      <c r="W12" s="211" t="s">
        <v>536</v>
      </c>
      <c r="X12" s="200">
        <v>9781.0</v>
      </c>
      <c r="Y12" s="200"/>
      <c r="Z12" s="213"/>
      <c r="AA12" s="213"/>
      <c r="AB12" s="213"/>
      <c r="AC12" s="213"/>
      <c r="AD12" s="213" t="s">
        <v>1255</v>
      </c>
      <c r="AE12" s="213" t="s">
        <v>1256</v>
      </c>
      <c r="AF12" s="214" t="str">
        <f>Table1[[#This Row],[2019 Scope 1 (MeT Co2)]]</f>
        <v>#ERROR!</v>
      </c>
      <c r="AG12" s="215" t="str">
        <f t="shared" si="1"/>
        <v>#ERROR!</v>
      </c>
      <c r="AH12" s="216" t="str">
        <f t="shared" si="2"/>
        <v>#ERROR!</v>
      </c>
      <c r="AI12" s="210"/>
      <c r="AJ12" s="210"/>
      <c r="AK12" s="213" t="s">
        <v>1255</v>
      </c>
      <c r="AL12" s="213" t="s">
        <v>1256</v>
      </c>
      <c r="AM12" s="214" t="str">
        <f>Table1[[#This Row],[2019 Scope 2 ]]</f>
        <v>#ERROR!</v>
      </c>
      <c r="AN12" s="215" t="str">
        <f t="shared" si="3"/>
        <v>#ERROR!</v>
      </c>
      <c r="AO12" s="216" t="str">
        <f t="shared" si="4"/>
        <v>#ERROR!</v>
      </c>
      <c r="AP12" s="215" t="str">
        <f t="shared" si="5"/>
        <v>#ERROR!</v>
      </c>
      <c r="AQ12" s="216" t="str">
        <f t="shared" si="6"/>
        <v>#ERROR!</v>
      </c>
      <c r="AR12" s="217" t="str">
        <f>Table1[[#This Row],[2019 Scope 3 ]]</f>
        <v>#ERROR!</v>
      </c>
      <c r="AS12" s="218" t="str">
        <f t="shared" si="7"/>
        <v>#ERROR!</v>
      </c>
      <c r="AT12" s="219" t="str">
        <f t="shared" si="8"/>
        <v>#ERROR!</v>
      </c>
      <c r="BI12" s="4">
        <v>699.0</v>
      </c>
    </row>
    <row r="13" ht="12.75" customHeight="1">
      <c r="A13" s="5">
        <f>companies!A13</f>
        <v>12</v>
      </c>
      <c r="B13" s="200" t="s">
        <v>1254</v>
      </c>
      <c r="C13" s="211">
        <v>650755.0</v>
      </c>
      <c r="D13" s="211">
        <v>1617395.0</v>
      </c>
      <c r="E13" s="211">
        <v>1617395.0</v>
      </c>
      <c r="F13" s="211"/>
      <c r="G13" s="211"/>
      <c r="H13" s="211"/>
      <c r="I13" s="211"/>
      <c r="J13" s="211"/>
      <c r="K13" s="211"/>
      <c r="L13" s="211"/>
      <c r="M13" s="212"/>
      <c r="N13" s="212"/>
      <c r="O13" s="212"/>
      <c r="P13" s="212"/>
      <c r="Q13" s="212"/>
      <c r="R13" s="211"/>
      <c r="S13" s="212"/>
      <c r="T13" s="212"/>
      <c r="U13" s="212"/>
      <c r="V13" s="212"/>
      <c r="W13" s="211" t="s">
        <v>536</v>
      </c>
      <c r="X13" s="200">
        <v>1617395.0</v>
      </c>
      <c r="Y13" s="200"/>
      <c r="Z13" s="213"/>
      <c r="AA13" s="213"/>
      <c r="AB13" s="213"/>
      <c r="AC13" s="213"/>
      <c r="AD13" s="213" t="s">
        <v>1255</v>
      </c>
      <c r="AE13" s="213" t="s">
        <v>1256</v>
      </c>
      <c r="AF13" s="214" t="str">
        <f>Table1[[#This Row],[2019 Scope 1 (MeT Co2)]]</f>
        <v>#ERROR!</v>
      </c>
      <c r="AG13" s="215" t="str">
        <f t="shared" si="1"/>
        <v>#ERROR!</v>
      </c>
      <c r="AH13" s="216" t="str">
        <f t="shared" si="2"/>
        <v>#ERROR!</v>
      </c>
      <c r="AI13" s="210"/>
      <c r="AJ13" s="210"/>
      <c r="AK13" s="213" t="s">
        <v>1255</v>
      </c>
      <c r="AL13" s="213" t="s">
        <v>1256</v>
      </c>
      <c r="AM13" s="214" t="str">
        <f>Table1[[#This Row],[2019 Scope 2 ]]</f>
        <v>#ERROR!</v>
      </c>
      <c r="AN13" s="215" t="str">
        <f t="shared" si="3"/>
        <v>#ERROR!</v>
      </c>
      <c r="AO13" s="216" t="str">
        <f t="shared" si="4"/>
        <v>#ERROR!</v>
      </c>
      <c r="AP13" s="215" t="str">
        <f t="shared" si="5"/>
        <v>#ERROR!</v>
      </c>
      <c r="AQ13" s="216" t="str">
        <f t="shared" si="6"/>
        <v>#ERROR!</v>
      </c>
      <c r="AR13" s="217" t="str">
        <f>Table1[[#This Row],[2019 Scope 3 ]]</f>
        <v>#ERROR!</v>
      </c>
      <c r="AS13" s="218" t="str">
        <f t="shared" si="7"/>
        <v>#ERROR!</v>
      </c>
      <c r="AT13" s="219" t="str">
        <f t="shared" si="8"/>
        <v>#ERROR!</v>
      </c>
      <c r="BI13" s="4">
        <v>706.0</v>
      </c>
    </row>
    <row r="14" ht="12.75" customHeight="1">
      <c r="A14" s="5">
        <f>companies!A14</f>
        <v>13</v>
      </c>
      <c r="B14" s="200" t="s">
        <v>1254</v>
      </c>
      <c r="C14" s="211">
        <v>163362.0</v>
      </c>
      <c r="D14" s="211">
        <v>139035.0</v>
      </c>
      <c r="E14" s="211">
        <v>139035.0</v>
      </c>
      <c r="F14" s="211"/>
      <c r="G14" s="211"/>
      <c r="H14" s="211"/>
      <c r="I14" s="211"/>
      <c r="J14" s="211"/>
      <c r="K14" s="211"/>
      <c r="L14" s="211"/>
      <c r="M14" s="212"/>
      <c r="N14" s="212"/>
      <c r="O14" s="212"/>
      <c r="P14" s="212"/>
      <c r="Q14" s="212"/>
      <c r="R14" s="211"/>
      <c r="S14" s="212"/>
      <c r="T14" s="212"/>
      <c r="U14" s="212"/>
      <c r="V14" s="212"/>
      <c r="W14" s="211" t="s">
        <v>536</v>
      </c>
      <c r="X14" s="200">
        <v>139035.0</v>
      </c>
      <c r="Y14" s="200"/>
      <c r="Z14" s="200"/>
      <c r="AA14" s="200"/>
      <c r="AB14" s="200"/>
      <c r="AC14" s="200"/>
      <c r="AD14" s="213" t="s">
        <v>683</v>
      </c>
      <c r="AE14" s="213" t="s">
        <v>683</v>
      </c>
      <c r="AF14" s="214" t="str">
        <f>Table1[[#This Row],[2019 Scope 1 (MeT Co2)]]</f>
        <v>#ERROR!</v>
      </c>
      <c r="AG14" s="215" t="str">
        <f t="shared" si="1"/>
        <v>#ERROR!</v>
      </c>
      <c r="AH14" s="216" t="str">
        <f t="shared" si="2"/>
        <v>#ERROR!</v>
      </c>
      <c r="AI14" s="210"/>
      <c r="AJ14" s="210"/>
      <c r="AK14" s="213" t="s">
        <v>683</v>
      </c>
      <c r="AL14" s="213" t="s">
        <v>683</v>
      </c>
      <c r="AM14" s="214" t="str">
        <f>Table1[[#This Row],[2019 Scope 2 ]]</f>
        <v>#ERROR!</v>
      </c>
      <c r="AN14" s="215" t="str">
        <f t="shared" si="3"/>
        <v>#ERROR!</v>
      </c>
      <c r="AO14" s="216" t="str">
        <f t="shared" si="4"/>
        <v>#ERROR!</v>
      </c>
      <c r="AP14" s="215" t="str">
        <f t="shared" si="5"/>
        <v>#ERROR!</v>
      </c>
      <c r="AQ14" s="216" t="str">
        <f t="shared" si="6"/>
        <v>#ERROR!</v>
      </c>
      <c r="AR14" s="217" t="str">
        <f>Table1[[#This Row],[2019 Scope 3 ]]</f>
        <v>#ERROR!</v>
      </c>
      <c r="AS14" s="218" t="str">
        <f t="shared" si="7"/>
        <v>#ERROR!</v>
      </c>
      <c r="AT14" s="219" t="str">
        <f t="shared" si="8"/>
        <v>#ERROR!</v>
      </c>
      <c r="BI14" s="4">
        <v>716.0</v>
      </c>
    </row>
    <row r="15" ht="12.75" customHeight="1">
      <c r="A15" s="5">
        <f>companies!A15</f>
        <v>14</v>
      </c>
      <c r="B15" s="200" t="s">
        <v>1254</v>
      </c>
      <c r="C15" s="211">
        <v>45400.0</v>
      </c>
      <c r="D15" s="211">
        <v>36250.0</v>
      </c>
      <c r="E15" s="211">
        <v>36250.0</v>
      </c>
      <c r="F15" s="211"/>
      <c r="G15" s="211"/>
      <c r="H15" s="211"/>
      <c r="I15" s="211"/>
      <c r="J15" s="211"/>
      <c r="K15" s="211"/>
      <c r="L15" s="211"/>
      <c r="M15" s="212"/>
      <c r="N15" s="212"/>
      <c r="O15" s="212"/>
      <c r="P15" s="212"/>
      <c r="Q15" s="212"/>
      <c r="R15" s="211"/>
      <c r="S15" s="212"/>
      <c r="T15" s="212"/>
      <c r="U15" s="212"/>
      <c r="V15" s="212"/>
      <c r="W15" s="211">
        <v>293440.0</v>
      </c>
      <c r="X15" s="200">
        <v>36250.0</v>
      </c>
      <c r="Y15" s="200">
        <v>375090.0</v>
      </c>
      <c r="Z15" s="200"/>
      <c r="AA15" s="200"/>
      <c r="AB15" s="200"/>
      <c r="AC15" s="200"/>
      <c r="AD15" s="213" t="s">
        <v>683</v>
      </c>
      <c r="AE15" s="213" t="s">
        <v>683</v>
      </c>
      <c r="AF15" s="214" t="str">
        <f>Table1[[#This Row],[2019 Scope 1 (MeT Co2)]]</f>
        <v>#ERROR!</v>
      </c>
      <c r="AG15" s="215" t="str">
        <f t="shared" si="1"/>
        <v>#ERROR!</v>
      </c>
      <c r="AH15" s="216" t="str">
        <f t="shared" si="2"/>
        <v>#ERROR!</v>
      </c>
      <c r="AI15" s="210"/>
      <c r="AJ15" s="210"/>
      <c r="AK15" s="213" t="s">
        <v>683</v>
      </c>
      <c r="AL15" s="213" t="s">
        <v>683</v>
      </c>
      <c r="AM15" s="214" t="str">
        <f>Table1[[#This Row],[2019 Scope 2 ]]</f>
        <v>#ERROR!</v>
      </c>
      <c r="AN15" s="215" t="str">
        <f t="shared" si="3"/>
        <v>#ERROR!</v>
      </c>
      <c r="AO15" s="216" t="str">
        <f t="shared" si="4"/>
        <v>#ERROR!</v>
      </c>
      <c r="AP15" s="215" t="str">
        <f t="shared" si="5"/>
        <v>#ERROR!</v>
      </c>
      <c r="AQ15" s="216" t="str">
        <f t="shared" si="6"/>
        <v>#ERROR!</v>
      </c>
      <c r="AR15" s="217" t="str">
        <f>Table1[[#This Row],[2019 Scope 3 ]]</f>
        <v>#ERROR!</v>
      </c>
      <c r="AS15" s="218" t="str">
        <f t="shared" si="7"/>
        <v>#ERROR!</v>
      </c>
      <c r="AT15" s="219" t="str">
        <f t="shared" si="8"/>
        <v>#ERROR!</v>
      </c>
      <c r="BI15" s="4">
        <v>865.0</v>
      </c>
    </row>
    <row r="16" ht="12.75" customHeight="1">
      <c r="A16" s="5">
        <f>companies!A16</f>
        <v>15</v>
      </c>
      <c r="B16" s="200" t="s">
        <v>1254</v>
      </c>
      <c r="C16" s="211">
        <v>1070000.0</v>
      </c>
      <c r="D16" s="211">
        <v>6950000.0</v>
      </c>
      <c r="E16" s="211">
        <v>6950000.0</v>
      </c>
      <c r="F16" s="211"/>
      <c r="G16" s="211"/>
      <c r="H16" s="211"/>
      <c r="I16" s="211"/>
      <c r="J16" s="211"/>
      <c r="K16" s="211"/>
      <c r="L16" s="211"/>
      <c r="M16" s="212"/>
      <c r="N16" s="212"/>
      <c r="O16" s="212"/>
      <c r="P16" s="212"/>
      <c r="Q16" s="212"/>
      <c r="R16" s="211"/>
      <c r="S16" s="212"/>
      <c r="T16" s="212"/>
      <c r="U16" s="212"/>
      <c r="V16" s="212"/>
      <c r="W16" s="211">
        <v>3620000.0</v>
      </c>
      <c r="X16" s="200">
        <v>6950000.0</v>
      </c>
      <c r="Y16" s="200">
        <v>1.164E7</v>
      </c>
      <c r="Z16" s="200"/>
      <c r="AA16" s="200"/>
      <c r="AB16" s="200"/>
      <c r="AC16" s="200"/>
      <c r="AD16" s="213" t="s">
        <v>683</v>
      </c>
      <c r="AE16" s="213" t="s">
        <v>683</v>
      </c>
      <c r="AF16" s="214" t="str">
        <f>Table1[[#This Row],[2019 Scope 1 (MeT Co2)]]</f>
        <v>#ERROR!</v>
      </c>
      <c r="AG16" s="215" t="str">
        <f t="shared" si="1"/>
        <v>#ERROR!</v>
      </c>
      <c r="AH16" s="216" t="str">
        <f t="shared" si="2"/>
        <v>#ERROR!</v>
      </c>
      <c r="AI16" s="210"/>
      <c r="AJ16" s="210"/>
      <c r="AK16" s="213" t="s">
        <v>683</v>
      </c>
      <c r="AL16" s="213" t="s">
        <v>683</v>
      </c>
      <c r="AM16" s="214" t="str">
        <f>Table1[[#This Row],[2019 Scope 2 ]]</f>
        <v>#ERROR!</v>
      </c>
      <c r="AN16" s="215" t="str">
        <f t="shared" si="3"/>
        <v>#ERROR!</v>
      </c>
      <c r="AO16" s="216" t="str">
        <f t="shared" si="4"/>
        <v>#ERROR!</v>
      </c>
      <c r="AP16" s="215" t="str">
        <f t="shared" si="5"/>
        <v>#ERROR!</v>
      </c>
      <c r="AQ16" s="216" t="str">
        <f t="shared" si="6"/>
        <v>#ERROR!</v>
      </c>
      <c r="AR16" s="217" t="str">
        <f>Table1[[#This Row],[2019 Scope 3 ]]</f>
        <v>#ERROR!</v>
      </c>
      <c r="AS16" s="218" t="str">
        <f t="shared" si="7"/>
        <v>#ERROR!</v>
      </c>
      <c r="AT16" s="219" t="str">
        <f t="shared" si="8"/>
        <v>#ERROR!</v>
      </c>
      <c r="BI16" s="200">
        <v>1113.0</v>
      </c>
    </row>
    <row r="17" ht="12.75" customHeight="1">
      <c r="A17" s="5">
        <f>companies!A17</f>
        <v>16</v>
      </c>
      <c r="B17" s="200" t="s">
        <v>1254</v>
      </c>
      <c r="C17" s="211">
        <v>82298.0</v>
      </c>
      <c r="D17" s="211">
        <v>173512.0</v>
      </c>
      <c r="E17" s="211">
        <v>173512.0</v>
      </c>
      <c r="F17" s="211"/>
      <c r="G17" s="211"/>
      <c r="H17" s="211"/>
      <c r="I17" s="211"/>
      <c r="J17" s="211"/>
      <c r="K17" s="211"/>
      <c r="L17" s="211"/>
      <c r="M17" s="212"/>
      <c r="N17" s="212"/>
      <c r="O17" s="212"/>
      <c r="P17" s="212"/>
      <c r="Q17" s="212"/>
      <c r="R17" s="211"/>
      <c r="S17" s="212"/>
      <c r="T17" s="212"/>
      <c r="U17" s="212"/>
      <c r="V17" s="212"/>
      <c r="W17" s="211">
        <v>0.0</v>
      </c>
      <c r="X17" s="200">
        <v>173512.0</v>
      </c>
      <c r="Y17" s="200">
        <v>255810.0</v>
      </c>
      <c r="Z17" s="200"/>
      <c r="AA17" s="200"/>
      <c r="AB17" s="200"/>
      <c r="AC17" s="200"/>
      <c r="AD17" s="213" t="s">
        <v>683</v>
      </c>
      <c r="AE17" s="213" t="s">
        <v>683</v>
      </c>
      <c r="AF17" s="214" t="str">
        <f>Table1[[#This Row],[2019 Scope 1 (MeT Co2)]]</f>
        <v>#ERROR!</v>
      </c>
      <c r="AG17" s="215" t="str">
        <f t="shared" si="1"/>
        <v>#ERROR!</v>
      </c>
      <c r="AH17" s="216" t="str">
        <f t="shared" si="2"/>
        <v>#ERROR!</v>
      </c>
      <c r="AI17" s="210"/>
      <c r="AJ17" s="210"/>
      <c r="AK17" s="213" t="s">
        <v>683</v>
      </c>
      <c r="AL17" s="213" t="s">
        <v>683</v>
      </c>
      <c r="AM17" s="214" t="str">
        <f>Table1[[#This Row],[2019 Scope 2 ]]</f>
        <v>#ERROR!</v>
      </c>
      <c r="AN17" s="215" t="str">
        <f t="shared" si="3"/>
        <v>#ERROR!</v>
      </c>
      <c r="AO17" s="216" t="str">
        <f t="shared" si="4"/>
        <v>#ERROR!</v>
      </c>
      <c r="AP17" s="215" t="str">
        <f t="shared" si="5"/>
        <v>#ERROR!</v>
      </c>
      <c r="AQ17" s="216" t="str">
        <f t="shared" si="6"/>
        <v>#ERROR!</v>
      </c>
      <c r="AR17" s="217" t="str">
        <f>Table1[[#This Row],[2019 Scope 3 ]]</f>
        <v>#ERROR!</v>
      </c>
      <c r="AS17" s="218" t="str">
        <f t="shared" si="7"/>
        <v>#ERROR!</v>
      </c>
      <c r="AT17" s="219" t="str">
        <f t="shared" si="8"/>
        <v>#ERROR!</v>
      </c>
      <c r="BI17" s="4">
        <v>1452.0</v>
      </c>
    </row>
    <row r="18" ht="12.75" customHeight="1">
      <c r="A18" s="5">
        <f>companies!A18</f>
        <v>17</v>
      </c>
      <c r="B18" s="200" t="s">
        <v>1254</v>
      </c>
      <c r="C18" s="211" t="s">
        <v>536</v>
      </c>
      <c r="D18" s="211" t="s">
        <v>536</v>
      </c>
      <c r="E18" s="211" t="s">
        <v>536</v>
      </c>
      <c r="F18" s="211"/>
      <c r="G18" s="211"/>
      <c r="H18" s="211"/>
      <c r="I18" s="211"/>
      <c r="J18" s="211"/>
      <c r="K18" s="211"/>
      <c r="L18" s="211"/>
      <c r="M18" s="212"/>
      <c r="N18" s="212"/>
      <c r="O18" s="212"/>
      <c r="P18" s="212"/>
      <c r="Q18" s="212"/>
      <c r="R18" s="211"/>
      <c r="S18" s="212"/>
      <c r="T18" s="212"/>
      <c r="U18" s="212"/>
      <c r="V18" s="212"/>
      <c r="W18" s="211" t="s">
        <v>536</v>
      </c>
      <c r="X18" s="200">
        <v>0.0</v>
      </c>
      <c r="Y18" s="200"/>
      <c r="Z18" s="213"/>
      <c r="AA18" s="213"/>
      <c r="AB18" s="213"/>
      <c r="AC18" s="213"/>
      <c r="AD18" s="213" t="e">
        <v>#N/A</v>
      </c>
      <c r="AE18" s="213" t="e">
        <v>#N/A</v>
      </c>
      <c r="AF18" s="214" t="str">
        <f>Table1[[#This Row],[2019 Scope 1 (MeT Co2)]]</f>
        <v>#ERROR!</v>
      </c>
      <c r="AG18" s="215" t="str">
        <f t="shared" si="1"/>
        <v>#ERROR!</v>
      </c>
      <c r="AH18" s="216" t="str">
        <f t="shared" si="2"/>
        <v>#ERROR!</v>
      </c>
      <c r="AI18" s="210"/>
      <c r="AJ18" s="210"/>
      <c r="AK18" s="213" t="e">
        <v>#N/A</v>
      </c>
      <c r="AL18" s="213" t="e">
        <v>#N/A</v>
      </c>
      <c r="AM18" s="214" t="str">
        <f>Table1[[#This Row],[2019 Scope 2 ]]</f>
        <v>#ERROR!</v>
      </c>
      <c r="AN18" s="215" t="str">
        <f t="shared" si="3"/>
        <v>#ERROR!</v>
      </c>
      <c r="AO18" s="216" t="str">
        <f t="shared" si="4"/>
        <v>#ERROR!</v>
      </c>
      <c r="AP18" s="215" t="str">
        <f t="shared" si="5"/>
        <v>#ERROR!</v>
      </c>
      <c r="AQ18" s="216" t="str">
        <f t="shared" si="6"/>
        <v>#ERROR!</v>
      </c>
      <c r="AR18" s="217" t="str">
        <f>Table1[[#This Row],[2019 Scope 3 ]]</f>
        <v>#ERROR!</v>
      </c>
      <c r="AS18" s="218" t="str">
        <f t="shared" si="7"/>
        <v>#ERROR!</v>
      </c>
      <c r="AT18" s="219" t="str">
        <f t="shared" si="8"/>
        <v>#ERROR!</v>
      </c>
    </row>
    <row r="19" ht="12.75" customHeight="1">
      <c r="A19" s="5">
        <f>companies!A19</f>
        <v>18</v>
      </c>
      <c r="B19" s="200" t="s">
        <v>1254</v>
      </c>
      <c r="C19" s="211">
        <v>61616.0</v>
      </c>
      <c r="D19" s="211">
        <v>42408.0</v>
      </c>
      <c r="E19" s="211">
        <v>42408.0</v>
      </c>
      <c r="F19" s="211"/>
      <c r="G19" s="211"/>
      <c r="H19" s="211"/>
      <c r="I19" s="211"/>
      <c r="J19" s="211"/>
      <c r="K19" s="211"/>
      <c r="L19" s="211"/>
      <c r="M19" s="212"/>
      <c r="N19" s="212"/>
      <c r="O19" s="212"/>
      <c r="P19" s="212"/>
      <c r="Q19" s="212"/>
      <c r="R19" s="211"/>
      <c r="S19" s="212"/>
      <c r="T19" s="212"/>
      <c r="U19" s="212"/>
      <c r="V19" s="212"/>
      <c r="W19" s="211">
        <v>436265.0</v>
      </c>
      <c r="X19" s="200">
        <v>42408.0</v>
      </c>
      <c r="Y19" s="200">
        <v>540289.0</v>
      </c>
      <c r="Z19" s="200"/>
      <c r="AA19" s="200"/>
      <c r="AB19" s="200"/>
      <c r="AC19" s="200"/>
      <c r="AD19" s="213" t="s">
        <v>683</v>
      </c>
      <c r="AE19" s="213" t="s">
        <v>683</v>
      </c>
      <c r="AF19" s="214" t="str">
        <f>Table1[[#This Row],[2019 Scope 1 (MeT Co2)]]</f>
        <v>#ERROR!</v>
      </c>
      <c r="AG19" s="215" t="str">
        <f t="shared" si="1"/>
        <v>#ERROR!</v>
      </c>
      <c r="AH19" s="216" t="str">
        <f t="shared" si="2"/>
        <v>#ERROR!</v>
      </c>
      <c r="AI19" s="210"/>
      <c r="AJ19" s="210"/>
      <c r="AK19" s="213" t="s">
        <v>683</v>
      </c>
      <c r="AL19" s="213" t="s">
        <v>683</v>
      </c>
      <c r="AM19" s="214" t="str">
        <f>Table1[[#This Row],[2019 Scope 2 ]]</f>
        <v>#ERROR!</v>
      </c>
      <c r="AN19" s="215" t="str">
        <f t="shared" si="3"/>
        <v>#ERROR!</v>
      </c>
      <c r="AO19" s="216" t="str">
        <f t="shared" si="4"/>
        <v>#ERROR!</v>
      </c>
      <c r="AP19" s="215" t="str">
        <f t="shared" si="5"/>
        <v>#ERROR!</v>
      </c>
      <c r="AQ19" s="216" t="str">
        <f t="shared" si="6"/>
        <v>#ERROR!</v>
      </c>
      <c r="AR19" s="217" t="str">
        <f>Table1[[#This Row],[2019 Scope 3 ]]</f>
        <v>#ERROR!</v>
      </c>
      <c r="AS19" s="218" t="str">
        <f t="shared" si="7"/>
        <v>#ERROR!</v>
      </c>
      <c r="AT19" s="219" t="str">
        <f t="shared" si="8"/>
        <v>#ERROR!</v>
      </c>
      <c r="BI19" s="4">
        <v>1857.0</v>
      </c>
    </row>
    <row r="20" ht="12.75" customHeight="1">
      <c r="A20" s="5">
        <f>companies!A20</f>
        <v>19</v>
      </c>
      <c r="B20" s="200" t="s">
        <v>1254</v>
      </c>
      <c r="C20" s="211">
        <v>5016.0</v>
      </c>
      <c r="D20" s="211">
        <v>22135.0</v>
      </c>
      <c r="E20" s="211">
        <v>22135.0</v>
      </c>
      <c r="F20" s="211"/>
      <c r="G20" s="211"/>
      <c r="H20" s="211"/>
      <c r="I20" s="211"/>
      <c r="J20" s="211"/>
      <c r="K20" s="211"/>
      <c r="L20" s="211"/>
      <c r="M20" s="212"/>
      <c r="N20" s="212"/>
      <c r="O20" s="212"/>
      <c r="P20" s="212"/>
      <c r="Q20" s="212"/>
      <c r="R20" s="211"/>
      <c r="S20" s="212"/>
      <c r="T20" s="212"/>
      <c r="U20" s="212"/>
      <c r="V20" s="212"/>
      <c r="W20" s="211">
        <v>38684.799999999996</v>
      </c>
      <c r="X20" s="200">
        <v>22135.0</v>
      </c>
      <c r="Y20" s="200">
        <v>65835.79999999999</v>
      </c>
      <c r="Z20" s="200"/>
      <c r="AA20" s="200"/>
      <c r="AB20" s="200"/>
      <c r="AC20" s="200"/>
      <c r="AD20" s="213" t="s">
        <v>683</v>
      </c>
      <c r="AE20" s="213" t="s">
        <v>683</v>
      </c>
      <c r="AF20" s="214" t="str">
        <f>Table1[[#This Row],[2019 Scope 1 (MeT Co2)]]</f>
        <v>#ERROR!</v>
      </c>
      <c r="AG20" s="215" t="str">
        <f t="shared" si="1"/>
        <v>#ERROR!</v>
      </c>
      <c r="AH20" s="216" t="str">
        <f t="shared" si="2"/>
        <v>#ERROR!</v>
      </c>
      <c r="AI20" s="210"/>
      <c r="AJ20" s="210"/>
      <c r="AK20" s="213" t="s">
        <v>683</v>
      </c>
      <c r="AL20" s="213" t="s">
        <v>683</v>
      </c>
      <c r="AM20" s="214" t="str">
        <f>Table1[[#This Row],[2019 Scope 2 ]]</f>
        <v>#ERROR!</v>
      </c>
      <c r="AN20" s="215" t="str">
        <f t="shared" si="3"/>
        <v>#ERROR!</v>
      </c>
      <c r="AO20" s="216" t="str">
        <f t="shared" si="4"/>
        <v>#ERROR!</v>
      </c>
      <c r="AP20" s="215" t="str">
        <f t="shared" si="5"/>
        <v>#ERROR!</v>
      </c>
      <c r="AQ20" s="216" t="str">
        <f t="shared" si="6"/>
        <v>#ERROR!</v>
      </c>
      <c r="AR20" s="217" t="str">
        <f>Table1[[#This Row],[2019 Scope 3 ]]</f>
        <v>#ERROR!</v>
      </c>
      <c r="AS20" s="218" t="str">
        <f t="shared" si="7"/>
        <v>#ERROR!</v>
      </c>
      <c r="AT20" s="219" t="str">
        <f t="shared" si="8"/>
        <v>#ERROR!</v>
      </c>
      <c r="BI20" s="4">
        <v>1875.0</v>
      </c>
    </row>
    <row r="21" ht="12.75" customHeight="1">
      <c r="A21" s="5">
        <f>companies!A21</f>
        <v>20</v>
      </c>
      <c r="B21" s="200" t="s">
        <v>1254</v>
      </c>
      <c r="C21" s="211">
        <v>626000.0</v>
      </c>
      <c r="D21" s="211">
        <v>896000.0</v>
      </c>
      <c r="E21" s="211">
        <v>896000.0</v>
      </c>
      <c r="F21" s="211"/>
      <c r="G21" s="211"/>
      <c r="H21" s="211"/>
      <c r="I21" s="211"/>
      <c r="J21" s="211"/>
      <c r="K21" s="211"/>
      <c r="L21" s="211"/>
      <c r="M21" s="212"/>
      <c r="N21" s="212"/>
      <c r="O21" s="212"/>
      <c r="P21" s="212"/>
      <c r="Q21" s="212"/>
      <c r="R21" s="211"/>
      <c r="S21" s="212"/>
      <c r="T21" s="212"/>
      <c r="U21" s="212"/>
      <c r="V21" s="212"/>
      <c r="W21" s="211">
        <v>285000.0</v>
      </c>
      <c r="X21" s="200">
        <v>896000.0</v>
      </c>
      <c r="Y21" s="200">
        <v>1807000.0</v>
      </c>
      <c r="Z21" s="200"/>
      <c r="AA21" s="200"/>
      <c r="AB21" s="200"/>
      <c r="AC21" s="200"/>
      <c r="AD21" s="213" t="s">
        <v>683</v>
      </c>
      <c r="AE21" s="213" t="s">
        <v>683</v>
      </c>
      <c r="AF21" s="214" t="str">
        <f>Table1[[#This Row],[2019 Scope 1 (MeT Co2)]]</f>
        <v>#ERROR!</v>
      </c>
      <c r="AG21" s="215" t="str">
        <f t="shared" si="1"/>
        <v>#ERROR!</v>
      </c>
      <c r="AH21" s="216" t="str">
        <f t="shared" si="2"/>
        <v>#ERROR!</v>
      </c>
      <c r="AI21" s="210"/>
      <c r="AJ21" s="210"/>
      <c r="AK21" s="213" t="s">
        <v>683</v>
      </c>
      <c r="AL21" s="213" t="s">
        <v>683</v>
      </c>
      <c r="AM21" s="214" t="str">
        <f>Table1[[#This Row],[2019 Scope 2 ]]</f>
        <v>#ERROR!</v>
      </c>
      <c r="AN21" s="215" t="str">
        <f t="shared" si="3"/>
        <v>#ERROR!</v>
      </c>
      <c r="AO21" s="216" t="str">
        <f t="shared" si="4"/>
        <v>#ERROR!</v>
      </c>
      <c r="AP21" s="215" t="str">
        <f t="shared" si="5"/>
        <v>#ERROR!</v>
      </c>
      <c r="AQ21" s="216" t="str">
        <f t="shared" si="6"/>
        <v>#ERROR!</v>
      </c>
      <c r="AR21" s="217" t="str">
        <f>Table1[[#This Row],[2019 Scope 3 ]]</f>
        <v>#ERROR!</v>
      </c>
      <c r="AS21" s="218" t="str">
        <f t="shared" si="7"/>
        <v>#ERROR!</v>
      </c>
      <c r="AT21" s="219" t="str">
        <f t="shared" si="8"/>
        <v>#ERROR!</v>
      </c>
      <c r="BI21" s="4">
        <v>2017.0</v>
      </c>
    </row>
    <row r="22" ht="12.75" customHeight="1">
      <c r="A22" s="5">
        <f>companies!A22</f>
        <v>21</v>
      </c>
      <c r="B22" s="200" t="s">
        <v>1254</v>
      </c>
      <c r="C22" s="211">
        <v>3372.0</v>
      </c>
      <c r="D22" s="211">
        <v>47963.0</v>
      </c>
      <c r="E22" s="211">
        <v>47963.0</v>
      </c>
      <c r="F22" s="211"/>
      <c r="G22" s="211"/>
      <c r="H22" s="211"/>
      <c r="I22" s="211"/>
      <c r="J22" s="211"/>
      <c r="K22" s="211"/>
      <c r="L22" s="211"/>
      <c r="M22" s="212"/>
      <c r="N22" s="212"/>
      <c r="O22" s="212"/>
      <c r="P22" s="212"/>
      <c r="Q22" s="212"/>
      <c r="R22" s="211"/>
      <c r="S22" s="212"/>
      <c r="T22" s="212"/>
      <c r="U22" s="212"/>
      <c r="V22" s="212"/>
      <c r="W22" s="211" t="s">
        <v>536</v>
      </c>
      <c r="X22" s="200">
        <v>47963.0</v>
      </c>
      <c r="Y22" s="200"/>
      <c r="Z22" s="213"/>
      <c r="AA22" s="213"/>
      <c r="AB22" s="213"/>
      <c r="AC22" s="213"/>
      <c r="AD22" s="213" t="e">
        <v>#N/A</v>
      </c>
      <c r="AE22" s="213" t="e">
        <v>#N/A</v>
      </c>
      <c r="AF22" s="214" t="str">
        <f>Table1[[#This Row],[2019 Scope 1 (MeT Co2)]]</f>
        <v>#ERROR!</v>
      </c>
      <c r="AG22" s="215" t="str">
        <f t="shared" si="1"/>
        <v>#ERROR!</v>
      </c>
      <c r="AH22" s="216" t="str">
        <f t="shared" si="2"/>
        <v>#ERROR!</v>
      </c>
      <c r="AI22" s="210"/>
      <c r="AJ22" s="210"/>
      <c r="AK22" s="213" t="e">
        <v>#N/A</v>
      </c>
      <c r="AL22" s="213" t="e">
        <v>#N/A</v>
      </c>
      <c r="AM22" s="214" t="str">
        <f>Table1[[#This Row],[2019 Scope 2 ]]</f>
        <v>#ERROR!</v>
      </c>
      <c r="AN22" s="215" t="str">
        <f t="shared" si="3"/>
        <v>#ERROR!</v>
      </c>
      <c r="AO22" s="216" t="str">
        <f t="shared" si="4"/>
        <v>#ERROR!</v>
      </c>
      <c r="AP22" s="215" t="str">
        <f t="shared" si="5"/>
        <v>#ERROR!</v>
      </c>
      <c r="AQ22" s="216" t="str">
        <f t="shared" si="6"/>
        <v>#ERROR!</v>
      </c>
      <c r="AR22" s="217" t="str">
        <f>Table1[[#This Row],[2019 Scope 3 ]]</f>
        <v>#ERROR!</v>
      </c>
      <c r="AS22" s="218" t="str">
        <f t="shared" si="7"/>
        <v>#ERROR!</v>
      </c>
      <c r="AT22" s="219" t="str">
        <f t="shared" si="8"/>
        <v>#ERROR!</v>
      </c>
    </row>
    <row r="23" ht="12.75" customHeight="1">
      <c r="A23" s="5">
        <f>companies!A23</f>
        <v>22</v>
      </c>
      <c r="B23" s="200" t="s">
        <v>1254</v>
      </c>
      <c r="C23" s="211">
        <v>125000.0</v>
      </c>
      <c r="D23" s="211">
        <v>250000.0</v>
      </c>
      <c r="E23" s="211">
        <v>250000.0</v>
      </c>
      <c r="F23" s="211"/>
      <c r="G23" s="211"/>
      <c r="H23" s="211"/>
      <c r="I23" s="211"/>
      <c r="J23" s="211"/>
      <c r="K23" s="211"/>
      <c r="L23" s="211"/>
      <c r="M23" s="212"/>
      <c r="N23" s="212"/>
      <c r="O23" s="212"/>
      <c r="P23" s="212"/>
      <c r="Q23" s="212"/>
      <c r="R23" s="211"/>
      <c r="S23" s="212"/>
      <c r="T23" s="212"/>
      <c r="U23" s="212"/>
      <c r="V23" s="212"/>
      <c r="W23" s="211">
        <v>0.0</v>
      </c>
      <c r="X23" s="200">
        <v>250000.0</v>
      </c>
      <c r="Y23" s="200">
        <v>375000.0</v>
      </c>
      <c r="Z23" s="213"/>
      <c r="AA23" s="213"/>
      <c r="AB23" s="213"/>
      <c r="AC23" s="213"/>
      <c r="AD23" s="213" t="s">
        <v>683</v>
      </c>
      <c r="AE23" s="213" t="s">
        <v>683</v>
      </c>
      <c r="AF23" s="214" t="str">
        <f>Table1[[#This Row],[2019 Scope 1 (MeT Co2)]]</f>
        <v>#ERROR!</v>
      </c>
      <c r="AG23" s="215" t="str">
        <f t="shared" si="1"/>
        <v>#ERROR!</v>
      </c>
      <c r="AH23" s="216" t="str">
        <f t="shared" si="2"/>
        <v>#ERROR!</v>
      </c>
      <c r="AI23" s="210"/>
      <c r="AJ23" s="210"/>
      <c r="AK23" s="213" t="s">
        <v>683</v>
      </c>
      <c r="AL23" s="213" t="s">
        <v>683</v>
      </c>
      <c r="AM23" s="214" t="str">
        <f>Table1[[#This Row],[2019 Scope 2 ]]</f>
        <v>#ERROR!</v>
      </c>
      <c r="AN23" s="215" t="str">
        <f t="shared" si="3"/>
        <v>#ERROR!</v>
      </c>
      <c r="AO23" s="216" t="str">
        <f t="shared" si="4"/>
        <v>#ERROR!</v>
      </c>
      <c r="AP23" s="215" t="str">
        <f t="shared" si="5"/>
        <v>#ERROR!</v>
      </c>
      <c r="AQ23" s="216" t="str">
        <f t="shared" si="6"/>
        <v>#ERROR!</v>
      </c>
      <c r="AR23" s="217" t="str">
        <f>Table1[[#This Row],[2019 Scope 3 ]]</f>
        <v>#ERROR!</v>
      </c>
      <c r="AS23" s="218" t="str">
        <f t="shared" si="7"/>
        <v>#ERROR!</v>
      </c>
      <c r="AT23" s="219" t="str">
        <f t="shared" si="8"/>
        <v>#ERROR!</v>
      </c>
      <c r="BI23" s="4">
        <v>2191.0</v>
      </c>
    </row>
    <row r="24" ht="12.75" customHeight="1">
      <c r="A24" s="5">
        <f>companies!A24</f>
        <v>23</v>
      </c>
      <c r="B24" s="200" t="s">
        <v>1254</v>
      </c>
      <c r="C24" s="211">
        <v>11624.0</v>
      </c>
      <c r="D24" s="211">
        <v>150.0</v>
      </c>
      <c r="E24" s="211">
        <v>150.0</v>
      </c>
      <c r="F24" s="211"/>
      <c r="G24" s="211"/>
      <c r="H24" s="211"/>
      <c r="I24" s="211"/>
      <c r="J24" s="211"/>
      <c r="K24" s="211"/>
      <c r="L24" s="211"/>
      <c r="M24" s="212"/>
      <c r="N24" s="212"/>
      <c r="O24" s="212"/>
      <c r="P24" s="212"/>
      <c r="Q24" s="212"/>
      <c r="R24" s="211"/>
      <c r="S24" s="212"/>
      <c r="T24" s="212"/>
      <c r="U24" s="212"/>
      <c r="V24" s="212"/>
      <c r="W24" s="211">
        <v>215767.75</v>
      </c>
      <c r="X24" s="200">
        <v>150.0</v>
      </c>
      <c r="Y24" s="200">
        <v>227541.75</v>
      </c>
      <c r="Z24" s="200"/>
      <c r="AA24" s="200"/>
      <c r="AB24" s="200"/>
      <c r="AC24" s="200"/>
      <c r="AD24" s="213" t="s">
        <v>683</v>
      </c>
      <c r="AE24" s="213" t="s">
        <v>683</v>
      </c>
      <c r="AF24" s="214" t="str">
        <f>Table1[[#This Row],[2019 Scope 1 (MeT Co2)]]</f>
        <v>#ERROR!</v>
      </c>
      <c r="AG24" s="215" t="str">
        <f t="shared" si="1"/>
        <v>#ERROR!</v>
      </c>
      <c r="AH24" s="216" t="str">
        <f t="shared" si="2"/>
        <v>#ERROR!</v>
      </c>
      <c r="AI24" s="210"/>
      <c r="AJ24" s="210"/>
      <c r="AK24" s="213" t="s">
        <v>683</v>
      </c>
      <c r="AL24" s="213" t="s">
        <v>683</v>
      </c>
      <c r="AM24" s="214" t="str">
        <f>Table1[[#This Row],[2019 Scope 2 ]]</f>
        <v>#ERROR!</v>
      </c>
      <c r="AN24" s="215" t="str">
        <f t="shared" si="3"/>
        <v>#ERROR!</v>
      </c>
      <c r="AO24" s="216" t="str">
        <f t="shared" si="4"/>
        <v>#ERROR!</v>
      </c>
      <c r="AP24" s="215" t="str">
        <f t="shared" si="5"/>
        <v>#ERROR!</v>
      </c>
      <c r="AQ24" s="216" t="str">
        <f t="shared" si="6"/>
        <v>#ERROR!</v>
      </c>
      <c r="AR24" s="217" t="str">
        <f>Table1[[#This Row],[2019 Scope 3 ]]</f>
        <v>#ERROR!</v>
      </c>
      <c r="AS24" s="218" t="str">
        <f t="shared" si="7"/>
        <v>#ERROR!</v>
      </c>
      <c r="AT24" s="219" t="str">
        <f t="shared" si="8"/>
        <v>#ERROR!</v>
      </c>
      <c r="BI24" s="4">
        <v>2695.0</v>
      </c>
    </row>
    <row r="25" ht="12.75" customHeight="1">
      <c r="A25" s="5">
        <f>companies!A25</f>
        <v>24</v>
      </c>
      <c r="B25" s="200" t="s">
        <v>1254</v>
      </c>
      <c r="C25" s="211">
        <v>863000.0</v>
      </c>
      <c r="D25" s="211">
        <v>1256000.0</v>
      </c>
      <c r="E25" s="211">
        <v>1256000.0</v>
      </c>
      <c r="F25" s="211"/>
      <c r="G25" s="211"/>
      <c r="H25" s="211"/>
      <c r="I25" s="211"/>
      <c r="J25" s="211"/>
      <c r="K25" s="211"/>
      <c r="L25" s="211"/>
      <c r="M25" s="212"/>
      <c r="N25" s="212"/>
      <c r="O25" s="212"/>
      <c r="P25" s="212"/>
      <c r="Q25" s="212"/>
      <c r="R25" s="211"/>
      <c r="S25" s="212"/>
      <c r="T25" s="212"/>
      <c r="U25" s="212"/>
      <c r="V25" s="212"/>
      <c r="W25" s="211" t="s">
        <v>536</v>
      </c>
      <c r="X25" s="200">
        <v>1256000.0</v>
      </c>
      <c r="Y25" s="200"/>
      <c r="Z25" s="213"/>
      <c r="AA25" s="213"/>
      <c r="AB25" s="213"/>
      <c r="AC25" s="213"/>
      <c r="AD25" s="213" t="e">
        <v>#N/A</v>
      </c>
      <c r="AE25" s="213" t="e">
        <v>#N/A</v>
      </c>
      <c r="AF25" s="214" t="str">
        <f>Table1[[#This Row],[2019 Scope 1 (MeT Co2)]]</f>
        <v>#ERROR!</v>
      </c>
      <c r="AG25" s="215" t="str">
        <f t="shared" si="1"/>
        <v>#ERROR!</v>
      </c>
      <c r="AH25" s="216" t="str">
        <f t="shared" si="2"/>
        <v>#ERROR!</v>
      </c>
      <c r="AI25" s="210"/>
      <c r="AJ25" s="210"/>
      <c r="AK25" s="213" t="e">
        <v>#N/A</v>
      </c>
      <c r="AL25" s="213" t="e">
        <v>#N/A</v>
      </c>
      <c r="AM25" s="214" t="str">
        <f>Table1[[#This Row],[2019 Scope 2 ]]</f>
        <v>#ERROR!</v>
      </c>
      <c r="AN25" s="215" t="str">
        <f t="shared" si="3"/>
        <v>#ERROR!</v>
      </c>
      <c r="AO25" s="216" t="str">
        <f t="shared" si="4"/>
        <v>#ERROR!</v>
      </c>
      <c r="AP25" s="215" t="str">
        <f t="shared" si="5"/>
        <v>#ERROR!</v>
      </c>
      <c r="AQ25" s="216" t="str">
        <f t="shared" si="6"/>
        <v>#ERROR!</v>
      </c>
      <c r="AR25" s="217" t="str">
        <f>Table1[[#This Row],[2019 Scope 3 ]]</f>
        <v>#ERROR!</v>
      </c>
      <c r="AS25" s="218" t="str">
        <f t="shared" si="7"/>
        <v>#ERROR!</v>
      </c>
      <c r="AT25" s="219" t="str">
        <f t="shared" si="8"/>
        <v>#ERROR!</v>
      </c>
    </row>
    <row r="26" ht="12.75" customHeight="1">
      <c r="A26" s="5">
        <f>companies!A26</f>
        <v>25</v>
      </c>
      <c r="B26" s="200" t="s">
        <v>1254</v>
      </c>
      <c r="C26" s="211" t="s">
        <v>536</v>
      </c>
      <c r="D26" s="211" t="s">
        <v>536</v>
      </c>
      <c r="E26" s="211" t="s">
        <v>536</v>
      </c>
      <c r="F26" s="211"/>
      <c r="G26" s="211"/>
      <c r="H26" s="211"/>
      <c r="I26" s="211"/>
      <c r="J26" s="211"/>
      <c r="K26" s="211"/>
      <c r="L26" s="211"/>
      <c r="M26" s="212"/>
      <c r="N26" s="212"/>
      <c r="O26" s="212"/>
      <c r="P26" s="212"/>
      <c r="Q26" s="212"/>
      <c r="R26" s="211"/>
      <c r="S26" s="212"/>
      <c r="T26" s="212"/>
      <c r="U26" s="212"/>
      <c r="V26" s="212"/>
      <c r="W26" s="211" t="s">
        <v>536</v>
      </c>
      <c r="X26" s="200">
        <v>0.0</v>
      </c>
      <c r="Y26" s="200"/>
      <c r="Z26" s="213"/>
      <c r="AA26" s="213"/>
      <c r="AB26" s="213"/>
      <c r="AC26" s="213"/>
      <c r="AD26" s="213" t="e">
        <v>#N/A</v>
      </c>
      <c r="AE26" s="213" t="e">
        <v>#N/A</v>
      </c>
      <c r="AF26" s="214" t="str">
        <f>Table1[[#This Row],[2019 Scope 1 (MeT Co2)]]</f>
        <v>#ERROR!</v>
      </c>
      <c r="AG26" s="215" t="str">
        <f t="shared" si="1"/>
        <v>#ERROR!</v>
      </c>
      <c r="AH26" s="216" t="str">
        <f t="shared" si="2"/>
        <v>#ERROR!</v>
      </c>
      <c r="AI26" s="210"/>
      <c r="AJ26" s="210"/>
      <c r="AK26" s="213" t="e">
        <v>#N/A</v>
      </c>
      <c r="AL26" s="213" t="e">
        <v>#N/A</v>
      </c>
      <c r="AM26" s="214" t="str">
        <f>Table1[[#This Row],[2019 Scope 2 ]]</f>
        <v>#ERROR!</v>
      </c>
      <c r="AN26" s="215" t="str">
        <f t="shared" si="3"/>
        <v>#ERROR!</v>
      </c>
      <c r="AO26" s="216" t="str">
        <f t="shared" si="4"/>
        <v>#ERROR!</v>
      </c>
      <c r="AP26" s="215" t="str">
        <f t="shared" si="5"/>
        <v>#ERROR!</v>
      </c>
      <c r="AQ26" s="216" t="str">
        <f t="shared" si="6"/>
        <v>#ERROR!</v>
      </c>
      <c r="AR26" s="217" t="str">
        <f>Table1[[#This Row],[2019 Scope 3 ]]</f>
        <v>#ERROR!</v>
      </c>
      <c r="AS26" s="218" t="str">
        <f t="shared" si="7"/>
        <v>#ERROR!</v>
      </c>
      <c r="AT26" s="219" t="str">
        <f t="shared" si="8"/>
        <v>#ERROR!</v>
      </c>
    </row>
    <row r="27" ht="12.75" customHeight="1">
      <c r="A27" s="5">
        <f>companies!A27</f>
        <v>26</v>
      </c>
      <c r="B27" s="200" t="s">
        <v>1254</v>
      </c>
      <c r="C27" s="211">
        <v>5.6E7</v>
      </c>
      <c r="D27" s="211">
        <v>3000000.0</v>
      </c>
      <c r="E27" s="211">
        <v>3000000.0</v>
      </c>
      <c r="F27" s="211"/>
      <c r="G27" s="211"/>
      <c r="H27" s="211"/>
      <c r="I27" s="211"/>
      <c r="J27" s="211"/>
      <c r="K27" s="211"/>
      <c r="L27" s="211"/>
      <c r="M27" s="212"/>
      <c r="N27" s="212"/>
      <c r="O27" s="212"/>
      <c r="P27" s="212"/>
      <c r="Q27" s="212"/>
      <c r="R27" s="211"/>
      <c r="S27" s="212"/>
      <c r="T27" s="212"/>
      <c r="U27" s="212"/>
      <c r="V27" s="212"/>
      <c r="W27" s="211">
        <v>3.77E8</v>
      </c>
      <c r="X27" s="200">
        <v>3000000.0</v>
      </c>
      <c r="Y27" s="200">
        <v>4.36E8</v>
      </c>
      <c r="Z27" s="213"/>
      <c r="AA27" s="213"/>
      <c r="AB27" s="213"/>
      <c r="AC27" s="213"/>
      <c r="AD27" s="213" t="e">
        <v>#N/A</v>
      </c>
      <c r="AE27" s="213" t="e">
        <v>#N/A</v>
      </c>
      <c r="AF27" s="214" t="str">
        <f>Table1[[#This Row],[2019 Scope 1 (MeT Co2)]]</f>
        <v>#ERROR!</v>
      </c>
      <c r="AG27" s="215" t="str">
        <f t="shared" si="1"/>
        <v>#ERROR!</v>
      </c>
      <c r="AH27" s="216" t="str">
        <f t="shared" si="2"/>
        <v>#ERROR!</v>
      </c>
      <c r="AI27" s="210"/>
      <c r="AJ27" s="210"/>
      <c r="AK27" s="213" t="e">
        <v>#N/A</v>
      </c>
      <c r="AL27" s="213" t="e">
        <v>#N/A</v>
      </c>
      <c r="AM27" s="214" t="str">
        <f>Table1[[#This Row],[2019 Scope 2 ]]</f>
        <v>#ERROR!</v>
      </c>
      <c r="AN27" s="215" t="str">
        <f t="shared" si="3"/>
        <v>#ERROR!</v>
      </c>
      <c r="AO27" s="216" t="str">
        <f t="shared" si="4"/>
        <v>#ERROR!</v>
      </c>
      <c r="AP27" s="215" t="str">
        <f t="shared" si="5"/>
        <v>#ERROR!</v>
      </c>
      <c r="AQ27" s="216" t="str">
        <f t="shared" si="6"/>
        <v>#ERROR!</v>
      </c>
      <c r="AR27" s="217" t="str">
        <f>Table1[[#This Row],[2019 Scope 3 ]]</f>
        <v>#ERROR!</v>
      </c>
      <c r="AS27" s="218" t="str">
        <f t="shared" si="7"/>
        <v>#ERROR!</v>
      </c>
      <c r="AT27" s="219" t="str">
        <f t="shared" si="8"/>
        <v>#ERROR!</v>
      </c>
    </row>
    <row r="28" ht="12.75" customHeight="1">
      <c r="A28" s="5">
        <f>companies!A28</f>
        <v>27</v>
      </c>
      <c r="B28" s="200" t="s">
        <v>1254</v>
      </c>
      <c r="C28" s="211">
        <v>41926.0</v>
      </c>
      <c r="D28" s="211">
        <v>223558.0</v>
      </c>
      <c r="E28" s="211">
        <v>223558.0</v>
      </c>
      <c r="F28" s="211"/>
      <c r="G28" s="211"/>
      <c r="H28" s="211"/>
      <c r="I28" s="211"/>
      <c r="J28" s="211"/>
      <c r="K28" s="211"/>
      <c r="L28" s="211"/>
      <c r="M28" s="212"/>
      <c r="N28" s="212"/>
      <c r="O28" s="212"/>
      <c r="P28" s="212"/>
      <c r="Q28" s="212"/>
      <c r="R28" s="211"/>
      <c r="S28" s="212"/>
      <c r="T28" s="212"/>
      <c r="U28" s="212"/>
      <c r="V28" s="212"/>
      <c r="W28" s="211">
        <v>3.4545815E7</v>
      </c>
      <c r="X28" s="200">
        <v>223558.0</v>
      </c>
      <c r="Y28" s="200">
        <v>3.4811299E7</v>
      </c>
      <c r="Z28" s="200"/>
      <c r="AA28" s="200"/>
      <c r="AB28" s="200"/>
      <c r="AC28" s="200"/>
      <c r="AD28" s="213" t="s">
        <v>683</v>
      </c>
      <c r="AE28" s="213" t="s">
        <v>683</v>
      </c>
      <c r="AF28" s="214" t="str">
        <f>Table1[[#This Row],[2019 Scope 1 (MeT Co2)]]</f>
        <v>#ERROR!</v>
      </c>
      <c r="AG28" s="215" t="str">
        <f t="shared" si="1"/>
        <v>#ERROR!</v>
      </c>
      <c r="AH28" s="216" t="str">
        <f t="shared" si="2"/>
        <v>#ERROR!</v>
      </c>
      <c r="AI28" s="210"/>
      <c r="AJ28" s="210"/>
      <c r="AK28" s="213" t="s">
        <v>683</v>
      </c>
      <c r="AL28" s="213" t="s">
        <v>683</v>
      </c>
      <c r="AM28" s="214" t="str">
        <f>Table1[[#This Row],[2019 Scope 2 ]]</f>
        <v>#ERROR!</v>
      </c>
      <c r="AN28" s="215" t="str">
        <f t="shared" si="3"/>
        <v>#ERROR!</v>
      </c>
      <c r="AO28" s="216" t="str">
        <f t="shared" si="4"/>
        <v>#ERROR!</v>
      </c>
      <c r="AP28" s="215" t="str">
        <f t="shared" si="5"/>
        <v>#ERROR!</v>
      </c>
      <c r="AQ28" s="216" t="str">
        <f t="shared" si="6"/>
        <v>#ERROR!</v>
      </c>
      <c r="AR28" s="217" t="str">
        <f>Table1[[#This Row],[2019 Scope 3 ]]</f>
        <v>#ERROR!</v>
      </c>
      <c r="AS28" s="218" t="str">
        <f t="shared" si="7"/>
        <v>#ERROR!</v>
      </c>
      <c r="AT28" s="219" t="str">
        <f t="shared" si="8"/>
        <v>#ERROR!</v>
      </c>
      <c r="BI28" s="4">
        <v>3329.0</v>
      </c>
    </row>
    <row r="29" ht="12.75" customHeight="1">
      <c r="A29" s="5">
        <f>companies!A29</f>
        <v>28</v>
      </c>
      <c r="B29" s="200" t="s">
        <v>1254</v>
      </c>
      <c r="C29" s="211">
        <v>20951.0</v>
      </c>
      <c r="D29" s="211">
        <v>677636.0</v>
      </c>
      <c r="E29" s="211">
        <v>677636.0</v>
      </c>
      <c r="F29" s="211"/>
      <c r="G29" s="211"/>
      <c r="H29" s="211"/>
      <c r="I29" s="211"/>
      <c r="J29" s="211"/>
      <c r="K29" s="211"/>
      <c r="L29" s="211"/>
      <c r="M29" s="212"/>
      <c r="N29" s="212"/>
      <c r="O29" s="212"/>
      <c r="P29" s="212"/>
      <c r="Q29" s="212"/>
      <c r="R29" s="211"/>
      <c r="S29" s="212"/>
      <c r="T29" s="212"/>
      <c r="U29" s="212"/>
      <c r="V29" s="212"/>
      <c r="W29" s="211">
        <v>1.877061697E7</v>
      </c>
      <c r="X29" s="200">
        <v>677636.0</v>
      </c>
      <c r="Y29" s="200">
        <v>1.946920397E7</v>
      </c>
      <c r="Z29" s="200"/>
      <c r="AA29" s="200"/>
      <c r="AB29" s="200"/>
      <c r="AC29" s="200"/>
      <c r="AD29" s="213" t="s">
        <v>683</v>
      </c>
      <c r="AE29" s="213" t="s">
        <v>683</v>
      </c>
      <c r="AF29" s="214" t="str">
        <f>Table1[[#This Row],[2019 Scope 1 (MeT Co2)]]</f>
        <v>#ERROR!</v>
      </c>
      <c r="AG29" s="215" t="str">
        <f t="shared" si="1"/>
        <v>#ERROR!</v>
      </c>
      <c r="AH29" s="216" t="str">
        <f t="shared" si="2"/>
        <v>#ERROR!</v>
      </c>
      <c r="AI29" s="210"/>
      <c r="AJ29" s="210"/>
      <c r="AK29" s="213" t="s">
        <v>683</v>
      </c>
      <c r="AL29" s="213" t="s">
        <v>683</v>
      </c>
      <c r="AM29" s="214" t="str">
        <f>Table1[[#This Row],[2019 Scope 2 ]]</f>
        <v>#ERROR!</v>
      </c>
      <c r="AN29" s="215" t="str">
        <f t="shared" si="3"/>
        <v>#ERROR!</v>
      </c>
      <c r="AO29" s="216" t="str">
        <f t="shared" si="4"/>
        <v>#ERROR!</v>
      </c>
      <c r="AP29" s="215" t="str">
        <f t="shared" si="5"/>
        <v>#ERROR!</v>
      </c>
      <c r="AQ29" s="216" t="str">
        <f t="shared" si="6"/>
        <v>#ERROR!</v>
      </c>
      <c r="AR29" s="217" t="str">
        <f>Table1[[#This Row],[2019 Scope 3 ]]</f>
        <v>#ERROR!</v>
      </c>
      <c r="AS29" s="218" t="str">
        <f t="shared" si="7"/>
        <v>#ERROR!</v>
      </c>
      <c r="AT29" s="219" t="str">
        <f t="shared" si="8"/>
        <v>#ERROR!</v>
      </c>
      <c r="BI29" s="4">
        <v>3398.0</v>
      </c>
    </row>
    <row r="30" ht="12.75" customHeight="1">
      <c r="A30" s="5">
        <f>companies!A30</f>
        <v>29</v>
      </c>
      <c r="B30" s="200" t="s">
        <v>1254</v>
      </c>
      <c r="C30" s="211">
        <v>1780000.0</v>
      </c>
      <c r="D30" s="211">
        <v>3760000.0</v>
      </c>
      <c r="E30" s="211">
        <v>3760000.0</v>
      </c>
      <c r="F30" s="211"/>
      <c r="G30" s="211"/>
      <c r="H30" s="211"/>
      <c r="I30" s="211"/>
      <c r="J30" s="211"/>
      <c r="K30" s="211"/>
      <c r="L30" s="211"/>
      <c r="M30" s="212"/>
      <c r="N30" s="212"/>
      <c r="O30" s="212"/>
      <c r="P30" s="212"/>
      <c r="Q30" s="212"/>
      <c r="R30" s="211"/>
      <c r="S30" s="212"/>
      <c r="T30" s="212"/>
      <c r="U30" s="212"/>
      <c r="V30" s="212"/>
      <c r="W30" s="211" t="s">
        <v>536</v>
      </c>
      <c r="X30" s="200">
        <v>3760000.0</v>
      </c>
      <c r="Y30" s="200"/>
      <c r="Z30" s="200"/>
      <c r="AA30" s="200"/>
      <c r="AB30" s="200"/>
      <c r="AC30" s="200"/>
      <c r="AD30" s="213" t="s">
        <v>683</v>
      </c>
      <c r="AE30" s="213" t="s">
        <v>683</v>
      </c>
      <c r="AF30" s="214" t="str">
        <f>Table1[[#This Row],[2019 Scope 1 (MeT Co2)]]</f>
        <v>#ERROR!</v>
      </c>
      <c r="AG30" s="215" t="str">
        <f t="shared" si="1"/>
        <v>#ERROR!</v>
      </c>
      <c r="AH30" s="220" t="str">
        <f t="shared" si="2"/>
        <v>#ERROR!</v>
      </c>
      <c r="AI30" s="210"/>
      <c r="AJ30" s="210"/>
      <c r="AK30" s="213" t="s">
        <v>683</v>
      </c>
      <c r="AL30" s="213" t="s">
        <v>683</v>
      </c>
      <c r="AM30" s="214" t="str">
        <f>Table1[[#This Row],[2019 Scope 2 ]]</f>
        <v>#ERROR!</v>
      </c>
      <c r="AN30" s="215" t="str">
        <f t="shared" si="3"/>
        <v>#ERROR!</v>
      </c>
      <c r="AO30" s="220" t="str">
        <f t="shared" si="4"/>
        <v>#ERROR!</v>
      </c>
      <c r="AP30" s="215" t="str">
        <f t="shared" si="5"/>
        <v>#ERROR!</v>
      </c>
      <c r="AQ30" s="220" t="str">
        <f t="shared" si="6"/>
        <v>#ERROR!</v>
      </c>
      <c r="AR30" s="217" t="str">
        <f>Table1[[#This Row],[2019 Scope 3 ]]</f>
        <v>#ERROR!</v>
      </c>
      <c r="AS30" s="218" t="str">
        <f t="shared" si="7"/>
        <v>#ERROR!</v>
      </c>
      <c r="AT30" s="219" t="str">
        <f t="shared" si="8"/>
        <v>#ERROR!</v>
      </c>
      <c r="BI30" s="200">
        <v>3564.0</v>
      </c>
    </row>
    <row r="31" ht="12.75" customHeight="1">
      <c r="A31" s="5">
        <f>companies!A31</f>
        <v>30</v>
      </c>
      <c r="B31" s="200" t="s">
        <v>1254</v>
      </c>
      <c r="C31" s="211">
        <v>195000.0</v>
      </c>
      <c r="D31" s="211">
        <v>316000.0</v>
      </c>
      <c r="E31" s="211">
        <v>316000.0</v>
      </c>
      <c r="F31" s="211"/>
      <c r="G31" s="211"/>
      <c r="H31" s="211"/>
      <c r="I31" s="211"/>
      <c r="J31" s="211"/>
      <c r="K31" s="211"/>
      <c r="L31" s="211"/>
      <c r="M31" s="212"/>
      <c r="N31" s="212"/>
      <c r="O31" s="212"/>
      <c r="P31" s="212"/>
      <c r="Q31" s="212"/>
      <c r="R31" s="211"/>
      <c r="S31" s="212"/>
      <c r="T31" s="212"/>
      <c r="U31" s="212"/>
      <c r="V31" s="212"/>
      <c r="W31" s="211">
        <v>5.157E7</v>
      </c>
      <c r="X31" s="200">
        <v>316000.0</v>
      </c>
      <c r="Y31" s="200">
        <v>5.2081E7</v>
      </c>
      <c r="Z31" s="200"/>
      <c r="AA31" s="200"/>
      <c r="AB31" s="200"/>
      <c r="AC31" s="200"/>
      <c r="AD31" s="213" t="s">
        <v>683</v>
      </c>
      <c r="AE31" s="213" t="s">
        <v>683</v>
      </c>
      <c r="AF31" s="214" t="str">
        <f>Table1[[#This Row],[2019 Scope 1 (MeT Co2)]]</f>
        <v>#ERROR!</v>
      </c>
      <c r="AG31" s="215" t="str">
        <f t="shared" si="1"/>
        <v>#ERROR!</v>
      </c>
      <c r="AH31" s="216" t="str">
        <f t="shared" si="2"/>
        <v>#ERROR!</v>
      </c>
      <c r="AI31" s="210"/>
      <c r="AJ31" s="210"/>
      <c r="AK31" s="213" t="s">
        <v>683</v>
      </c>
      <c r="AL31" s="213" t="s">
        <v>683</v>
      </c>
      <c r="AM31" s="214" t="str">
        <f>Table1[[#This Row],[2019 Scope 2 ]]</f>
        <v>#ERROR!</v>
      </c>
      <c r="AN31" s="215" t="str">
        <f t="shared" si="3"/>
        <v>#ERROR!</v>
      </c>
      <c r="AO31" s="216" t="str">
        <f t="shared" si="4"/>
        <v>#ERROR!</v>
      </c>
      <c r="AP31" s="215" t="str">
        <f t="shared" si="5"/>
        <v>#ERROR!</v>
      </c>
      <c r="AQ31" s="216" t="str">
        <f t="shared" si="6"/>
        <v>#ERROR!</v>
      </c>
      <c r="AR31" s="217" t="str">
        <f>Table1[[#This Row],[2019 Scope 3 ]]</f>
        <v>#ERROR!</v>
      </c>
      <c r="AS31" s="218" t="str">
        <f t="shared" si="7"/>
        <v>#ERROR!</v>
      </c>
      <c r="AT31" s="219" t="str">
        <f t="shared" si="8"/>
        <v>#ERROR!</v>
      </c>
      <c r="BI31" s="200">
        <v>3551.0</v>
      </c>
    </row>
    <row r="32" ht="12.75" customHeight="1">
      <c r="A32" s="5">
        <f>companies!A32</f>
        <v>31</v>
      </c>
      <c r="B32" s="200" t="s">
        <v>1254</v>
      </c>
      <c r="C32" s="211">
        <v>513316.0</v>
      </c>
      <c r="D32" s="211">
        <v>1491298.0</v>
      </c>
      <c r="E32" s="211">
        <v>1491298.0</v>
      </c>
      <c r="F32" s="211"/>
      <c r="G32" s="211"/>
      <c r="H32" s="211"/>
      <c r="I32" s="211"/>
      <c r="J32" s="211"/>
      <c r="K32" s="211"/>
      <c r="L32" s="211"/>
      <c r="M32" s="212"/>
      <c r="N32" s="212"/>
      <c r="O32" s="212"/>
      <c r="P32" s="212"/>
      <c r="Q32" s="212"/>
      <c r="R32" s="211"/>
      <c r="S32" s="212"/>
      <c r="T32" s="212"/>
      <c r="U32" s="212"/>
      <c r="V32" s="212"/>
      <c r="W32" s="211" t="s">
        <v>536</v>
      </c>
      <c r="X32" s="200">
        <v>1491298.0</v>
      </c>
      <c r="Y32" s="200"/>
      <c r="Z32" s="200"/>
      <c r="AA32" s="200"/>
      <c r="AB32" s="200"/>
      <c r="AC32" s="200"/>
      <c r="AD32" s="213" t="s">
        <v>683</v>
      </c>
      <c r="AE32" s="213" t="s">
        <v>683</v>
      </c>
      <c r="AF32" s="214" t="str">
        <f>Table1[[#This Row],[2019 Scope 1 (MeT Co2)]]</f>
        <v>#ERROR!</v>
      </c>
      <c r="AG32" s="215" t="str">
        <f t="shared" si="1"/>
        <v>#ERROR!</v>
      </c>
      <c r="AH32" s="216" t="str">
        <f t="shared" si="2"/>
        <v>#ERROR!</v>
      </c>
      <c r="AI32" s="210"/>
      <c r="AJ32" s="210"/>
      <c r="AK32" s="213" t="s">
        <v>683</v>
      </c>
      <c r="AL32" s="213" t="s">
        <v>683</v>
      </c>
      <c r="AM32" s="214" t="str">
        <f>Table1[[#This Row],[2019 Scope 2 ]]</f>
        <v>#ERROR!</v>
      </c>
      <c r="AN32" s="215" t="str">
        <f t="shared" si="3"/>
        <v>#ERROR!</v>
      </c>
      <c r="AO32" s="216" t="str">
        <f t="shared" si="4"/>
        <v>#ERROR!</v>
      </c>
      <c r="AP32" s="215" t="str">
        <f t="shared" si="5"/>
        <v>#ERROR!</v>
      </c>
      <c r="AQ32" s="216" t="str">
        <f t="shared" si="6"/>
        <v>#ERROR!</v>
      </c>
      <c r="AR32" s="217" t="str">
        <f>Table1[[#This Row],[2019 Scope 3 ]]</f>
        <v>#ERROR!</v>
      </c>
      <c r="AS32" s="218" t="str">
        <f t="shared" si="7"/>
        <v>#ERROR!</v>
      </c>
      <c r="AT32" s="219" t="str">
        <f t="shared" si="8"/>
        <v>#ERROR!</v>
      </c>
      <c r="BI32" s="4">
        <v>3635.0</v>
      </c>
    </row>
    <row r="33" ht="12.75" customHeight="1">
      <c r="A33" s="5">
        <f>companies!A33</f>
        <v>32</v>
      </c>
      <c r="B33" s="200" t="s">
        <v>1254</v>
      </c>
      <c r="C33" s="211">
        <v>1.97E7</v>
      </c>
      <c r="D33" s="211">
        <v>1200000.0</v>
      </c>
      <c r="E33" s="211">
        <v>1200000.0</v>
      </c>
      <c r="F33" s="211"/>
      <c r="G33" s="211"/>
      <c r="H33" s="211"/>
      <c r="I33" s="211"/>
      <c r="J33" s="211"/>
      <c r="K33" s="211"/>
      <c r="L33" s="211"/>
      <c r="M33" s="212"/>
      <c r="N33" s="212"/>
      <c r="O33" s="212"/>
      <c r="P33" s="212"/>
      <c r="Q33" s="212"/>
      <c r="R33" s="211"/>
      <c r="S33" s="212"/>
      <c r="T33" s="212"/>
      <c r="U33" s="212"/>
      <c r="V33" s="212"/>
      <c r="W33" s="211" t="s">
        <v>536</v>
      </c>
      <c r="X33" s="200">
        <v>1200000.0</v>
      </c>
      <c r="Y33" s="200"/>
      <c r="Z33" s="213"/>
      <c r="AA33" s="213"/>
      <c r="AB33" s="213"/>
      <c r="AC33" s="213"/>
      <c r="AD33" s="213" t="s">
        <v>683</v>
      </c>
      <c r="AE33" s="213" t="s">
        <v>683</v>
      </c>
      <c r="AF33" s="214" t="str">
        <f>Table1[[#This Row],[2019 Scope 1 (MeT Co2)]]</f>
        <v>#ERROR!</v>
      </c>
      <c r="AG33" s="215" t="str">
        <f t="shared" si="1"/>
        <v>#ERROR!</v>
      </c>
      <c r="AH33" s="216" t="str">
        <f t="shared" si="2"/>
        <v>#ERROR!</v>
      </c>
      <c r="AI33" s="210"/>
      <c r="AJ33" s="210"/>
      <c r="AK33" s="213" t="s">
        <v>683</v>
      </c>
      <c r="AL33" s="213" t="s">
        <v>683</v>
      </c>
      <c r="AM33" s="214" t="str">
        <f>Table1[[#This Row],[2019 Scope 2 ]]</f>
        <v>#ERROR!</v>
      </c>
      <c r="AN33" s="215" t="str">
        <f t="shared" si="3"/>
        <v>#ERROR!</v>
      </c>
      <c r="AO33" s="216" t="str">
        <f t="shared" si="4"/>
        <v>#ERROR!</v>
      </c>
      <c r="AP33" s="215" t="str">
        <f t="shared" si="5"/>
        <v>#ERROR!</v>
      </c>
      <c r="AQ33" s="216" t="str">
        <f t="shared" si="6"/>
        <v>#ERROR!</v>
      </c>
      <c r="AR33" s="217" t="str">
        <f>Table1[[#This Row],[2019 Scope 3 ]]</f>
        <v>#ERROR!</v>
      </c>
      <c r="AS33" s="218" t="str">
        <f t="shared" si="7"/>
        <v>#ERROR!</v>
      </c>
      <c r="AT33" s="219" t="str">
        <f t="shared" si="8"/>
        <v>#ERROR!</v>
      </c>
      <c r="BI33" s="200">
        <v>3751.0</v>
      </c>
    </row>
    <row r="34" ht="12.75" customHeight="1">
      <c r="A34" s="5">
        <f>companies!A34</f>
        <v>33</v>
      </c>
      <c r="B34" s="200" t="s">
        <v>1254</v>
      </c>
      <c r="C34" s="211">
        <v>970138.0</v>
      </c>
      <c r="D34" s="211">
        <v>1388491.0</v>
      </c>
      <c r="E34" s="211">
        <v>1388491.0</v>
      </c>
      <c r="F34" s="211"/>
      <c r="G34" s="211"/>
      <c r="H34" s="211"/>
      <c r="I34" s="211"/>
      <c r="J34" s="211"/>
      <c r="K34" s="211"/>
      <c r="L34" s="211"/>
      <c r="M34" s="212"/>
      <c r="N34" s="212"/>
      <c r="O34" s="212"/>
      <c r="P34" s="212"/>
      <c r="Q34" s="212"/>
      <c r="R34" s="211"/>
      <c r="S34" s="212"/>
      <c r="T34" s="212"/>
      <c r="U34" s="212"/>
      <c r="V34" s="212"/>
      <c r="W34" s="211" t="s">
        <v>536</v>
      </c>
      <c r="X34" s="200">
        <v>1388491.0</v>
      </c>
      <c r="Y34" s="200"/>
      <c r="Z34" s="213"/>
      <c r="AA34" s="213"/>
      <c r="AB34" s="213"/>
      <c r="AC34" s="213"/>
      <c r="AD34" s="213" t="s">
        <v>1255</v>
      </c>
      <c r="AE34" s="213" t="s">
        <v>1256</v>
      </c>
      <c r="AF34" s="214" t="str">
        <f>Table1[[#This Row],[2019 Scope 1 (MeT Co2)]]</f>
        <v>#ERROR!</v>
      </c>
      <c r="AG34" s="215" t="str">
        <f t="shared" si="1"/>
        <v>#ERROR!</v>
      </c>
      <c r="AH34" s="216" t="str">
        <f t="shared" si="2"/>
        <v>#ERROR!</v>
      </c>
      <c r="AI34" s="210"/>
      <c r="AJ34" s="210"/>
      <c r="AK34" s="213" t="s">
        <v>1255</v>
      </c>
      <c r="AL34" s="213" t="s">
        <v>1256</v>
      </c>
      <c r="AM34" s="214" t="str">
        <f>Table1[[#This Row],[2019 Scope 2 ]]</f>
        <v>#ERROR!</v>
      </c>
      <c r="AN34" s="215" t="str">
        <f t="shared" si="3"/>
        <v>#ERROR!</v>
      </c>
      <c r="AO34" s="216" t="str">
        <f t="shared" si="4"/>
        <v>#ERROR!</v>
      </c>
      <c r="AP34" s="215" t="str">
        <f t="shared" si="5"/>
        <v>#ERROR!</v>
      </c>
      <c r="AQ34" s="216" t="str">
        <f t="shared" si="6"/>
        <v>#ERROR!</v>
      </c>
      <c r="AR34" s="217" t="str">
        <f>Table1[[#This Row],[2019 Scope 3 ]]</f>
        <v>#ERROR!</v>
      </c>
      <c r="AS34" s="218" t="str">
        <f t="shared" si="7"/>
        <v>#ERROR!</v>
      </c>
      <c r="AT34" s="219" t="str">
        <f t="shared" si="8"/>
        <v>#ERROR!</v>
      </c>
      <c r="BI34" s="4">
        <v>3944.0</v>
      </c>
    </row>
    <row r="35" ht="12.75" customHeight="1">
      <c r="A35" s="5">
        <f>companies!A35</f>
        <v>34</v>
      </c>
      <c r="B35" s="200" t="s">
        <v>1254</v>
      </c>
      <c r="C35" s="211">
        <v>206086.0</v>
      </c>
      <c r="D35" s="211">
        <v>1131013.0</v>
      </c>
      <c r="E35" s="211">
        <v>1131013.0</v>
      </c>
      <c r="F35" s="211"/>
      <c r="G35" s="211"/>
      <c r="H35" s="211"/>
      <c r="I35" s="211"/>
      <c r="J35" s="211"/>
      <c r="K35" s="211"/>
      <c r="L35" s="211"/>
      <c r="M35" s="212"/>
      <c r="N35" s="212"/>
      <c r="O35" s="212"/>
      <c r="P35" s="212"/>
      <c r="Q35" s="212"/>
      <c r="R35" s="211"/>
      <c r="S35" s="212"/>
      <c r="T35" s="212"/>
      <c r="U35" s="212"/>
      <c r="V35" s="212"/>
      <c r="W35" s="211">
        <v>2618841.0</v>
      </c>
      <c r="X35" s="200">
        <v>1131013.0</v>
      </c>
      <c r="Y35" s="200">
        <v>3955940.0</v>
      </c>
      <c r="Z35" s="213"/>
      <c r="AA35" s="213"/>
      <c r="AB35" s="213"/>
      <c r="AC35" s="213"/>
      <c r="AD35" s="213" t="s">
        <v>683</v>
      </c>
      <c r="AE35" s="213" t="s">
        <v>683</v>
      </c>
      <c r="AF35" s="214" t="str">
        <f>Table1[[#This Row],[2019 Scope 1 (MeT Co2)]]</f>
        <v>#ERROR!</v>
      </c>
      <c r="AG35" s="215" t="str">
        <f t="shared" si="1"/>
        <v>#ERROR!</v>
      </c>
      <c r="AH35" s="216" t="str">
        <f t="shared" si="2"/>
        <v>#ERROR!</v>
      </c>
      <c r="AI35" s="210"/>
      <c r="AJ35" s="210"/>
      <c r="AK35" s="213" t="s">
        <v>683</v>
      </c>
      <c r="AL35" s="213" t="s">
        <v>683</v>
      </c>
      <c r="AM35" s="214" t="str">
        <f>Table1[[#This Row],[2019 Scope 2 ]]</f>
        <v>#ERROR!</v>
      </c>
      <c r="AN35" s="215" t="str">
        <f t="shared" si="3"/>
        <v>#ERROR!</v>
      </c>
      <c r="AO35" s="216" t="str">
        <f t="shared" si="4"/>
        <v>#ERROR!</v>
      </c>
      <c r="AP35" s="215" t="str">
        <f t="shared" si="5"/>
        <v>#ERROR!</v>
      </c>
      <c r="AQ35" s="216" t="str">
        <f t="shared" si="6"/>
        <v>#ERROR!</v>
      </c>
      <c r="AR35" s="217" t="str">
        <f>Table1[[#This Row],[2019 Scope 3 ]]</f>
        <v>#ERROR!</v>
      </c>
      <c r="AS35" s="218" t="str">
        <f t="shared" si="7"/>
        <v>#ERROR!</v>
      </c>
      <c r="AT35" s="219" t="str">
        <f t="shared" si="8"/>
        <v>#ERROR!</v>
      </c>
      <c r="BI35" s="200">
        <v>4151.0</v>
      </c>
    </row>
    <row r="36" ht="12.75" customHeight="1">
      <c r="A36" s="5">
        <f>companies!A36</f>
        <v>35</v>
      </c>
      <c r="B36" s="200" t="s">
        <v>1254</v>
      </c>
      <c r="C36" s="211" t="s">
        <v>536</v>
      </c>
      <c r="D36" s="211" t="s">
        <v>536</v>
      </c>
      <c r="E36" s="211" t="s">
        <v>536</v>
      </c>
      <c r="F36" s="211"/>
      <c r="G36" s="211"/>
      <c r="H36" s="211"/>
      <c r="I36" s="211"/>
      <c r="J36" s="211"/>
      <c r="K36" s="211"/>
      <c r="L36" s="211"/>
      <c r="M36" s="212"/>
      <c r="N36" s="212"/>
      <c r="O36" s="212"/>
      <c r="P36" s="212"/>
      <c r="Q36" s="212"/>
      <c r="R36" s="211"/>
      <c r="S36" s="212"/>
      <c r="T36" s="212"/>
      <c r="U36" s="212"/>
      <c r="V36" s="212"/>
      <c r="W36" s="211" t="s">
        <v>536</v>
      </c>
      <c r="X36" s="200">
        <v>0.0</v>
      </c>
      <c r="Y36" s="200"/>
      <c r="Z36" s="213"/>
      <c r="AA36" s="213"/>
      <c r="AB36" s="213"/>
      <c r="AC36" s="213"/>
      <c r="AD36" s="213" t="e">
        <v>#N/A</v>
      </c>
      <c r="AE36" s="213" t="e">
        <v>#N/A</v>
      </c>
      <c r="AF36" s="214" t="str">
        <f>Table1[[#This Row],[2019 Scope 1 (MeT Co2)]]</f>
        <v>#ERROR!</v>
      </c>
      <c r="AG36" s="215" t="str">
        <f t="shared" si="1"/>
        <v>#ERROR!</v>
      </c>
      <c r="AH36" s="216" t="str">
        <f t="shared" si="2"/>
        <v>#ERROR!</v>
      </c>
      <c r="AI36" s="210"/>
      <c r="AJ36" s="210"/>
      <c r="AK36" s="213" t="e">
        <v>#N/A</v>
      </c>
      <c r="AL36" s="213" t="e">
        <v>#N/A</v>
      </c>
      <c r="AM36" s="214" t="str">
        <f>Table1[[#This Row],[2019 Scope 2 ]]</f>
        <v>#ERROR!</v>
      </c>
      <c r="AN36" s="215" t="str">
        <f t="shared" si="3"/>
        <v>#ERROR!</v>
      </c>
      <c r="AO36" s="216" t="str">
        <f t="shared" si="4"/>
        <v>#ERROR!</v>
      </c>
      <c r="AP36" s="215" t="str">
        <f t="shared" si="5"/>
        <v>#ERROR!</v>
      </c>
      <c r="AQ36" s="216" t="str">
        <f t="shared" si="6"/>
        <v>#ERROR!</v>
      </c>
      <c r="AR36" s="217" t="str">
        <f>Table1[[#This Row],[2019 Scope 3 ]]</f>
        <v>#ERROR!</v>
      </c>
      <c r="AS36" s="218" t="str">
        <f t="shared" si="7"/>
        <v>#ERROR!</v>
      </c>
      <c r="AT36" s="219" t="str">
        <f t="shared" si="8"/>
        <v>#ERROR!</v>
      </c>
    </row>
    <row r="37" ht="12.75" customHeight="1">
      <c r="A37" s="5">
        <f>companies!A37</f>
        <v>36</v>
      </c>
      <c r="B37" s="200" t="s">
        <v>1254</v>
      </c>
      <c r="C37" s="211">
        <v>2.576054E7</v>
      </c>
      <c r="D37" s="211">
        <v>8814966.0</v>
      </c>
      <c r="E37" s="211">
        <v>8814966.0</v>
      </c>
      <c r="F37" s="211"/>
      <c r="G37" s="211"/>
      <c r="H37" s="211"/>
      <c r="I37" s="211"/>
      <c r="J37" s="211"/>
      <c r="K37" s="211"/>
      <c r="L37" s="211"/>
      <c r="M37" s="212"/>
      <c r="N37" s="212"/>
      <c r="O37" s="212"/>
      <c r="P37" s="212"/>
      <c r="Q37" s="212"/>
      <c r="R37" s="211"/>
      <c r="S37" s="212"/>
      <c r="T37" s="212"/>
      <c r="U37" s="212"/>
      <c r="V37" s="212"/>
      <c r="W37" s="211">
        <v>7.8894E7</v>
      </c>
      <c r="X37" s="200">
        <v>8814966.0</v>
      </c>
      <c r="Y37" s="200">
        <v>1.13469506E8</v>
      </c>
      <c r="Z37" s="200"/>
      <c r="AA37" s="200"/>
      <c r="AB37" s="200"/>
      <c r="AC37" s="200"/>
      <c r="AD37" s="213" t="s">
        <v>1255</v>
      </c>
      <c r="AE37" s="213" t="s">
        <v>1256</v>
      </c>
      <c r="AF37" s="214" t="str">
        <f>Table1[[#This Row],[2019 Scope 1 (MeT Co2)]]</f>
        <v>#ERROR!</v>
      </c>
      <c r="AG37" s="215" t="str">
        <f t="shared" si="1"/>
        <v>#ERROR!</v>
      </c>
      <c r="AH37" s="216" t="str">
        <f t="shared" si="2"/>
        <v>#ERROR!</v>
      </c>
      <c r="AI37" s="210"/>
      <c r="AJ37" s="210"/>
      <c r="AK37" s="213" t="s">
        <v>1255</v>
      </c>
      <c r="AL37" s="213" t="s">
        <v>1256</v>
      </c>
      <c r="AM37" s="214" t="str">
        <f>Table1[[#This Row],[2019 Scope 2 ]]</f>
        <v>#ERROR!</v>
      </c>
      <c r="AN37" s="215" t="str">
        <f t="shared" si="3"/>
        <v>#ERROR!</v>
      </c>
      <c r="AO37" s="216" t="str">
        <f t="shared" si="4"/>
        <v>#ERROR!</v>
      </c>
      <c r="AP37" s="215" t="str">
        <f t="shared" si="5"/>
        <v>#ERROR!</v>
      </c>
      <c r="AQ37" s="216" t="str">
        <f t="shared" si="6"/>
        <v>#ERROR!</v>
      </c>
      <c r="AR37" s="217" t="str">
        <f>Table1[[#This Row],[2019 Scope 3 ]]</f>
        <v>#ERROR!</v>
      </c>
      <c r="AS37" s="218" t="str">
        <f t="shared" si="7"/>
        <v>#ERROR!</v>
      </c>
      <c r="AT37" s="219" t="str">
        <f t="shared" si="8"/>
        <v>#ERROR!</v>
      </c>
      <c r="BI37" s="26">
        <v>4826.0</v>
      </c>
    </row>
    <row r="38" ht="12.75" customHeight="1">
      <c r="A38" s="5">
        <f>companies!A38</f>
        <v>37</v>
      </c>
      <c r="B38" s="200" t="s">
        <v>1254</v>
      </c>
      <c r="C38" s="211">
        <v>9.52134E7</v>
      </c>
      <c r="D38" s="211">
        <v>0.0</v>
      </c>
      <c r="E38" s="211">
        <v>0.0</v>
      </c>
      <c r="F38" s="211"/>
      <c r="G38" s="211"/>
      <c r="H38" s="211"/>
      <c r="I38" s="211"/>
      <c r="J38" s="211"/>
      <c r="K38" s="211"/>
      <c r="L38" s="211"/>
      <c r="M38" s="212"/>
      <c r="N38" s="212"/>
      <c r="O38" s="212"/>
      <c r="P38" s="212"/>
      <c r="Q38" s="212"/>
      <c r="R38" s="211"/>
      <c r="S38" s="212"/>
      <c r="T38" s="212"/>
      <c r="U38" s="212"/>
      <c r="V38" s="212"/>
      <c r="W38" s="211">
        <v>1.594808E7</v>
      </c>
      <c r="X38" s="200" t="b">
        <v>0</v>
      </c>
      <c r="Y38" s="200">
        <v>1.1116148E8</v>
      </c>
      <c r="Z38" s="213"/>
      <c r="AA38" s="213"/>
      <c r="AB38" s="213"/>
      <c r="AC38" s="213"/>
      <c r="AD38" s="213" t="s">
        <v>683</v>
      </c>
      <c r="AE38" s="213" t="s">
        <v>683</v>
      </c>
      <c r="AF38" s="214" t="str">
        <f>Table1[[#This Row],[2019 Scope 1 (MeT Co2)]]</f>
        <v>#ERROR!</v>
      </c>
      <c r="AG38" s="215" t="str">
        <f t="shared" si="1"/>
        <v>#ERROR!</v>
      </c>
      <c r="AH38" s="220" t="str">
        <f t="shared" si="2"/>
        <v>#ERROR!</v>
      </c>
      <c r="AI38" s="210"/>
      <c r="AJ38" s="210"/>
      <c r="AK38" s="213" t="s">
        <v>683</v>
      </c>
      <c r="AL38" s="213" t="s">
        <v>683</v>
      </c>
      <c r="AM38" s="214" t="str">
        <f>Table1[[#This Row],[2019 Scope 2 ]]</f>
        <v>#ERROR!</v>
      </c>
      <c r="AN38" s="215" t="str">
        <f t="shared" si="3"/>
        <v>#ERROR!</v>
      </c>
      <c r="AO38" s="220" t="str">
        <f t="shared" si="4"/>
        <v>#ERROR!</v>
      </c>
      <c r="AP38" s="215" t="str">
        <f t="shared" si="5"/>
        <v>#ERROR!</v>
      </c>
      <c r="AQ38" s="220" t="str">
        <f t="shared" si="6"/>
        <v>#ERROR!</v>
      </c>
      <c r="AR38" s="217" t="str">
        <f>Table1[[#This Row],[2019 Scope 3 ]]</f>
        <v>#ERROR!</v>
      </c>
      <c r="AS38" s="218" t="str">
        <f t="shared" si="7"/>
        <v>#ERROR!</v>
      </c>
      <c r="AT38" s="219" t="str">
        <f t="shared" si="8"/>
        <v>#ERROR!</v>
      </c>
      <c r="BI38" s="200">
        <v>5052.0</v>
      </c>
    </row>
    <row r="39" ht="12.75" customHeight="1">
      <c r="A39" s="5">
        <f>companies!A39</f>
        <v>38</v>
      </c>
      <c r="B39" s="200" t="s">
        <v>1254</v>
      </c>
      <c r="C39" s="211" t="s">
        <v>536</v>
      </c>
      <c r="D39" s="211" t="s">
        <v>536</v>
      </c>
      <c r="E39" s="211" t="s">
        <v>536</v>
      </c>
      <c r="F39" s="211"/>
      <c r="G39" s="211"/>
      <c r="H39" s="211"/>
      <c r="I39" s="211"/>
      <c r="J39" s="211"/>
      <c r="K39" s="211"/>
      <c r="L39" s="211"/>
      <c r="M39" s="212"/>
      <c r="N39" s="212"/>
      <c r="O39" s="212"/>
      <c r="P39" s="212"/>
      <c r="Q39" s="212"/>
      <c r="R39" s="211"/>
      <c r="S39" s="212"/>
      <c r="T39" s="212"/>
      <c r="U39" s="212"/>
      <c r="V39" s="212"/>
      <c r="W39" s="211" t="s">
        <v>536</v>
      </c>
      <c r="X39" s="200">
        <v>0.0</v>
      </c>
      <c r="Y39" s="200"/>
      <c r="Z39" s="200"/>
      <c r="AA39" s="200"/>
      <c r="AB39" s="200"/>
      <c r="AC39" s="200"/>
      <c r="AD39" s="213" t="s">
        <v>683</v>
      </c>
      <c r="AE39" s="213" t="s">
        <v>683</v>
      </c>
      <c r="AF39" s="214" t="str">
        <f>Table1[[#This Row],[2019 Scope 1 (MeT Co2)]]</f>
        <v>#ERROR!</v>
      </c>
      <c r="AG39" s="215" t="str">
        <f t="shared" si="1"/>
        <v>#ERROR!</v>
      </c>
      <c r="AH39" s="216" t="str">
        <f t="shared" si="2"/>
        <v>#ERROR!</v>
      </c>
      <c r="AI39" s="210"/>
      <c r="AJ39" s="210"/>
      <c r="AK39" s="213" t="s">
        <v>683</v>
      </c>
      <c r="AL39" s="213" t="s">
        <v>683</v>
      </c>
      <c r="AM39" s="214" t="str">
        <f>Table1[[#This Row],[2019 Scope 2 ]]</f>
        <v>#ERROR!</v>
      </c>
      <c r="AN39" s="215" t="str">
        <f t="shared" si="3"/>
        <v>#ERROR!</v>
      </c>
      <c r="AO39" s="216" t="str">
        <f t="shared" si="4"/>
        <v>#ERROR!</v>
      </c>
      <c r="AP39" s="215" t="str">
        <f t="shared" si="5"/>
        <v>#ERROR!</v>
      </c>
      <c r="AQ39" s="216" t="str">
        <f t="shared" si="6"/>
        <v>#ERROR!</v>
      </c>
      <c r="AR39" s="217" t="str">
        <f>Table1[[#This Row],[2019 Scope 3 ]]</f>
        <v>#ERROR!</v>
      </c>
      <c r="AS39" s="218" t="str">
        <f t="shared" si="7"/>
        <v>#ERROR!</v>
      </c>
      <c r="AT39" s="219" t="str">
        <f t="shared" si="8"/>
        <v>#ERROR!</v>
      </c>
      <c r="BI39" s="200">
        <v>73894.0</v>
      </c>
    </row>
    <row r="40" ht="12.75" customHeight="1">
      <c r="A40" s="5">
        <f>companies!A40</f>
        <v>39</v>
      </c>
      <c r="B40" s="200" t="s">
        <v>1254</v>
      </c>
      <c r="C40" s="211">
        <v>228000.0</v>
      </c>
      <c r="D40" s="211">
        <v>636000.0</v>
      </c>
      <c r="E40" s="211">
        <v>636000.0</v>
      </c>
      <c r="F40" s="211"/>
      <c r="G40" s="211"/>
      <c r="H40" s="211"/>
      <c r="I40" s="211"/>
      <c r="J40" s="211"/>
      <c r="K40" s="211"/>
      <c r="L40" s="211"/>
      <c r="M40" s="212"/>
      <c r="N40" s="212"/>
      <c r="O40" s="212"/>
      <c r="P40" s="212"/>
      <c r="Q40" s="212"/>
      <c r="R40" s="211"/>
      <c r="S40" s="212"/>
      <c r="T40" s="212"/>
      <c r="U40" s="212"/>
      <c r="V40" s="212"/>
      <c r="W40" s="211">
        <v>232000.0</v>
      </c>
      <c r="X40" s="200">
        <v>636000.0</v>
      </c>
      <c r="Y40" s="200">
        <v>1096000.0</v>
      </c>
      <c r="Z40" s="200"/>
      <c r="AA40" s="200"/>
      <c r="AB40" s="200"/>
      <c r="AC40" s="200"/>
      <c r="AD40" s="213" t="s">
        <v>683</v>
      </c>
      <c r="AE40" s="213" t="s">
        <v>683</v>
      </c>
      <c r="AF40" s="214" t="str">
        <f>Table1[[#This Row],[2019 Scope 1 (MeT Co2)]]</f>
        <v>#ERROR!</v>
      </c>
      <c r="AG40" s="215" t="str">
        <f t="shared" si="1"/>
        <v>#ERROR!</v>
      </c>
      <c r="AH40" s="216" t="str">
        <f t="shared" si="2"/>
        <v>#ERROR!</v>
      </c>
      <c r="AI40" s="210"/>
      <c r="AJ40" s="210"/>
      <c r="AK40" s="213" t="s">
        <v>683</v>
      </c>
      <c r="AL40" s="213" t="s">
        <v>683</v>
      </c>
      <c r="AM40" s="214" t="str">
        <f>Table1[[#This Row],[2019 Scope 2 ]]</f>
        <v>#ERROR!</v>
      </c>
      <c r="AN40" s="215" t="str">
        <f t="shared" si="3"/>
        <v>#ERROR!</v>
      </c>
      <c r="AO40" s="220" t="str">
        <f t="shared" si="4"/>
        <v>#ERROR!</v>
      </c>
      <c r="AP40" s="215" t="str">
        <f t="shared" si="5"/>
        <v>#ERROR!</v>
      </c>
      <c r="AQ40" s="220" t="str">
        <f t="shared" si="6"/>
        <v>#ERROR!</v>
      </c>
      <c r="AR40" s="217" t="str">
        <f>Table1[[#This Row],[2019 Scope 3 ]]</f>
        <v>#ERROR!</v>
      </c>
      <c r="AS40" s="218" t="str">
        <f t="shared" si="7"/>
        <v>#ERROR!</v>
      </c>
      <c r="AT40" s="219" t="str">
        <f t="shared" si="8"/>
        <v>#ERROR!</v>
      </c>
      <c r="BI40" s="200">
        <v>5377.0</v>
      </c>
    </row>
    <row r="41" ht="12.75" customHeight="1">
      <c r="A41" s="5">
        <f>companies!A41</f>
        <v>40</v>
      </c>
      <c r="B41" s="200" t="s">
        <v>1254</v>
      </c>
      <c r="C41" s="211" t="s">
        <v>536</v>
      </c>
      <c r="D41" s="211" t="s">
        <v>536</v>
      </c>
      <c r="E41" s="211" t="s">
        <v>536</v>
      </c>
      <c r="F41" s="211"/>
      <c r="G41" s="211"/>
      <c r="H41" s="211"/>
      <c r="I41" s="211"/>
      <c r="J41" s="211"/>
      <c r="K41" s="211"/>
      <c r="L41" s="211"/>
      <c r="M41" s="212"/>
      <c r="N41" s="212"/>
      <c r="O41" s="212"/>
      <c r="P41" s="212"/>
      <c r="Q41" s="212"/>
      <c r="R41" s="211"/>
      <c r="S41" s="212"/>
      <c r="T41" s="212"/>
      <c r="U41" s="212"/>
      <c r="V41" s="212"/>
      <c r="W41" s="211" t="s">
        <v>536</v>
      </c>
      <c r="X41" s="200">
        <v>0.0</v>
      </c>
      <c r="Y41" s="200"/>
      <c r="Z41" s="213"/>
      <c r="AA41" s="213"/>
      <c r="AB41" s="213"/>
      <c r="AC41" s="213"/>
      <c r="AD41" s="213" t="e">
        <v>#N/A</v>
      </c>
      <c r="AE41" s="213" t="e">
        <v>#N/A</v>
      </c>
      <c r="AF41" s="214" t="str">
        <f>Table1[[#This Row],[2019 Scope 1 (MeT Co2)]]</f>
        <v>#ERROR!</v>
      </c>
      <c r="AG41" s="215" t="str">
        <f t="shared" si="1"/>
        <v>#ERROR!</v>
      </c>
      <c r="AH41" s="216" t="str">
        <f t="shared" si="2"/>
        <v>#ERROR!</v>
      </c>
      <c r="AI41" s="210"/>
      <c r="AJ41" s="210"/>
      <c r="AK41" s="213" t="e">
        <v>#N/A</v>
      </c>
      <c r="AL41" s="213" t="e">
        <v>#N/A</v>
      </c>
      <c r="AM41" s="214" t="str">
        <f>Table1[[#This Row],[2019 Scope 2 ]]</f>
        <v>#ERROR!</v>
      </c>
      <c r="AN41" s="215" t="str">
        <f t="shared" si="3"/>
        <v>#ERROR!</v>
      </c>
      <c r="AO41" s="216" t="str">
        <f t="shared" si="4"/>
        <v>#ERROR!</v>
      </c>
      <c r="AP41" s="215" t="str">
        <f t="shared" si="5"/>
        <v>#ERROR!</v>
      </c>
      <c r="AQ41" s="216" t="str">
        <f t="shared" si="6"/>
        <v>#ERROR!</v>
      </c>
      <c r="AR41" s="217" t="str">
        <f>Table1[[#This Row],[2019 Scope 3 ]]</f>
        <v>#ERROR!</v>
      </c>
      <c r="AS41" s="218" t="str">
        <f t="shared" si="7"/>
        <v>#ERROR!</v>
      </c>
      <c r="AT41" s="219" t="str">
        <f t="shared" si="8"/>
        <v>#ERROR!</v>
      </c>
    </row>
    <row r="42" ht="12.75" customHeight="1">
      <c r="A42" s="5">
        <f>companies!A42</f>
        <v>41</v>
      </c>
      <c r="B42" s="200" t="s">
        <v>1254</v>
      </c>
      <c r="C42" s="211">
        <v>1.02E7</v>
      </c>
      <c r="D42" s="211">
        <v>6521000.0</v>
      </c>
      <c r="E42" s="211">
        <v>6521000.0</v>
      </c>
      <c r="F42" s="211"/>
      <c r="G42" s="211"/>
      <c r="H42" s="211"/>
      <c r="I42" s="211"/>
      <c r="J42" s="211"/>
      <c r="K42" s="211"/>
      <c r="L42" s="211"/>
      <c r="M42" s="212"/>
      <c r="N42" s="212"/>
      <c r="O42" s="212"/>
      <c r="P42" s="212"/>
      <c r="Q42" s="212"/>
      <c r="R42" s="211"/>
      <c r="S42" s="212"/>
      <c r="T42" s="212"/>
      <c r="U42" s="212"/>
      <c r="V42" s="212"/>
      <c r="W42" s="211">
        <v>1.9522E8</v>
      </c>
      <c r="X42" s="200">
        <v>6521000.0</v>
      </c>
      <c r="Y42" s="200">
        <v>2.11941E8</v>
      </c>
      <c r="Z42" s="200"/>
      <c r="AA42" s="200"/>
      <c r="AB42" s="200"/>
      <c r="AC42" s="200"/>
      <c r="AD42" s="213" t="s">
        <v>683</v>
      </c>
      <c r="AE42" s="213" t="s">
        <v>683</v>
      </c>
      <c r="AF42" s="214" t="str">
        <f>Table1[[#This Row],[2019 Scope 1 (MeT Co2)]]</f>
        <v>#ERROR!</v>
      </c>
      <c r="AG42" s="215" t="str">
        <f t="shared" si="1"/>
        <v>#ERROR!</v>
      </c>
      <c r="AH42" s="216" t="str">
        <f t="shared" si="2"/>
        <v>#ERROR!</v>
      </c>
      <c r="AI42" s="210"/>
      <c r="AJ42" s="210"/>
      <c r="AK42" s="213" t="s">
        <v>683</v>
      </c>
      <c r="AL42" s="213" t="s">
        <v>683</v>
      </c>
      <c r="AM42" s="214" t="str">
        <f>Table1[[#This Row],[2019 Scope 2 ]]</f>
        <v>#ERROR!</v>
      </c>
      <c r="AN42" s="215" t="str">
        <f t="shared" si="3"/>
        <v>#ERROR!</v>
      </c>
      <c r="AO42" s="216" t="str">
        <f t="shared" si="4"/>
        <v>#ERROR!</v>
      </c>
      <c r="AP42" s="215" t="str">
        <f t="shared" si="5"/>
        <v>#ERROR!</v>
      </c>
      <c r="AQ42" s="216" t="str">
        <f t="shared" si="6"/>
        <v>#ERROR!</v>
      </c>
      <c r="AR42" s="217" t="str">
        <f>Table1[[#This Row],[2019 Scope 3 ]]</f>
        <v>#ERROR!</v>
      </c>
      <c r="AS42" s="218" t="str">
        <f t="shared" si="7"/>
        <v>#ERROR!</v>
      </c>
      <c r="AT42" s="219" t="str">
        <f t="shared" si="8"/>
        <v>#ERROR!</v>
      </c>
      <c r="BI42" s="200">
        <v>6113.0</v>
      </c>
    </row>
    <row r="43" ht="12.75" customHeight="1">
      <c r="A43" s="5">
        <f>companies!A43</f>
        <v>42</v>
      </c>
      <c r="B43" s="200" t="s">
        <v>1254</v>
      </c>
      <c r="C43" s="211">
        <v>1.15E8</v>
      </c>
      <c r="D43" s="211">
        <v>8000000.0</v>
      </c>
      <c r="E43" s="211">
        <v>8000000.0</v>
      </c>
      <c r="F43" s="211"/>
      <c r="G43" s="211"/>
      <c r="H43" s="211"/>
      <c r="I43" s="211"/>
      <c r="J43" s="211"/>
      <c r="K43" s="211"/>
      <c r="L43" s="211"/>
      <c r="M43" s="212"/>
      <c r="N43" s="212"/>
      <c r="O43" s="212"/>
      <c r="P43" s="212"/>
      <c r="Q43" s="212"/>
      <c r="R43" s="211"/>
      <c r="S43" s="212"/>
      <c r="T43" s="212"/>
      <c r="U43" s="212"/>
      <c r="V43" s="212"/>
      <c r="W43" s="211" t="s">
        <v>536</v>
      </c>
      <c r="X43" s="200">
        <v>8000000.0</v>
      </c>
      <c r="Y43" s="200"/>
      <c r="Z43" s="213"/>
      <c r="AA43" s="213"/>
      <c r="AB43" s="213"/>
      <c r="AC43" s="213"/>
      <c r="AD43" s="213" t="e">
        <v>#N/A</v>
      </c>
      <c r="AE43" s="213" t="e">
        <v>#N/A</v>
      </c>
      <c r="AF43" s="214" t="str">
        <f>Table1[[#This Row],[2019 Scope 1 (MeT Co2)]]</f>
        <v>#ERROR!</v>
      </c>
      <c r="AG43" s="215" t="str">
        <f t="shared" si="1"/>
        <v>#ERROR!</v>
      </c>
      <c r="AH43" s="216" t="str">
        <f t="shared" si="2"/>
        <v>#ERROR!</v>
      </c>
      <c r="AI43" s="210"/>
      <c r="AJ43" s="210"/>
      <c r="AK43" s="213" t="e">
        <v>#N/A</v>
      </c>
      <c r="AL43" s="213" t="e">
        <v>#N/A</v>
      </c>
      <c r="AM43" s="214" t="str">
        <f>Table1[[#This Row],[2019 Scope 2 ]]</f>
        <v>#ERROR!</v>
      </c>
      <c r="AN43" s="215" t="str">
        <f t="shared" si="3"/>
        <v>#ERROR!</v>
      </c>
      <c r="AO43" s="216" t="str">
        <f t="shared" si="4"/>
        <v>#ERROR!</v>
      </c>
      <c r="AP43" s="215" t="str">
        <f t="shared" si="5"/>
        <v>#ERROR!</v>
      </c>
      <c r="AQ43" s="216" t="str">
        <f t="shared" si="6"/>
        <v>#ERROR!</v>
      </c>
      <c r="AR43" s="217" t="str">
        <f>Table1[[#This Row],[2019 Scope 3 ]]</f>
        <v>#ERROR!</v>
      </c>
      <c r="AS43" s="218" t="str">
        <f t="shared" si="7"/>
        <v>#ERROR!</v>
      </c>
      <c r="AT43" s="219" t="str">
        <f t="shared" si="8"/>
        <v>#ERROR!</v>
      </c>
    </row>
    <row r="44" ht="12.75" customHeight="1">
      <c r="A44" s="5">
        <f>companies!A44</f>
        <v>43</v>
      </c>
      <c r="B44" s="200" t="s">
        <v>1254</v>
      </c>
      <c r="C44" s="211">
        <v>568000.0</v>
      </c>
      <c r="D44" s="211">
        <v>48800.0</v>
      </c>
      <c r="E44" s="211">
        <v>48800.0</v>
      </c>
      <c r="F44" s="211"/>
      <c r="G44" s="211"/>
      <c r="H44" s="211"/>
      <c r="I44" s="211"/>
      <c r="J44" s="211"/>
      <c r="K44" s="211"/>
      <c r="L44" s="211"/>
      <c r="M44" s="212"/>
      <c r="N44" s="212"/>
      <c r="O44" s="212"/>
      <c r="P44" s="212"/>
      <c r="Q44" s="212"/>
      <c r="R44" s="211"/>
      <c r="S44" s="212"/>
      <c r="T44" s="212"/>
      <c r="U44" s="212"/>
      <c r="V44" s="212"/>
      <c r="W44" s="211" t="s">
        <v>536</v>
      </c>
      <c r="X44" s="200">
        <v>48800.0</v>
      </c>
      <c r="Y44" s="200"/>
      <c r="Z44" s="213"/>
      <c r="AA44" s="213"/>
      <c r="AB44" s="213"/>
      <c r="AC44" s="213"/>
      <c r="AD44" s="213" t="e">
        <v>#N/A</v>
      </c>
      <c r="AE44" s="213" t="e">
        <v>#N/A</v>
      </c>
      <c r="AF44" s="214" t="str">
        <f>Table1[[#This Row],[2019 Scope 1 (MeT Co2)]]</f>
        <v>#ERROR!</v>
      </c>
      <c r="AG44" s="215" t="str">
        <f t="shared" si="1"/>
        <v>#ERROR!</v>
      </c>
      <c r="AH44" s="216" t="str">
        <f t="shared" si="2"/>
        <v>#ERROR!</v>
      </c>
      <c r="AI44" s="210"/>
      <c r="AJ44" s="210"/>
      <c r="AK44" s="213" t="e">
        <v>#N/A</v>
      </c>
      <c r="AL44" s="213" t="e">
        <v>#N/A</v>
      </c>
      <c r="AM44" s="214" t="str">
        <f>Table1[[#This Row],[2019 Scope 2 ]]</f>
        <v>#ERROR!</v>
      </c>
      <c r="AN44" s="215" t="str">
        <f t="shared" si="3"/>
        <v>#ERROR!</v>
      </c>
      <c r="AO44" s="216" t="str">
        <f t="shared" si="4"/>
        <v>#ERROR!</v>
      </c>
      <c r="AP44" s="215" t="str">
        <f t="shared" si="5"/>
        <v>#ERROR!</v>
      </c>
      <c r="AQ44" s="216" t="str">
        <f t="shared" si="6"/>
        <v>#ERROR!</v>
      </c>
      <c r="AR44" s="217" t="str">
        <f>Table1[[#This Row],[2019 Scope 3 ]]</f>
        <v>#ERROR!</v>
      </c>
      <c r="AS44" s="218" t="str">
        <f t="shared" si="7"/>
        <v>#ERROR!</v>
      </c>
      <c r="AT44" s="219" t="str">
        <f t="shared" si="8"/>
        <v>#ERROR!</v>
      </c>
    </row>
    <row r="45" ht="12.75" customHeight="1">
      <c r="A45" s="5">
        <f>companies!A45</f>
        <v>44</v>
      </c>
      <c r="B45" s="200" t="s">
        <v>1254</v>
      </c>
      <c r="C45" s="211">
        <v>1.4053599E7</v>
      </c>
      <c r="D45" s="211">
        <v>1094109.0</v>
      </c>
      <c r="E45" s="211">
        <v>1094109.0</v>
      </c>
      <c r="F45" s="211"/>
      <c r="G45" s="211"/>
      <c r="H45" s="211"/>
      <c r="I45" s="211"/>
      <c r="J45" s="211"/>
      <c r="K45" s="211"/>
      <c r="L45" s="211"/>
      <c r="M45" s="212"/>
      <c r="N45" s="212"/>
      <c r="O45" s="212"/>
      <c r="P45" s="212"/>
      <c r="Q45" s="212"/>
      <c r="R45" s="211"/>
      <c r="S45" s="212"/>
      <c r="T45" s="212"/>
      <c r="U45" s="212"/>
      <c r="V45" s="212"/>
      <c r="W45" s="211">
        <v>2642415.0</v>
      </c>
      <c r="X45" s="200">
        <v>1094109.0</v>
      </c>
      <c r="Y45" s="200">
        <v>1.7790123E7</v>
      </c>
      <c r="Z45" s="200"/>
      <c r="AA45" s="200"/>
      <c r="AB45" s="200"/>
      <c r="AC45" s="200"/>
      <c r="AD45" s="213" t="s">
        <v>683</v>
      </c>
      <c r="AE45" s="213" t="s">
        <v>683</v>
      </c>
      <c r="AF45" s="214" t="str">
        <f>Table1[[#This Row],[2019 Scope 1 (MeT Co2)]]</f>
        <v>#ERROR!</v>
      </c>
      <c r="AG45" s="215" t="str">
        <f t="shared" si="1"/>
        <v>#ERROR!</v>
      </c>
      <c r="AH45" s="216" t="str">
        <f t="shared" si="2"/>
        <v>#ERROR!</v>
      </c>
      <c r="AI45" s="210"/>
      <c r="AJ45" s="210"/>
      <c r="AK45" s="213" t="s">
        <v>683</v>
      </c>
      <c r="AL45" s="213" t="s">
        <v>683</v>
      </c>
      <c r="AM45" s="214" t="str">
        <f>Table1[[#This Row],[2019 Scope 2 ]]</f>
        <v>#ERROR!</v>
      </c>
      <c r="AN45" s="215" t="str">
        <f t="shared" si="3"/>
        <v>#ERROR!</v>
      </c>
      <c r="AO45" s="216" t="str">
        <f t="shared" si="4"/>
        <v>#ERROR!</v>
      </c>
      <c r="AP45" s="215" t="str">
        <f t="shared" si="5"/>
        <v>#ERROR!</v>
      </c>
      <c r="AQ45" s="216" t="str">
        <f t="shared" si="6"/>
        <v>#ERROR!</v>
      </c>
      <c r="AR45" s="217" t="str">
        <f>Table1[[#This Row],[2019 Scope 3 ]]</f>
        <v>#ERROR!</v>
      </c>
      <c r="AS45" s="218" t="str">
        <f t="shared" si="7"/>
        <v>#ERROR!</v>
      </c>
      <c r="AT45" s="219" t="str">
        <f t="shared" si="8"/>
        <v>#ERROR!</v>
      </c>
      <c r="BI45" s="4">
        <v>6287.0</v>
      </c>
    </row>
    <row r="46" ht="12.75" customHeight="1">
      <c r="A46" s="5">
        <f>companies!A46</f>
        <v>45</v>
      </c>
      <c r="B46" s="200" t="s">
        <v>1254</v>
      </c>
      <c r="C46" s="211">
        <v>1389740.0</v>
      </c>
      <c r="D46" s="211">
        <v>3482444.0</v>
      </c>
      <c r="E46" s="211">
        <v>3482444.0</v>
      </c>
      <c r="F46" s="211"/>
      <c r="G46" s="211"/>
      <c r="H46" s="211"/>
      <c r="I46" s="211"/>
      <c r="J46" s="211"/>
      <c r="K46" s="211"/>
      <c r="L46" s="211"/>
      <c r="M46" s="212"/>
      <c r="N46" s="212"/>
      <c r="O46" s="212"/>
      <c r="P46" s="212"/>
      <c r="Q46" s="212"/>
      <c r="R46" s="211"/>
      <c r="S46" s="212"/>
      <c r="T46" s="212"/>
      <c r="U46" s="212"/>
      <c r="V46" s="212"/>
      <c r="W46" s="211" t="s">
        <v>536</v>
      </c>
      <c r="X46" s="200">
        <v>3482444.0</v>
      </c>
      <c r="Y46" s="200"/>
      <c r="Z46" s="200"/>
      <c r="AA46" s="200"/>
      <c r="AB46" s="200"/>
      <c r="AC46" s="200"/>
      <c r="AD46" s="213" t="s">
        <v>683</v>
      </c>
      <c r="AE46" s="213" t="s">
        <v>683</v>
      </c>
      <c r="AF46" s="214" t="str">
        <f>Table1[[#This Row],[2019 Scope 1 (MeT Co2)]]</f>
        <v>#ERROR!</v>
      </c>
      <c r="AG46" s="215" t="str">
        <f t="shared" si="1"/>
        <v>#ERROR!</v>
      </c>
      <c r="AH46" s="216" t="str">
        <f t="shared" si="2"/>
        <v>#ERROR!</v>
      </c>
      <c r="AI46" s="210"/>
      <c r="AJ46" s="210"/>
      <c r="AK46" s="213" t="s">
        <v>683</v>
      </c>
      <c r="AL46" s="213" t="s">
        <v>683</v>
      </c>
      <c r="AM46" s="214" t="str">
        <f>Table1[[#This Row],[2019 Scope 2 ]]</f>
        <v>#ERROR!</v>
      </c>
      <c r="AN46" s="215" t="str">
        <f t="shared" si="3"/>
        <v>#ERROR!</v>
      </c>
      <c r="AO46" s="216" t="str">
        <f t="shared" si="4"/>
        <v>#ERROR!</v>
      </c>
      <c r="AP46" s="215" t="str">
        <f t="shared" si="5"/>
        <v>#ERROR!</v>
      </c>
      <c r="AQ46" s="216" t="str">
        <f t="shared" si="6"/>
        <v>#ERROR!</v>
      </c>
      <c r="AR46" s="217" t="str">
        <f>Table1[[#This Row],[2019 Scope 3 ]]</f>
        <v>#ERROR!</v>
      </c>
      <c r="AS46" s="218" t="str">
        <f t="shared" si="7"/>
        <v>#ERROR!</v>
      </c>
      <c r="AT46" s="219" t="str">
        <f t="shared" si="8"/>
        <v>#ERROR!</v>
      </c>
      <c r="BI46" s="4">
        <v>6595.0</v>
      </c>
    </row>
    <row r="47" ht="12.75" customHeight="1">
      <c r="A47" s="5">
        <f>companies!A47</f>
        <v>46</v>
      </c>
      <c r="B47" s="200" t="s">
        <v>1254</v>
      </c>
      <c r="C47" s="211">
        <v>305836.0</v>
      </c>
      <c r="D47" s="211">
        <v>478428.0</v>
      </c>
      <c r="E47" s="211">
        <v>478428.0</v>
      </c>
      <c r="F47" s="211"/>
      <c r="G47" s="211"/>
      <c r="H47" s="211"/>
      <c r="I47" s="211"/>
      <c r="J47" s="211"/>
      <c r="K47" s="211"/>
      <c r="L47" s="211"/>
      <c r="M47" s="212"/>
      <c r="N47" s="212"/>
      <c r="O47" s="212"/>
      <c r="P47" s="212"/>
      <c r="Q47" s="212"/>
      <c r="R47" s="211"/>
      <c r="S47" s="212"/>
      <c r="T47" s="212"/>
      <c r="U47" s="212"/>
      <c r="V47" s="212"/>
      <c r="W47" s="211" t="s">
        <v>536</v>
      </c>
      <c r="X47" s="200">
        <v>478428.0</v>
      </c>
      <c r="Y47" s="200"/>
      <c r="Z47" s="200"/>
      <c r="AA47" s="200"/>
      <c r="AB47" s="200"/>
      <c r="AC47" s="200"/>
      <c r="AD47" s="213" t="s">
        <v>1255</v>
      </c>
      <c r="AE47" s="213" t="s">
        <v>1256</v>
      </c>
      <c r="AF47" s="214" t="str">
        <f>Table1[[#This Row],[2019 Scope 1 (MeT Co2)]]</f>
        <v>#ERROR!</v>
      </c>
      <c r="AG47" s="215" t="str">
        <f t="shared" si="1"/>
        <v>#ERROR!</v>
      </c>
      <c r="AH47" s="216" t="str">
        <f t="shared" si="2"/>
        <v>#ERROR!</v>
      </c>
      <c r="AI47" s="210"/>
      <c r="AJ47" s="210"/>
      <c r="AK47" s="213" t="s">
        <v>1255</v>
      </c>
      <c r="AL47" s="213" t="s">
        <v>1256</v>
      </c>
      <c r="AM47" s="214" t="str">
        <f>Table1[[#This Row],[2019 Scope 2 ]]</f>
        <v>#ERROR!</v>
      </c>
      <c r="AN47" s="215" t="str">
        <f t="shared" si="3"/>
        <v>#ERROR!</v>
      </c>
      <c r="AO47" s="216" t="str">
        <f t="shared" si="4"/>
        <v>#ERROR!</v>
      </c>
      <c r="AP47" s="215" t="str">
        <f t="shared" si="5"/>
        <v>#ERROR!</v>
      </c>
      <c r="AQ47" s="216" t="str">
        <f t="shared" si="6"/>
        <v>#ERROR!</v>
      </c>
      <c r="AR47" s="217" t="str">
        <f>Table1[[#This Row],[2019 Scope 3 ]]</f>
        <v>#ERROR!</v>
      </c>
      <c r="AS47" s="218" t="str">
        <f t="shared" si="7"/>
        <v>#ERROR!</v>
      </c>
      <c r="AT47" s="219" t="str">
        <f t="shared" si="8"/>
        <v>#ERROR!</v>
      </c>
      <c r="BI47" s="4">
        <v>7147.0</v>
      </c>
    </row>
    <row r="48" ht="12.75" customHeight="1">
      <c r="A48" s="5">
        <f>companies!A48</f>
        <v>47</v>
      </c>
      <c r="B48" s="200" t="s">
        <v>1254</v>
      </c>
      <c r="C48" s="211">
        <v>1670000.0</v>
      </c>
      <c r="D48" s="211">
        <v>2110000.0</v>
      </c>
      <c r="E48" s="211">
        <v>2110000.0</v>
      </c>
      <c r="F48" s="211"/>
      <c r="G48" s="211"/>
      <c r="H48" s="211"/>
      <c r="I48" s="211"/>
      <c r="J48" s="211"/>
      <c r="K48" s="211"/>
      <c r="L48" s="211"/>
      <c r="M48" s="212"/>
      <c r="N48" s="212"/>
      <c r="O48" s="212"/>
      <c r="P48" s="212"/>
      <c r="Q48" s="212"/>
      <c r="R48" s="211"/>
      <c r="S48" s="212"/>
      <c r="T48" s="212"/>
      <c r="U48" s="212"/>
      <c r="V48" s="212"/>
      <c r="W48" s="211">
        <v>2790000.0</v>
      </c>
      <c r="X48" s="200">
        <v>2110000.0</v>
      </c>
      <c r="Y48" s="200">
        <v>6570000.0</v>
      </c>
      <c r="Z48" s="213"/>
      <c r="AA48" s="213"/>
      <c r="AB48" s="213"/>
      <c r="AC48" s="213"/>
      <c r="AD48" s="213" t="s">
        <v>683</v>
      </c>
      <c r="AE48" s="213" t="s">
        <v>683</v>
      </c>
      <c r="AF48" s="214" t="str">
        <f>Table1[[#This Row],[2019 Scope 1 (MeT Co2)]]</f>
        <v>#ERROR!</v>
      </c>
      <c r="AG48" s="215" t="str">
        <f t="shared" si="1"/>
        <v>#ERROR!</v>
      </c>
      <c r="AH48" s="216" t="str">
        <f t="shared" si="2"/>
        <v>#ERROR!</v>
      </c>
      <c r="AI48" s="210"/>
      <c r="AJ48" s="210"/>
      <c r="AK48" s="213" t="s">
        <v>683</v>
      </c>
      <c r="AL48" s="213" t="s">
        <v>683</v>
      </c>
      <c r="AM48" s="214" t="str">
        <f>Table1[[#This Row],[2019 Scope 2 ]]</f>
        <v>#ERROR!</v>
      </c>
      <c r="AN48" s="215" t="str">
        <f t="shared" si="3"/>
        <v>#ERROR!</v>
      </c>
      <c r="AO48" s="216" t="str">
        <f t="shared" si="4"/>
        <v>#ERROR!</v>
      </c>
      <c r="AP48" s="215" t="str">
        <f t="shared" si="5"/>
        <v>#ERROR!</v>
      </c>
      <c r="AQ48" s="216" t="str">
        <f t="shared" si="6"/>
        <v>#ERROR!</v>
      </c>
      <c r="AR48" s="217" t="str">
        <f>Table1[[#This Row],[2019 Scope 3 ]]</f>
        <v>#ERROR!</v>
      </c>
      <c r="AS48" s="218" t="str">
        <f t="shared" si="7"/>
        <v>#ERROR!</v>
      </c>
      <c r="AT48" s="219" t="str">
        <f t="shared" si="8"/>
        <v>#ERROR!</v>
      </c>
      <c r="BI48" s="200">
        <v>7166.0</v>
      </c>
    </row>
    <row r="49" ht="12.75" customHeight="1">
      <c r="A49" s="5">
        <f>companies!A49</f>
        <v>48</v>
      </c>
      <c r="B49" s="200" t="s">
        <v>1254</v>
      </c>
      <c r="C49" s="211">
        <v>1848804.0</v>
      </c>
      <c r="D49" s="211">
        <v>4302887.0</v>
      </c>
      <c r="E49" s="211">
        <v>4302887.0</v>
      </c>
      <c r="F49" s="211"/>
      <c r="G49" s="211"/>
      <c r="H49" s="211"/>
      <c r="I49" s="211"/>
      <c r="J49" s="211"/>
      <c r="K49" s="211"/>
      <c r="L49" s="211"/>
      <c r="M49" s="212"/>
      <c r="N49" s="212"/>
      <c r="O49" s="212"/>
      <c r="P49" s="212"/>
      <c r="Q49" s="212"/>
      <c r="R49" s="211"/>
      <c r="S49" s="212"/>
      <c r="T49" s="212"/>
      <c r="U49" s="212"/>
      <c r="V49" s="212"/>
      <c r="W49" s="211">
        <v>2.86310319E8</v>
      </c>
      <c r="X49" s="200">
        <v>4302887.0</v>
      </c>
      <c r="Y49" s="200">
        <v>2.9246201E8</v>
      </c>
      <c r="Z49" s="200"/>
      <c r="AA49" s="200"/>
      <c r="AB49" s="200"/>
      <c r="AC49" s="200"/>
      <c r="AD49" s="213" t="s">
        <v>683</v>
      </c>
      <c r="AE49" s="213" t="s">
        <v>683</v>
      </c>
      <c r="AF49" s="214" t="str">
        <f>Table1[[#This Row],[2019 Scope 1 (MeT Co2)]]</f>
        <v>#ERROR!</v>
      </c>
      <c r="AG49" s="215" t="str">
        <f t="shared" si="1"/>
        <v>#ERROR!</v>
      </c>
      <c r="AH49" s="216" t="str">
        <f t="shared" si="2"/>
        <v>#ERROR!</v>
      </c>
      <c r="AI49" s="210"/>
      <c r="AJ49" s="210"/>
      <c r="AK49" s="213" t="s">
        <v>683</v>
      </c>
      <c r="AL49" s="213" t="s">
        <v>683</v>
      </c>
      <c r="AM49" s="214" t="str">
        <f>Table1[[#This Row],[2019 Scope 2 ]]</f>
        <v>#ERROR!</v>
      </c>
      <c r="AN49" s="215" t="str">
        <f t="shared" si="3"/>
        <v>#ERROR!</v>
      </c>
      <c r="AO49" s="216" t="str">
        <f t="shared" si="4"/>
        <v>#ERROR!</v>
      </c>
      <c r="AP49" s="215" t="str">
        <f t="shared" si="5"/>
        <v>#ERROR!</v>
      </c>
      <c r="AQ49" s="216" t="str">
        <f t="shared" si="6"/>
        <v>#ERROR!</v>
      </c>
      <c r="AR49" s="217" t="str">
        <f>Table1[[#This Row],[2019 Scope 3 ]]</f>
        <v>#ERROR!</v>
      </c>
      <c r="AS49" s="218" t="str">
        <f t="shared" si="7"/>
        <v>#ERROR!</v>
      </c>
      <c r="AT49" s="219" t="str">
        <f t="shared" si="8"/>
        <v>#ERROR!</v>
      </c>
      <c r="BI49" s="4">
        <v>7164.0</v>
      </c>
    </row>
    <row r="50" ht="12.75" customHeight="1">
      <c r="A50" s="5">
        <f>companies!A50</f>
        <v>49</v>
      </c>
      <c r="B50" s="200" t="s">
        <v>1254</v>
      </c>
      <c r="C50" s="211">
        <v>46330.0</v>
      </c>
      <c r="D50" s="211">
        <v>46217.0</v>
      </c>
      <c r="E50" s="211">
        <v>46217.0</v>
      </c>
      <c r="F50" s="211"/>
      <c r="G50" s="211"/>
      <c r="H50" s="211"/>
      <c r="I50" s="211"/>
      <c r="J50" s="211"/>
      <c r="K50" s="211"/>
      <c r="L50" s="211"/>
      <c r="M50" s="212"/>
      <c r="N50" s="212"/>
      <c r="O50" s="212"/>
      <c r="P50" s="212"/>
      <c r="Q50" s="212"/>
      <c r="R50" s="211"/>
      <c r="S50" s="212"/>
      <c r="T50" s="212"/>
      <c r="U50" s="212"/>
      <c r="V50" s="212"/>
      <c r="W50" s="211">
        <v>33056.0</v>
      </c>
      <c r="X50" s="200">
        <v>46217.0</v>
      </c>
      <c r="Y50" s="200">
        <v>125603.0</v>
      </c>
      <c r="Z50" s="200"/>
      <c r="AA50" s="200"/>
      <c r="AB50" s="200"/>
      <c r="AC50" s="200"/>
      <c r="AD50" s="213" t="s">
        <v>683</v>
      </c>
      <c r="AE50" s="213" t="s">
        <v>683</v>
      </c>
      <c r="AF50" s="214" t="str">
        <f>Table1[[#This Row],[2019 Scope 1 (MeT Co2)]]</f>
        <v>#ERROR!</v>
      </c>
      <c r="AG50" s="215" t="str">
        <f t="shared" si="1"/>
        <v>#ERROR!</v>
      </c>
      <c r="AH50" s="216" t="str">
        <f t="shared" si="2"/>
        <v>#ERROR!</v>
      </c>
      <c r="AI50" s="210"/>
      <c r="AJ50" s="210"/>
      <c r="AK50" s="213" t="s">
        <v>683</v>
      </c>
      <c r="AL50" s="213" t="s">
        <v>683</v>
      </c>
      <c r="AM50" s="214" t="str">
        <f>Table1[[#This Row],[2019 Scope 2 ]]</f>
        <v>#ERROR!</v>
      </c>
      <c r="AN50" s="215" t="str">
        <f t="shared" si="3"/>
        <v>#ERROR!</v>
      </c>
      <c r="AO50" s="216" t="str">
        <f t="shared" si="4"/>
        <v>#ERROR!</v>
      </c>
      <c r="AP50" s="215" t="str">
        <f t="shared" si="5"/>
        <v>#ERROR!</v>
      </c>
      <c r="AQ50" s="216" t="str">
        <f t="shared" si="6"/>
        <v>#ERROR!</v>
      </c>
      <c r="AR50" s="217" t="str">
        <f>Table1[[#This Row],[2019 Scope 3 ]]</f>
        <v>#ERROR!</v>
      </c>
      <c r="AS50" s="218" t="str">
        <f t="shared" si="7"/>
        <v>#ERROR!</v>
      </c>
      <c r="AT50" s="219" t="str">
        <f t="shared" si="8"/>
        <v>#ERROR!</v>
      </c>
      <c r="BI50" s="4">
        <v>7345.0</v>
      </c>
    </row>
    <row r="51" ht="12.75" customHeight="1">
      <c r="A51" s="5">
        <f>companies!A51</f>
        <v>50</v>
      </c>
      <c r="B51" s="200" t="s">
        <v>1254</v>
      </c>
      <c r="C51" s="211">
        <v>11231.0</v>
      </c>
      <c r="D51" s="211">
        <v>18410.0</v>
      </c>
      <c r="E51" s="211">
        <v>18410.0</v>
      </c>
      <c r="F51" s="211"/>
      <c r="G51" s="211"/>
      <c r="H51" s="211"/>
      <c r="I51" s="211"/>
      <c r="J51" s="211"/>
      <c r="K51" s="211"/>
      <c r="L51" s="211"/>
      <c r="M51" s="212"/>
      <c r="N51" s="212"/>
      <c r="O51" s="212"/>
      <c r="P51" s="212"/>
      <c r="Q51" s="212"/>
      <c r="R51" s="211"/>
      <c r="S51" s="212"/>
      <c r="T51" s="212"/>
      <c r="U51" s="212"/>
      <c r="V51" s="212"/>
      <c r="W51" s="211">
        <v>120001.0</v>
      </c>
      <c r="X51" s="200">
        <v>18410.0</v>
      </c>
      <c r="Y51" s="200">
        <v>149642.0</v>
      </c>
      <c r="Z51" s="200"/>
      <c r="AA51" s="200"/>
      <c r="AB51" s="200"/>
      <c r="AC51" s="200"/>
      <c r="AD51" s="213" t="s">
        <v>683</v>
      </c>
      <c r="AE51" s="213" t="s">
        <v>683</v>
      </c>
      <c r="AF51" s="214" t="str">
        <f>Table1[[#This Row],[2019 Scope 1 (MeT Co2)]]</f>
        <v>#ERROR!</v>
      </c>
      <c r="AG51" s="215" t="str">
        <f t="shared" si="1"/>
        <v>#ERROR!</v>
      </c>
      <c r="AH51" s="216" t="str">
        <f t="shared" si="2"/>
        <v>#ERROR!</v>
      </c>
      <c r="AI51" s="210"/>
      <c r="AJ51" s="210"/>
      <c r="AK51" s="213" t="s">
        <v>683</v>
      </c>
      <c r="AL51" s="213" t="s">
        <v>683</v>
      </c>
      <c r="AM51" s="214" t="str">
        <f>Table1[[#This Row],[2019 Scope 2 ]]</f>
        <v>#ERROR!</v>
      </c>
      <c r="AN51" s="215" t="str">
        <f t="shared" si="3"/>
        <v>#ERROR!</v>
      </c>
      <c r="AO51" s="216" t="str">
        <f t="shared" si="4"/>
        <v>#ERROR!</v>
      </c>
      <c r="AP51" s="215" t="str">
        <f t="shared" si="5"/>
        <v>#ERROR!</v>
      </c>
      <c r="AQ51" s="216" t="str">
        <f t="shared" si="6"/>
        <v>#ERROR!</v>
      </c>
      <c r="AR51" s="217" t="str">
        <f>Table1[[#This Row],[2019 Scope 3 ]]</f>
        <v>#ERROR!</v>
      </c>
      <c r="AS51" s="218" t="str">
        <f t="shared" si="7"/>
        <v>#ERROR!</v>
      </c>
      <c r="AT51" s="219" t="str">
        <f t="shared" si="8"/>
        <v>#ERROR!</v>
      </c>
      <c r="BI51" s="4">
        <v>7599.0</v>
      </c>
    </row>
    <row r="52" ht="12.75" customHeight="1">
      <c r="A52" s="5">
        <f>companies!A52</f>
        <v>51</v>
      </c>
      <c r="B52" s="200" t="s">
        <v>1254</v>
      </c>
      <c r="C52" s="211">
        <v>433633.0</v>
      </c>
      <c r="D52" s="211">
        <v>1681640.0</v>
      </c>
      <c r="E52" s="211">
        <v>1681640.0</v>
      </c>
      <c r="F52" s="211"/>
      <c r="G52" s="211"/>
      <c r="H52" s="211"/>
      <c r="I52" s="211"/>
      <c r="J52" s="211"/>
      <c r="K52" s="211"/>
      <c r="L52" s="211"/>
      <c r="M52" s="212"/>
      <c r="N52" s="212"/>
      <c r="O52" s="212"/>
      <c r="P52" s="212"/>
      <c r="Q52" s="212"/>
      <c r="R52" s="211"/>
      <c r="S52" s="212"/>
      <c r="T52" s="212"/>
      <c r="U52" s="212"/>
      <c r="V52" s="212"/>
      <c r="W52" s="211">
        <v>3791806.0</v>
      </c>
      <c r="X52" s="200">
        <v>1681640.0</v>
      </c>
      <c r="Y52" s="200">
        <v>5907079.0</v>
      </c>
      <c r="Z52" s="200"/>
      <c r="AA52" s="200"/>
      <c r="AB52" s="200"/>
      <c r="AC52" s="200"/>
      <c r="AD52" s="213" t="s">
        <v>683</v>
      </c>
      <c r="AE52" s="213" t="s">
        <v>683</v>
      </c>
      <c r="AF52" s="214" t="str">
        <f>Table1[[#This Row],[2019 Scope 1 (MeT Co2)]]</f>
        <v>#ERROR!</v>
      </c>
      <c r="AG52" s="215" t="str">
        <f t="shared" si="1"/>
        <v>#ERROR!</v>
      </c>
      <c r="AH52" s="216" t="str">
        <f t="shared" si="2"/>
        <v>#ERROR!</v>
      </c>
      <c r="AI52" s="210"/>
      <c r="AJ52" s="210"/>
      <c r="AK52" s="213" t="s">
        <v>683</v>
      </c>
      <c r="AL52" s="213" t="s">
        <v>683</v>
      </c>
      <c r="AM52" s="214" t="str">
        <f>Table1[[#This Row],[2019 Scope 2 ]]</f>
        <v>#ERROR!</v>
      </c>
      <c r="AN52" s="215" t="str">
        <f t="shared" si="3"/>
        <v>#ERROR!</v>
      </c>
      <c r="AO52" s="216" t="str">
        <f t="shared" si="4"/>
        <v>#ERROR!</v>
      </c>
      <c r="AP52" s="215" t="str">
        <f t="shared" si="5"/>
        <v>#ERROR!</v>
      </c>
      <c r="AQ52" s="216" t="str">
        <f t="shared" si="6"/>
        <v>#ERROR!</v>
      </c>
      <c r="AR52" s="217" t="str">
        <f>Table1[[#This Row],[2019 Scope 3 ]]</f>
        <v>#ERROR!</v>
      </c>
      <c r="AS52" s="218" t="str">
        <f t="shared" si="7"/>
        <v>#ERROR!</v>
      </c>
      <c r="AT52" s="219" t="str">
        <f t="shared" si="8"/>
        <v>#ERROR!</v>
      </c>
      <c r="BI52" s="4">
        <v>8526.0</v>
      </c>
    </row>
    <row r="53" ht="12.75" customHeight="1">
      <c r="A53" s="5">
        <f>companies!A53</f>
        <v>52</v>
      </c>
      <c r="B53" s="200" t="s">
        <v>1254</v>
      </c>
      <c r="C53" s="211">
        <v>1355420.0</v>
      </c>
      <c r="D53" s="211">
        <v>1228457.0</v>
      </c>
      <c r="E53" s="211">
        <v>1228457.0</v>
      </c>
      <c r="F53" s="211"/>
      <c r="G53" s="211"/>
      <c r="H53" s="211"/>
      <c r="I53" s="211"/>
      <c r="J53" s="211"/>
      <c r="K53" s="211"/>
      <c r="L53" s="211"/>
      <c r="M53" s="212"/>
      <c r="N53" s="212"/>
      <c r="O53" s="212"/>
      <c r="P53" s="212"/>
      <c r="Q53" s="212"/>
      <c r="R53" s="211"/>
      <c r="S53" s="212"/>
      <c r="T53" s="212"/>
      <c r="U53" s="212"/>
      <c r="V53" s="212"/>
      <c r="W53" s="211" t="s">
        <v>536</v>
      </c>
      <c r="X53" s="200">
        <v>1228457.0</v>
      </c>
      <c r="Y53" s="200"/>
      <c r="Z53" s="200"/>
      <c r="AA53" s="200"/>
      <c r="AB53" s="200"/>
      <c r="AC53" s="200"/>
      <c r="AD53" s="213" t="s">
        <v>683</v>
      </c>
      <c r="AE53" s="213" t="s">
        <v>683</v>
      </c>
      <c r="AF53" s="214" t="str">
        <f>Table1[[#This Row],[2019 Scope 1 (MeT Co2)]]</f>
        <v>#ERROR!</v>
      </c>
      <c r="AG53" s="215" t="str">
        <f t="shared" si="1"/>
        <v>#ERROR!</v>
      </c>
      <c r="AH53" s="216" t="str">
        <f t="shared" si="2"/>
        <v>#ERROR!</v>
      </c>
      <c r="AI53" s="210"/>
      <c r="AJ53" s="210"/>
      <c r="AK53" s="213" t="s">
        <v>683</v>
      </c>
      <c r="AL53" s="213" t="s">
        <v>683</v>
      </c>
      <c r="AM53" s="214" t="str">
        <f>Table1[[#This Row],[2019 Scope 2 ]]</f>
        <v>#ERROR!</v>
      </c>
      <c r="AN53" s="215" t="str">
        <f t="shared" si="3"/>
        <v>#ERROR!</v>
      </c>
      <c r="AO53" s="216" t="str">
        <f t="shared" si="4"/>
        <v>#ERROR!</v>
      </c>
      <c r="AP53" s="215" t="str">
        <f t="shared" si="5"/>
        <v>#ERROR!</v>
      </c>
      <c r="AQ53" s="216" t="str">
        <f t="shared" si="6"/>
        <v>#ERROR!</v>
      </c>
      <c r="AR53" s="217" t="str">
        <f>Table1[[#This Row],[2019 Scope 3 ]]</f>
        <v>#ERROR!</v>
      </c>
      <c r="AS53" s="218" t="str">
        <f t="shared" si="7"/>
        <v>#ERROR!</v>
      </c>
      <c r="AT53" s="219" t="str">
        <f t="shared" si="8"/>
        <v>#ERROR!</v>
      </c>
      <c r="BI53" s="4">
        <v>8553.0</v>
      </c>
    </row>
    <row r="54" ht="12.75" customHeight="1">
      <c r="A54" s="5">
        <f>companies!A54</f>
        <v>53</v>
      </c>
      <c r="B54" s="200" t="s">
        <v>1254</v>
      </c>
      <c r="C54" s="211">
        <v>124700.0</v>
      </c>
      <c r="D54" s="211">
        <v>1077000.0</v>
      </c>
      <c r="E54" s="211">
        <v>1077000.0</v>
      </c>
      <c r="F54" s="211"/>
      <c r="G54" s="211"/>
      <c r="H54" s="211"/>
      <c r="I54" s="211"/>
      <c r="J54" s="211"/>
      <c r="K54" s="211"/>
      <c r="L54" s="211"/>
      <c r="M54" s="212"/>
      <c r="N54" s="212"/>
      <c r="O54" s="212"/>
      <c r="P54" s="212"/>
      <c r="Q54" s="212"/>
      <c r="R54" s="211"/>
      <c r="S54" s="212"/>
      <c r="T54" s="212"/>
      <c r="U54" s="212"/>
      <c r="V54" s="212"/>
      <c r="W54" s="211" t="s">
        <v>536</v>
      </c>
      <c r="X54" s="200">
        <v>1077000.0</v>
      </c>
      <c r="Y54" s="200"/>
      <c r="Z54" s="200"/>
      <c r="AA54" s="200"/>
      <c r="AB54" s="200"/>
      <c r="AC54" s="200"/>
      <c r="AD54" s="213" t="s">
        <v>683</v>
      </c>
      <c r="AE54" s="213" t="s">
        <v>683</v>
      </c>
      <c r="AF54" s="214" t="str">
        <f>Table1[[#This Row],[2019 Scope 1 (MeT Co2)]]</f>
        <v>#ERROR!</v>
      </c>
      <c r="AG54" s="215" t="str">
        <f t="shared" si="1"/>
        <v>#ERROR!</v>
      </c>
      <c r="AH54" s="216" t="str">
        <f t="shared" si="2"/>
        <v>#ERROR!</v>
      </c>
      <c r="AI54" s="210"/>
      <c r="AJ54" s="210"/>
      <c r="AK54" s="213" t="s">
        <v>683</v>
      </c>
      <c r="AL54" s="213" t="s">
        <v>683</v>
      </c>
      <c r="AM54" s="214" t="str">
        <f>Table1[[#This Row],[2019 Scope 2 ]]</f>
        <v>#ERROR!</v>
      </c>
      <c r="AN54" s="215" t="str">
        <f t="shared" si="3"/>
        <v>#ERROR!</v>
      </c>
      <c r="AO54" s="216" t="str">
        <f t="shared" si="4"/>
        <v>#ERROR!</v>
      </c>
      <c r="AP54" s="215" t="str">
        <f t="shared" si="5"/>
        <v>#ERROR!</v>
      </c>
      <c r="AQ54" s="216" t="str">
        <f t="shared" si="6"/>
        <v>#ERROR!</v>
      </c>
      <c r="AR54" s="217" t="str">
        <f>Table1[[#This Row],[2019 Scope 3 ]]</f>
        <v>#ERROR!</v>
      </c>
      <c r="AS54" s="218" t="str">
        <f t="shared" si="7"/>
        <v>#ERROR!</v>
      </c>
      <c r="AT54" s="219" t="str">
        <f t="shared" si="8"/>
        <v>#ERROR!</v>
      </c>
      <c r="BI54" s="200">
        <v>9284.0</v>
      </c>
    </row>
    <row r="55" ht="12.75" customHeight="1">
      <c r="A55" s="5">
        <f>companies!A55</f>
        <v>54</v>
      </c>
      <c r="B55" s="200" t="s">
        <v>1254</v>
      </c>
      <c r="C55" s="211">
        <v>1490000.0</v>
      </c>
      <c r="D55" s="211">
        <v>971000.0</v>
      </c>
      <c r="E55" s="211">
        <v>971000.0</v>
      </c>
      <c r="F55" s="211"/>
      <c r="G55" s="211"/>
      <c r="H55" s="211"/>
      <c r="I55" s="211"/>
      <c r="J55" s="211"/>
      <c r="K55" s="211"/>
      <c r="L55" s="211"/>
      <c r="M55" s="212"/>
      <c r="N55" s="212"/>
      <c r="O55" s="212"/>
      <c r="P55" s="212"/>
      <c r="Q55" s="212"/>
      <c r="R55" s="211"/>
      <c r="S55" s="212"/>
      <c r="T55" s="212"/>
      <c r="U55" s="212"/>
      <c r="V55" s="212"/>
      <c r="W55" s="211">
        <v>1.232E7</v>
      </c>
      <c r="X55" s="200">
        <v>971000.0</v>
      </c>
      <c r="Y55" s="200">
        <v>1.4781E7</v>
      </c>
      <c r="Z55" s="200"/>
      <c r="AA55" s="200"/>
      <c r="AB55" s="200"/>
      <c r="AC55" s="200"/>
      <c r="AD55" s="213" t="s">
        <v>683</v>
      </c>
      <c r="AE55" s="213" t="s">
        <v>683</v>
      </c>
      <c r="AF55" s="214" t="str">
        <f>Table1[[#This Row],[2019 Scope 1 (MeT Co2)]]</f>
        <v>#ERROR!</v>
      </c>
      <c r="AG55" s="215" t="str">
        <f t="shared" si="1"/>
        <v>#ERROR!</v>
      </c>
      <c r="AH55" s="216" t="str">
        <f t="shared" si="2"/>
        <v>#ERROR!</v>
      </c>
      <c r="AI55" s="210"/>
      <c r="AJ55" s="210"/>
      <c r="AK55" s="213" t="s">
        <v>683</v>
      </c>
      <c r="AL55" s="213" t="s">
        <v>683</v>
      </c>
      <c r="AM55" s="214" t="str">
        <f>Table1[[#This Row],[2019 Scope 2 ]]</f>
        <v>#ERROR!</v>
      </c>
      <c r="AN55" s="215" t="str">
        <f t="shared" si="3"/>
        <v>#ERROR!</v>
      </c>
      <c r="AO55" s="216" t="str">
        <f t="shared" si="4"/>
        <v>#ERROR!</v>
      </c>
      <c r="AP55" s="215" t="str">
        <f t="shared" si="5"/>
        <v>#ERROR!</v>
      </c>
      <c r="AQ55" s="216" t="str">
        <f t="shared" si="6"/>
        <v>#ERROR!</v>
      </c>
      <c r="AR55" s="217" t="str">
        <f>Table1[[#This Row],[2019 Scope 3 ]]</f>
        <v>#ERROR!</v>
      </c>
      <c r="AS55" s="218" t="str">
        <f t="shared" si="7"/>
        <v>#ERROR!</v>
      </c>
      <c r="AT55" s="219" t="str">
        <f t="shared" si="8"/>
        <v>#ERROR!</v>
      </c>
      <c r="BI55" s="4">
        <v>9298.0</v>
      </c>
    </row>
    <row r="56" ht="12.75" customHeight="1">
      <c r="A56" s="5">
        <f>companies!A56</f>
        <v>55</v>
      </c>
      <c r="B56" s="200" t="s">
        <v>1254</v>
      </c>
      <c r="C56" s="211">
        <v>474497.0</v>
      </c>
      <c r="D56" s="211">
        <v>639323.0</v>
      </c>
      <c r="E56" s="211">
        <v>639323.0</v>
      </c>
      <c r="F56" s="211"/>
      <c r="G56" s="211"/>
      <c r="H56" s="211"/>
      <c r="I56" s="211"/>
      <c r="J56" s="211"/>
      <c r="K56" s="211"/>
      <c r="L56" s="211"/>
      <c r="M56" s="212"/>
      <c r="N56" s="212"/>
      <c r="O56" s="212"/>
      <c r="P56" s="212"/>
      <c r="Q56" s="212"/>
      <c r="R56" s="211"/>
      <c r="S56" s="212"/>
      <c r="T56" s="212"/>
      <c r="U56" s="212"/>
      <c r="V56" s="212"/>
      <c r="W56" s="211">
        <v>1.798849E7</v>
      </c>
      <c r="X56" s="200">
        <v>639323.0</v>
      </c>
      <c r="Y56" s="200">
        <v>1.910231E7</v>
      </c>
      <c r="Z56" s="200"/>
      <c r="AA56" s="200"/>
      <c r="AB56" s="200"/>
      <c r="AC56" s="200"/>
      <c r="AD56" s="213" t="s">
        <v>683</v>
      </c>
      <c r="AE56" s="213" t="s">
        <v>683</v>
      </c>
      <c r="AF56" s="214" t="str">
        <f>Table1[[#This Row],[2019 Scope 1 (MeT Co2)]]</f>
        <v>#ERROR!</v>
      </c>
      <c r="AG56" s="215" t="str">
        <f t="shared" si="1"/>
        <v>#ERROR!</v>
      </c>
      <c r="AH56" s="216" t="str">
        <f t="shared" si="2"/>
        <v>#ERROR!</v>
      </c>
      <c r="AI56" s="210"/>
      <c r="AJ56" s="210"/>
      <c r="AK56" s="213" t="s">
        <v>683</v>
      </c>
      <c r="AL56" s="213" t="s">
        <v>683</v>
      </c>
      <c r="AM56" s="214" t="str">
        <f>Table1[[#This Row],[2019 Scope 2 ]]</f>
        <v>#ERROR!</v>
      </c>
      <c r="AN56" s="215" t="str">
        <f t="shared" si="3"/>
        <v>#ERROR!</v>
      </c>
      <c r="AO56" s="216" t="str">
        <f t="shared" si="4"/>
        <v>#ERROR!</v>
      </c>
      <c r="AP56" s="215" t="str">
        <f t="shared" si="5"/>
        <v>#ERROR!</v>
      </c>
      <c r="AQ56" s="216" t="str">
        <f t="shared" si="6"/>
        <v>#ERROR!</v>
      </c>
      <c r="AR56" s="217" t="str">
        <f>Table1[[#This Row],[2019 Scope 3 ]]</f>
        <v>#ERROR!</v>
      </c>
      <c r="AS56" s="218" t="str">
        <f t="shared" si="7"/>
        <v>#ERROR!</v>
      </c>
      <c r="AT56" s="219" t="str">
        <f t="shared" si="8"/>
        <v>#ERROR!</v>
      </c>
      <c r="BI56" s="4">
        <v>9829.0</v>
      </c>
    </row>
    <row r="57" ht="12.75" customHeight="1">
      <c r="A57" s="5">
        <f>companies!A57</f>
        <v>56</v>
      </c>
      <c r="B57" s="200" t="s">
        <v>1254</v>
      </c>
      <c r="C57" s="211">
        <v>78229.0</v>
      </c>
      <c r="D57" s="211">
        <v>596843.0</v>
      </c>
      <c r="E57" s="211">
        <v>596843.0</v>
      </c>
      <c r="F57" s="211"/>
      <c r="G57" s="211"/>
      <c r="H57" s="211"/>
      <c r="I57" s="211"/>
      <c r="J57" s="211"/>
      <c r="K57" s="211"/>
      <c r="L57" s="211"/>
      <c r="M57" s="212"/>
      <c r="N57" s="212"/>
      <c r="O57" s="212"/>
      <c r="P57" s="212"/>
      <c r="Q57" s="212"/>
      <c r="R57" s="211"/>
      <c r="S57" s="212"/>
      <c r="T57" s="212"/>
      <c r="U57" s="212"/>
      <c r="V57" s="212"/>
      <c r="W57" s="211">
        <v>187020.0</v>
      </c>
      <c r="X57" s="200">
        <v>596843.0</v>
      </c>
      <c r="Y57" s="200">
        <v>862092.0</v>
      </c>
      <c r="Z57" s="200"/>
      <c r="AA57" s="200"/>
      <c r="AB57" s="200"/>
      <c r="AC57" s="200"/>
      <c r="AD57" s="213" t="s">
        <v>683</v>
      </c>
      <c r="AE57" s="213" t="s">
        <v>683</v>
      </c>
      <c r="AF57" s="214" t="str">
        <f>Table1[[#This Row],[2019 Scope 1 (MeT Co2)]]</f>
        <v>#ERROR!</v>
      </c>
      <c r="AG57" s="215" t="str">
        <f t="shared" si="1"/>
        <v>#ERROR!</v>
      </c>
      <c r="AH57" s="216" t="str">
        <f t="shared" si="2"/>
        <v>#ERROR!</v>
      </c>
      <c r="AI57" s="210"/>
      <c r="AJ57" s="210"/>
      <c r="AK57" s="213" t="s">
        <v>683</v>
      </c>
      <c r="AL57" s="213" t="s">
        <v>683</v>
      </c>
      <c r="AM57" s="214" t="str">
        <f>Table1[[#This Row],[2019 Scope 2 ]]</f>
        <v>#ERROR!</v>
      </c>
      <c r="AN57" s="215" t="str">
        <f t="shared" si="3"/>
        <v>#ERROR!</v>
      </c>
      <c r="AO57" s="216" t="str">
        <f t="shared" si="4"/>
        <v>#ERROR!</v>
      </c>
      <c r="AP57" s="215" t="str">
        <f t="shared" si="5"/>
        <v>#ERROR!</v>
      </c>
      <c r="AQ57" s="216" t="str">
        <f t="shared" si="6"/>
        <v>#ERROR!</v>
      </c>
      <c r="AR57" s="217" t="str">
        <f>Table1[[#This Row],[2019 Scope 3 ]]</f>
        <v>#ERROR!</v>
      </c>
      <c r="AS57" s="218" t="str">
        <f t="shared" si="7"/>
        <v>#ERROR!</v>
      </c>
      <c r="AT57" s="219" t="str">
        <f t="shared" si="8"/>
        <v>#ERROR!</v>
      </c>
      <c r="BI57" s="4">
        <v>9871.0</v>
      </c>
    </row>
    <row r="58" ht="12.75" customHeight="1">
      <c r="A58" s="5">
        <f>companies!A58</f>
        <v>57</v>
      </c>
      <c r="B58" s="200" t="s">
        <v>1254</v>
      </c>
      <c r="C58" s="211" t="s">
        <v>536</v>
      </c>
      <c r="D58" s="211" t="s">
        <v>536</v>
      </c>
      <c r="E58" s="211" t="s">
        <v>536</v>
      </c>
      <c r="F58" s="211"/>
      <c r="G58" s="211"/>
      <c r="H58" s="211"/>
      <c r="I58" s="211"/>
      <c r="J58" s="211"/>
      <c r="K58" s="211"/>
      <c r="L58" s="211"/>
      <c r="M58" s="212"/>
      <c r="N58" s="212"/>
      <c r="O58" s="212"/>
      <c r="P58" s="212"/>
      <c r="Q58" s="212"/>
      <c r="R58" s="211"/>
      <c r="S58" s="212"/>
      <c r="T58" s="212"/>
      <c r="U58" s="212"/>
      <c r="V58" s="212"/>
      <c r="W58" s="211" t="s">
        <v>536</v>
      </c>
      <c r="X58" s="200">
        <v>0.0</v>
      </c>
      <c r="Y58" s="200"/>
      <c r="Z58" s="213"/>
      <c r="AA58" s="213"/>
      <c r="AB58" s="213"/>
      <c r="AC58" s="213"/>
      <c r="AD58" s="213" t="e">
        <v>#N/A</v>
      </c>
      <c r="AE58" s="213" t="e">
        <v>#N/A</v>
      </c>
      <c r="AF58" s="214" t="str">
        <f>Table1[[#This Row],[2019 Scope 1 (MeT Co2)]]</f>
        <v>#ERROR!</v>
      </c>
      <c r="AG58" s="215" t="str">
        <f t="shared" si="1"/>
        <v>#ERROR!</v>
      </c>
      <c r="AH58" s="216" t="str">
        <f t="shared" si="2"/>
        <v>#ERROR!</v>
      </c>
      <c r="AI58" s="210"/>
      <c r="AJ58" s="210"/>
      <c r="AK58" s="213" t="e">
        <v>#N/A</v>
      </c>
      <c r="AL58" s="213" t="e">
        <v>#N/A</v>
      </c>
      <c r="AM58" s="214" t="str">
        <f>Table1[[#This Row],[2019 Scope 2 ]]</f>
        <v>#ERROR!</v>
      </c>
      <c r="AN58" s="215" t="str">
        <f t="shared" si="3"/>
        <v>#ERROR!</v>
      </c>
      <c r="AO58" s="216" t="str">
        <f t="shared" si="4"/>
        <v>#ERROR!</v>
      </c>
      <c r="AP58" s="215" t="str">
        <f t="shared" si="5"/>
        <v>#ERROR!</v>
      </c>
      <c r="AQ58" s="216" t="str">
        <f t="shared" si="6"/>
        <v>#ERROR!</v>
      </c>
      <c r="AR58" s="217" t="str">
        <f>Table1[[#This Row],[2019 Scope 3 ]]</f>
        <v>#ERROR!</v>
      </c>
      <c r="AS58" s="218" t="str">
        <f t="shared" si="7"/>
        <v>#ERROR!</v>
      </c>
      <c r="AT58" s="219" t="str">
        <f t="shared" si="8"/>
        <v>#ERROR!</v>
      </c>
    </row>
    <row r="59" ht="12.75" customHeight="1">
      <c r="A59" s="5">
        <f>companies!A59</f>
        <v>58</v>
      </c>
      <c r="B59" s="200" t="s">
        <v>1254</v>
      </c>
      <c r="C59" s="211">
        <v>709692.0</v>
      </c>
      <c r="D59" s="211">
        <v>765557.0</v>
      </c>
      <c r="E59" s="211">
        <v>765557.0</v>
      </c>
      <c r="F59" s="211"/>
      <c r="G59" s="211"/>
      <c r="H59" s="211"/>
      <c r="I59" s="211"/>
      <c r="J59" s="211"/>
      <c r="K59" s="211"/>
      <c r="L59" s="211"/>
      <c r="M59" s="212"/>
      <c r="N59" s="212"/>
      <c r="O59" s="212"/>
      <c r="P59" s="212"/>
      <c r="Q59" s="212"/>
      <c r="R59" s="211"/>
      <c r="S59" s="212"/>
      <c r="T59" s="212"/>
      <c r="U59" s="212"/>
      <c r="V59" s="212"/>
      <c r="W59" s="211">
        <v>2.151907535E7</v>
      </c>
      <c r="X59" s="200">
        <v>765557.0</v>
      </c>
      <c r="Y59" s="200">
        <v>2.299432435E7</v>
      </c>
      <c r="Z59" s="213"/>
      <c r="AA59" s="213"/>
      <c r="AB59" s="213"/>
      <c r="AC59" s="213"/>
      <c r="AD59" s="213" t="s">
        <v>683</v>
      </c>
      <c r="AE59" s="213" t="s">
        <v>683</v>
      </c>
      <c r="AF59" s="214" t="str">
        <f>Table1[[#This Row],[2019 Scope 1 (MeT Co2)]]</f>
        <v>#ERROR!</v>
      </c>
      <c r="AG59" s="215" t="str">
        <f t="shared" si="1"/>
        <v>#ERROR!</v>
      </c>
      <c r="AH59" s="216" t="str">
        <f t="shared" si="2"/>
        <v>#ERROR!</v>
      </c>
      <c r="AI59" s="210"/>
      <c r="AJ59" s="210"/>
      <c r="AK59" s="213" t="s">
        <v>683</v>
      </c>
      <c r="AL59" s="213" t="s">
        <v>683</v>
      </c>
      <c r="AM59" s="214" t="str">
        <f>Table1[[#This Row],[2019 Scope 2 ]]</f>
        <v>#ERROR!</v>
      </c>
      <c r="AN59" s="215" t="str">
        <f t="shared" si="3"/>
        <v>#ERROR!</v>
      </c>
      <c r="AO59" s="216" t="str">
        <f t="shared" si="4"/>
        <v>#ERROR!</v>
      </c>
      <c r="AP59" s="215" t="str">
        <f t="shared" si="5"/>
        <v>#ERROR!</v>
      </c>
      <c r="AQ59" s="216" t="str">
        <f t="shared" si="6"/>
        <v>#ERROR!</v>
      </c>
      <c r="AR59" s="217" t="str">
        <f>Table1[[#This Row],[2019 Scope 3 ]]</f>
        <v>#ERROR!</v>
      </c>
      <c r="AS59" s="218" t="str">
        <f t="shared" si="7"/>
        <v>#ERROR!</v>
      </c>
      <c r="AT59" s="219" t="str">
        <f t="shared" si="8"/>
        <v>#ERROR!</v>
      </c>
      <c r="BI59" s="4">
        <v>58857.0</v>
      </c>
    </row>
    <row r="60" ht="12.75" customHeight="1">
      <c r="A60" s="5">
        <f>companies!A60</f>
        <v>59</v>
      </c>
      <c r="B60" s="200" t="s">
        <v>1254</v>
      </c>
      <c r="C60" s="211">
        <v>291523.0</v>
      </c>
      <c r="D60" s="211">
        <v>552851.0</v>
      </c>
      <c r="E60" s="211">
        <v>552851.0</v>
      </c>
      <c r="F60" s="211"/>
      <c r="G60" s="211"/>
      <c r="H60" s="211"/>
      <c r="I60" s="211"/>
      <c r="J60" s="211"/>
      <c r="K60" s="211"/>
      <c r="L60" s="211"/>
      <c r="M60" s="212"/>
      <c r="N60" s="212"/>
      <c r="O60" s="212"/>
      <c r="P60" s="212"/>
      <c r="Q60" s="212"/>
      <c r="R60" s="211"/>
      <c r="S60" s="212"/>
      <c r="T60" s="212"/>
      <c r="U60" s="212"/>
      <c r="V60" s="212"/>
      <c r="W60" s="211">
        <v>3.0605E7</v>
      </c>
      <c r="X60" s="200">
        <v>552851.0</v>
      </c>
      <c r="Y60" s="200">
        <v>3.1449374E7</v>
      </c>
      <c r="Z60" s="200"/>
      <c r="AA60" s="200"/>
      <c r="AB60" s="200"/>
      <c r="AC60" s="200"/>
      <c r="AD60" s="213" t="s">
        <v>683</v>
      </c>
      <c r="AE60" s="213" t="s">
        <v>683</v>
      </c>
      <c r="AF60" s="214" t="str">
        <f>Table1[[#This Row],[2019 Scope 1 (MeT Co2)]]</f>
        <v>#ERROR!</v>
      </c>
      <c r="AG60" s="215" t="str">
        <f t="shared" si="1"/>
        <v>#ERROR!</v>
      </c>
      <c r="AH60" s="216" t="str">
        <f t="shared" si="2"/>
        <v>#ERROR!</v>
      </c>
      <c r="AI60" s="210"/>
      <c r="AJ60" s="210"/>
      <c r="AK60" s="213" t="s">
        <v>683</v>
      </c>
      <c r="AL60" s="213" t="s">
        <v>683</v>
      </c>
      <c r="AM60" s="214" t="str">
        <f>Table1[[#This Row],[2019 Scope 2 ]]</f>
        <v>#ERROR!</v>
      </c>
      <c r="AN60" s="215" t="str">
        <f t="shared" si="3"/>
        <v>#ERROR!</v>
      </c>
      <c r="AO60" s="216" t="str">
        <f t="shared" si="4"/>
        <v>#ERROR!</v>
      </c>
      <c r="AP60" s="215" t="str">
        <f t="shared" si="5"/>
        <v>#ERROR!</v>
      </c>
      <c r="AQ60" s="216" t="str">
        <f t="shared" si="6"/>
        <v>#ERROR!</v>
      </c>
      <c r="AR60" s="217" t="str">
        <f>Table1[[#This Row],[2019 Scope 3 ]]</f>
        <v>#ERROR!</v>
      </c>
      <c r="AS60" s="218" t="str">
        <f t="shared" si="7"/>
        <v>#ERROR!</v>
      </c>
      <c r="AT60" s="219" t="str">
        <f t="shared" si="8"/>
        <v>#ERROR!</v>
      </c>
      <c r="BI60" s="4" t="s">
        <v>1259</v>
      </c>
    </row>
    <row r="61" ht="12.75" customHeight="1">
      <c r="A61" s="5">
        <f>companies!A61</f>
        <v>60</v>
      </c>
      <c r="B61" s="200" t="s">
        <v>1254</v>
      </c>
      <c r="C61" s="211">
        <v>400000.0</v>
      </c>
      <c r="D61" s="211">
        <v>2022000.0</v>
      </c>
      <c r="E61" s="211">
        <v>2022000.0</v>
      </c>
      <c r="F61" s="211"/>
      <c r="G61" s="211"/>
      <c r="H61" s="211"/>
      <c r="I61" s="211"/>
      <c r="J61" s="211"/>
      <c r="K61" s="211"/>
      <c r="L61" s="211"/>
      <c r="M61" s="212"/>
      <c r="N61" s="212"/>
      <c r="O61" s="212"/>
      <c r="P61" s="212"/>
      <c r="Q61" s="212"/>
      <c r="R61" s="211"/>
      <c r="S61" s="212"/>
      <c r="T61" s="212"/>
      <c r="U61" s="212"/>
      <c r="V61" s="212"/>
      <c r="W61" s="211" t="s">
        <v>536</v>
      </c>
      <c r="X61" s="200">
        <v>2022000.0</v>
      </c>
      <c r="Y61" s="200"/>
      <c r="Z61" s="213"/>
      <c r="AA61" s="213"/>
      <c r="AB61" s="213"/>
      <c r="AC61" s="213"/>
      <c r="AD61" s="213" t="s">
        <v>683</v>
      </c>
      <c r="AE61" s="213" t="s">
        <v>683</v>
      </c>
      <c r="AF61" s="214" t="str">
        <f>Table1[[#This Row],[2019 Scope 1 (MeT Co2)]]</f>
        <v>#ERROR!</v>
      </c>
      <c r="AG61" s="215" t="str">
        <f t="shared" si="1"/>
        <v>#ERROR!</v>
      </c>
      <c r="AH61" s="216" t="str">
        <f t="shared" si="2"/>
        <v>#ERROR!</v>
      </c>
      <c r="AI61" s="210"/>
      <c r="AJ61" s="210"/>
      <c r="AK61" s="213" t="s">
        <v>683</v>
      </c>
      <c r="AL61" s="213" t="s">
        <v>683</v>
      </c>
      <c r="AM61" s="214" t="str">
        <f>Table1[[#This Row],[2019 Scope 2 ]]</f>
        <v>#ERROR!</v>
      </c>
      <c r="AN61" s="215" t="str">
        <f t="shared" si="3"/>
        <v>#ERROR!</v>
      </c>
      <c r="AO61" s="216" t="str">
        <f t="shared" si="4"/>
        <v>#ERROR!</v>
      </c>
      <c r="AP61" s="215" t="str">
        <f t="shared" si="5"/>
        <v>#ERROR!</v>
      </c>
      <c r="AQ61" s="216" t="str">
        <f t="shared" si="6"/>
        <v>#ERROR!</v>
      </c>
      <c r="AR61" s="217" t="str">
        <f>Table1[[#This Row],[2019 Scope 3 ]]</f>
        <v>#ERROR!</v>
      </c>
      <c r="AS61" s="218" t="str">
        <f t="shared" si="7"/>
        <v>#ERROR!</v>
      </c>
      <c r="AT61" s="219" t="str">
        <f t="shared" si="8"/>
        <v>#ERROR!</v>
      </c>
      <c r="BI61" s="4">
        <v>11017.0</v>
      </c>
    </row>
    <row r="62" ht="12.75" customHeight="1">
      <c r="A62" s="5">
        <f>companies!A62</f>
        <v>61</v>
      </c>
      <c r="B62" s="200" t="s">
        <v>1254</v>
      </c>
      <c r="C62" s="211">
        <v>6587.0</v>
      </c>
      <c r="D62" s="211">
        <v>64917.0</v>
      </c>
      <c r="E62" s="211">
        <v>64917.0</v>
      </c>
      <c r="F62" s="211"/>
      <c r="G62" s="211"/>
      <c r="H62" s="211"/>
      <c r="I62" s="211"/>
      <c r="J62" s="211"/>
      <c r="K62" s="211"/>
      <c r="L62" s="211"/>
      <c r="M62" s="212"/>
      <c r="N62" s="212"/>
      <c r="O62" s="212"/>
      <c r="P62" s="212"/>
      <c r="Q62" s="212"/>
      <c r="R62" s="211"/>
      <c r="S62" s="212"/>
      <c r="T62" s="212"/>
      <c r="U62" s="212"/>
      <c r="V62" s="212"/>
      <c r="W62" s="211">
        <v>471614.0</v>
      </c>
      <c r="X62" s="200">
        <v>64917.0</v>
      </c>
      <c r="Y62" s="200">
        <v>543118.0</v>
      </c>
      <c r="Z62" s="200"/>
      <c r="AA62" s="200"/>
      <c r="AB62" s="200"/>
      <c r="AC62" s="200"/>
      <c r="AD62" s="213" t="s">
        <v>683</v>
      </c>
      <c r="AE62" s="213" t="s">
        <v>683</v>
      </c>
      <c r="AF62" s="214" t="str">
        <f>Table1[[#This Row],[2019 Scope 1 (MeT Co2)]]</f>
        <v>#ERROR!</v>
      </c>
      <c r="AG62" s="215" t="str">
        <f t="shared" si="1"/>
        <v>#ERROR!</v>
      </c>
      <c r="AH62" s="216" t="str">
        <f t="shared" si="2"/>
        <v>#ERROR!</v>
      </c>
      <c r="AI62" s="210"/>
      <c r="AJ62" s="210"/>
      <c r="AK62" s="213" t="s">
        <v>683</v>
      </c>
      <c r="AL62" s="213" t="s">
        <v>683</v>
      </c>
      <c r="AM62" s="214" t="str">
        <f>Table1[[#This Row],[2019 Scope 2 ]]</f>
        <v>#ERROR!</v>
      </c>
      <c r="AN62" s="215" t="str">
        <f t="shared" si="3"/>
        <v>#ERROR!</v>
      </c>
      <c r="AO62" s="216" t="str">
        <f t="shared" si="4"/>
        <v>#ERROR!</v>
      </c>
      <c r="AP62" s="215" t="str">
        <f t="shared" si="5"/>
        <v>#ERROR!</v>
      </c>
      <c r="AQ62" s="216" t="str">
        <f t="shared" si="6"/>
        <v>#ERROR!</v>
      </c>
      <c r="AR62" s="217" t="str">
        <f>Table1[[#This Row],[2019 Scope 3 ]]</f>
        <v>#ERROR!</v>
      </c>
      <c r="AS62" s="218" t="str">
        <f t="shared" si="7"/>
        <v>#ERROR!</v>
      </c>
      <c r="AT62" s="219" t="str">
        <f t="shared" si="8"/>
        <v>#ERROR!</v>
      </c>
      <c r="BI62" s="4">
        <v>11421.0</v>
      </c>
    </row>
    <row r="63" ht="12.75" customHeight="1">
      <c r="A63" s="5">
        <f>companies!A63</f>
        <v>62</v>
      </c>
      <c r="B63" s="200" t="s">
        <v>1254</v>
      </c>
      <c r="C63" s="211">
        <v>151000.0</v>
      </c>
      <c r="D63" s="211">
        <v>764000.0</v>
      </c>
      <c r="E63" s="211">
        <v>764000.0</v>
      </c>
      <c r="F63" s="211"/>
      <c r="G63" s="211"/>
      <c r="H63" s="211"/>
      <c r="I63" s="211"/>
      <c r="J63" s="211"/>
      <c r="K63" s="211"/>
      <c r="L63" s="211"/>
      <c r="M63" s="212"/>
      <c r="N63" s="212"/>
      <c r="O63" s="212"/>
      <c r="P63" s="212"/>
      <c r="Q63" s="212"/>
      <c r="R63" s="211"/>
      <c r="S63" s="212"/>
      <c r="T63" s="212"/>
      <c r="U63" s="212"/>
      <c r="V63" s="212"/>
      <c r="W63" s="211">
        <v>0.0</v>
      </c>
      <c r="X63" s="200">
        <v>764000.0</v>
      </c>
      <c r="Y63" s="200">
        <v>915000.0</v>
      </c>
      <c r="Z63" s="213"/>
      <c r="AA63" s="213"/>
      <c r="AB63" s="213"/>
      <c r="AC63" s="213"/>
      <c r="AD63" s="213" t="s">
        <v>1255</v>
      </c>
      <c r="AE63" s="213" t="s">
        <v>1256</v>
      </c>
      <c r="AF63" s="214" t="str">
        <f>Table1[[#This Row],[2019 Scope 1 (MeT Co2)]]</f>
        <v>#ERROR!</v>
      </c>
      <c r="AG63" s="215" t="str">
        <f t="shared" si="1"/>
        <v>#ERROR!</v>
      </c>
      <c r="AH63" s="216" t="str">
        <f t="shared" si="2"/>
        <v>#ERROR!</v>
      </c>
      <c r="AI63" s="210"/>
      <c r="AJ63" s="210"/>
      <c r="AK63" s="213" t="s">
        <v>1255</v>
      </c>
      <c r="AL63" s="213" t="s">
        <v>1256</v>
      </c>
      <c r="AM63" s="214" t="str">
        <f>Table1[[#This Row],[2019 Scope 2 ]]</f>
        <v>#ERROR!</v>
      </c>
      <c r="AN63" s="215" t="str">
        <f t="shared" si="3"/>
        <v>#ERROR!</v>
      </c>
      <c r="AO63" s="216" t="str">
        <f t="shared" si="4"/>
        <v>#ERROR!</v>
      </c>
      <c r="AP63" s="215" t="str">
        <f t="shared" si="5"/>
        <v>#ERROR!</v>
      </c>
      <c r="AQ63" s="216" t="str">
        <f t="shared" si="6"/>
        <v>#ERROR!</v>
      </c>
      <c r="AR63" s="217" t="str">
        <f>Table1[[#This Row],[2019 Scope 3 ]]</f>
        <v>#ERROR!</v>
      </c>
      <c r="AS63" s="218" t="str">
        <f t="shared" si="7"/>
        <v>#ERROR!</v>
      </c>
      <c r="AT63" s="219" t="str">
        <f t="shared" si="8"/>
        <v>#ERROR!</v>
      </c>
      <c r="BI63" s="4">
        <v>11581.0</v>
      </c>
    </row>
    <row r="64" ht="12.75" customHeight="1">
      <c r="A64" s="5">
        <f>companies!A64</f>
        <v>63</v>
      </c>
      <c r="B64" s="200" t="s">
        <v>1254</v>
      </c>
      <c r="C64" s="211">
        <v>74992.0</v>
      </c>
      <c r="D64" s="211">
        <v>269008.0</v>
      </c>
      <c r="E64" s="211">
        <v>269008.0</v>
      </c>
      <c r="F64" s="211"/>
      <c r="G64" s="211"/>
      <c r="H64" s="211"/>
      <c r="I64" s="211"/>
      <c r="J64" s="211"/>
      <c r="K64" s="211"/>
      <c r="L64" s="211"/>
      <c r="M64" s="212"/>
      <c r="N64" s="212"/>
      <c r="O64" s="212"/>
      <c r="P64" s="212"/>
      <c r="Q64" s="212"/>
      <c r="R64" s="211"/>
      <c r="S64" s="212"/>
      <c r="T64" s="212"/>
      <c r="U64" s="212"/>
      <c r="V64" s="212"/>
      <c r="W64" s="211">
        <v>0.0</v>
      </c>
      <c r="X64" s="200">
        <v>269008.0</v>
      </c>
      <c r="Y64" s="200">
        <v>344000.0</v>
      </c>
      <c r="Z64" s="200"/>
      <c r="AA64" s="200"/>
      <c r="AB64" s="200"/>
      <c r="AC64" s="200"/>
      <c r="AD64" s="213" t="s">
        <v>683</v>
      </c>
      <c r="AE64" s="213" t="s">
        <v>683</v>
      </c>
      <c r="AF64" s="214" t="str">
        <f>Table1[[#This Row],[2019 Scope 1 (MeT Co2)]]</f>
        <v>#ERROR!</v>
      </c>
      <c r="AG64" s="215" t="str">
        <f t="shared" si="1"/>
        <v>#ERROR!</v>
      </c>
      <c r="AH64" s="216" t="str">
        <f t="shared" si="2"/>
        <v>#ERROR!</v>
      </c>
      <c r="AI64" s="210"/>
      <c r="AJ64" s="210"/>
      <c r="AK64" s="213" t="s">
        <v>683</v>
      </c>
      <c r="AL64" s="213" t="s">
        <v>683</v>
      </c>
      <c r="AM64" s="214" t="str">
        <f>Table1[[#This Row],[2019 Scope 2 ]]</f>
        <v>#ERROR!</v>
      </c>
      <c r="AN64" s="215" t="str">
        <f t="shared" si="3"/>
        <v>#ERROR!</v>
      </c>
      <c r="AO64" s="216" t="str">
        <f t="shared" si="4"/>
        <v>#ERROR!</v>
      </c>
      <c r="AP64" s="215" t="str">
        <f t="shared" si="5"/>
        <v>#ERROR!</v>
      </c>
      <c r="AQ64" s="216" t="str">
        <f t="shared" si="6"/>
        <v>#ERROR!</v>
      </c>
      <c r="AR64" s="217" t="str">
        <f>Table1[[#This Row],[2019 Scope 3 ]]</f>
        <v>#ERROR!</v>
      </c>
      <c r="AS64" s="218" t="str">
        <f t="shared" si="7"/>
        <v>#ERROR!</v>
      </c>
      <c r="AT64" s="219" t="str">
        <f t="shared" si="8"/>
        <v>#ERROR!</v>
      </c>
      <c r="BI64" s="200">
        <v>11651.0</v>
      </c>
    </row>
    <row r="65" ht="12.75" customHeight="1">
      <c r="A65" s="5">
        <f>companies!A65</f>
        <v>64</v>
      </c>
      <c r="B65" s="200" t="s">
        <v>1254</v>
      </c>
      <c r="C65" s="211">
        <v>801600.0</v>
      </c>
      <c r="D65" s="211">
        <v>462500.0</v>
      </c>
      <c r="E65" s="211">
        <v>462500.0</v>
      </c>
      <c r="F65" s="211"/>
      <c r="G65" s="211"/>
      <c r="H65" s="211"/>
      <c r="I65" s="211"/>
      <c r="J65" s="211"/>
      <c r="K65" s="211"/>
      <c r="L65" s="211"/>
      <c r="M65" s="212"/>
      <c r="N65" s="212"/>
      <c r="O65" s="212"/>
      <c r="P65" s="212"/>
      <c r="Q65" s="212"/>
      <c r="R65" s="211"/>
      <c r="S65" s="212"/>
      <c r="T65" s="212"/>
      <c r="U65" s="212"/>
      <c r="V65" s="212"/>
      <c r="W65" s="211">
        <v>6586000.0</v>
      </c>
      <c r="X65" s="200">
        <v>462500.0</v>
      </c>
      <c r="Y65" s="200">
        <v>7850100.0</v>
      </c>
      <c r="Z65" s="200"/>
      <c r="AA65" s="200"/>
      <c r="AB65" s="200"/>
      <c r="AC65" s="200"/>
      <c r="AD65" s="213" t="s">
        <v>683</v>
      </c>
      <c r="AE65" s="213" t="s">
        <v>683</v>
      </c>
      <c r="AF65" s="214" t="str">
        <f>Table1[[#This Row],[2019 Scope 1 (MeT Co2)]]</f>
        <v>#ERROR!</v>
      </c>
      <c r="AG65" s="215" t="str">
        <f t="shared" si="1"/>
        <v>#ERROR!</v>
      </c>
      <c r="AH65" s="216" t="str">
        <f t="shared" si="2"/>
        <v>#ERROR!</v>
      </c>
      <c r="AI65" s="210"/>
      <c r="AJ65" s="210"/>
      <c r="AK65" s="213" t="s">
        <v>683</v>
      </c>
      <c r="AL65" s="213" t="s">
        <v>683</v>
      </c>
      <c r="AM65" s="214" t="str">
        <f>Table1[[#This Row],[2019 Scope 2 ]]</f>
        <v>#ERROR!</v>
      </c>
      <c r="AN65" s="215" t="str">
        <f t="shared" si="3"/>
        <v>#ERROR!</v>
      </c>
      <c r="AO65" s="216" t="str">
        <f t="shared" si="4"/>
        <v>#ERROR!</v>
      </c>
      <c r="AP65" s="215" t="str">
        <f t="shared" si="5"/>
        <v>#ERROR!</v>
      </c>
      <c r="AQ65" s="216" t="str">
        <f t="shared" si="6"/>
        <v>#ERROR!</v>
      </c>
      <c r="AR65" s="217" t="str">
        <f>Table1[[#This Row],[2019 Scope 3 ]]</f>
        <v>#ERROR!</v>
      </c>
      <c r="AS65" s="218" t="str">
        <f t="shared" si="7"/>
        <v>#ERROR!</v>
      </c>
      <c r="AT65" s="219" t="str">
        <f t="shared" si="8"/>
        <v>#ERROR!</v>
      </c>
      <c r="BI65" s="4">
        <v>11765.0</v>
      </c>
    </row>
    <row r="66" ht="12.75" customHeight="1">
      <c r="A66" s="5">
        <f>companies!A66</f>
        <v>65</v>
      </c>
      <c r="B66" s="200" t="s">
        <v>1254</v>
      </c>
      <c r="C66" s="211">
        <v>15722.0</v>
      </c>
      <c r="D66" s="211">
        <v>0.0</v>
      </c>
      <c r="E66" s="211">
        <v>0.0</v>
      </c>
      <c r="F66" s="211"/>
      <c r="G66" s="211"/>
      <c r="H66" s="211"/>
      <c r="I66" s="211"/>
      <c r="J66" s="211"/>
      <c r="K66" s="211"/>
      <c r="L66" s="211"/>
      <c r="M66" s="212"/>
      <c r="N66" s="212"/>
      <c r="O66" s="212"/>
      <c r="P66" s="212"/>
      <c r="Q66" s="212"/>
      <c r="R66" s="211"/>
      <c r="S66" s="212"/>
      <c r="T66" s="212"/>
      <c r="U66" s="212"/>
      <c r="V66" s="212"/>
      <c r="W66" s="211">
        <v>34019.0</v>
      </c>
      <c r="X66" s="200" t="b">
        <v>0</v>
      </c>
      <c r="Y66" s="200">
        <v>49741.0</v>
      </c>
      <c r="Z66" s="200"/>
      <c r="AA66" s="200"/>
      <c r="AB66" s="200"/>
      <c r="AC66" s="200"/>
      <c r="AD66" s="213" t="s">
        <v>683</v>
      </c>
      <c r="AE66" s="213" t="s">
        <v>683</v>
      </c>
      <c r="AF66" s="214" t="str">
        <f>Table1[[#This Row],[2019 Scope 1 (MeT Co2)]]</f>
        <v>#ERROR!</v>
      </c>
      <c r="AG66" s="215" t="str">
        <f t="shared" si="1"/>
        <v>#ERROR!</v>
      </c>
      <c r="AH66" s="216" t="str">
        <f t="shared" si="2"/>
        <v>#ERROR!</v>
      </c>
      <c r="AI66" s="210"/>
      <c r="AJ66" s="210"/>
      <c r="AK66" s="213" t="s">
        <v>683</v>
      </c>
      <c r="AL66" s="213" t="s">
        <v>683</v>
      </c>
      <c r="AM66" s="214" t="str">
        <f>Table1[[#This Row],[2019 Scope 2 ]]</f>
        <v>#ERROR!</v>
      </c>
      <c r="AN66" s="215" t="str">
        <f t="shared" si="3"/>
        <v>#ERROR!</v>
      </c>
      <c r="AO66" s="216" t="str">
        <f t="shared" si="4"/>
        <v>#ERROR!</v>
      </c>
      <c r="AP66" s="215" t="str">
        <f t="shared" si="5"/>
        <v>#ERROR!</v>
      </c>
      <c r="AQ66" s="216" t="str">
        <f t="shared" si="6"/>
        <v>#ERROR!</v>
      </c>
      <c r="AR66" s="217" t="str">
        <f>Table1[[#This Row],[2019 Scope 3 ]]</f>
        <v>#ERROR!</v>
      </c>
      <c r="AS66" s="218" t="str">
        <f t="shared" si="7"/>
        <v>#ERROR!</v>
      </c>
      <c r="AT66" s="219" t="str">
        <f t="shared" si="8"/>
        <v>#ERROR!</v>
      </c>
      <c r="BI66" s="4">
        <v>11796.0</v>
      </c>
    </row>
    <row r="67" ht="12.75" customHeight="1">
      <c r="A67" s="5">
        <f>companies!A67</f>
        <v>66</v>
      </c>
      <c r="B67" s="200" t="s">
        <v>1254</v>
      </c>
      <c r="C67" s="211">
        <v>97639.0</v>
      </c>
      <c r="D67" s="211">
        <v>139110.0</v>
      </c>
      <c r="E67" s="211">
        <v>139110.0</v>
      </c>
      <c r="F67" s="211"/>
      <c r="G67" s="211"/>
      <c r="H67" s="211"/>
      <c r="I67" s="211"/>
      <c r="J67" s="211"/>
      <c r="K67" s="211"/>
      <c r="L67" s="211"/>
      <c r="M67" s="212"/>
      <c r="N67" s="212"/>
      <c r="O67" s="212"/>
      <c r="P67" s="212"/>
      <c r="Q67" s="212"/>
      <c r="R67" s="211"/>
      <c r="S67" s="212"/>
      <c r="T67" s="212"/>
      <c r="U67" s="212"/>
      <c r="V67" s="212"/>
      <c r="W67" s="211">
        <v>1.0963251E7</v>
      </c>
      <c r="X67" s="200">
        <v>139110.0</v>
      </c>
      <c r="Y67" s="200">
        <v>1.12E7</v>
      </c>
      <c r="Z67" s="200"/>
      <c r="AA67" s="200"/>
      <c r="AB67" s="200"/>
      <c r="AC67" s="200"/>
      <c r="AD67" s="213" t="s">
        <v>683</v>
      </c>
      <c r="AE67" s="213" t="s">
        <v>683</v>
      </c>
      <c r="AF67" s="214" t="str">
        <f>Table1[[#This Row],[2019 Scope 1 (MeT Co2)]]</f>
        <v>#ERROR!</v>
      </c>
      <c r="AG67" s="215" t="str">
        <f t="shared" si="1"/>
        <v>#ERROR!</v>
      </c>
      <c r="AH67" s="216" t="str">
        <f t="shared" si="2"/>
        <v>#ERROR!</v>
      </c>
      <c r="AI67" s="210"/>
      <c r="AJ67" s="210"/>
      <c r="AK67" s="213" t="s">
        <v>683</v>
      </c>
      <c r="AL67" s="213" t="s">
        <v>683</v>
      </c>
      <c r="AM67" s="214" t="str">
        <f>Table1[[#This Row],[2019 Scope 2 ]]</f>
        <v>#ERROR!</v>
      </c>
      <c r="AN67" s="215" t="str">
        <f t="shared" si="3"/>
        <v>#ERROR!</v>
      </c>
      <c r="AO67" s="216" t="str">
        <f t="shared" si="4"/>
        <v>#ERROR!</v>
      </c>
      <c r="AP67" s="215" t="str">
        <f t="shared" si="5"/>
        <v>#ERROR!</v>
      </c>
      <c r="AQ67" s="216" t="str">
        <f t="shared" si="6"/>
        <v>#ERROR!</v>
      </c>
      <c r="AR67" s="217" t="str">
        <f>Table1[[#This Row],[2019 Scope 3 ]]</f>
        <v>#ERROR!</v>
      </c>
      <c r="AS67" s="218" t="str">
        <f t="shared" si="7"/>
        <v>#ERROR!</v>
      </c>
      <c r="AT67" s="219" t="str">
        <f t="shared" si="8"/>
        <v>#ERROR!</v>
      </c>
      <c r="BI67" s="4">
        <v>11930.0</v>
      </c>
    </row>
    <row r="68" ht="12.75" customHeight="1">
      <c r="A68" s="5">
        <f>companies!A68</f>
        <v>67</v>
      </c>
      <c r="B68" s="200" t="s">
        <v>1254</v>
      </c>
      <c r="C68" s="211">
        <v>778304.0</v>
      </c>
      <c r="D68" s="211">
        <v>907536.0</v>
      </c>
      <c r="E68" s="211">
        <v>907536.0</v>
      </c>
      <c r="F68" s="211"/>
      <c r="G68" s="211"/>
      <c r="H68" s="211"/>
      <c r="I68" s="211"/>
      <c r="J68" s="211"/>
      <c r="K68" s="211"/>
      <c r="L68" s="211"/>
      <c r="M68" s="212"/>
      <c r="N68" s="212"/>
      <c r="O68" s="212"/>
      <c r="P68" s="212"/>
      <c r="Q68" s="212"/>
      <c r="R68" s="211"/>
      <c r="S68" s="212"/>
      <c r="T68" s="212"/>
      <c r="U68" s="212"/>
      <c r="V68" s="212"/>
      <c r="W68" s="211">
        <v>1.2217015E7</v>
      </c>
      <c r="X68" s="200">
        <v>907536.0</v>
      </c>
      <c r="Y68" s="200">
        <v>1.3902855E7</v>
      </c>
      <c r="Z68" s="200"/>
      <c r="AA68" s="200"/>
      <c r="AB68" s="200"/>
      <c r="AC68" s="200"/>
      <c r="AD68" s="213" t="s">
        <v>683</v>
      </c>
      <c r="AE68" s="213" t="s">
        <v>683</v>
      </c>
      <c r="AF68" s="214" t="str">
        <f>Table1[[#This Row],[2019 Scope 1 (MeT Co2)]]</f>
        <v>#ERROR!</v>
      </c>
      <c r="AG68" s="215" t="str">
        <f t="shared" si="1"/>
        <v>#ERROR!</v>
      </c>
      <c r="AH68" s="216" t="str">
        <f t="shared" si="2"/>
        <v>#ERROR!</v>
      </c>
      <c r="AI68" s="210"/>
      <c r="AJ68" s="210"/>
      <c r="AK68" s="213" t="s">
        <v>683</v>
      </c>
      <c r="AL68" s="213" t="s">
        <v>683</v>
      </c>
      <c r="AM68" s="214" t="str">
        <f>Table1[[#This Row],[2019 Scope 2 ]]</f>
        <v>#ERROR!</v>
      </c>
      <c r="AN68" s="215" t="str">
        <f t="shared" si="3"/>
        <v>#ERROR!</v>
      </c>
      <c r="AO68" s="216" t="str">
        <f t="shared" si="4"/>
        <v>#ERROR!</v>
      </c>
      <c r="AP68" s="215" t="str">
        <f t="shared" si="5"/>
        <v>#ERROR!</v>
      </c>
      <c r="AQ68" s="216" t="str">
        <f t="shared" si="6"/>
        <v>#ERROR!</v>
      </c>
      <c r="AR68" s="217" t="str">
        <f>Table1[[#This Row],[2019 Scope 3 ]]</f>
        <v>#ERROR!</v>
      </c>
      <c r="AS68" s="218" t="str">
        <f t="shared" si="7"/>
        <v>#ERROR!</v>
      </c>
      <c r="AT68" s="219" t="str">
        <f t="shared" si="8"/>
        <v>#ERROR!</v>
      </c>
      <c r="BI68" s="4">
        <v>42037.0</v>
      </c>
    </row>
    <row r="69" ht="12.75" customHeight="1">
      <c r="A69" s="5">
        <f>companies!A69</f>
        <v>68</v>
      </c>
      <c r="B69" s="200" t="s">
        <v>1254</v>
      </c>
      <c r="C69" s="211">
        <v>29450.0</v>
      </c>
      <c r="D69" s="211">
        <v>178350.0</v>
      </c>
      <c r="E69" s="211">
        <v>178350.0</v>
      </c>
      <c r="F69" s="211"/>
      <c r="G69" s="211"/>
      <c r="H69" s="211"/>
      <c r="I69" s="211"/>
      <c r="J69" s="211"/>
      <c r="K69" s="211"/>
      <c r="L69" s="211"/>
      <c r="M69" s="212"/>
      <c r="N69" s="212"/>
      <c r="O69" s="212"/>
      <c r="P69" s="212"/>
      <c r="Q69" s="212"/>
      <c r="R69" s="211"/>
      <c r="S69" s="212"/>
      <c r="T69" s="212"/>
      <c r="U69" s="212"/>
      <c r="V69" s="212"/>
      <c r="W69" s="211">
        <v>1357000.0</v>
      </c>
      <c r="X69" s="200">
        <v>178350.0</v>
      </c>
      <c r="Y69" s="200">
        <v>1564800.0</v>
      </c>
      <c r="Z69" s="200"/>
      <c r="AA69" s="200"/>
      <c r="AB69" s="200"/>
      <c r="AC69" s="200"/>
      <c r="AD69" s="213" t="s">
        <v>683</v>
      </c>
      <c r="AE69" s="213" t="s">
        <v>683</v>
      </c>
      <c r="AF69" s="214" t="str">
        <f>Table1[[#This Row],[2019 Scope 1 (MeT Co2)]]</f>
        <v>#ERROR!</v>
      </c>
      <c r="AG69" s="215" t="str">
        <f t="shared" si="1"/>
        <v>#ERROR!</v>
      </c>
      <c r="AH69" s="216" t="str">
        <f t="shared" si="2"/>
        <v>#ERROR!</v>
      </c>
      <c r="AI69" s="210"/>
      <c r="AJ69" s="210"/>
      <c r="AK69" s="213" t="s">
        <v>683</v>
      </c>
      <c r="AL69" s="213" t="s">
        <v>683</v>
      </c>
      <c r="AM69" s="214" t="str">
        <f>Table1[[#This Row],[2019 Scope 2 ]]</f>
        <v>#ERROR!</v>
      </c>
      <c r="AN69" s="215" t="str">
        <f t="shared" si="3"/>
        <v>#ERROR!</v>
      </c>
      <c r="AO69" s="216" t="str">
        <f t="shared" si="4"/>
        <v>#ERROR!</v>
      </c>
      <c r="AP69" s="215" t="str">
        <f t="shared" si="5"/>
        <v>#ERROR!</v>
      </c>
      <c r="AQ69" s="216" t="str">
        <f t="shared" si="6"/>
        <v>#ERROR!</v>
      </c>
      <c r="AR69" s="217" t="str">
        <f>Table1[[#This Row],[2019 Scope 3 ]]</f>
        <v>#ERROR!</v>
      </c>
      <c r="AS69" s="218" t="str">
        <f t="shared" si="7"/>
        <v>#ERROR!</v>
      </c>
      <c r="AT69" s="219" t="str">
        <f t="shared" si="8"/>
        <v>#ERROR!</v>
      </c>
      <c r="BI69" s="4">
        <v>12406.0</v>
      </c>
    </row>
    <row r="70" ht="12.75" customHeight="1">
      <c r="A70" s="5">
        <f>companies!A70</f>
        <v>69</v>
      </c>
      <c r="B70" s="200" t="s">
        <v>1254</v>
      </c>
      <c r="C70" s="211" t="s">
        <v>536</v>
      </c>
      <c r="D70" s="211" t="s">
        <v>536</v>
      </c>
      <c r="E70" s="211" t="s">
        <v>536</v>
      </c>
      <c r="F70" s="211"/>
      <c r="G70" s="211"/>
      <c r="H70" s="211"/>
      <c r="I70" s="211"/>
      <c r="J70" s="211"/>
      <c r="K70" s="211"/>
      <c r="L70" s="211"/>
      <c r="M70" s="212"/>
      <c r="N70" s="212"/>
      <c r="O70" s="212"/>
      <c r="P70" s="212"/>
      <c r="Q70" s="212"/>
      <c r="R70" s="211"/>
      <c r="S70" s="212"/>
      <c r="T70" s="212"/>
      <c r="U70" s="212"/>
      <c r="V70" s="212"/>
      <c r="W70" s="211" t="s">
        <v>536</v>
      </c>
      <c r="X70" s="200">
        <v>0.0</v>
      </c>
      <c r="Y70" s="200"/>
      <c r="Z70" s="213"/>
      <c r="AA70" s="213"/>
      <c r="AB70" s="213"/>
      <c r="AC70" s="213"/>
      <c r="AD70" s="213" t="e">
        <v>#N/A</v>
      </c>
      <c r="AE70" s="213" t="e">
        <v>#N/A</v>
      </c>
      <c r="AF70" s="214" t="str">
        <f>Table1[[#This Row],[2019 Scope 1 (MeT Co2)]]</f>
        <v>#ERROR!</v>
      </c>
      <c r="AG70" s="215" t="str">
        <f t="shared" si="1"/>
        <v>#ERROR!</v>
      </c>
      <c r="AH70" s="216" t="str">
        <f t="shared" si="2"/>
        <v>#ERROR!</v>
      </c>
      <c r="AI70" s="210"/>
      <c r="AJ70" s="210"/>
      <c r="AK70" s="213" t="e">
        <v>#N/A</v>
      </c>
      <c r="AL70" s="213" t="e">
        <v>#N/A</v>
      </c>
      <c r="AM70" s="214" t="str">
        <f>Table1[[#This Row],[2019 Scope 2 ]]</f>
        <v>#ERROR!</v>
      </c>
      <c r="AN70" s="215" t="str">
        <f t="shared" si="3"/>
        <v>#ERROR!</v>
      </c>
      <c r="AO70" s="216" t="str">
        <f t="shared" si="4"/>
        <v>#ERROR!</v>
      </c>
      <c r="AP70" s="215" t="str">
        <f t="shared" si="5"/>
        <v>#ERROR!</v>
      </c>
      <c r="AQ70" s="216" t="str">
        <f t="shared" si="6"/>
        <v>#ERROR!</v>
      </c>
      <c r="AR70" s="217" t="str">
        <f>Table1[[#This Row],[2019 Scope 3 ]]</f>
        <v>#ERROR!</v>
      </c>
      <c r="AS70" s="218" t="str">
        <f t="shared" si="7"/>
        <v>#ERROR!</v>
      </c>
      <c r="AT70" s="219" t="str">
        <f t="shared" si="8"/>
        <v>#ERROR!</v>
      </c>
    </row>
    <row r="71" ht="12.75" customHeight="1">
      <c r="A71" s="5">
        <f>companies!A71</f>
        <v>70</v>
      </c>
      <c r="B71" s="200" t="s">
        <v>1254</v>
      </c>
      <c r="C71" s="211" t="s">
        <v>536</v>
      </c>
      <c r="D71" s="211" t="s">
        <v>536</v>
      </c>
      <c r="E71" s="211" t="s">
        <v>536</v>
      </c>
      <c r="F71" s="211"/>
      <c r="G71" s="211"/>
      <c r="H71" s="211"/>
      <c r="I71" s="211"/>
      <c r="J71" s="211"/>
      <c r="K71" s="211"/>
      <c r="L71" s="211"/>
      <c r="M71" s="212"/>
      <c r="N71" s="212"/>
      <c r="O71" s="212"/>
      <c r="P71" s="212"/>
      <c r="Q71" s="212"/>
      <c r="R71" s="211"/>
      <c r="S71" s="212"/>
      <c r="T71" s="212"/>
      <c r="U71" s="212"/>
      <c r="V71" s="212"/>
      <c r="W71" s="211" t="s">
        <v>536</v>
      </c>
      <c r="X71" s="200">
        <v>0.0</v>
      </c>
      <c r="Y71" s="200"/>
      <c r="Z71" s="213"/>
      <c r="AA71" s="213"/>
      <c r="AB71" s="213"/>
      <c r="AC71" s="213"/>
      <c r="AD71" s="213" t="e">
        <v>#N/A</v>
      </c>
      <c r="AE71" s="213" t="e">
        <v>#N/A</v>
      </c>
      <c r="AF71" s="214" t="str">
        <f>Table1[[#This Row],[2019 Scope 1 (MeT Co2)]]</f>
        <v>#ERROR!</v>
      </c>
      <c r="AG71" s="215" t="str">
        <f t="shared" si="1"/>
        <v>#ERROR!</v>
      </c>
      <c r="AH71" s="216" t="str">
        <f t="shared" si="2"/>
        <v>#ERROR!</v>
      </c>
      <c r="AI71" s="210"/>
      <c r="AJ71" s="210"/>
      <c r="AK71" s="213" t="e">
        <v>#N/A</v>
      </c>
      <c r="AL71" s="213" t="e">
        <v>#N/A</v>
      </c>
      <c r="AM71" s="214" t="str">
        <f>Table1[[#This Row],[2019 Scope 2 ]]</f>
        <v>#ERROR!</v>
      </c>
      <c r="AN71" s="215" t="str">
        <f t="shared" si="3"/>
        <v>#ERROR!</v>
      </c>
      <c r="AO71" s="216" t="str">
        <f t="shared" si="4"/>
        <v>#ERROR!</v>
      </c>
      <c r="AP71" s="215" t="str">
        <f t="shared" si="5"/>
        <v>#ERROR!</v>
      </c>
      <c r="AQ71" s="216" t="str">
        <f t="shared" si="6"/>
        <v>#ERROR!</v>
      </c>
      <c r="AR71" s="217" t="str">
        <f>Table1[[#This Row],[2019 Scope 3 ]]</f>
        <v>#ERROR!</v>
      </c>
      <c r="AS71" s="218" t="str">
        <f t="shared" si="7"/>
        <v>#ERROR!</v>
      </c>
      <c r="AT71" s="219" t="str">
        <f t="shared" si="8"/>
        <v>#ERROR!</v>
      </c>
    </row>
    <row r="72" ht="12.75" customHeight="1">
      <c r="A72" s="5">
        <f>companies!A72</f>
        <v>71</v>
      </c>
      <c r="B72" s="200" t="s">
        <v>1254</v>
      </c>
      <c r="C72" s="211">
        <v>40139.0</v>
      </c>
      <c r="D72" s="211">
        <v>224489.0</v>
      </c>
      <c r="E72" s="211">
        <v>224489.0</v>
      </c>
      <c r="F72" s="211"/>
      <c r="G72" s="211"/>
      <c r="H72" s="211"/>
      <c r="I72" s="211"/>
      <c r="J72" s="211"/>
      <c r="K72" s="211"/>
      <c r="L72" s="211"/>
      <c r="M72" s="212"/>
      <c r="N72" s="212"/>
      <c r="O72" s="212"/>
      <c r="P72" s="212"/>
      <c r="Q72" s="212"/>
      <c r="R72" s="211"/>
      <c r="S72" s="212"/>
      <c r="T72" s="212"/>
      <c r="U72" s="212"/>
      <c r="V72" s="212"/>
      <c r="W72" s="211">
        <v>2751744.0</v>
      </c>
      <c r="X72" s="200">
        <v>224489.0</v>
      </c>
      <c r="Y72" s="200">
        <v>3016372.0</v>
      </c>
      <c r="Z72" s="200"/>
      <c r="AA72" s="200"/>
      <c r="AB72" s="200"/>
      <c r="AC72" s="200"/>
      <c r="AD72" s="213" t="s">
        <v>1260</v>
      </c>
      <c r="AE72" s="213" t="s">
        <v>1261</v>
      </c>
      <c r="AF72" s="214" t="str">
        <f>Table1[[#This Row],[2019 Scope 1 (MeT Co2)]]</f>
        <v>#ERROR!</v>
      </c>
      <c r="AG72" s="215" t="str">
        <f t="shared" si="1"/>
        <v>#ERROR!</v>
      </c>
      <c r="AH72" s="216" t="str">
        <f t="shared" si="2"/>
        <v>#ERROR!</v>
      </c>
      <c r="AI72" s="210"/>
      <c r="AJ72" s="210"/>
      <c r="AK72" s="213" t="s">
        <v>1260</v>
      </c>
      <c r="AL72" s="213" t="s">
        <v>1261</v>
      </c>
      <c r="AM72" s="214" t="str">
        <f>Table1[[#This Row],[2019 Scope 2 ]]</f>
        <v>#ERROR!</v>
      </c>
      <c r="AN72" s="215" t="str">
        <f t="shared" si="3"/>
        <v>#ERROR!</v>
      </c>
      <c r="AO72" s="216" t="str">
        <f t="shared" si="4"/>
        <v>#ERROR!</v>
      </c>
      <c r="AP72" s="215" t="str">
        <f t="shared" si="5"/>
        <v>#ERROR!</v>
      </c>
      <c r="AQ72" s="216" t="str">
        <f t="shared" si="6"/>
        <v>#ERROR!</v>
      </c>
      <c r="AR72" s="217" t="str">
        <f>Table1[[#This Row],[2019 Scope 3 ]]</f>
        <v>#ERROR!</v>
      </c>
      <c r="AS72" s="218" t="str">
        <f t="shared" si="7"/>
        <v>#ERROR!</v>
      </c>
      <c r="AT72" s="219" t="str">
        <f t="shared" si="8"/>
        <v>#ERROR!</v>
      </c>
      <c r="BI72" s="4">
        <v>13279.0</v>
      </c>
    </row>
    <row r="73" ht="12.75" customHeight="1">
      <c r="A73" s="5">
        <f>companies!A73</f>
        <v>72</v>
      </c>
      <c r="B73" s="200" t="s">
        <v>1254</v>
      </c>
      <c r="C73" s="211">
        <v>2571.0</v>
      </c>
      <c r="D73" s="211">
        <v>47142.0</v>
      </c>
      <c r="E73" s="211">
        <v>47142.0</v>
      </c>
      <c r="F73" s="211"/>
      <c r="G73" s="211"/>
      <c r="H73" s="211"/>
      <c r="I73" s="211"/>
      <c r="J73" s="211"/>
      <c r="K73" s="211"/>
      <c r="L73" s="211"/>
      <c r="M73" s="212"/>
      <c r="N73" s="212"/>
      <c r="O73" s="212"/>
      <c r="P73" s="212"/>
      <c r="Q73" s="212"/>
      <c r="R73" s="211"/>
      <c r="S73" s="212"/>
      <c r="T73" s="212"/>
      <c r="U73" s="212"/>
      <c r="V73" s="212"/>
      <c r="W73" s="211">
        <v>277014.0</v>
      </c>
      <c r="X73" s="200">
        <v>47142.0</v>
      </c>
      <c r="Y73" s="200">
        <v>326727.0</v>
      </c>
      <c r="Z73" s="200"/>
      <c r="AA73" s="200"/>
      <c r="AB73" s="200"/>
      <c r="AC73" s="200"/>
      <c r="AD73" s="213" t="s">
        <v>683</v>
      </c>
      <c r="AE73" s="213" t="s">
        <v>683</v>
      </c>
      <c r="AF73" s="214" t="str">
        <f>Table1[[#This Row],[2019 Scope 1 (MeT Co2)]]</f>
        <v>#ERROR!</v>
      </c>
      <c r="AG73" s="215" t="str">
        <f t="shared" si="1"/>
        <v>#ERROR!</v>
      </c>
      <c r="AH73" s="216" t="str">
        <f t="shared" si="2"/>
        <v>#ERROR!</v>
      </c>
      <c r="AI73" s="210"/>
      <c r="AJ73" s="210"/>
      <c r="AK73" s="213" t="s">
        <v>683</v>
      </c>
      <c r="AL73" s="213" t="s">
        <v>683</v>
      </c>
      <c r="AM73" s="214" t="str">
        <f>Table1[[#This Row],[2019 Scope 2 ]]</f>
        <v>#ERROR!</v>
      </c>
      <c r="AN73" s="215" t="str">
        <f t="shared" si="3"/>
        <v>#ERROR!</v>
      </c>
      <c r="AO73" s="220" t="str">
        <f t="shared" si="4"/>
        <v>#ERROR!</v>
      </c>
      <c r="AP73" s="215" t="str">
        <f t="shared" si="5"/>
        <v>#ERROR!</v>
      </c>
      <c r="AQ73" s="220" t="str">
        <f t="shared" si="6"/>
        <v>#ERROR!</v>
      </c>
      <c r="AR73" s="217" t="str">
        <f>Table1[[#This Row],[2019 Scope 3 ]]</f>
        <v>#ERROR!</v>
      </c>
      <c r="AS73" s="218" t="str">
        <f t="shared" si="7"/>
        <v>#ERROR!</v>
      </c>
      <c r="AT73" s="219" t="str">
        <f t="shared" si="8"/>
        <v>#ERROR!</v>
      </c>
      <c r="BI73" s="200">
        <v>13604.0</v>
      </c>
    </row>
    <row r="74" ht="12.75" customHeight="1">
      <c r="A74" s="5">
        <f>companies!A74</f>
        <v>73</v>
      </c>
      <c r="B74" s="200" t="s">
        <v>1254</v>
      </c>
      <c r="C74" s="211">
        <v>1.13E7</v>
      </c>
      <c r="D74" s="211">
        <v>4200000.0</v>
      </c>
      <c r="E74" s="211">
        <v>4200000.0</v>
      </c>
      <c r="F74" s="211"/>
      <c r="G74" s="211"/>
      <c r="H74" s="211"/>
      <c r="I74" s="211"/>
      <c r="J74" s="211"/>
      <c r="K74" s="211"/>
      <c r="L74" s="211"/>
      <c r="M74" s="212"/>
      <c r="N74" s="212"/>
      <c r="O74" s="212"/>
      <c r="P74" s="212"/>
      <c r="Q74" s="212"/>
      <c r="R74" s="211"/>
      <c r="S74" s="212"/>
      <c r="T74" s="212"/>
      <c r="U74" s="212"/>
      <c r="V74" s="212"/>
      <c r="W74" s="211">
        <v>6.3E7</v>
      </c>
      <c r="X74" s="200">
        <v>4200000.0</v>
      </c>
      <c r="Y74" s="200">
        <v>7.85E7</v>
      </c>
      <c r="Z74" s="213"/>
      <c r="AA74" s="213"/>
      <c r="AB74" s="213"/>
      <c r="AC74" s="213"/>
      <c r="AD74" s="213" t="s">
        <v>683</v>
      </c>
      <c r="AE74" s="213" t="s">
        <v>683</v>
      </c>
      <c r="AF74" s="214" t="str">
        <f>Table1[[#This Row],[2019 Scope 1 (MeT Co2)]]</f>
        <v>#ERROR!</v>
      </c>
      <c r="AG74" s="215" t="str">
        <f t="shared" si="1"/>
        <v>#ERROR!</v>
      </c>
      <c r="AH74" s="216" t="str">
        <f t="shared" si="2"/>
        <v>#ERROR!</v>
      </c>
      <c r="AI74" s="210"/>
      <c r="AJ74" s="210"/>
      <c r="AK74" s="213" t="s">
        <v>683</v>
      </c>
      <c r="AL74" s="213" t="s">
        <v>683</v>
      </c>
      <c r="AM74" s="214" t="str">
        <f>Table1[[#This Row],[2019 Scope 2 ]]</f>
        <v>#ERROR!</v>
      </c>
      <c r="AN74" s="215" t="str">
        <f t="shared" si="3"/>
        <v>#ERROR!</v>
      </c>
      <c r="AO74" s="216" t="str">
        <f t="shared" si="4"/>
        <v>#ERROR!</v>
      </c>
      <c r="AP74" s="215" t="str">
        <f t="shared" si="5"/>
        <v>#ERROR!</v>
      </c>
      <c r="AQ74" s="216" t="str">
        <f t="shared" si="6"/>
        <v>#ERROR!</v>
      </c>
      <c r="AR74" s="217" t="str">
        <f>Table1[[#This Row],[2019 Scope 3 ]]</f>
        <v>#ERROR!</v>
      </c>
      <c r="AS74" s="218" t="str">
        <f t="shared" si="7"/>
        <v>#ERROR!</v>
      </c>
      <c r="AT74" s="219" t="str">
        <f t="shared" si="8"/>
        <v>#ERROR!</v>
      </c>
      <c r="BI74" s="4">
        <v>13649.0</v>
      </c>
    </row>
    <row r="75" ht="12.75" customHeight="1">
      <c r="A75" s="5">
        <f>companies!A75</f>
        <v>74</v>
      </c>
      <c r="B75" s="200" t="s">
        <v>1254</v>
      </c>
      <c r="C75" s="211">
        <v>14763.0</v>
      </c>
      <c r="D75" s="211">
        <v>403160.0</v>
      </c>
      <c r="E75" s="211">
        <v>403160.0</v>
      </c>
      <c r="F75" s="211"/>
      <c r="G75" s="211"/>
      <c r="H75" s="211"/>
      <c r="I75" s="211"/>
      <c r="J75" s="211"/>
      <c r="K75" s="211"/>
      <c r="L75" s="211"/>
      <c r="M75" s="212"/>
      <c r="N75" s="212"/>
      <c r="O75" s="212"/>
      <c r="P75" s="212"/>
      <c r="Q75" s="212"/>
      <c r="R75" s="211"/>
      <c r="S75" s="212"/>
      <c r="T75" s="212"/>
      <c r="U75" s="212"/>
      <c r="V75" s="212"/>
      <c r="W75" s="211">
        <v>991706.12</v>
      </c>
      <c r="X75" s="200">
        <v>403160.0</v>
      </c>
      <c r="Y75" s="200">
        <v>1409629.12</v>
      </c>
      <c r="Z75" s="200"/>
      <c r="AA75" s="200"/>
      <c r="AB75" s="200"/>
      <c r="AC75" s="200"/>
      <c r="AD75" s="213" t="s">
        <v>683</v>
      </c>
      <c r="AE75" s="213" t="s">
        <v>683</v>
      </c>
      <c r="AF75" s="214" t="str">
        <f>Table1[[#This Row],[2019 Scope 1 (MeT Co2)]]</f>
        <v>#ERROR!</v>
      </c>
      <c r="AG75" s="215" t="str">
        <f t="shared" si="1"/>
        <v>#ERROR!</v>
      </c>
      <c r="AH75" s="216" t="str">
        <f t="shared" si="2"/>
        <v>#ERROR!</v>
      </c>
      <c r="AI75" s="210"/>
      <c r="AJ75" s="210"/>
      <c r="AK75" s="213" t="s">
        <v>683</v>
      </c>
      <c r="AL75" s="213" t="s">
        <v>683</v>
      </c>
      <c r="AM75" s="214" t="str">
        <f>Table1[[#This Row],[2019 Scope 2 ]]</f>
        <v>#ERROR!</v>
      </c>
      <c r="AN75" s="215" t="str">
        <f t="shared" si="3"/>
        <v>#ERROR!</v>
      </c>
      <c r="AO75" s="216" t="str">
        <f t="shared" si="4"/>
        <v>#ERROR!</v>
      </c>
      <c r="AP75" s="215" t="str">
        <f t="shared" si="5"/>
        <v>#ERROR!</v>
      </c>
      <c r="AQ75" s="216" t="str">
        <f t="shared" si="6"/>
        <v>#ERROR!</v>
      </c>
      <c r="AR75" s="217" t="str">
        <f>Table1[[#This Row],[2019 Scope 3 ]]</f>
        <v>#ERROR!</v>
      </c>
      <c r="AS75" s="218" t="str">
        <f t="shared" si="7"/>
        <v>#ERROR!</v>
      </c>
      <c r="AT75" s="219" t="str">
        <f t="shared" si="8"/>
        <v>#ERROR!</v>
      </c>
      <c r="BI75" s="4">
        <v>14013.0</v>
      </c>
    </row>
    <row r="76" ht="12.75" customHeight="1">
      <c r="A76" s="5">
        <f>companies!A76</f>
        <v>75</v>
      </c>
      <c r="B76" s="200" t="s">
        <v>1254</v>
      </c>
      <c r="C76" s="211">
        <v>9600.0</v>
      </c>
      <c r="D76" s="211">
        <v>57800.0</v>
      </c>
      <c r="E76" s="211">
        <v>57800.0</v>
      </c>
      <c r="F76" s="211"/>
      <c r="G76" s="211"/>
      <c r="H76" s="211"/>
      <c r="I76" s="211"/>
      <c r="J76" s="211"/>
      <c r="K76" s="211"/>
      <c r="L76" s="211"/>
      <c r="M76" s="212"/>
      <c r="N76" s="212"/>
      <c r="O76" s="212"/>
      <c r="P76" s="212"/>
      <c r="Q76" s="212"/>
      <c r="R76" s="211"/>
      <c r="S76" s="212"/>
      <c r="T76" s="212"/>
      <c r="U76" s="212"/>
      <c r="V76" s="212"/>
      <c r="W76" s="211">
        <v>24500.0</v>
      </c>
      <c r="X76" s="200">
        <v>57800.0</v>
      </c>
      <c r="Y76" s="200">
        <v>91900.0</v>
      </c>
      <c r="Z76" s="200"/>
      <c r="AA76" s="200"/>
      <c r="AB76" s="200"/>
      <c r="AC76" s="200"/>
      <c r="AD76" s="213" t="s">
        <v>1255</v>
      </c>
      <c r="AE76" s="213" t="s">
        <v>1256</v>
      </c>
      <c r="AF76" s="214" t="str">
        <f>Table1[[#This Row],[2019 Scope 1 (MeT Co2)]]</f>
        <v>#ERROR!</v>
      </c>
      <c r="AG76" s="215" t="str">
        <f t="shared" si="1"/>
        <v>#ERROR!</v>
      </c>
      <c r="AH76" s="216" t="str">
        <f t="shared" si="2"/>
        <v>#ERROR!</v>
      </c>
      <c r="AI76" s="210"/>
      <c r="AJ76" s="210"/>
      <c r="AK76" s="213" t="s">
        <v>1255</v>
      </c>
      <c r="AL76" s="213" t="s">
        <v>1256</v>
      </c>
      <c r="AM76" s="214" t="str">
        <f>Table1[[#This Row],[2019 Scope 2 ]]</f>
        <v>#ERROR!</v>
      </c>
      <c r="AN76" s="215" t="str">
        <f t="shared" si="3"/>
        <v>#ERROR!</v>
      </c>
      <c r="AO76" s="216" t="str">
        <f t="shared" si="4"/>
        <v>#ERROR!</v>
      </c>
      <c r="AP76" s="215" t="str">
        <f t="shared" si="5"/>
        <v>#ERROR!</v>
      </c>
      <c r="AQ76" s="216" t="str">
        <f t="shared" si="6"/>
        <v>#ERROR!</v>
      </c>
      <c r="AR76" s="217" t="str">
        <f>Table1[[#This Row],[2019 Scope 3 ]]</f>
        <v>#ERROR!</v>
      </c>
      <c r="AS76" s="218" t="str">
        <f t="shared" si="7"/>
        <v>#ERROR!</v>
      </c>
      <c r="AT76" s="219" t="str">
        <f t="shared" si="8"/>
        <v>#ERROR!</v>
      </c>
      <c r="BI76" s="200">
        <v>58304.0</v>
      </c>
    </row>
    <row r="77" ht="12.75" customHeight="1">
      <c r="A77" s="5">
        <f>companies!A77</f>
        <v>76</v>
      </c>
      <c r="B77" s="200" t="s">
        <v>1254</v>
      </c>
      <c r="C77" s="211">
        <v>3734520.0</v>
      </c>
      <c r="D77" s="211">
        <v>1713950.0</v>
      </c>
      <c r="E77" s="211">
        <v>1713950.0</v>
      </c>
      <c r="F77" s="211"/>
      <c r="G77" s="211"/>
      <c r="H77" s="211"/>
      <c r="I77" s="211"/>
      <c r="J77" s="211"/>
      <c r="K77" s="211"/>
      <c r="L77" s="211"/>
      <c r="M77" s="212"/>
      <c r="N77" s="212"/>
      <c r="O77" s="212"/>
      <c r="P77" s="212"/>
      <c r="Q77" s="212"/>
      <c r="R77" s="211"/>
      <c r="S77" s="212"/>
      <c r="T77" s="212"/>
      <c r="U77" s="212"/>
      <c r="V77" s="212"/>
      <c r="W77" s="211">
        <v>6.281798E7</v>
      </c>
      <c r="X77" s="200">
        <v>1713950.0</v>
      </c>
      <c r="Y77" s="200">
        <v>6.826645E7</v>
      </c>
      <c r="Z77" s="200"/>
      <c r="AA77" s="200"/>
      <c r="AB77" s="200"/>
      <c r="AC77" s="200"/>
      <c r="AD77" s="213" t="s">
        <v>683</v>
      </c>
      <c r="AE77" s="213" t="s">
        <v>683</v>
      </c>
      <c r="AF77" s="214" t="str">
        <f>Table1[[#This Row],[2019 Scope 1 (MeT Co2)]]</f>
        <v>#ERROR!</v>
      </c>
      <c r="AG77" s="215" t="str">
        <f t="shared" si="1"/>
        <v>#ERROR!</v>
      </c>
      <c r="AH77" s="216" t="str">
        <f t="shared" si="2"/>
        <v>#ERROR!</v>
      </c>
      <c r="AI77" s="210"/>
      <c r="AJ77" s="210"/>
      <c r="AK77" s="213" t="s">
        <v>683</v>
      </c>
      <c r="AL77" s="213" t="s">
        <v>683</v>
      </c>
      <c r="AM77" s="214" t="str">
        <f>Table1[[#This Row],[2019 Scope 2 ]]</f>
        <v>#ERROR!</v>
      </c>
      <c r="AN77" s="215" t="str">
        <f t="shared" si="3"/>
        <v>#ERROR!</v>
      </c>
      <c r="AO77" s="216" t="str">
        <f t="shared" si="4"/>
        <v>#ERROR!</v>
      </c>
      <c r="AP77" s="215" t="str">
        <f t="shared" si="5"/>
        <v>#ERROR!</v>
      </c>
      <c r="AQ77" s="216" t="str">
        <f t="shared" si="6"/>
        <v>#ERROR!</v>
      </c>
      <c r="AR77" s="217" t="str">
        <f>Table1[[#This Row],[2019 Scope 3 ]]</f>
        <v>#ERROR!</v>
      </c>
      <c r="AS77" s="218" t="str">
        <f t="shared" si="7"/>
        <v>#ERROR!</v>
      </c>
      <c r="AT77" s="219" t="str">
        <f t="shared" si="8"/>
        <v>#ERROR!</v>
      </c>
      <c r="BI77" s="4">
        <v>14605.0</v>
      </c>
    </row>
    <row r="78" ht="12.75" customHeight="1">
      <c r="A78" s="5">
        <f>companies!A78</f>
        <v>77</v>
      </c>
      <c r="B78" s="200" t="s">
        <v>1254</v>
      </c>
      <c r="C78" s="211">
        <v>788838.0</v>
      </c>
      <c r="D78" s="211">
        <v>812923.0</v>
      </c>
      <c r="E78" s="211">
        <v>812923.0</v>
      </c>
      <c r="F78" s="211"/>
      <c r="G78" s="211"/>
      <c r="H78" s="211"/>
      <c r="I78" s="211"/>
      <c r="J78" s="211"/>
      <c r="K78" s="211"/>
      <c r="L78" s="211"/>
      <c r="M78" s="212"/>
      <c r="N78" s="212"/>
      <c r="O78" s="212"/>
      <c r="P78" s="212"/>
      <c r="Q78" s="212"/>
      <c r="R78" s="211"/>
      <c r="S78" s="212"/>
      <c r="T78" s="212"/>
      <c r="U78" s="212"/>
      <c r="V78" s="212"/>
      <c r="W78" s="211" t="s">
        <v>536</v>
      </c>
      <c r="X78" s="200">
        <v>812923.0</v>
      </c>
      <c r="Y78" s="200"/>
      <c r="Z78" s="200"/>
      <c r="AA78" s="200"/>
      <c r="AB78" s="200"/>
      <c r="AC78" s="200"/>
      <c r="AD78" s="213" t="s">
        <v>1255</v>
      </c>
      <c r="AE78" s="213" t="s">
        <v>1256</v>
      </c>
      <c r="AF78" s="214" t="str">
        <f>Table1[[#This Row],[2019 Scope 1 (MeT Co2)]]</f>
        <v>#ERROR!</v>
      </c>
      <c r="AG78" s="215" t="str">
        <f t="shared" si="1"/>
        <v>#ERROR!</v>
      </c>
      <c r="AH78" s="216" t="str">
        <f t="shared" si="2"/>
        <v>#ERROR!</v>
      </c>
      <c r="AI78" s="210"/>
      <c r="AJ78" s="210"/>
      <c r="AK78" s="213" t="s">
        <v>1255</v>
      </c>
      <c r="AL78" s="213" t="s">
        <v>1256</v>
      </c>
      <c r="AM78" s="214" t="str">
        <f>Table1[[#This Row],[2019 Scope 2 ]]</f>
        <v>#ERROR!</v>
      </c>
      <c r="AN78" s="215" t="str">
        <f t="shared" si="3"/>
        <v>#ERROR!</v>
      </c>
      <c r="AO78" s="216" t="str">
        <f t="shared" si="4"/>
        <v>#ERROR!</v>
      </c>
      <c r="AP78" s="215" t="str">
        <f t="shared" si="5"/>
        <v>#ERROR!</v>
      </c>
      <c r="AQ78" s="216" t="str">
        <f t="shared" si="6"/>
        <v>#ERROR!</v>
      </c>
      <c r="AR78" s="217" t="str">
        <f>Table1[[#This Row],[2019 Scope 3 ]]</f>
        <v>#ERROR!</v>
      </c>
      <c r="AS78" s="218" t="str">
        <f t="shared" si="7"/>
        <v>#ERROR!</v>
      </c>
      <c r="AT78" s="219" t="str">
        <f t="shared" si="8"/>
        <v>#ERROR!</v>
      </c>
      <c r="BI78" s="4">
        <v>14683.0</v>
      </c>
    </row>
    <row r="79" ht="12.75" customHeight="1">
      <c r="A79" s="5">
        <f>companies!A79</f>
        <v>78</v>
      </c>
      <c r="B79" s="200" t="s">
        <v>1254</v>
      </c>
      <c r="C79" s="211">
        <v>388384.0</v>
      </c>
      <c r="D79" s="211">
        <v>241355.0</v>
      </c>
      <c r="E79" s="211">
        <v>241355.0</v>
      </c>
      <c r="F79" s="211"/>
      <c r="G79" s="211"/>
      <c r="H79" s="211"/>
      <c r="I79" s="211"/>
      <c r="J79" s="211"/>
      <c r="K79" s="211"/>
      <c r="L79" s="211"/>
      <c r="M79" s="212"/>
      <c r="N79" s="212"/>
      <c r="O79" s="212"/>
      <c r="P79" s="212"/>
      <c r="Q79" s="212"/>
      <c r="R79" s="211"/>
      <c r="S79" s="212"/>
      <c r="T79" s="212"/>
      <c r="U79" s="212"/>
      <c r="V79" s="212"/>
      <c r="W79" s="211">
        <v>5137000.0</v>
      </c>
      <c r="X79" s="200">
        <v>241355.0</v>
      </c>
      <c r="Y79" s="200">
        <v>5766739.0</v>
      </c>
      <c r="Z79" s="200"/>
      <c r="AA79" s="200"/>
      <c r="AB79" s="200"/>
      <c r="AC79" s="200"/>
      <c r="AD79" s="213" t="s">
        <v>683</v>
      </c>
      <c r="AE79" s="213" t="s">
        <v>683</v>
      </c>
      <c r="AF79" s="214" t="str">
        <f>Table1[[#This Row],[2019 Scope 1 (MeT Co2)]]</f>
        <v>#ERROR!</v>
      </c>
      <c r="AG79" s="215" t="str">
        <f t="shared" si="1"/>
        <v>#ERROR!</v>
      </c>
      <c r="AH79" s="216" t="str">
        <f t="shared" si="2"/>
        <v>#ERROR!</v>
      </c>
      <c r="AI79" s="210"/>
      <c r="AJ79" s="210"/>
      <c r="AK79" s="213" t="s">
        <v>683</v>
      </c>
      <c r="AL79" s="213" t="s">
        <v>683</v>
      </c>
      <c r="AM79" s="214" t="str">
        <f>Table1[[#This Row],[2019 Scope 2 ]]</f>
        <v>#ERROR!</v>
      </c>
      <c r="AN79" s="215" t="str">
        <f t="shared" si="3"/>
        <v>#ERROR!</v>
      </c>
      <c r="AO79" s="216" t="str">
        <f t="shared" si="4"/>
        <v>#ERROR!</v>
      </c>
      <c r="AP79" s="215" t="str">
        <f t="shared" si="5"/>
        <v>#ERROR!</v>
      </c>
      <c r="AQ79" s="216" t="str">
        <f t="shared" si="6"/>
        <v>#ERROR!</v>
      </c>
      <c r="AR79" s="217" t="str">
        <f>Table1[[#This Row],[2019 Scope 3 ]]</f>
        <v>#ERROR!</v>
      </c>
      <c r="AS79" s="218" t="str">
        <f t="shared" si="7"/>
        <v>#ERROR!</v>
      </c>
      <c r="AT79" s="219" t="str">
        <f t="shared" si="8"/>
        <v>#ERROR!</v>
      </c>
      <c r="BI79" s="200">
        <v>14712.0</v>
      </c>
    </row>
    <row r="80" ht="12.75" customHeight="1">
      <c r="A80" s="5">
        <f>companies!A80</f>
        <v>79</v>
      </c>
      <c r="B80" s="200" t="s">
        <v>1254</v>
      </c>
      <c r="C80" s="211">
        <v>2122000.0</v>
      </c>
      <c r="D80" s="211">
        <v>2437000.0</v>
      </c>
      <c r="E80" s="211">
        <v>2437000.0</v>
      </c>
      <c r="F80" s="211"/>
      <c r="G80" s="211"/>
      <c r="H80" s="211"/>
      <c r="I80" s="211"/>
      <c r="J80" s="211"/>
      <c r="K80" s="211"/>
      <c r="L80" s="211"/>
      <c r="M80" s="212"/>
      <c r="N80" s="212"/>
      <c r="O80" s="212"/>
      <c r="P80" s="212"/>
      <c r="Q80" s="212"/>
      <c r="R80" s="211"/>
      <c r="S80" s="212"/>
      <c r="T80" s="212"/>
      <c r="U80" s="212"/>
      <c r="V80" s="212"/>
      <c r="W80" s="211">
        <v>2.35218042E8</v>
      </c>
      <c r="X80" s="200">
        <v>2437000.0</v>
      </c>
      <c r="Y80" s="200">
        <v>2.39777042E8</v>
      </c>
      <c r="Z80" s="200"/>
      <c r="AA80" s="200"/>
      <c r="AB80" s="200"/>
      <c r="AC80" s="200"/>
      <c r="AD80" s="213" t="s">
        <v>683</v>
      </c>
      <c r="AE80" s="213" t="s">
        <v>683</v>
      </c>
      <c r="AF80" s="214" t="str">
        <f>Table1[[#This Row],[2019 Scope 1 (MeT Co2)]]</f>
        <v>#ERROR!</v>
      </c>
      <c r="AG80" s="215" t="str">
        <f t="shared" si="1"/>
        <v>#ERROR!</v>
      </c>
      <c r="AH80" s="216" t="str">
        <f t="shared" si="2"/>
        <v>#ERROR!</v>
      </c>
      <c r="AI80" s="210"/>
      <c r="AJ80" s="210"/>
      <c r="AK80" s="213" t="s">
        <v>683</v>
      </c>
      <c r="AL80" s="213" t="s">
        <v>683</v>
      </c>
      <c r="AM80" s="214" t="str">
        <f>Table1[[#This Row],[2019 Scope 2 ]]</f>
        <v>#ERROR!</v>
      </c>
      <c r="AN80" s="215" t="str">
        <f t="shared" si="3"/>
        <v>#ERROR!</v>
      </c>
      <c r="AO80" s="216" t="str">
        <f t="shared" si="4"/>
        <v>#ERROR!</v>
      </c>
      <c r="AP80" s="215" t="str">
        <f t="shared" si="5"/>
        <v>#ERROR!</v>
      </c>
      <c r="AQ80" s="216" t="str">
        <f t="shared" si="6"/>
        <v>#ERROR!</v>
      </c>
      <c r="AR80" s="217" t="str">
        <f>Table1[[#This Row],[2019 Scope 3 ]]</f>
        <v>#ERROR!</v>
      </c>
      <c r="AS80" s="218" t="str">
        <f t="shared" si="7"/>
        <v>#ERROR!</v>
      </c>
      <c r="AT80" s="219" t="str">
        <f t="shared" si="8"/>
        <v>#ERROR!</v>
      </c>
      <c r="BI80" s="200">
        <v>15132.0</v>
      </c>
    </row>
    <row r="81" ht="12.75" customHeight="1">
      <c r="A81" s="5">
        <f>companies!A81</f>
        <v>80</v>
      </c>
      <c r="B81" s="200" t="s">
        <v>1254</v>
      </c>
      <c r="C81" s="211">
        <v>80179.0</v>
      </c>
      <c r="D81" s="211">
        <v>128298.0</v>
      </c>
      <c r="E81" s="211">
        <v>128298.0</v>
      </c>
      <c r="F81" s="211"/>
      <c r="G81" s="211"/>
      <c r="H81" s="211"/>
      <c r="I81" s="211"/>
      <c r="J81" s="211"/>
      <c r="K81" s="211"/>
      <c r="L81" s="211"/>
      <c r="M81" s="212"/>
      <c r="N81" s="212"/>
      <c r="O81" s="212"/>
      <c r="P81" s="212"/>
      <c r="Q81" s="212"/>
      <c r="R81" s="211"/>
      <c r="S81" s="212"/>
      <c r="T81" s="212"/>
      <c r="U81" s="212"/>
      <c r="V81" s="212"/>
      <c r="W81" s="211">
        <v>112252.0</v>
      </c>
      <c r="X81" s="200">
        <v>128298.0</v>
      </c>
      <c r="Y81" s="200">
        <v>320729.0</v>
      </c>
      <c r="Z81" s="200"/>
      <c r="AA81" s="200"/>
      <c r="AB81" s="200"/>
      <c r="AC81" s="200"/>
      <c r="AD81" s="213" t="s">
        <v>683</v>
      </c>
      <c r="AE81" s="213" t="s">
        <v>683</v>
      </c>
      <c r="AF81" s="214" t="str">
        <f>Table1[[#This Row],[2019 Scope 1 (MeT Co2)]]</f>
        <v>#ERROR!</v>
      </c>
      <c r="AG81" s="215" t="str">
        <f t="shared" si="1"/>
        <v>#ERROR!</v>
      </c>
      <c r="AH81" s="216" t="str">
        <f t="shared" si="2"/>
        <v>#ERROR!</v>
      </c>
      <c r="AI81" s="210"/>
      <c r="AJ81" s="210"/>
      <c r="AK81" s="213" t="s">
        <v>683</v>
      </c>
      <c r="AL81" s="213" t="s">
        <v>683</v>
      </c>
      <c r="AM81" s="214" t="str">
        <f>Table1[[#This Row],[2019 Scope 2 ]]</f>
        <v>#ERROR!</v>
      </c>
      <c r="AN81" s="215" t="str">
        <f t="shared" si="3"/>
        <v>#ERROR!</v>
      </c>
      <c r="AO81" s="216" t="str">
        <f t="shared" si="4"/>
        <v>#ERROR!</v>
      </c>
      <c r="AP81" s="215" t="str">
        <f t="shared" si="5"/>
        <v>#ERROR!</v>
      </c>
      <c r="AQ81" s="216" t="str">
        <f t="shared" si="6"/>
        <v>#ERROR!</v>
      </c>
      <c r="AR81" s="217" t="str">
        <f>Table1[[#This Row],[2019 Scope 3 ]]</f>
        <v>#ERROR!</v>
      </c>
      <c r="AS81" s="218" t="str">
        <f t="shared" si="7"/>
        <v>#ERROR!</v>
      </c>
      <c r="AT81" s="219" t="str">
        <f t="shared" si="8"/>
        <v>#ERROR!</v>
      </c>
      <c r="BI81" s="200">
        <v>15419.0</v>
      </c>
    </row>
    <row r="82" ht="12.75" customHeight="1">
      <c r="A82" s="5">
        <f>companies!A82</f>
        <v>81</v>
      </c>
      <c r="B82" s="200" t="s">
        <v>1254</v>
      </c>
      <c r="C82" s="211" t="s">
        <v>536</v>
      </c>
      <c r="D82" s="211" t="s">
        <v>536</v>
      </c>
      <c r="E82" s="211" t="s">
        <v>536</v>
      </c>
      <c r="F82" s="211"/>
      <c r="G82" s="211"/>
      <c r="H82" s="211"/>
      <c r="I82" s="211"/>
      <c r="J82" s="211"/>
      <c r="K82" s="211"/>
      <c r="L82" s="211"/>
      <c r="M82" s="212"/>
      <c r="N82" s="212"/>
      <c r="O82" s="212"/>
      <c r="P82" s="212"/>
      <c r="Q82" s="212"/>
      <c r="R82" s="211"/>
      <c r="S82" s="212"/>
      <c r="T82" s="212"/>
      <c r="U82" s="212"/>
      <c r="V82" s="212"/>
      <c r="W82" s="211" t="s">
        <v>536</v>
      </c>
      <c r="X82" s="200">
        <v>0.0</v>
      </c>
      <c r="Y82" s="200"/>
      <c r="Z82" s="213"/>
      <c r="AA82" s="213"/>
      <c r="AB82" s="213"/>
      <c r="AC82" s="213"/>
      <c r="AD82" s="213" t="e">
        <v>#N/A</v>
      </c>
      <c r="AE82" s="213" t="e">
        <v>#N/A</v>
      </c>
      <c r="AF82" s="214" t="str">
        <f>Table1[[#This Row],[2019 Scope 1 (MeT Co2)]]</f>
        <v>#ERROR!</v>
      </c>
      <c r="AG82" s="215" t="str">
        <f t="shared" si="1"/>
        <v>#ERROR!</v>
      </c>
      <c r="AH82" s="216" t="str">
        <f t="shared" si="2"/>
        <v>#ERROR!</v>
      </c>
      <c r="AI82" s="210"/>
      <c r="AJ82" s="210"/>
      <c r="AK82" s="213" t="e">
        <v>#N/A</v>
      </c>
      <c r="AL82" s="213" t="e">
        <v>#N/A</v>
      </c>
      <c r="AM82" s="214" t="str">
        <f>Table1[[#This Row],[2019 Scope 2 ]]</f>
        <v>#ERROR!</v>
      </c>
      <c r="AN82" s="215" t="str">
        <f t="shared" si="3"/>
        <v>#ERROR!</v>
      </c>
      <c r="AO82" s="216" t="str">
        <f t="shared" si="4"/>
        <v>#ERROR!</v>
      </c>
      <c r="AP82" s="215" t="str">
        <f t="shared" si="5"/>
        <v>#ERROR!</v>
      </c>
      <c r="AQ82" s="216" t="str">
        <f t="shared" si="6"/>
        <v>#ERROR!</v>
      </c>
      <c r="AR82" s="217" t="str">
        <f>Table1[[#This Row],[2019 Scope 3 ]]</f>
        <v>#ERROR!</v>
      </c>
      <c r="AS82" s="218" t="str">
        <f t="shared" si="7"/>
        <v>#ERROR!</v>
      </c>
      <c r="AT82" s="219" t="str">
        <f t="shared" si="8"/>
        <v>#ERROR!</v>
      </c>
    </row>
    <row r="83" ht="12.75" customHeight="1">
      <c r="A83" s="5">
        <f>companies!A83</f>
        <v>82</v>
      </c>
      <c r="B83" s="200" t="s">
        <v>1254</v>
      </c>
      <c r="C83" s="211">
        <v>4000.0</v>
      </c>
      <c r="D83" s="211">
        <v>174000.0</v>
      </c>
      <c r="E83" s="211">
        <v>174000.0</v>
      </c>
      <c r="F83" s="211"/>
      <c r="G83" s="211"/>
      <c r="H83" s="211"/>
      <c r="I83" s="211"/>
      <c r="J83" s="211"/>
      <c r="K83" s="211"/>
      <c r="L83" s="211"/>
      <c r="M83" s="212"/>
      <c r="N83" s="212"/>
      <c r="O83" s="212"/>
      <c r="P83" s="212"/>
      <c r="Q83" s="212"/>
      <c r="R83" s="211"/>
      <c r="S83" s="212"/>
      <c r="T83" s="212"/>
      <c r="U83" s="212"/>
      <c r="V83" s="212"/>
      <c r="W83" s="211">
        <v>99000.0</v>
      </c>
      <c r="X83" s="200">
        <v>174000.0</v>
      </c>
      <c r="Y83" s="200">
        <v>277000.0</v>
      </c>
      <c r="Z83" s="200"/>
      <c r="AA83" s="200"/>
      <c r="AB83" s="200"/>
      <c r="AC83" s="200"/>
      <c r="AD83" s="213" t="s">
        <v>683</v>
      </c>
      <c r="AE83" s="213" t="s">
        <v>683</v>
      </c>
      <c r="AF83" s="214" t="str">
        <f>Table1[[#This Row],[2019 Scope 1 (MeT Co2)]]</f>
        <v>#ERROR!</v>
      </c>
      <c r="AG83" s="215" t="str">
        <f t="shared" si="1"/>
        <v>#ERROR!</v>
      </c>
      <c r="AH83" s="220" t="str">
        <f t="shared" si="2"/>
        <v>#ERROR!</v>
      </c>
      <c r="AI83" s="210"/>
      <c r="AJ83" s="210"/>
      <c r="AK83" s="213" t="s">
        <v>683</v>
      </c>
      <c r="AL83" s="213" t="s">
        <v>683</v>
      </c>
      <c r="AM83" s="214" t="str">
        <f>Table1[[#This Row],[2019 Scope 2 ]]</f>
        <v>#ERROR!</v>
      </c>
      <c r="AN83" s="215" t="str">
        <f t="shared" si="3"/>
        <v>#ERROR!</v>
      </c>
      <c r="AO83" s="220" t="str">
        <f t="shared" si="4"/>
        <v>#ERROR!</v>
      </c>
      <c r="AP83" s="215" t="str">
        <f t="shared" si="5"/>
        <v>#ERROR!</v>
      </c>
      <c r="AQ83" s="220" t="str">
        <f t="shared" si="6"/>
        <v>#ERROR!</v>
      </c>
      <c r="AR83" s="217" t="str">
        <f>Table1[[#This Row],[2019 Scope 3 ]]</f>
        <v>#ERROR!</v>
      </c>
      <c r="AS83" s="218" t="str">
        <f t="shared" si="7"/>
        <v>#ERROR!</v>
      </c>
      <c r="AT83" s="219" t="str">
        <f t="shared" si="8"/>
        <v>#ERROR!</v>
      </c>
      <c r="BI83" s="200">
        <v>16158.0</v>
      </c>
    </row>
    <row r="84" ht="12.75" customHeight="1">
      <c r="A84" s="5">
        <f>companies!A84</f>
        <v>83</v>
      </c>
      <c r="B84" s="200" t="s">
        <v>1254</v>
      </c>
      <c r="C84" s="211">
        <v>1358000.0</v>
      </c>
      <c r="D84" s="211">
        <v>561000.0</v>
      </c>
      <c r="E84" s="211">
        <v>561000.0</v>
      </c>
      <c r="F84" s="211"/>
      <c r="G84" s="211"/>
      <c r="H84" s="211"/>
      <c r="I84" s="211"/>
      <c r="J84" s="211"/>
      <c r="K84" s="211"/>
      <c r="L84" s="211"/>
      <c r="M84" s="212"/>
      <c r="N84" s="212"/>
      <c r="O84" s="212"/>
      <c r="P84" s="212"/>
      <c r="Q84" s="212"/>
      <c r="R84" s="211"/>
      <c r="S84" s="212"/>
      <c r="T84" s="212"/>
      <c r="U84" s="212"/>
      <c r="V84" s="212"/>
      <c r="W84" s="211">
        <v>911000.0</v>
      </c>
      <c r="X84" s="200">
        <v>561000.0</v>
      </c>
      <c r="Y84" s="200">
        <v>2830000.0</v>
      </c>
      <c r="Z84" s="213"/>
      <c r="AA84" s="213"/>
      <c r="AB84" s="213"/>
      <c r="AC84" s="213"/>
      <c r="AD84" s="213" t="e">
        <v>#N/A</v>
      </c>
      <c r="AE84" s="213" t="e">
        <v>#N/A</v>
      </c>
      <c r="AF84" s="214" t="str">
        <f>Table1[[#This Row],[2019 Scope 1 (MeT Co2)]]</f>
        <v>#ERROR!</v>
      </c>
      <c r="AG84" s="215" t="str">
        <f t="shared" si="1"/>
        <v>#ERROR!</v>
      </c>
      <c r="AH84" s="216" t="str">
        <f t="shared" si="2"/>
        <v>#ERROR!</v>
      </c>
      <c r="AI84" s="210"/>
      <c r="AJ84" s="210"/>
      <c r="AK84" s="213" t="e">
        <v>#N/A</v>
      </c>
      <c r="AL84" s="213" t="e">
        <v>#N/A</v>
      </c>
      <c r="AM84" s="214" t="str">
        <f>Table1[[#This Row],[2019 Scope 2 ]]</f>
        <v>#ERROR!</v>
      </c>
      <c r="AN84" s="215" t="str">
        <f t="shared" si="3"/>
        <v>#ERROR!</v>
      </c>
      <c r="AO84" s="216" t="str">
        <f t="shared" si="4"/>
        <v>#ERROR!</v>
      </c>
      <c r="AP84" s="215" t="str">
        <f t="shared" si="5"/>
        <v>#ERROR!</v>
      </c>
      <c r="AQ84" s="216" t="str">
        <f t="shared" si="6"/>
        <v>#ERROR!</v>
      </c>
      <c r="AR84" s="217" t="str">
        <f>Table1[[#This Row],[2019 Scope 3 ]]</f>
        <v>#ERROR!</v>
      </c>
      <c r="AS84" s="218" t="str">
        <f t="shared" si="7"/>
        <v>#ERROR!</v>
      </c>
      <c r="AT84" s="219" t="str">
        <f t="shared" si="8"/>
        <v>#ERROR!</v>
      </c>
    </row>
    <row r="85" ht="12.75" customHeight="1">
      <c r="A85" s="5">
        <f>companies!A85</f>
        <v>84</v>
      </c>
      <c r="B85" s="200" t="s">
        <v>1254</v>
      </c>
      <c r="C85" s="211">
        <v>19404.0</v>
      </c>
      <c r="D85" s="211">
        <v>293618.0</v>
      </c>
      <c r="E85" s="211">
        <v>293618.0</v>
      </c>
      <c r="F85" s="211"/>
      <c r="G85" s="211"/>
      <c r="H85" s="211"/>
      <c r="I85" s="211"/>
      <c r="J85" s="211"/>
      <c r="K85" s="211"/>
      <c r="L85" s="211"/>
      <c r="M85" s="212"/>
      <c r="N85" s="212"/>
      <c r="O85" s="212"/>
      <c r="P85" s="212"/>
      <c r="Q85" s="212"/>
      <c r="R85" s="211"/>
      <c r="S85" s="212"/>
      <c r="T85" s="212"/>
      <c r="U85" s="212"/>
      <c r="V85" s="212"/>
      <c r="W85" s="211">
        <v>580998.0</v>
      </c>
      <c r="X85" s="200">
        <v>293618.0</v>
      </c>
      <c r="Y85" s="200">
        <v>894020.0</v>
      </c>
      <c r="Z85" s="213"/>
      <c r="AA85" s="213"/>
      <c r="AB85" s="213"/>
      <c r="AC85" s="213"/>
      <c r="AD85" s="213" t="s">
        <v>1255</v>
      </c>
      <c r="AE85" s="213" t="s">
        <v>1256</v>
      </c>
      <c r="AF85" s="214" t="str">
        <f>Table1[[#This Row],[2019 Scope 1 (MeT Co2)]]</f>
        <v>#ERROR!</v>
      </c>
      <c r="AG85" s="215" t="str">
        <f t="shared" si="1"/>
        <v>#ERROR!</v>
      </c>
      <c r="AH85" s="216" t="str">
        <f t="shared" si="2"/>
        <v>#ERROR!</v>
      </c>
      <c r="AI85" s="210"/>
      <c r="AJ85" s="210"/>
      <c r="AK85" s="213" t="s">
        <v>1255</v>
      </c>
      <c r="AL85" s="213" t="s">
        <v>1256</v>
      </c>
      <c r="AM85" s="214" t="str">
        <f>Table1[[#This Row],[2019 Scope 2 ]]</f>
        <v>#ERROR!</v>
      </c>
      <c r="AN85" s="215" t="str">
        <f t="shared" si="3"/>
        <v>#ERROR!</v>
      </c>
      <c r="AO85" s="216" t="str">
        <f t="shared" si="4"/>
        <v>#ERROR!</v>
      </c>
      <c r="AP85" s="215" t="str">
        <f t="shared" si="5"/>
        <v>#ERROR!</v>
      </c>
      <c r="AQ85" s="216" t="str">
        <f t="shared" si="6"/>
        <v>#ERROR!</v>
      </c>
      <c r="AR85" s="217" t="str">
        <f>Table1[[#This Row],[2019 Scope 3 ]]</f>
        <v>#ERROR!</v>
      </c>
      <c r="AS85" s="218" t="str">
        <f t="shared" si="7"/>
        <v>#ERROR!</v>
      </c>
      <c r="AT85" s="219" t="str">
        <f t="shared" si="8"/>
        <v>#ERROR!</v>
      </c>
      <c r="BI85" s="4">
        <v>17069.0</v>
      </c>
    </row>
    <row r="86" ht="12.75" customHeight="1">
      <c r="A86" s="5">
        <f>companies!A86</f>
        <v>85</v>
      </c>
      <c r="B86" s="200" t="s">
        <v>1254</v>
      </c>
      <c r="C86" s="211">
        <v>9.7534302E7</v>
      </c>
      <c r="D86" s="211">
        <v>2701183.0</v>
      </c>
      <c r="E86" s="211">
        <v>2701183.0</v>
      </c>
      <c r="F86" s="211"/>
      <c r="G86" s="211"/>
      <c r="H86" s="211"/>
      <c r="I86" s="211"/>
      <c r="J86" s="211"/>
      <c r="K86" s="211"/>
      <c r="L86" s="211"/>
      <c r="M86" s="212"/>
      <c r="N86" s="212"/>
      <c r="O86" s="212"/>
      <c r="P86" s="212"/>
      <c r="Q86" s="212"/>
      <c r="R86" s="211"/>
      <c r="S86" s="212"/>
      <c r="T86" s="212"/>
      <c r="U86" s="212"/>
      <c r="V86" s="212"/>
      <c r="W86" s="211">
        <v>3.4630131E7</v>
      </c>
      <c r="X86" s="200">
        <v>2701183.0</v>
      </c>
      <c r="Y86" s="200">
        <v>1.34865616E8</v>
      </c>
      <c r="Z86" s="200"/>
      <c r="AA86" s="200"/>
      <c r="AB86" s="200"/>
      <c r="AC86" s="200"/>
      <c r="AD86" s="213" t="s">
        <v>683</v>
      </c>
      <c r="AE86" s="213" t="s">
        <v>683</v>
      </c>
      <c r="AF86" s="214" t="str">
        <f>Table1[[#This Row],[2019 Scope 1 (MeT Co2)]]</f>
        <v>#ERROR!</v>
      </c>
      <c r="AG86" s="215" t="str">
        <f t="shared" si="1"/>
        <v>#ERROR!</v>
      </c>
      <c r="AH86" s="216" t="str">
        <f t="shared" si="2"/>
        <v>#ERROR!</v>
      </c>
      <c r="AI86" s="210"/>
      <c r="AJ86" s="210"/>
      <c r="AK86" s="213" t="s">
        <v>683</v>
      </c>
      <c r="AL86" s="213" t="s">
        <v>683</v>
      </c>
      <c r="AM86" s="214" t="str">
        <f>Table1[[#This Row],[2019 Scope 2 ]]</f>
        <v>#ERROR!</v>
      </c>
      <c r="AN86" s="215" t="str">
        <f t="shared" si="3"/>
        <v>#ERROR!</v>
      </c>
      <c r="AO86" s="216" t="str">
        <f t="shared" si="4"/>
        <v>#ERROR!</v>
      </c>
      <c r="AP86" s="215" t="str">
        <f t="shared" si="5"/>
        <v>#ERROR!</v>
      </c>
      <c r="AQ86" s="216" t="str">
        <f t="shared" si="6"/>
        <v>#ERROR!</v>
      </c>
      <c r="AR86" s="217" t="str">
        <f>Table1[[#This Row],[2019 Scope 3 ]]</f>
        <v>#ERROR!</v>
      </c>
      <c r="AS86" s="218" t="str">
        <f t="shared" si="7"/>
        <v>#ERROR!</v>
      </c>
      <c r="AT86" s="219" t="str">
        <f t="shared" si="8"/>
        <v>#ERROR!</v>
      </c>
      <c r="BI86" s="4">
        <v>18951.0</v>
      </c>
    </row>
    <row r="87" ht="12.75" customHeight="1">
      <c r="A87" s="5">
        <f>companies!A87</f>
        <v>86</v>
      </c>
      <c r="B87" s="200" t="s">
        <v>1254</v>
      </c>
      <c r="C87" s="211">
        <v>291000.0</v>
      </c>
      <c r="D87" s="211">
        <v>390000.0</v>
      </c>
      <c r="E87" s="211">
        <v>390000.0</v>
      </c>
      <c r="F87" s="211"/>
      <c r="G87" s="211"/>
      <c r="H87" s="211"/>
      <c r="I87" s="211"/>
      <c r="J87" s="211"/>
      <c r="K87" s="211"/>
      <c r="L87" s="211"/>
      <c r="M87" s="212"/>
      <c r="N87" s="212"/>
      <c r="O87" s="212"/>
      <c r="P87" s="212"/>
      <c r="Q87" s="212"/>
      <c r="R87" s="211"/>
      <c r="S87" s="212"/>
      <c r="T87" s="212"/>
      <c r="U87" s="212"/>
      <c r="V87" s="212"/>
      <c r="W87" s="211">
        <v>1.59E7</v>
      </c>
      <c r="X87" s="200">
        <v>390000.0</v>
      </c>
      <c r="Y87" s="200">
        <v>1.6581E7</v>
      </c>
      <c r="Z87" s="213"/>
      <c r="AA87" s="213"/>
      <c r="AB87" s="213"/>
      <c r="AC87" s="213"/>
      <c r="AD87" s="213" t="s">
        <v>683</v>
      </c>
      <c r="AE87" s="213" t="s">
        <v>683</v>
      </c>
      <c r="AF87" s="214" t="str">
        <f>Table1[[#This Row],[2019 Scope 1 (MeT Co2)]]</f>
        <v>#ERROR!</v>
      </c>
      <c r="AG87" s="215" t="str">
        <f t="shared" si="1"/>
        <v>#ERROR!</v>
      </c>
      <c r="AH87" s="216" t="str">
        <f t="shared" si="2"/>
        <v>#ERROR!</v>
      </c>
      <c r="AI87" s="210"/>
      <c r="AJ87" s="210"/>
      <c r="AK87" s="213" t="s">
        <v>683</v>
      </c>
      <c r="AL87" s="213" t="s">
        <v>683</v>
      </c>
      <c r="AM87" s="214" t="str">
        <f>Table1[[#This Row],[2019 Scope 2 ]]</f>
        <v>#ERROR!</v>
      </c>
      <c r="AN87" s="215" t="str">
        <f t="shared" si="3"/>
        <v>#ERROR!</v>
      </c>
      <c r="AO87" s="216" t="str">
        <f t="shared" si="4"/>
        <v>#ERROR!</v>
      </c>
      <c r="AP87" s="215" t="str">
        <f t="shared" si="5"/>
        <v>#ERROR!</v>
      </c>
      <c r="AQ87" s="216" t="str">
        <f t="shared" si="6"/>
        <v>#ERROR!</v>
      </c>
      <c r="AR87" s="217" t="str">
        <f>Table1[[#This Row],[2019 Scope 3 ]]</f>
        <v>#ERROR!</v>
      </c>
      <c r="AS87" s="218" t="str">
        <f t="shared" si="7"/>
        <v>#ERROR!</v>
      </c>
      <c r="AT87" s="219" t="str">
        <f t="shared" si="8"/>
        <v>#ERROR!</v>
      </c>
      <c r="BI87" s="4">
        <v>17652.0</v>
      </c>
    </row>
    <row r="88" ht="12.75" customHeight="1">
      <c r="A88" s="5">
        <f>companies!A88</f>
        <v>87</v>
      </c>
      <c r="B88" s="200" t="s">
        <v>1254</v>
      </c>
      <c r="C88" s="211">
        <v>706176.0</v>
      </c>
      <c r="D88" s="211">
        <v>2111537.0</v>
      </c>
      <c r="E88" s="211">
        <v>2111537.0</v>
      </c>
      <c r="F88" s="211"/>
      <c r="G88" s="211"/>
      <c r="H88" s="211"/>
      <c r="I88" s="211"/>
      <c r="J88" s="211"/>
      <c r="K88" s="211"/>
      <c r="L88" s="211"/>
      <c r="M88" s="212"/>
      <c r="N88" s="212"/>
      <c r="O88" s="212"/>
      <c r="P88" s="212"/>
      <c r="Q88" s="212"/>
      <c r="R88" s="211"/>
      <c r="S88" s="212"/>
      <c r="T88" s="212"/>
      <c r="U88" s="212"/>
      <c r="V88" s="212"/>
      <c r="W88" s="211">
        <v>7.84E7</v>
      </c>
      <c r="X88" s="200">
        <v>2111537.0</v>
      </c>
      <c r="Y88" s="200">
        <v>8.1217713E7</v>
      </c>
      <c r="Z88" s="200"/>
      <c r="AA88" s="200"/>
      <c r="AB88" s="200"/>
      <c r="AC88" s="200"/>
      <c r="AD88" s="213" t="s">
        <v>683</v>
      </c>
      <c r="AE88" s="213" t="s">
        <v>683</v>
      </c>
      <c r="AF88" s="214" t="str">
        <f>Table1[[#This Row],[2019 Scope 1 (MeT Co2)]]</f>
        <v>#ERROR!</v>
      </c>
      <c r="AG88" s="215" t="str">
        <f t="shared" si="1"/>
        <v>#ERROR!</v>
      </c>
      <c r="AH88" s="216" t="str">
        <f t="shared" si="2"/>
        <v>#ERROR!</v>
      </c>
      <c r="AI88" s="210"/>
      <c r="AJ88" s="210"/>
      <c r="AK88" s="213" t="s">
        <v>683</v>
      </c>
      <c r="AL88" s="213" t="s">
        <v>683</v>
      </c>
      <c r="AM88" s="214" t="str">
        <f>Table1[[#This Row],[2019 Scope 2 ]]</f>
        <v>#ERROR!</v>
      </c>
      <c r="AN88" s="215" t="str">
        <f t="shared" si="3"/>
        <v>#ERROR!</v>
      </c>
      <c r="AO88" s="216" t="str">
        <f t="shared" si="4"/>
        <v>#ERROR!</v>
      </c>
      <c r="AP88" s="215" t="str">
        <f t="shared" si="5"/>
        <v>#ERROR!</v>
      </c>
      <c r="AQ88" s="216" t="str">
        <f t="shared" si="6"/>
        <v>#ERROR!</v>
      </c>
      <c r="AR88" s="217" t="str">
        <f>Table1[[#This Row],[2019 Scope 3 ]]</f>
        <v>#ERROR!</v>
      </c>
      <c r="AS88" s="218" t="str">
        <f t="shared" si="7"/>
        <v>#ERROR!</v>
      </c>
      <c r="AT88" s="219" t="str">
        <f t="shared" si="8"/>
        <v>#ERROR!</v>
      </c>
      <c r="BI88" s="4">
        <v>18320.0</v>
      </c>
    </row>
    <row r="89" ht="12.75" customHeight="1">
      <c r="A89" s="5">
        <f>companies!A89</f>
        <v>88</v>
      </c>
      <c r="B89" s="200" t="s">
        <v>1254</v>
      </c>
      <c r="C89" s="211">
        <v>1161654.0</v>
      </c>
      <c r="D89" s="211">
        <v>1256755.0</v>
      </c>
      <c r="E89" s="211">
        <v>1256755.0</v>
      </c>
      <c r="F89" s="211"/>
      <c r="G89" s="211"/>
      <c r="H89" s="211"/>
      <c r="I89" s="211"/>
      <c r="J89" s="211"/>
      <c r="K89" s="211"/>
      <c r="L89" s="211"/>
      <c r="M89" s="212"/>
      <c r="N89" s="212"/>
      <c r="O89" s="212"/>
      <c r="P89" s="212"/>
      <c r="Q89" s="212"/>
      <c r="R89" s="211"/>
      <c r="S89" s="212"/>
      <c r="T89" s="212"/>
      <c r="U89" s="212"/>
      <c r="V89" s="212"/>
      <c r="W89" s="211" t="s">
        <v>536</v>
      </c>
      <c r="X89" s="200">
        <v>1256755.0</v>
      </c>
      <c r="Y89" s="200"/>
      <c r="Z89" s="200"/>
      <c r="AA89" s="200"/>
      <c r="AB89" s="200"/>
      <c r="AC89" s="200"/>
      <c r="AD89" s="213" t="s">
        <v>683</v>
      </c>
      <c r="AE89" s="213" t="s">
        <v>683</v>
      </c>
      <c r="AF89" s="214" t="str">
        <f>Table1[[#This Row],[2019 Scope 1 (MeT Co2)]]</f>
        <v>#ERROR!</v>
      </c>
      <c r="AG89" s="215" t="str">
        <f t="shared" si="1"/>
        <v>#ERROR!</v>
      </c>
      <c r="AH89" s="216" t="str">
        <f t="shared" si="2"/>
        <v>#ERROR!</v>
      </c>
      <c r="AI89" s="210"/>
      <c r="AJ89" s="210"/>
      <c r="AK89" s="213" t="s">
        <v>683</v>
      </c>
      <c r="AL89" s="213" t="s">
        <v>683</v>
      </c>
      <c r="AM89" s="214" t="str">
        <f>Table1[[#This Row],[2019 Scope 2 ]]</f>
        <v>#ERROR!</v>
      </c>
      <c r="AN89" s="215" t="str">
        <f t="shared" si="3"/>
        <v>#ERROR!</v>
      </c>
      <c r="AO89" s="216" t="str">
        <f t="shared" si="4"/>
        <v>#ERROR!</v>
      </c>
      <c r="AP89" s="215" t="str">
        <f t="shared" si="5"/>
        <v>#ERROR!</v>
      </c>
      <c r="AQ89" s="216" t="str">
        <f t="shared" si="6"/>
        <v>#ERROR!</v>
      </c>
      <c r="AR89" s="217" t="str">
        <f>Table1[[#This Row],[2019 Scope 3 ]]</f>
        <v>#ERROR!</v>
      </c>
      <c r="AS89" s="218" t="str">
        <f t="shared" si="7"/>
        <v>#ERROR!</v>
      </c>
      <c r="AT89" s="219" t="str">
        <f t="shared" si="8"/>
        <v>#ERROR!</v>
      </c>
      <c r="BI89" s="4">
        <v>18640.0</v>
      </c>
    </row>
    <row r="90" ht="12.75" customHeight="1">
      <c r="A90" s="5">
        <f>companies!A90</f>
        <v>89</v>
      </c>
      <c r="B90" s="200" t="s">
        <v>1254</v>
      </c>
      <c r="C90" s="211">
        <v>8265.0</v>
      </c>
      <c r="D90" s="211">
        <v>2248.0</v>
      </c>
      <c r="E90" s="211">
        <v>2248.0</v>
      </c>
      <c r="F90" s="211"/>
      <c r="G90" s="211"/>
      <c r="H90" s="211"/>
      <c r="I90" s="211"/>
      <c r="J90" s="211"/>
      <c r="K90" s="211"/>
      <c r="L90" s="211"/>
      <c r="M90" s="212"/>
      <c r="N90" s="212"/>
      <c r="O90" s="212"/>
      <c r="P90" s="212"/>
      <c r="Q90" s="212"/>
      <c r="R90" s="211"/>
      <c r="S90" s="212"/>
      <c r="T90" s="212"/>
      <c r="U90" s="212"/>
      <c r="V90" s="212"/>
      <c r="W90" s="211">
        <v>17944.0</v>
      </c>
      <c r="X90" s="200">
        <v>2248.0</v>
      </c>
      <c r="Y90" s="200">
        <v>28457.0</v>
      </c>
      <c r="Z90" s="200"/>
      <c r="AA90" s="200"/>
      <c r="AB90" s="200"/>
      <c r="AC90" s="200"/>
      <c r="AD90" s="213" t="s">
        <v>683</v>
      </c>
      <c r="AE90" s="213" t="s">
        <v>683</v>
      </c>
      <c r="AF90" s="214" t="str">
        <f>Table1[[#This Row],[2019 Scope 1 (MeT Co2)]]</f>
        <v>#ERROR!</v>
      </c>
      <c r="AG90" s="215" t="str">
        <f t="shared" si="1"/>
        <v>#ERROR!</v>
      </c>
      <c r="AH90" s="216" t="str">
        <f t="shared" si="2"/>
        <v>#ERROR!</v>
      </c>
      <c r="AI90" s="210"/>
      <c r="AJ90" s="210"/>
      <c r="AK90" s="213" t="s">
        <v>683</v>
      </c>
      <c r="AL90" s="213" t="s">
        <v>683</v>
      </c>
      <c r="AM90" s="214" t="str">
        <f>Table1[[#This Row],[2019 Scope 2 ]]</f>
        <v>#ERROR!</v>
      </c>
      <c r="AN90" s="215" t="str">
        <f t="shared" si="3"/>
        <v>#ERROR!</v>
      </c>
      <c r="AO90" s="216" t="str">
        <f t="shared" si="4"/>
        <v>#ERROR!</v>
      </c>
      <c r="AP90" s="215" t="str">
        <f t="shared" si="5"/>
        <v>#ERROR!</v>
      </c>
      <c r="AQ90" s="216" t="str">
        <f t="shared" si="6"/>
        <v>#ERROR!</v>
      </c>
      <c r="AR90" s="217" t="str">
        <f>Table1[[#This Row],[2019 Scope 3 ]]</f>
        <v>#ERROR!</v>
      </c>
      <c r="AS90" s="218" t="str">
        <f t="shared" si="7"/>
        <v>#ERROR!</v>
      </c>
      <c r="AT90" s="219" t="str">
        <f t="shared" si="8"/>
        <v>#ERROR!</v>
      </c>
      <c r="BI90" s="4">
        <v>1464.0</v>
      </c>
    </row>
    <row r="91" ht="12.75" customHeight="1">
      <c r="A91" s="5">
        <f>companies!A91</f>
        <v>90</v>
      </c>
      <c r="B91" s="200" t="s">
        <v>1254</v>
      </c>
      <c r="C91" s="211">
        <v>843275.0</v>
      </c>
      <c r="D91" s="211">
        <v>1002150.0</v>
      </c>
      <c r="E91" s="211">
        <v>1002150.0</v>
      </c>
      <c r="F91" s="211"/>
      <c r="G91" s="211"/>
      <c r="H91" s="211"/>
      <c r="I91" s="211"/>
      <c r="J91" s="211"/>
      <c r="K91" s="211"/>
      <c r="L91" s="211"/>
      <c r="M91" s="212"/>
      <c r="N91" s="212"/>
      <c r="O91" s="212"/>
      <c r="P91" s="212"/>
      <c r="Q91" s="212"/>
      <c r="R91" s="211"/>
      <c r="S91" s="212"/>
      <c r="T91" s="212"/>
      <c r="U91" s="212"/>
      <c r="V91" s="212"/>
      <c r="W91" s="211" t="s">
        <v>536</v>
      </c>
      <c r="X91" s="200">
        <v>1002150.0</v>
      </c>
      <c r="Y91" s="200"/>
      <c r="Z91" s="200"/>
      <c r="AA91" s="200"/>
      <c r="AB91" s="200"/>
      <c r="AC91" s="200"/>
      <c r="AD91" s="213" t="s">
        <v>683</v>
      </c>
      <c r="AE91" s="213" t="s">
        <v>683</v>
      </c>
      <c r="AF91" s="214" t="str">
        <f>Table1[[#This Row],[2019 Scope 1 (MeT Co2)]]</f>
        <v>#ERROR!</v>
      </c>
      <c r="AG91" s="215" t="str">
        <f t="shared" si="1"/>
        <v>#ERROR!</v>
      </c>
      <c r="AH91" s="216" t="str">
        <f t="shared" si="2"/>
        <v>#ERROR!</v>
      </c>
      <c r="AI91" s="210"/>
      <c r="AJ91" s="210"/>
      <c r="AK91" s="213" t="s">
        <v>683</v>
      </c>
      <c r="AL91" s="213" t="s">
        <v>683</v>
      </c>
      <c r="AM91" s="214" t="str">
        <f>Table1[[#This Row],[2019 Scope 2 ]]</f>
        <v>#ERROR!</v>
      </c>
      <c r="AN91" s="215" t="str">
        <f t="shared" si="3"/>
        <v>#ERROR!</v>
      </c>
      <c r="AO91" s="216" t="str">
        <f t="shared" si="4"/>
        <v>#ERROR!</v>
      </c>
      <c r="AP91" s="215" t="str">
        <f t="shared" si="5"/>
        <v>#ERROR!</v>
      </c>
      <c r="AQ91" s="216" t="str">
        <f t="shared" si="6"/>
        <v>#ERROR!</v>
      </c>
      <c r="AR91" s="217" t="str">
        <f>Table1[[#This Row],[2019 Scope 3 ]]</f>
        <v>#ERROR!</v>
      </c>
      <c r="AS91" s="218" t="str">
        <f t="shared" si="7"/>
        <v>#ERROR!</v>
      </c>
      <c r="AT91" s="219" t="str">
        <f t="shared" si="8"/>
        <v>#ERROR!</v>
      </c>
      <c r="BI91" s="4">
        <v>20384.0</v>
      </c>
    </row>
    <row r="92" ht="12.75" customHeight="1">
      <c r="A92" s="5">
        <f>companies!A92</f>
        <v>91</v>
      </c>
      <c r="B92" s="200" t="s">
        <v>1254</v>
      </c>
      <c r="C92" s="211">
        <v>70255.0</v>
      </c>
      <c r="D92" s="211">
        <v>408244.0</v>
      </c>
      <c r="E92" s="211">
        <v>408244.0</v>
      </c>
      <c r="F92" s="211"/>
      <c r="G92" s="211"/>
      <c r="H92" s="211"/>
      <c r="I92" s="211"/>
      <c r="J92" s="211"/>
      <c r="K92" s="211"/>
      <c r="L92" s="211"/>
      <c r="M92" s="212"/>
      <c r="N92" s="212"/>
      <c r="O92" s="212"/>
      <c r="P92" s="212"/>
      <c r="Q92" s="212"/>
      <c r="R92" s="211"/>
      <c r="S92" s="212"/>
      <c r="T92" s="212"/>
      <c r="U92" s="212"/>
      <c r="V92" s="212"/>
      <c r="W92" s="211">
        <v>206994.0</v>
      </c>
      <c r="X92" s="200">
        <v>408244.0</v>
      </c>
      <c r="Y92" s="200">
        <v>685493.0</v>
      </c>
      <c r="Z92" s="213"/>
      <c r="AA92" s="213"/>
      <c r="AB92" s="213"/>
      <c r="AC92" s="213"/>
      <c r="AD92" s="213" t="e">
        <v>#N/A</v>
      </c>
      <c r="AE92" s="213" t="e">
        <v>#N/A</v>
      </c>
      <c r="AF92" s="214" t="str">
        <f>Table1[[#This Row],[2019 Scope 1 (MeT Co2)]]</f>
        <v>#ERROR!</v>
      </c>
      <c r="AG92" s="215" t="str">
        <f t="shared" si="1"/>
        <v>#ERROR!</v>
      </c>
      <c r="AH92" s="216" t="str">
        <f t="shared" si="2"/>
        <v>#ERROR!</v>
      </c>
      <c r="AI92" s="210"/>
      <c r="AJ92" s="210"/>
      <c r="AK92" s="213" t="e">
        <v>#N/A</v>
      </c>
      <c r="AL92" s="213" t="e">
        <v>#N/A</v>
      </c>
      <c r="AM92" s="214" t="str">
        <f>Table1[[#This Row],[2019 Scope 2 ]]</f>
        <v>#ERROR!</v>
      </c>
      <c r="AN92" s="215" t="str">
        <f t="shared" si="3"/>
        <v>#ERROR!</v>
      </c>
      <c r="AO92" s="216" t="str">
        <f t="shared" si="4"/>
        <v>#ERROR!</v>
      </c>
      <c r="AP92" s="215" t="str">
        <f t="shared" si="5"/>
        <v>#ERROR!</v>
      </c>
      <c r="AQ92" s="216" t="str">
        <f t="shared" si="6"/>
        <v>#ERROR!</v>
      </c>
      <c r="AR92" s="217" t="str">
        <f>Table1[[#This Row],[2019 Scope 3 ]]</f>
        <v>#ERROR!</v>
      </c>
      <c r="AS92" s="218" t="str">
        <f t="shared" si="7"/>
        <v>#ERROR!</v>
      </c>
      <c r="AT92" s="219" t="str">
        <f t="shared" si="8"/>
        <v>#ERROR!</v>
      </c>
    </row>
    <row r="93" ht="12.75" customHeight="1">
      <c r="A93" s="5">
        <f>companies!A93</f>
        <v>92</v>
      </c>
      <c r="B93" s="200" t="s">
        <v>1254</v>
      </c>
      <c r="C93" s="211">
        <v>1.0216978E7</v>
      </c>
      <c r="D93" s="211">
        <v>773007.0</v>
      </c>
      <c r="E93" s="211">
        <v>773007.0</v>
      </c>
      <c r="F93" s="211"/>
      <c r="G93" s="211"/>
      <c r="H93" s="211"/>
      <c r="I93" s="211"/>
      <c r="J93" s="211"/>
      <c r="K93" s="211"/>
      <c r="L93" s="211"/>
      <c r="M93" s="212"/>
      <c r="N93" s="212"/>
      <c r="O93" s="212"/>
      <c r="P93" s="212"/>
      <c r="Q93" s="212"/>
      <c r="R93" s="211"/>
      <c r="S93" s="212"/>
      <c r="T93" s="212"/>
      <c r="U93" s="212"/>
      <c r="V93" s="212"/>
      <c r="W93" s="211">
        <v>18466.0</v>
      </c>
      <c r="X93" s="200">
        <v>773007.0</v>
      </c>
      <c r="Y93" s="200">
        <v>1.1008451E7</v>
      </c>
      <c r="Z93" s="200"/>
      <c r="AA93" s="200"/>
      <c r="AB93" s="200"/>
      <c r="AC93" s="200"/>
      <c r="AD93" s="213" t="s">
        <v>683</v>
      </c>
      <c r="AE93" s="213" t="s">
        <v>683</v>
      </c>
      <c r="AF93" s="214" t="str">
        <f>Table1[[#This Row],[2019 Scope 1 (MeT Co2)]]</f>
        <v>#ERROR!</v>
      </c>
      <c r="AG93" s="215" t="str">
        <f t="shared" si="1"/>
        <v>#ERROR!</v>
      </c>
      <c r="AH93" s="216" t="str">
        <f t="shared" si="2"/>
        <v>#ERROR!</v>
      </c>
      <c r="AI93" s="210"/>
      <c r="AJ93" s="210"/>
      <c r="AK93" s="213" t="s">
        <v>683</v>
      </c>
      <c r="AL93" s="213" t="s">
        <v>683</v>
      </c>
      <c r="AM93" s="214" t="str">
        <f>Table1[[#This Row],[2019 Scope 2 ]]</f>
        <v>#ERROR!</v>
      </c>
      <c r="AN93" s="215" t="str">
        <f t="shared" si="3"/>
        <v>#ERROR!</v>
      </c>
      <c r="AO93" s="220" t="str">
        <f t="shared" si="4"/>
        <v>#ERROR!</v>
      </c>
      <c r="AP93" s="215" t="str">
        <f t="shared" si="5"/>
        <v>#ERROR!</v>
      </c>
      <c r="AQ93" s="220" t="str">
        <f t="shared" si="6"/>
        <v>#ERROR!</v>
      </c>
      <c r="AR93" s="217" t="str">
        <f>Table1[[#This Row],[2019 Scope 3 ]]</f>
        <v>#ERROR!</v>
      </c>
      <c r="AS93" s="218" t="str">
        <f t="shared" si="7"/>
        <v>#ERROR!</v>
      </c>
      <c r="AT93" s="219" t="str">
        <f t="shared" si="8"/>
        <v>#ERROR!</v>
      </c>
      <c r="BI93" s="200">
        <v>19845.0</v>
      </c>
    </row>
    <row r="94" ht="12.75" customHeight="1">
      <c r="A94" s="5">
        <f>companies!A94</f>
        <v>93</v>
      </c>
      <c r="B94" s="200" t="s">
        <v>1254</v>
      </c>
      <c r="C94" s="211">
        <v>16570.0</v>
      </c>
      <c r="D94" s="211">
        <v>156719.0</v>
      </c>
      <c r="E94" s="211">
        <v>156719.0</v>
      </c>
      <c r="F94" s="211"/>
      <c r="G94" s="211"/>
      <c r="H94" s="211"/>
      <c r="I94" s="211"/>
      <c r="J94" s="211"/>
      <c r="K94" s="211"/>
      <c r="L94" s="211"/>
      <c r="M94" s="212"/>
      <c r="N94" s="212"/>
      <c r="O94" s="212"/>
      <c r="P94" s="212"/>
      <c r="Q94" s="212"/>
      <c r="R94" s="211"/>
      <c r="S94" s="212"/>
      <c r="T94" s="212"/>
      <c r="U94" s="212"/>
      <c r="V94" s="212"/>
      <c r="W94" s="211">
        <v>127671.0</v>
      </c>
      <c r="X94" s="200">
        <v>156719.0</v>
      </c>
      <c r="Y94" s="200">
        <v>300960.0</v>
      </c>
      <c r="Z94" s="200"/>
      <c r="AA94" s="200"/>
      <c r="AB94" s="200"/>
      <c r="AC94" s="200"/>
      <c r="AD94" s="213" t="s">
        <v>683</v>
      </c>
      <c r="AE94" s="213" t="s">
        <v>683</v>
      </c>
      <c r="AF94" s="214" t="str">
        <f>Table1[[#This Row],[2019 Scope 1 (MeT Co2)]]</f>
        <v>#ERROR!</v>
      </c>
      <c r="AG94" s="215" t="str">
        <f t="shared" si="1"/>
        <v>#ERROR!</v>
      </c>
      <c r="AH94" s="216" t="str">
        <f t="shared" si="2"/>
        <v>#ERROR!</v>
      </c>
      <c r="AI94" s="210"/>
      <c r="AJ94" s="210"/>
      <c r="AK94" s="213" t="s">
        <v>683</v>
      </c>
      <c r="AL94" s="213" t="s">
        <v>683</v>
      </c>
      <c r="AM94" s="214" t="str">
        <f>Table1[[#This Row],[2019 Scope 2 ]]</f>
        <v>#ERROR!</v>
      </c>
      <c r="AN94" s="215" t="str">
        <f t="shared" si="3"/>
        <v>#ERROR!</v>
      </c>
      <c r="AO94" s="216" t="str">
        <f t="shared" si="4"/>
        <v>#ERROR!</v>
      </c>
      <c r="AP94" s="215" t="str">
        <f t="shared" si="5"/>
        <v>#ERROR!</v>
      </c>
      <c r="AQ94" s="216" t="str">
        <f t="shared" si="6"/>
        <v>#ERROR!</v>
      </c>
      <c r="AR94" s="217" t="str">
        <f>Table1[[#This Row],[2019 Scope 3 ]]</f>
        <v>#ERROR!</v>
      </c>
      <c r="AS94" s="218" t="str">
        <f t="shared" si="7"/>
        <v>#ERROR!</v>
      </c>
      <c r="AT94" s="219" t="str">
        <f t="shared" si="8"/>
        <v>#ERROR!</v>
      </c>
      <c r="BI94" s="4">
        <v>19858.0</v>
      </c>
    </row>
    <row r="95" ht="12.75" customHeight="1">
      <c r="A95" s="5">
        <f>companies!A95</f>
        <v>94</v>
      </c>
      <c r="B95" s="200" t="s">
        <v>1254</v>
      </c>
      <c r="C95" s="211">
        <v>1.3047E7</v>
      </c>
      <c r="D95" s="211">
        <v>745000.0</v>
      </c>
      <c r="E95" s="211">
        <v>745000.0</v>
      </c>
      <c r="F95" s="211"/>
      <c r="G95" s="211"/>
      <c r="H95" s="211"/>
      <c r="I95" s="211"/>
      <c r="J95" s="211"/>
      <c r="K95" s="211"/>
      <c r="L95" s="211"/>
      <c r="M95" s="212"/>
      <c r="N95" s="212"/>
      <c r="O95" s="212"/>
      <c r="P95" s="212"/>
      <c r="Q95" s="212"/>
      <c r="R95" s="211"/>
      <c r="S95" s="212"/>
      <c r="T95" s="212"/>
      <c r="U95" s="212"/>
      <c r="V95" s="212"/>
      <c r="W95" s="211">
        <v>2.0071E7</v>
      </c>
      <c r="X95" s="200">
        <v>745000.0</v>
      </c>
      <c r="Y95" s="200">
        <v>3.3863E7</v>
      </c>
      <c r="Z95" s="200"/>
      <c r="AA95" s="200"/>
      <c r="AB95" s="200"/>
      <c r="AC95" s="200"/>
      <c r="AD95" s="213" t="s">
        <v>683</v>
      </c>
      <c r="AE95" s="213" t="s">
        <v>683</v>
      </c>
      <c r="AF95" s="214" t="str">
        <f>Table1[[#This Row],[2019 Scope 1 (MeT Co2)]]</f>
        <v>#ERROR!</v>
      </c>
      <c r="AG95" s="215" t="str">
        <f t="shared" si="1"/>
        <v>#ERROR!</v>
      </c>
      <c r="AH95" s="216" t="str">
        <f t="shared" si="2"/>
        <v>#ERROR!</v>
      </c>
      <c r="AI95" s="210"/>
      <c r="AJ95" s="210"/>
      <c r="AK95" s="213" t="s">
        <v>683</v>
      </c>
      <c r="AL95" s="213" t="s">
        <v>683</v>
      </c>
      <c r="AM95" s="214" t="str">
        <f>Table1[[#This Row],[2019 Scope 2 ]]</f>
        <v>#ERROR!</v>
      </c>
      <c r="AN95" s="215" t="str">
        <f t="shared" si="3"/>
        <v>#ERROR!</v>
      </c>
      <c r="AO95" s="216" t="str">
        <f t="shared" si="4"/>
        <v>#ERROR!</v>
      </c>
      <c r="AP95" s="215" t="str">
        <f t="shared" si="5"/>
        <v>#ERROR!</v>
      </c>
      <c r="AQ95" s="216" t="str">
        <f t="shared" si="6"/>
        <v>#ERROR!</v>
      </c>
      <c r="AR95" s="217" t="str">
        <f>Table1[[#This Row],[2019 Scope 3 ]]</f>
        <v>#ERROR!</v>
      </c>
      <c r="AS95" s="218" t="str">
        <f t="shared" si="7"/>
        <v>#ERROR!</v>
      </c>
      <c r="AT95" s="219" t="str">
        <f t="shared" si="8"/>
        <v>#ERROR!</v>
      </c>
      <c r="BI95" s="4">
        <v>19898.0</v>
      </c>
    </row>
    <row r="96" ht="12.75" customHeight="1">
      <c r="A96" s="5">
        <f>companies!A96</f>
        <v>95</v>
      </c>
      <c r="B96" s="200" t="s">
        <v>1254</v>
      </c>
      <c r="C96" s="211">
        <v>55029.0</v>
      </c>
      <c r="D96" s="211">
        <v>239367.0</v>
      </c>
      <c r="E96" s="211">
        <v>239367.0</v>
      </c>
      <c r="F96" s="211"/>
      <c r="G96" s="211"/>
      <c r="H96" s="211"/>
      <c r="I96" s="211"/>
      <c r="J96" s="211"/>
      <c r="K96" s="211"/>
      <c r="L96" s="211"/>
      <c r="M96" s="212"/>
      <c r="N96" s="212"/>
      <c r="O96" s="212"/>
      <c r="P96" s="212"/>
      <c r="Q96" s="212"/>
      <c r="R96" s="211"/>
      <c r="S96" s="212"/>
      <c r="T96" s="212"/>
      <c r="U96" s="212"/>
      <c r="V96" s="212"/>
      <c r="W96" s="211">
        <v>0.0</v>
      </c>
      <c r="X96" s="200">
        <v>239367.0</v>
      </c>
      <c r="Y96" s="200">
        <v>294396.0</v>
      </c>
      <c r="Z96" s="200"/>
      <c r="AA96" s="200"/>
      <c r="AB96" s="200"/>
      <c r="AC96" s="200"/>
      <c r="AD96" s="213" t="s">
        <v>1255</v>
      </c>
      <c r="AE96" s="213" t="s">
        <v>1256</v>
      </c>
      <c r="AF96" s="214" t="str">
        <f>Table1[[#This Row],[2019 Scope 1 (MeT Co2)]]</f>
        <v>#ERROR!</v>
      </c>
      <c r="AG96" s="215" t="str">
        <f t="shared" si="1"/>
        <v>#ERROR!</v>
      </c>
      <c r="AH96" s="216" t="str">
        <f t="shared" si="2"/>
        <v>#ERROR!</v>
      </c>
      <c r="AI96" s="210"/>
      <c r="AJ96" s="210"/>
      <c r="AK96" s="213" t="s">
        <v>1255</v>
      </c>
      <c r="AL96" s="213" t="s">
        <v>1256</v>
      </c>
      <c r="AM96" s="214" t="str">
        <f>Table1[[#This Row],[2019 Scope 2 ]]</f>
        <v>#ERROR!</v>
      </c>
      <c r="AN96" s="215" t="str">
        <f t="shared" si="3"/>
        <v>#ERROR!</v>
      </c>
      <c r="AO96" s="216" t="str">
        <f t="shared" si="4"/>
        <v>#ERROR!</v>
      </c>
      <c r="AP96" s="215" t="str">
        <f t="shared" si="5"/>
        <v>#ERROR!</v>
      </c>
      <c r="AQ96" s="216" t="str">
        <f t="shared" si="6"/>
        <v>#ERROR!</v>
      </c>
      <c r="AR96" s="217" t="str">
        <f>Table1[[#This Row],[2019 Scope 3 ]]</f>
        <v>#ERROR!</v>
      </c>
      <c r="AS96" s="218" t="str">
        <f t="shared" si="7"/>
        <v>#ERROR!</v>
      </c>
      <c r="AT96" s="219" t="str">
        <f t="shared" si="8"/>
        <v>#ERROR!</v>
      </c>
      <c r="BI96" s="4">
        <v>19593.0</v>
      </c>
    </row>
    <row r="97" ht="12.75" customHeight="1">
      <c r="A97" s="5">
        <f>companies!A97</f>
        <v>96</v>
      </c>
      <c r="B97" s="200" t="s">
        <v>1254</v>
      </c>
      <c r="C97" s="211">
        <v>376735.0</v>
      </c>
      <c r="D97" s="211">
        <v>4522261.0</v>
      </c>
      <c r="E97" s="211">
        <v>4522261.0</v>
      </c>
      <c r="F97" s="211"/>
      <c r="G97" s="211"/>
      <c r="H97" s="211"/>
      <c r="I97" s="211"/>
      <c r="J97" s="211"/>
      <c r="K97" s="211"/>
      <c r="L97" s="211"/>
      <c r="M97" s="212"/>
      <c r="N97" s="212"/>
      <c r="O97" s="212"/>
      <c r="P97" s="212"/>
      <c r="Q97" s="212"/>
      <c r="R97" s="211"/>
      <c r="S97" s="212"/>
      <c r="T97" s="212"/>
      <c r="U97" s="212"/>
      <c r="V97" s="212"/>
      <c r="W97" s="211">
        <v>69271.0</v>
      </c>
      <c r="X97" s="200">
        <v>4522261.0</v>
      </c>
      <c r="Y97" s="200">
        <v>4968267.0</v>
      </c>
      <c r="Z97" s="200"/>
      <c r="AA97" s="200"/>
      <c r="AB97" s="200"/>
      <c r="AC97" s="200"/>
      <c r="AD97" s="213" t="s">
        <v>683</v>
      </c>
      <c r="AE97" s="213" t="s">
        <v>683</v>
      </c>
      <c r="AF97" s="214" t="str">
        <f>Table1[[#This Row],[2019 Scope 1 (MeT Co2)]]</f>
        <v>#ERROR!</v>
      </c>
      <c r="AG97" s="215" t="str">
        <f t="shared" si="1"/>
        <v>#ERROR!</v>
      </c>
      <c r="AH97" s="216" t="str">
        <f t="shared" si="2"/>
        <v>#ERROR!</v>
      </c>
      <c r="AI97" s="210"/>
      <c r="AJ97" s="210"/>
      <c r="AK97" s="213" t="s">
        <v>683</v>
      </c>
      <c r="AL97" s="213" t="s">
        <v>683</v>
      </c>
      <c r="AM97" s="214" t="str">
        <f>Table1[[#This Row],[2019 Scope 2 ]]</f>
        <v>#ERROR!</v>
      </c>
      <c r="AN97" s="215" t="str">
        <f t="shared" si="3"/>
        <v>#ERROR!</v>
      </c>
      <c r="AO97" s="216" t="str">
        <f t="shared" si="4"/>
        <v>#ERROR!</v>
      </c>
      <c r="AP97" s="215" t="str">
        <f t="shared" si="5"/>
        <v>#ERROR!</v>
      </c>
      <c r="AQ97" s="216" t="str">
        <f t="shared" si="6"/>
        <v>#ERROR!</v>
      </c>
      <c r="AR97" s="217" t="str">
        <f>Table1[[#This Row],[2019 Scope 3 ]]</f>
        <v>#ERROR!</v>
      </c>
      <c r="AS97" s="218" t="str">
        <f t="shared" si="7"/>
        <v>#ERROR!</v>
      </c>
      <c r="AT97" s="219" t="str">
        <f t="shared" si="8"/>
        <v>#ERROR!</v>
      </c>
      <c r="BI97" s="4">
        <v>20175.0</v>
      </c>
    </row>
    <row r="98" ht="12.75" customHeight="1">
      <c r="A98" s="5">
        <f>companies!A98</f>
        <v>97</v>
      </c>
      <c r="B98" s="200" t="s">
        <v>1254</v>
      </c>
      <c r="C98" s="211">
        <v>9143.0</v>
      </c>
      <c r="D98" s="211">
        <v>56628.0</v>
      </c>
      <c r="E98" s="211">
        <v>56628.0</v>
      </c>
      <c r="F98" s="211"/>
      <c r="G98" s="211"/>
      <c r="H98" s="211"/>
      <c r="I98" s="211"/>
      <c r="J98" s="211"/>
      <c r="K98" s="211"/>
      <c r="L98" s="211"/>
      <c r="M98" s="212"/>
      <c r="N98" s="212"/>
      <c r="O98" s="212"/>
      <c r="P98" s="212"/>
      <c r="Q98" s="212"/>
      <c r="R98" s="211"/>
      <c r="S98" s="212"/>
      <c r="T98" s="212"/>
      <c r="U98" s="212"/>
      <c r="V98" s="212"/>
      <c r="W98" s="211">
        <v>55182.0</v>
      </c>
      <c r="X98" s="200">
        <v>56628.0</v>
      </c>
      <c r="Y98" s="200">
        <v>120953.0</v>
      </c>
      <c r="Z98" s="200"/>
      <c r="AA98" s="200"/>
      <c r="AB98" s="200"/>
      <c r="AC98" s="200"/>
      <c r="AD98" s="213" t="s">
        <v>683</v>
      </c>
      <c r="AE98" s="213" t="s">
        <v>683</v>
      </c>
      <c r="AF98" s="214" t="str">
        <f>Table1[[#This Row],[2019 Scope 1 (MeT Co2)]]</f>
        <v>#ERROR!</v>
      </c>
      <c r="AG98" s="215" t="str">
        <f t="shared" si="1"/>
        <v>#ERROR!</v>
      </c>
      <c r="AH98" s="216" t="str">
        <f t="shared" si="2"/>
        <v>#ERROR!</v>
      </c>
      <c r="AI98" s="210"/>
      <c r="AJ98" s="210"/>
      <c r="AK98" s="213" t="s">
        <v>683</v>
      </c>
      <c r="AL98" s="213" t="s">
        <v>683</v>
      </c>
      <c r="AM98" s="214" t="str">
        <f>Table1[[#This Row],[2019 Scope 2 ]]</f>
        <v>#ERROR!</v>
      </c>
      <c r="AN98" s="215" t="str">
        <f t="shared" si="3"/>
        <v>#ERROR!</v>
      </c>
      <c r="AO98" s="216" t="str">
        <f t="shared" si="4"/>
        <v>#ERROR!</v>
      </c>
      <c r="AP98" s="215" t="str">
        <f t="shared" si="5"/>
        <v>#ERROR!</v>
      </c>
      <c r="AQ98" s="216" t="str">
        <f t="shared" si="6"/>
        <v>#ERROR!</v>
      </c>
      <c r="AR98" s="217" t="str">
        <f>Table1[[#This Row],[2019 Scope 3 ]]</f>
        <v>#ERROR!</v>
      </c>
      <c r="AS98" s="218" t="str">
        <f t="shared" si="7"/>
        <v>#ERROR!</v>
      </c>
      <c r="AT98" s="219" t="str">
        <f t="shared" si="8"/>
        <v>#ERROR!</v>
      </c>
      <c r="BI98" s="4">
        <v>22867.0</v>
      </c>
    </row>
    <row r="99" ht="12.75" customHeight="1">
      <c r="A99" s="5">
        <f>companies!A99</f>
        <v>98</v>
      </c>
      <c r="B99" s="200" t="s">
        <v>1254</v>
      </c>
      <c r="C99" s="211">
        <v>368000.0</v>
      </c>
      <c r="D99" s="211">
        <v>1863000.0</v>
      </c>
      <c r="E99" s="211">
        <v>1863000.0</v>
      </c>
      <c r="F99" s="211"/>
      <c r="G99" s="211"/>
      <c r="H99" s="211"/>
      <c r="I99" s="211"/>
      <c r="J99" s="211"/>
      <c r="K99" s="211"/>
      <c r="L99" s="211"/>
      <c r="M99" s="212"/>
      <c r="N99" s="212"/>
      <c r="O99" s="212"/>
      <c r="P99" s="212"/>
      <c r="Q99" s="212"/>
      <c r="R99" s="211"/>
      <c r="S99" s="212"/>
      <c r="T99" s="212"/>
      <c r="U99" s="212"/>
      <c r="V99" s="212"/>
      <c r="W99" s="211">
        <v>123000.0</v>
      </c>
      <c r="X99" s="200">
        <v>1863000.0</v>
      </c>
      <c r="Y99" s="200">
        <v>2354000.0</v>
      </c>
      <c r="Z99" s="200"/>
      <c r="AA99" s="200"/>
      <c r="AB99" s="200"/>
      <c r="AC99" s="200"/>
      <c r="AD99" s="213" t="s">
        <v>683</v>
      </c>
      <c r="AE99" s="213" t="s">
        <v>683</v>
      </c>
      <c r="AF99" s="214" t="str">
        <f>Table1[[#This Row],[2019 Scope 1 (MeT Co2)]]</f>
        <v>#ERROR!</v>
      </c>
      <c r="AG99" s="215" t="str">
        <f t="shared" si="1"/>
        <v>#ERROR!</v>
      </c>
      <c r="AH99" s="216" t="str">
        <f t="shared" si="2"/>
        <v>#ERROR!</v>
      </c>
      <c r="AI99" s="210"/>
      <c r="AJ99" s="210"/>
      <c r="AK99" s="213" t="s">
        <v>683</v>
      </c>
      <c r="AL99" s="213" t="s">
        <v>683</v>
      </c>
      <c r="AM99" s="214" t="str">
        <f>Table1[[#This Row],[2019 Scope 2 ]]</f>
        <v>#ERROR!</v>
      </c>
      <c r="AN99" s="215" t="str">
        <f t="shared" si="3"/>
        <v>#ERROR!</v>
      </c>
      <c r="AO99" s="216" t="str">
        <f t="shared" si="4"/>
        <v>#ERROR!</v>
      </c>
      <c r="AP99" s="215" t="str">
        <f t="shared" si="5"/>
        <v>#ERROR!</v>
      </c>
      <c r="AQ99" s="216" t="str">
        <f t="shared" si="6"/>
        <v>#ERROR!</v>
      </c>
      <c r="AR99" s="217" t="str">
        <f>Table1[[#This Row],[2019 Scope 3 ]]</f>
        <v>#ERROR!</v>
      </c>
      <c r="AS99" s="218" t="str">
        <f t="shared" si="7"/>
        <v>#ERROR!</v>
      </c>
      <c r="AT99" s="219" t="str">
        <f t="shared" si="8"/>
        <v>#ERROR!</v>
      </c>
      <c r="BI99" s="200">
        <v>20398.0</v>
      </c>
    </row>
    <row r="100" ht="12.75" customHeight="1">
      <c r="A100" s="5">
        <f>companies!A100</f>
        <v>99</v>
      </c>
      <c r="B100" s="200" t="s">
        <v>1254</v>
      </c>
      <c r="C100" s="211">
        <v>1.216E7</v>
      </c>
      <c r="D100" s="211">
        <v>6520000.0</v>
      </c>
      <c r="E100" s="211">
        <v>6520000.0</v>
      </c>
      <c r="F100" s="211"/>
      <c r="G100" s="211"/>
      <c r="H100" s="211"/>
      <c r="I100" s="211"/>
      <c r="J100" s="211"/>
      <c r="K100" s="211"/>
      <c r="L100" s="211"/>
      <c r="M100" s="212"/>
      <c r="N100" s="212"/>
      <c r="O100" s="212"/>
      <c r="P100" s="212"/>
      <c r="Q100" s="212"/>
      <c r="R100" s="211"/>
      <c r="S100" s="212"/>
      <c r="T100" s="212"/>
      <c r="U100" s="212"/>
      <c r="V100" s="212"/>
      <c r="W100" s="211">
        <v>0.0</v>
      </c>
      <c r="X100" s="200">
        <v>6520000.0</v>
      </c>
      <c r="Y100" s="200">
        <v>1.868E7</v>
      </c>
      <c r="Z100" s="200"/>
      <c r="AA100" s="200"/>
      <c r="AB100" s="200"/>
      <c r="AC100" s="200"/>
      <c r="AD100" s="213" t="s">
        <v>683</v>
      </c>
      <c r="AE100" s="213" t="s">
        <v>683</v>
      </c>
      <c r="AF100" s="214" t="str">
        <f>Table1[[#This Row],[2019 Scope 1 (MeT Co2)]]</f>
        <v>#ERROR!</v>
      </c>
      <c r="AG100" s="215" t="str">
        <f t="shared" si="1"/>
        <v>#ERROR!</v>
      </c>
      <c r="AH100" s="216" t="str">
        <f t="shared" si="2"/>
        <v>#ERROR!</v>
      </c>
      <c r="AI100" s="210"/>
      <c r="AJ100" s="210"/>
      <c r="AK100" s="213" t="s">
        <v>683</v>
      </c>
      <c r="AL100" s="213" t="s">
        <v>683</v>
      </c>
      <c r="AM100" s="214" t="str">
        <f>Table1[[#This Row],[2019 Scope 2 ]]</f>
        <v>#ERROR!</v>
      </c>
      <c r="AN100" s="215" t="str">
        <f t="shared" si="3"/>
        <v>#ERROR!</v>
      </c>
      <c r="AO100" s="216" t="str">
        <f t="shared" si="4"/>
        <v>#ERROR!</v>
      </c>
      <c r="AP100" s="215" t="str">
        <f t="shared" si="5"/>
        <v>#ERROR!</v>
      </c>
      <c r="AQ100" s="216" t="str">
        <f t="shared" si="6"/>
        <v>#ERROR!</v>
      </c>
      <c r="AR100" s="217" t="str">
        <f>Table1[[#This Row],[2019 Scope 3 ]]</f>
        <v>#ERROR!</v>
      </c>
      <c r="AS100" s="218" t="str">
        <f t="shared" si="7"/>
        <v>#ERROR!</v>
      </c>
      <c r="AT100" s="219" t="str">
        <f t="shared" si="8"/>
        <v>#ERROR!</v>
      </c>
      <c r="BI100" s="4">
        <v>20402.0</v>
      </c>
    </row>
    <row r="101" ht="12.75" customHeight="1">
      <c r="A101" s="5">
        <f>companies!A101</f>
        <v>100</v>
      </c>
      <c r="B101" s="200" t="s">
        <v>1254</v>
      </c>
      <c r="C101" s="211">
        <v>85830.0</v>
      </c>
      <c r="D101" s="211">
        <v>848520.0</v>
      </c>
      <c r="E101" s="211">
        <v>848520.0</v>
      </c>
      <c r="F101" s="211"/>
      <c r="G101" s="211"/>
      <c r="H101" s="211"/>
      <c r="I101" s="211"/>
      <c r="J101" s="211"/>
      <c r="K101" s="211"/>
      <c r="L101" s="211"/>
      <c r="M101" s="212"/>
      <c r="N101" s="212"/>
      <c r="O101" s="212"/>
      <c r="P101" s="212"/>
      <c r="Q101" s="212"/>
      <c r="R101" s="211"/>
      <c r="S101" s="212"/>
      <c r="T101" s="212"/>
      <c r="U101" s="212"/>
      <c r="V101" s="212"/>
      <c r="W101" s="211" t="s">
        <v>536</v>
      </c>
      <c r="X101" s="200">
        <v>848520.0</v>
      </c>
      <c r="Y101" s="200"/>
      <c r="Z101" s="200"/>
      <c r="AA101" s="200"/>
      <c r="AB101" s="200"/>
      <c r="AC101" s="200"/>
      <c r="AD101" s="213" t="s">
        <v>683</v>
      </c>
      <c r="AE101" s="213" t="s">
        <v>683</v>
      </c>
      <c r="AF101" s="214" t="str">
        <f>Table1[[#This Row],[2019 Scope 1 (MeT Co2)]]</f>
        <v>#ERROR!</v>
      </c>
      <c r="AG101" s="215" t="str">
        <f t="shared" si="1"/>
        <v>#ERROR!</v>
      </c>
      <c r="AH101" s="216" t="str">
        <f t="shared" si="2"/>
        <v>#ERROR!</v>
      </c>
      <c r="AI101" s="210"/>
      <c r="AJ101" s="210"/>
      <c r="AK101" s="213" t="s">
        <v>683</v>
      </c>
      <c r="AL101" s="213" t="s">
        <v>683</v>
      </c>
      <c r="AM101" s="214" t="str">
        <f>Table1[[#This Row],[2019 Scope 2 ]]</f>
        <v>#ERROR!</v>
      </c>
      <c r="AN101" s="215" t="str">
        <f t="shared" si="3"/>
        <v>#ERROR!</v>
      </c>
      <c r="AO101" s="216" t="str">
        <f t="shared" si="4"/>
        <v>#ERROR!</v>
      </c>
      <c r="AP101" s="215" t="str">
        <f t="shared" si="5"/>
        <v>#ERROR!</v>
      </c>
      <c r="AQ101" s="216" t="str">
        <f t="shared" si="6"/>
        <v>#ERROR!</v>
      </c>
      <c r="AR101" s="217" t="str">
        <f>Table1[[#This Row],[2019 Scope 3 ]]</f>
        <v>#ERROR!</v>
      </c>
      <c r="AS101" s="218" t="str">
        <f t="shared" si="7"/>
        <v>#ERROR!</v>
      </c>
      <c r="AT101" s="219" t="str">
        <f t="shared" si="8"/>
        <v>#ERROR!</v>
      </c>
      <c r="BI101" s="4">
        <v>20575.0</v>
      </c>
    </row>
    <row r="102" ht="12.75" customHeight="1">
      <c r="A102" s="4"/>
      <c r="C102" s="210"/>
      <c r="D102" s="210"/>
      <c r="E102" s="210"/>
      <c r="F102" s="210"/>
      <c r="G102" s="210"/>
      <c r="H102" s="210"/>
      <c r="I102" s="210"/>
      <c r="J102" s="210"/>
      <c r="K102" s="210"/>
      <c r="L102" s="210"/>
      <c r="M102" s="210"/>
      <c r="N102" s="210"/>
      <c r="O102" s="210"/>
      <c r="P102" s="210"/>
      <c r="Q102" s="210"/>
      <c r="R102" s="210"/>
      <c r="S102" s="210"/>
      <c r="T102" s="210"/>
      <c r="U102" s="210"/>
      <c r="V102" s="210"/>
      <c r="W102" s="210"/>
      <c r="X102" s="210"/>
      <c r="Y102" s="210"/>
      <c r="Z102" s="210"/>
      <c r="AA102" s="210"/>
      <c r="AB102" s="210"/>
      <c r="AC102" s="210"/>
      <c r="AI102" s="210"/>
      <c r="AJ102" s="210"/>
    </row>
    <row r="103" ht="12.75" customHeight="1">
      <c r="A103" s="4"/>
      <c r="C103" s="210"/>
      <c r="D103" s="210"/>
      <c r="E103" s="210"/>
      <c r="F103" s="210"/>
      <c r="G103" s="210"/>
      <c r="H103" s="210"/>
      <c r="I103" s="210"/>
      <c r="J103" s="210"/>
      <c r="K103" s="210"/>
      <c r="L103" s="210"/>
      <c r="M103" s="210"/>
      <c r="N103" s="210"/>
      <c r="O103" s="210"/>
      <c r="P103" s="210"/>
      <c r="Q103" s="210"/>
      <c r="R103" s="210"/>
      <c r="S103" s="210"/>
      <c r="T103" s="210"/>
      <c r="U103" s="210"/>
      <c r="V103" s="210"/>
      <c r="W103" s="210"/>
      <c r="X103" s="210"/>
      <c r="Y103" s="210"/>
      <c r="Z103" s="210"/>
      <c r="AA103" s="210"/>
      <c r="AB103" s="210"/>
      <c r="AC103" s="210"/>
      <c r="AI103" s="210"/>
      <c r="AJ103" s="210"/>
    </row>
    <row r="104" ht="12.75" customHeight="1">
      <c r="C104" s="210"/>
      <c r="D104" s="210"/>
      <c r="E104" s="210"/>
      <c r="F104" s="210"/>
      <c r="G104" s="210"/>
      <c r="H104" s="210"/>
      <c r="I104" s="210"/>
      <c r="J104" s="210"/>
      <c r="K104" s="210"/>
      <c r="L104" s="210"/>
      <c r="M104" s="210"/>
      <c r="N104" s="210"/>
      <c r="O104" s="210"/>
      <c r="P104" s="210"/>
      <c r="Q104" s="210"/>
      <c r="R104" s="210"/>
      <c r="S104" s="210"/>
      <c r="T104" s="210"/>
      <c r="U104" s="210"/>
      <c r="V104" s="210"/>
      <c r="W104" s="210"/>
      <c r="X104" s="210"/>
      <c r="Y104" s="210"/>
      <c r="Z104" s="210"/>
      <c r="AA104" s="210"/>
      <c r="AB104" s="210"/>
      <c r="AC104" s="210"/>
      <c r="AI104" s="210"/>
      <c r="AJ104" s="210"/>
    </row>
    <row r="105" ht="12.75" customHeight="1">
      <c r="C105" s="210"/>
      <c r="D105" s="210"/>
      <c r="E105" s="210"/>
      <c r="F105" s="210"/>
      <c r="G105" s="210"/>
      <c r="H105" s="210"/>
      <c r="I105" s="210"/>
      <c r="J105" s="210"/>
      <c r="K105" s="210"/>
      <c r="L105" s="210"/>
      <c r="M105" s="210"/>
      <c r="N105" s="210"/>
      <c r="O105" s="210"/>
      <c r="P105" s="210"/>
      <c r="Q105" s="210"/>
      <c r="R105" s="210"/>
      <c r="S105" s="210"/>
      <c r="T105" s="210"/>
      <c r="U105" s="210"/>
      <c r="V105" s="210"/>
      <c r="W105" s="210"/>
      <c r="X105" s="210"/>
      <c r="Y105" s="210"/>
      <c r="Z105" s="210"/>
      <c r="AA105" s="210"/>
      <c r="AB105" s="210"/>
      <c r="AC105" s="210"/>
      <c r="AI105" s="210"/>
      <c r="AJ105" s="210"/>
    </row>
    <row r="106" ht="12.75" customHeight="1">
      <c r="C106" s="210"/>
      <c r="D106" s="210"/>
      <c r="E106" s="210"/>
      <c r="F106" s="210"/>
      <c r="G106" s="210"/>
      <c r="H106" s="210"/>
      <c r="I106" s="210"/>
      <c r="J106" s="210"/>
      <c r="K106" s="210"/>
      <c r="L106" s="210"/>
      <c r="M106" s="210"/>
      <c r="N106" s="210"/>
      <c r="O106" s="210"/>
      <c r="P106" s="210"/>
      <c r="Q106" s="210"/>
      <c r="R106" s="210"/>
      <c r="S106" s="210"/>
      <c r="T106" s="210"/>
      <c r="U106" s="210"/>
      <c r="V106" s="210"/>
      <c r="W106" s="210"/>
      <c r="X106" s="210"/>
      <c r="Y106" s="210"/>
      <c r="Z106" s="210"/>
      <c r="AA106" s="210"/>
      <c r="AB106" s="210"/>
      <c r="AC106" s="210"/>
      <c r="AI106" s="210"/>
      <c r="AJ106" s="210"/>
    </row>
    <row r="107" ht="12.75" customHeight="1">
      <c r="C107" s="210"/>
      <c r="D107" s="210"/>
      <c r="E107" s="210"/>
      <c r="F107" s="210"/>
      <c r="G107" s="210"/>
      <c r="H107" s="210"/>
      <c r="I107" s="210"/>
      <c r="J107" s="210"/>
      <c r="K107" s="210"/>
      <c r="L107" s="210"/>
      <c r="M107" s="210"/>
      <c r="N107" s="210"/>
      <c r="O107" s="210"/>
      <c r="P107" s="210"/>
      <c r="Q107" s="210"/>
      <c r="R107" s="210"/>
      <c r="S107" s="210"/>
      <c r="T107" s="210"/>
      <c r="U107" s="210"/>
      <c r="V107" s="210"/>
      <c r="W107" s="210"/>
      <c r="X107" s="210"/>
      <c r="Y107" s="210"/>
      <c r="Z107" s="210"/>
      <c r="AA107" s="210"/>
      <c r="AB107" s="210"/>
      <c r="AC107" s="210"/>
      <c r="AI107" s="210"/>
      <c r="AJ107" s="210"/>
    </row>
    <row r="108" ht="12.75" customHeight="1">
      <c r="C108" s="210"/>
      <c r="D108" s="210"/>
      <c r="E108" s="210"/>
      <c r="F108" s="210"/>
      <c r="G108" s="210"/>
      <c r="H108" s="210"/>
      <c r="I108" s="210"/>
      <c r="J108" s="210"/>
      <c r="K108" s="210"/>
      <c r="L108" s="210"/>
      <c r="M108" s="210"/>
      <c r="N108" s="210"/>
      <c r="O108" s="210"/>
      <c r="P108" s="210"/>
      <c r="Q108" s="210"/>
      <c r="R108" s="210"/>
      <c r="S108" s="210"/>
      <c r="T108" s="210"/>
      <c r="U108" s="210"/>
      <c r="V108" s="210"/>
      <c r="W108" s="210"/>
      <c r="X108" s="210"/>
      <c r="Y108" s="210"/>
      <c r="Z108" s="210"/>
      <c r="AA108" s="210"/>
      <c r="AB108" s="210"/>
      <c r="AC108" s="210"/>
      <c r="AI108" s="210"/>
      <c r="AJ108" s="210"/>
    </row>
    <row r="109" ht="12.75" customHeight="1">
      <c r="C109" s="210"/>
      <c r="D109" s="210"/>
      <c r="E109" s="210"/>
      <c r="F109" s="210"/>
      <c r="G109" s="210"/>
      <c r="H109" s="210"/>
      <c r="I109" s="210"/>
      <c r="J109" s="210"/>
      <c r="K109" s="210"/>
      <c r="L109" s="210"/>
      <c r="M109" s="210"/>
      <c r="N109" s="210"/>
      <c r="O109" s="210"/>
      <c r="P109" s="210"/>
      <c r="Q109" s="210"/>
      <c r="R109" s="210"/>
      <c r="S109" s="210"/>
      <c r="T109" s="210"/>
      <c r="U109" s="210"/>
      <c r="V109" s="210"/>
      <c r="W109" s="210"/>
      <c r="X109" s="210"/>
      <c r="Y109" s="210"/>
      <c r="Z109" s="210"/>
      <c r="AA109" s="210"/>
      <c r="AB109" s="210"/>
      <c r="AC109" s="210"/>
      <c r="AI109" s="210"/>
      <c r="AJ109" s="210"/>
    </row>
    <row r="110" ht="12.75" customHeight="1">
      <c r="C110" s="210"/>
      <c r="D110" s="210"/>
      <c r="E110" s="210"/>
      <c r="F110" s="210"/>
      <c r="G110" s="210"/>
      <c r="H110" s="210"/>
      <c r="I110" s="210"/>
      <c r="J110" s="210"/>
      <c r="K110" s="210"/>
      <c r="L110" s="210"/>
      <c r="M110" s="210"/>
      <c r="N110" s="210"/>
      <c r="O110" s="210"/>
      <c r="P110" s="210"/>
      <c r="Q110" s="210"/>
      <c r="R110" s="210"/>
      <c r="S110" s="210"/>
      <c r="T110" s="210"/>
      <c r="U110" s="210"/>
      <c r="V110" s="210"/>
      <c r="W110" s="210"/>
      <c r="X110" s="210"/>
      <c r="Y110" s="210"/>
      <c r="Z110" s="210"/>
      <c r="AA110" s="210"/>
      <c r="AB110" s="210"/>
      <c r="AC110" s="210"/>
      <c r="AI110" s="210"/>
      <c r="AJ110" s="210"/>
    </row>
    <row r="111" ht="12.75" customHeight="1">
      <c r="C111" s="210"/>
      <c r="D111" s="210"/>
      <c r="E111" s="210"/>
      <c r="F111" s="210"/>
      <c r="G111" s="210"/>
      <c r="H111" s="210"/>
      <c r="I111" s="210"/>
      <c r="J111" s="210"/>
      <c r="K111" s="210"/>
      <c r="L111" s="210"/>
      <c r="M111" s="210"/>
      <c r="N111" s="210"/>
      <c r="O111" s="210"/>
      <c r="P111" s="210"/>
      <c r="Q111" s="210"/>
      <c r="R111" s="210"/>
      <c r="S111" s="210"/>
      <c r="T111" s="210"/>
      <c r="U111" s="210"/>
      <c r="V111" s="210"/>
      <c r="W111" s="210"/>
      <c r="X111" s="210"/>
      <c r="Y111" s="210"/>
      <c r="Z111" s="210"/>
      <c r="AA111" s="210"/>
      <c r="AB111" s="210"/>
      <c r="AC111" s="210"/>
      <c r="AI111" s="210"/>
      <c r="AJ111" s="210"/>
    </row>
    <row r="112" ht="12.75" customHeight="1">
      <c r="C112" s="210"/>
      <c r="D112" s="210"/>
      <c r="E112" s="210"/>
      <c r="F112" s="210"/>
      <c r="G112" s="210"/>
      <c r="H112" s="210"/>
      <c r="I112" s="210"/>
      <c r="J112" s="210"/>
      <c r="K112" s="210"/>
      <c r="L112" s="210"/>
      <c r="M112" s="210"/>
      <c r="N112" s="210"/>
      <c r="O112" s="210"/>
      <c r="P112" s="210"/>
      <c r="Q112" s="210"/>
      <c r="R112" s="210"/>
      <c r="S112" s="210"/>
      <c r="T112" s="210"/>
      <c r="U112" s="210"/>
      <c r="V112" s="210"/>
      <c r="W112" s="210"/>
      <c r="X112" s="210"/>
      <c r="Y112" s="210"/>
      <c r="Z112" s="210"/>
      <c r="AA112" s="210"/>
      <c r="AB112" s="210"/>
      <c r="AC112" s="210"/>
      <c r="AI112" s="210"/>
      <c r="AJ112" s="210"/>
    </row>
    <row r="113" ht="12.75" customHeight="1">
      <c r="C113" s="210"/>
      <c r="D113" s="210"/>
      <c r="E113" s="210"/>
      <c r="F113" s="210"/>
      <c r="G113" s="210"/>
      <c r="H113" s="210"/>
      <c r="I113" s="210"/>
      <c r="J113" s="210"/>
      <c r="K113" s="210"/>
      <c r="L113" s="210"/>
      <c r="M113" s="210"/>
      <c r="N113" s="210"/>
      <c r="O113" s="210"/>
      <c r="P113" s="210"/>
      <c r="Q113" s="210"/>
      <c r="R113" s="210"/>
      <c r="S113" s="210"/>
      <c r="T113" s="210"/>
      <c r="U113" s="210"/>
      <c r="V113" s="210"/>
      <c r="W113" s="210"/>
      <c r="X113" s="210"/>
      <c r="Y113" s="210"/>
      <c r="Z113" s="210"/>
      <c r="AA113" s="210"/>
      <c r="AB113" s="210"/>
      <c r="AC113" s="210"/>
      <c r="AI113" s="210"/>
      <c r="AJ113" s="210"/>
    </row>
    <row r="114" ht="12.75" customHeight="1">
      <c r="C114" s="210"/>
      <c r="D114" s="210"/>
      <c r="E114" s="210"/>
      <c r="F114" s="210"/>
      <c r="G114" s="210"/>
      <c r="H114" s="210"/>
      <c r="I114" s="210"/>
      <c r="J114" s="210"/>
      <c r="K114" s="210"/>
      <c r="L114" s="210"/>
      <c r="M114" s="210"/>
      <c r="N114" s="210"/>
      <c r="O114" s="210"/>
      <c r="P114" s="210"/>
      <c r="Q114" s="210"/>
      <c r="R114" s="210"/>
      <c r="S114" s="210"/>
      <c r="T114" s="210"/>
      <c r="U114" s="210"/>
      <c r="V114" s="210"/>
      <c r="W114" s="210"/>
      <c r="X114" s="210"/>
      <c r="Y114" s="210"/>
      <c r="Z114" s="210"/>
      <c r="AA114" s="210"/>
      <c r="AB114" s="210"/>
      <c r="AC114" s="210"/>
      <c r="AI114" s="210"/>
      <c r="AJ114" s="210"/>
    </row>
    <row r="115" ht="12.75" customHeight="1">
      <c r="C115" s="210"/>
      <c r="D115" s="210"/>
      <c r="E115" s="210"/>
      <c r="F115" s="210"/>
      <c r="G115" s="210"/>
      <c r="H115" s="210"/>
      <c r="I115" s="210"/>
      <c r="J115" s="210"/>
      <c r="K115" s="210"/>
      <c r="L115" s="210"/>
      <c r="M115" s="210"/>
      <c r="N115" s="210"/>
      <c r="O115" s="210"/>
      <c r="P115" s="210"/>
      <c r="Q115" s="210"/>
      <c r="R115" s="210"/>
      <c r="S115" s="210"/>
      <c r="T115" s="210"/>
      <c r="U115" s="210"/>
      <c r="V115" s="210"/>
      <c r="W115" s="210"/>
      <c r="X115" s="210"/>
      <c r="Y115" s="210"/>
      <c r="Z115" s="210"/>
      <c r="AA115" s="210"/>
      <c r="AB115" s="210"/>
      <c r="AC115" s="210"/>
      <c r="AI115" s="210"/>
      <c r="AJ115" s="210"/>
    </row>
    <row r="116" ht="12.75" customHeight="1">
      <c r="C116" s="210"/>
      <c r="D116" s="210"/>
      <c r="E116" s="210"/>
      <c r="F116" s="210"/>
      <c r="G116" s="210"/>
      <c r="H116" s="210"/>
      <c r="I116" s="210"/>
      <c r="J116" s="210"/>
      <c r="K116" s="210"/>
      <c r="L116" s="210"/>
      <c r="M116" s="210"/>
      <c r="N116" s="210"/>
      <c r="O116" s="210"/>
      <c r="P116" s="210"/>
      <c r="Q116" s="210"/>
      <c r="R116" s="210"/>
      <c r="S116" s="210"/>
      <c r="T116" s="210"/>
      <c r="U116" s="210"/>
      <c r="V116" s="210"/>
      <c r="W116" s="210"/>
      <c r="X116" s="210"/>
      <c r="Y116" s="210"/>
      <c r="Z116" s="210"/>
      <c r="AA116" s="210"/>
      <c r="AB116" s="210"/>
      <c r="AC116" s="210"/>
      <c r="AI116" s="210"/>
      <c r="AJ116" s="210"/>
    </row>
    <row r="117" ht="12.75" customHeight="1">
      <c r="C117" s="210"/>
      <c r="D117" s="210"/>
      <c r="E117" s="210"/>
      <c r="F117" s="210"/>
      <c r="G117" s="210"/>
      <c r="H117" s="210"/>
      <c r="I117" s="210"/>
      <c r="J117" s="210"/>
      <c r="K117" s="210"/>
      <c r="L117" s="210"/>
      <c r="M117" s="210"/>
      <c r="N117" s="210"/>
      <c r="O117" s="210"/>
      <c r="P117" s="210"/>
      <c r="Q117" s="210"/>
      <c r="R117" s="210"/>
      <c r="S117" s="210"/>
      <c r="T117" s="210"/>
      <c r="U117" s="210"/>
      <c r="V117" s="210"/>
      <c r="W117" s="210"/>
      <c r="X117" s="210"/>
      <c r="Y117" s="210"/>
      <c r="Z117" s="210"/>
      <c r="AA117" s="210"/>
      <c r="AB117" s="210"/>
      <c r="AC117" s="210"/>
      <c r="AI117" s="210"/>
      <c r="AJ117" s="210"/>
    </row>
    <row r="118" ht="12.75" customHeight="1">
      <c r="C118" s="210"/>
      <c r="D118" s="210"/>
      <c r="E118" s="210"/>
      <c r="F118" s="210"/>
      <c r="G118" s="210"/>
      <c r="H118" s="210"/>
      <c r="I118" s="210"/>
      <c r="J118" s="210"/>
      <c r="K118" s="210"/>
      <c r="L118" s="210"/>
      <c r="M118" s="210"/>
      <c r="N118" s="210"/>
      <c r="O118" s="210"/>
      <c r="P118" s="210"/>
      <c r="Q118" s="210"/>
      <c r="R118" s="210"/>
      <c r="S118" s="210"/>
      <c r="T118" s="210"/>
      <c r="U118" s="210"/>
      <c r="V118" s="210"/>
      <c r="W118" s="210"/>
      <c r="X118" s="210"/>
      <c r="Y118" s="210"/>
      <c r="Z118" s="210"/>
      <c r="AA118" s="210"/>
      <c r="AB118" s="210"/>
      <c r="AC118" s="210"/>
      <c r="AI118" s="210"/>
      <c r="AJ118" s="210"/>
    </row>
    <row r="119" ht="12.75" customHeight="1">
      <c r="C119" s="210"/>
      <c r="D119" s="210"/>
      <c r="E119" s="210"/>
      <c r="F119" s="210"/>
      <c r="G119" s="210"/>
      <c r="H119" s="210"/>
      <c r="I119" s="210"/>
      <c r="J119" s="210"/>
      <c r="K119" s="210"/>
      <c r="L119" s="210"/>
      <c r="M119" s="210"/>
      <c r="N119" s="210"/>
      <c r="O119" s="210"/>
      <c r="P119" s="210"/>
      <c r="Q119" s="210"/>
      <c r="R119" s="210"/>
      <c r="S119" s="210"/>
      <c r="T119" s="210"/>
      <c r="U119" s="210"/>
      <c r="V119" s="210"/>
      <c r="W119" s="210"/>
      <c r="X119" s="210"/>
      <c r="Y119" s="210"/>
      <c r="Z119" s="210"/>
      <c r="AA119" s="210"/>
      <c r="AB119" s="210"/>
      <c r="AC119" s="210"/>
      <c r="AI119" s="210"/>
      <c r="AJ119" s="210"/>
    </row>
    <row r="120" ht="12.75" customHeight="1">
      <c r="C120" s="210"/>
      <c r="D120" s="210"/>
      <c r="E120" s="210"/>
      <c r="F120" s="210"/>
      <c r="G120" s="210"/>
      <c r="H120" s="210"/>
      <c r="I120" s="210"/>
      <c r="J120" s="210"/>
      <c r="K120" s="210"/>
      <c r="L120" s="210"/>
      <c r="M120" s="210"/>
      <c r="N120" s="210"/>
      <c r="O120" s="210"/>
      <c r="P120" s="210"/>
      <c r="Q120" s="210"/>
      <c r="R120" s="210"/>
      <c r="S120" s="210"/>
      <c r="T120" s="210"/>
      <c r="U120" s="210"/>
      <c r="V120" s="210"/>
      <c r="W120" s="210"/>
      <c r="X120" s="210"/>
      <c r="Y120" s="210"/>
      <c r="Z120" s="210"/>
      <c r="AA120" s="210"/>
      <c r="AB120" s="210"/>
      <c r="AC120" s="210"/>
      <c r="AI120" s="210"/>
      <c r="AJ120" s="210"/>
    </row>
    <row r="121" ht="12.75" customHeight="1">
      <c r="C121" s="210"/>
      <c r="D121" s="210"/>
      <c r="E121" s="210"/>
      <c r="F121" s="210"/>
      <c r="G121" s="210"/>
      <c r="H121" s="210"/>
      <c r="I121" s="210"/>
      <c r="J121" s="210"/>
      <c r="K121" s="210"/>
      <c r="L121" s="210"/>
      <c r="M121" s="210"/>
      <c r="N121" s="210"/>
      <c r="O121" s="210"/>
      <c r="P121" s="210"/>
      <c r="Q121" s="210"/>
      <c r="R121" s="210"/>
      <c r="S121" s="210"/>
      <c r="T121" s="210"/>
      <c r="U121" s="210"/>
      <c r="V121" s="210"/>
      <c r="W121" s="210"/>
      <c r="X121" s="210"/>
      <c r="Y121" s="210"/>
      <c r="Z121" s="210"/>
      <c r="AA121" s="210"/>
      <c r="AB121" s="210"/>
      <c r="AC121" s="210"/>
      <c r="AI121" s="210"/>
      <c r="AJ121" s="210"/>
    </row>
    <row r="122" ht="12.75" customHeight="1">
      <c r="C122" s="210"/>
      <c r="D122" s="210"/>
      <c r="E122" s="210"/>
      <c r="F122" s="210"/>
      <c r="G122" s="210"/>
      <c r="H122" s="210"/>
      <c r="I122" s="210"/>
      <c r="J122" s="210"/>
      <c r="K122" s="210"/>
      <c r="L122" s="210"/>
      <c r="M122" s="210"/>
      <c r="N122" s="210"/>
      <c r="O122" s="210"/>
      <c r="P122" s="210"/>
      <c r="Q122" s="210"/>
      <c r="R122" s="210"/>
      <c r="S122" s="210"/>
      <c r="T122" s="210"/>
      <c r="U122" s="210"/>
      <c r="V122" s="210"/>
      <c r="W122" s="210"/>
      <c r="X122" s="210"/>
      <c r="Y122" s="210"/>
      <c r="Z122" s="210"/>
      <c r="AA122" s="210"/>
      <c r="AB122" s="210"/>
      <c r="AC122" s="210"/>
      <c r="AI122" s="210"/>
      <c r="AJ122" s="210"/>
    </row>
    <row r="123" ht="12.75" customHeight="1">
      <c r="C123" s="210"/>
      <c r="D123" s="210"/>
      <c r="E123" s="210"/>
      <c r="F123" s="210"/>
      <c r="G123" s="210"/>
      <c r="H123" s="210"/>
      <c r="I123" s="210"/>
      <c r="J123" s="210"/>
      <c r="K123" s="210"/>
      <c r="L123" s="210"/>
      <c r="M123" s="210"/>
      <c r="N123" s="210"/>
      <c r="O123" s="210"/>
      <c r="P123" s="210"/>
      <c r="Q123" s="210"/>
      <c r="R123" s="210"/>
      <c r="S123" s="210"/>
      <c r="T123" s="210"/>
      <c r="U123" s="210"/>
      <c r="V123" s="210"/>
      <c r="W123" s="210"/>
      <c r="X123" s="210"/>
      <c r="Y123" s="210"/>
      <c r="Z123" s="210"/>
      <c r="AA123" s="210"/>
      <c r="AB123" s="210"/>
      <c r="AC123" s="210"/>
      <c r="AI123" s="210"/>
      <c r="AJ123" s="210"/>
    </row>
    <row r="124" ht="12.75" customHeight="1">
      <c r="C124" s="210"/>
      <c r="D124" s="210"/>
      <c r="E124" s="210"/>
      <c r="F124" s="210"/>
      <c r="G124" s="210"/>
      <c r="H124" s="210"/>
      <c r="I124" s="210"/>
      <c r="J124" s="210"/>
      <c r="K124" s="210"/>
      <c r="L124" s="210"/>
      <c r="M124" s="210"/>
      <c r="N124" s="210"/>
      <c r="O124" s="210"/>
      <c r="P124" s="210"/>
      <c r="Q124" s="210"/>
      <c r="R124" s="210"/>
      <c r="S124" s="210"/>
      <c r="T124" s="210"/>
      <c r="U124" s="210"/>
      <c r="V124" s="210"/>
      <c r="W124" s="210"/>
      <c r="X124" s="210"/>
      <c r="Y124" s="210"/>
      <c r="Z124" s="210"/>
      <c r="AA124" s="210"/>
      <c r="AB124" s="210"/>
      <c r="AC124" s="210"/>
      <c r="AI124" s="210"/>
      <c r="AJ124" s="210"/>
    </row>
    <row r="125" ht="12.75" customHeight="1">
      <c r="C125" s="210"/>
      <c r="D125" s="210"/>
      <c r="E125" s="210"/>
      <c r="F125" s="210"/>
      <c r="G125" s="210"/>
      <c r="H125" s="210"/>
      <c r="I125" s="210"/>
      <c r="J125" s="210"/>
      <c r="K125" s="210"/>
      <c r="L125" s="210"/>
      <c r="M125" s="210"/>
      <c r="N125" s="210"/>
      <c r="O125" s="210"/>
      <c r="P125" s="210"/>
      <c r="Q125" s="210"/>
      <c r="R125" s="210"/>
      <c r="S125" s="210"/>
      <c r="T125" s="210"/>
      <c r="U125" s="210"/>
      <c r="V125" s="210"/>
      <c r="W125" s="210"/>
      <c r="X125" s="210"/>
      <c r="Y125" s="210"/>
      <c r="Z125" s="210"/>
      <c r="AA125" s="210"/>
      <c r="AB125" s="210"/>
      <c r="AC125" s="210"/>
      <c r="AI125" s="210"/>
      <c r="AJ125" s="210"/>
    </row>
    <row r="126" ht="12.75" customHeight="1">
      <c r="C126" s="210"/>
      <c r="D126" s="210"/>
      <c r="E126" s="210"/>
      <c r="F126" s="210"/>
      <c r="G126" s="210"/>
      <c r="H126" s="210"/>
      <c r="I126" s="210"/>
      <c r="J126" s="210"/>
      <c r="K126" s="210"/>
      <c r="L126" s="210"/>
      <c r="M126" s="210"/>
      <c r="N126" s="210"/>
      <c r="O126" s="210"/>
      <c r="P126" s="210"/>
      <c r="Q126" s="210"/>
      <c r="R126" s="210"/>
      <c r="S126" s="210"/>
      <c r="T126" s="210"/>
      <c r="U126" s="210"/>
      <c r="V126" s="210"/>
      <c r="W126" s="210"/>
      <c r="X126" s="210"/>
      <c r="Y126" s="210"/>
      <c r="Z126" s="210"/>
      <c r="AA126" s="210"/>
      <c r="AB126" s="210"/>
      <c r="AC126" s="210"/>
      <c r="AI126" s="210"/>
      <c r="AJ126" s="210"/>
    </row>
    <row r="127" ht="12.75" customHeight="1">
      <c r="C127" s="210"/>
      <c r="D127" s="210"/>
      <c r="E127" s="210"/>
      <c r="F127" s="210"/>
      <c r="G127" s="210"/>
      <c r="H127" s="210"/>
      <c r="I127" s="210"/>
      <c r="J127" s="210"/>
      <c r="K127" s="210"/>
      <c r="L127" s="210"/>
      <c r="M127" s="210"/>
      <c r="N127" s="210"/>
      <c r="O127" s="210"/>
      <c r="P127" s="210"/>
      <c r="Q127" s="210"/>
      <c r="R127" s="210"/>
      <c r="S127" s="210"/>
      <c r="T127" s="210"/>
      <c r="U127" s="210"/>
      <c r="V127" s="210"/>
      <c r="W127" s="210"/>
      <c r="X127" s="210"/>
      <c r="Y127" s="210"/>
      <c r="Z127" s="210"/>
      <c r="AA127" s="210"/>
      <c r="AB127" s="210"/>
      <c r="AC127" s="210"/>
      <c r="AI127" s="210"/>
      <c r="AJ127" s="210"/>
    </row>
    <row r="128" ht="12.75" customHeight="1">
      <c r="C128" s="210"/>
      <c r="D128" s="210"/>
      <c r="E128" s="210"/>
      <c r="F128" s="210"/>
      <c r="G128" s="210"/>
      <c r="H128" s="210"/>
      <c r="I128" s="210"/>
      <c r="J128" s="210"/>
      <c r="K128" s="210"/>
      <c r="L128" s="210"/>
      <c r="M128" s="210"/>
      <c r="N128" s="210"/>
      <c r="O128" s="210"/>
      <c r="P128" s="210"/>
      <c r="Q128" s="210"/>
      <c r="R128" s="210"/>
      <c r="S128" s="210"/>
      <c r="T128" s="210"/>
      <c r="U128" s="210"/>
      <c r="V128" s="210"/>
      <c r="W128" s="210"/>
      <c r="X128" s="210"/>
      <c r="Y128" s="210"/>
      <c r="Z128" s="210"/>
      <c r="AA128" s="210"/>
      <c r="AB128" s="210"/>
      <c r="AC128" s="210"/>
      <c r="AI128" s="210"/>
      <c r="AJ128" s="210"/>
    </row>
    <row r="129" ht="12.75" customHeight="1">
      <c r="C129" s="210"/>
      <c r="D129" s="210"/>
      <c r="E129" s="210"/>
      <c r="F129" s="210"/>
      <c r="G129" s="210"/>
      <c r="H129" s="210"/>
      <c r="I129" s="210"/>
      <c r="J129" s="210"/>
      <c r="K129" s="210"/>
      <c r="L129" s="210"/>
      <c r="M129" s="210"/>
      <c r="N129" s="210"/>
      <c r="O129" s="210"/>
      <c r="P129" s="210"/>
      <c r="Q129" s="210"/>
      <c r="R129" s="210"/>
      <c r="S129" s="210"/>
      <c r="T129" s="210"/>
      <c r="U129" s="210"/>
      <c r="V129" s="210"/>
      <c r="W129" s="210"/>
      <c r="X129" s="210"/>
      <c r="Y129" s="210"/>
      <c r="Z129" s="210"/>
      <c r="AA129" s="210"/>
      <c r="AB129" s="210"/>
      <c r="AC129" s="210"/>
      <c r="AI129" s="210"/>
      <c r="AJ129" s="210"/>
    </row>
    <row r="130" ht="12.75" customHeight="1">
      <c r="C130" s="210"/>
      <c r="D130" s="210"/>
      <c r="E130" s="210"/>
      <c r="F130" s="210"/>
      <c r="G130" s="210"/>
      <c r="H130" s="210"/>
      <c r="I130" s="210"/>
      <c r="J130" s="210"/>
      <c r="K130" s="210"/>
      <c r="L130" s="210"/>
      <c r="M130" s="210"/>
      <c r="N130" s="210"/>
      <c r="O130" s="210"/>
      <c r="P130" s="210"/>
      <c r="Q130" s="210"/>
      <c r="R130" s="210"/>
      <c r="S130" s="210"/>
      <c r="T130" s="210"/>
      <c r="U130" s="210"/>
      <c r="V130" s="210"/>
      <c r="W130" s="210"/>
      <c r="X130" s="210"/>
      <c r="Y130" s="210"/>
      <c r="Z130" s="210"/>
      <c r="AA130" s="210"/>
      <c r="AB130" s="210"/>
      <c r="AC130" s="210"/>
      <c r="AI130" s="210"/>
      <c r="AJ130" s="210"/>
    </row>
    <row r="131" ht="12.75" customHeight="1">
      <c r="C131" s="210"/>
      <c r="D131" s="210"/>
      <c r="E131" s="210"/>
      <c r="F131" s="210"/>
      <c r="G131" s="210"/>
      <c r="H131" s="210"/>
      <c r="I131" s="210"/>
      <c r="J131" s="210"/>
      <c r="K131" s="210"/>
      <c r="L131" s="210"/>
      <c r="M131" s="210"/>
      <c r="N131" s="210"/>
      <c r="O131" s="210"/>
      <c r="P131" s="210"/>
      <c r="Q131" s="210"/>
      <c r="R131" s="210"/>
      <c r="S131" s="210"/>
      <c r="T131" s="210"/>
      <c r="U131" s="210"/>
      <c r="V131" s="210"/>
      <c r="W131" s="210"/>
      <c r="X131" s="210"/>
      <c r="Y131" s="210"/>
      <c r="Z131" s="210"/>
      <c r="AA131" s="210"/>
      <c r="AB131" s="210"/>
      <c r="AC131" s="210"/>
      <c r="AI131" s="210"/>
      <c r="AJ131" s="210"/>
    </row>
    <row r="132" ht="12.75" customHeight="1">
      <c r="C132" s="210"/>
      <c r="D132" s="210"/>
      <c r="E132" s="210"/>
      <c r="F132" s="210"/>
      <c r="G132" s="210"/>
      <c r="H132" s="210"/>
      <c r="I132" s="210"/>
      <c r="J132" s="210"/>
      <c r="K132" s="210"/>
      <c r="L132" s="210"/>
      <c r="M132" s="210"/>
      <c r="N132" s="210"/>
      <c r="O132" s="210"/>
      <c r="P132" s="210"/>
      <c r="Q132" s="210"/>
      <c r="R132" s="210"/>
      <c r="S132" s="210"/>
      <c r="T132" s="210"/>
      <c r="U132" s="210"/>
      <c r="V132" s="210"/>
      <c r="W132" s="210"/>
      <c r="X132" s="210"/>
      <c r="Y132" s="210"/>
      <c r="Z132" s="210"/>
      <c r="AA132" s="210"/>
      <c r="AB132" s="210"/>
      <c r="AC132" s="210"/>
      <c r="AI132" s="210"/>
      <c r="AJ132" s="210"/>
    </row>
    <row r="133" ht="12.75" customHeight="1">
      <c r="C133" s="210"/>
      <c r="D133" s="210"/>
      <c r="E133" s="210"/>
      <c r="F133" s="210"/>
      <c r="G133" s="210"/>
      <c r="H133" s="210"/>
      <c r="I133" s="210"/>
      <c r="J133" s="210"/>
      <c r="K133" s="210"/>
      <c r="L133" s="210"/>
      <c r="M133" s="210"/>
      <c r="N133" s="210"/>
      <c r="O133" s="210"/>
      <c r="P133" s="210"/>
      <c r="Q133" s="210"/>
      <c r="R133" s="210"/>
      <c r="S133" s="210"/>
      <c r="T133" s="210"/>
      <c r="U133" s="210"/>
      <c r="V133" s="210"/>
      <c r="W133" s="210"/>
      <c r="X133" s="210"/>
      <c r="Y133" s="210"/>
      <c r="Z133" s="210"/>
      <c r="AA133" s="210"/>
      <c r="AB133" s="210"/>
      <c r="AC133" s="210"/>
      <c r="AI133" s="210"/>
      <c r="AJ133" s="210"/>
    </row>
    <row r="134" ht="12.75" customHeight="1">
      <c r="C134" s="210"/>
      <c r="D134" s="210"/>
      <c r="E134" s="210"/>
      <c r="F134" s="210"/>
      <c r="G134" s="210"/>
      <c r="H134" s="210"/>
      <c r="I134" s="210"/>
      <c r="J134" s="210"/>
      <c r="K134" s="210"/>
      <c r="L134" s="210"/>
      <c r="M134" s="210"/>
      <c r="N134" s="210"/>
      <c r="O134" s="210"/>
      <c r="P134" s="210"/>
      <c r="Q134" s="210"/>
      <c r="R134" s="210"/>
      <c r="S134" s="210"/>
      <c r="T134" s="210"/>
      <c r="U134" s="210"/>
      <c r="V134" s="210"/>
      <c r="W134" s="210"/>
      <c r="X134" s="210"/>
      <c r="Y134" s="210"/>
      <c r="Z134" s="210"/>
      <c r="AA134" s="210"/>
      <c r="AB134" s="210"/>
      <c r="AC134" s="210"/>
      <c r="AI134" s="210"/>
      <c r="AJ134" s="210"/>
    </row>
    <row r="135" ht="12.75" customHeight="1">
      <c r="C135" s="210"/>
      <c r="D135" s="210"/>
      <c r="E135" s="210"/>
      <c r="F135" s="210"/>
      <c r="G135" s="210"/>
      <c r="H135" s="210"/>
      <c r="I135" s="210"/>
      <c r="J135" s="210"/>
      <c r="K135" s="210"/>
      <c r="L135" s="210"/>
      <c r="M135" s="210"/>
      <c r="N135" s="210"/>
      <c r="O135" s="210"/>
      <c r="P135" s="210"/>
      <c r="Q135" s="210"/>
      <c r="R135" s="210"/>
      <c r="S135" s="210"/>
      <c r="T135" s="210"/>
      <c r="U135" s="210"/>
      <c r="V135" s="210"/>
      <c r="W135" s="210"/>
      <c r="X135" s="210"/>
      <c r="Y135" s="210"/>
      <c r="Z135" s="210"/>
      <c r="AA135" s="210"/>
      <c r="AB135" s="210"/>
      <c r="AC135" s="210"/>
      <c r="AI135" s="210"/>
      <c r="AJ135" s="210"/>
    </row>
    <row r="136" ht="12.75" customHeight="1">
      <c r="C136" s="210"/>
      <c r="D136" s="210"/>
      <c r="E136" s="210"/>
      <c r="F136" s="210"/>
      <c r="G136" s="210"/>
      <c r="H136" s="210"/>
      <c r="I136" s="210"/>
      <c r="J136" s="210"/>
      <c r="K136" s="210"/>
      <c r="L136" s="210"/>
      <c r="M136" s="210"/>
      <c r="N136" s="210"/>
      <c r="O136" s="210"/>
      <c r="P136" s="210"/>
      <c r="Q136" s="210"/>
      <c r="R136" s="210"/>
      <c r="S136" s="210"/>
      <c r="T136" s="210"/>
      <c r="U136" s="210"/>
      <c r="V136" s="210"/>
      <c r="W136" s="210"/>
      <c r="X136" s="210"/>
      <c r="Y136" s="210"/>
      <c r="Z136" s="210"/>
      <c r="AA136" s="210"/>
      <c r="AB136" s="210"/>
      <c r="AC136" s="210"/>
      <c r="AI136" s="210"/>
      <c r="AJ136" s="210"/>
    </row>
    <row r="137" ht="12.75" customHeight="1">
      <c r="C137" s="210"/>
      <c r="D137" s="210"/>
      <c r="E137" s="210"/>
      <c r="F137" s="210"/>
      <c r="G137" s="210"/>
      <c r="H137" s="210"/>
      <c r="I137" s="210"/>
      <c r="J137" s="210"/>
      <c r="K137" s="210"/>
      <c r="L137" s="210"/>
      <c r="M137" s="210"/>
      <c r="N137" s="210"/>
      <c r="O137" s="210"/>
      <c r="P137" s="210"/>
      <c r="Q137" s="210"/>
      <c r="R137" s="210"/>
      <c r="S137" s="210"/>
      <c r="T137" s="210"/>
      <c r="U137" s="210"/>
      <c r="V137" s="210"/>
      <c r="W137" s="210"/>
      <c r="X137" s="210"/>
      <c r="Y137" s="210"/>
      <c r="Z137" s="210"/>
      <c r="AA137" s="210"/>
      <c r="AB137" s="210"/>
      <c r="AC137" s="210"/>
      <c r="AI137" s="210"/>
      <c r="AJ137" s="210"/>
    </row>
    <row r="138" ht="12.75" customHeight="1">
      <c r="C138" s="210"/>
      <c r="D138" s="210"/>
      <c r="E138" s="210"/>
      <c r="F138" s="210"/>
      <c r="G138" s="210"/>
      <c r="H138" s="210"/>
      <c r="I138" s="210"/>
      <c r="J138" s="210"/>
      <c r="K138" s="210"/>
      <c r="L138" s="210"/>
      <c r="M138" s="210"/>
      <c r="N138" s="210"/>
      <c r="O138" s="210"/>
      <c r="P138" s="210"/>
      <c r="Q138" s="210"/>
      <c r="R138" s="210"/>
      <c r="S138" s="210"/>
      <c r="T138" s="210"/>
      <c r="U138" s="210"/>
      <c r="V138" s="210"/>
      <c r="W138" s="210"/>
      <c r="X138" s="210"/>
      <c r="Y138" s="210"/>
      <c r="Z138" s="210"/>
      <c r="AA138" s="210"/>
      <c r="AB138" s="210"/>
      <c r="AC138" s="210"/>
      <c r="AI138" s="210"/>
      <c r="AJ138" s="210"/>
    </row>
    <row r="139" ht="12.75" customHeight="1">
      <c r="C139" s="210"/>
      <c r="D139" s="210"/>
      <c r="E139" s="210"/>
      <c r="F139" s="210"/>
      <c r="G139" s="210"/>
      <c r="H139" s="210"/>
      <c r="I139" s="210"/>
      <c r="J139" s="210"/>
      <c r="K139" s="210"/>
      <c r="L139" s="210"/>
      <c r="M139" s="210"/>
      <c r="N139" s="210"/>
      <c r="O139" s="210"/>
      <c r="P139" s="210"/>
      <c r="Q139" s="210"/>
      <c r="R139" s="210"/>
      <c r="S139" s="210"/>
      <c r="T139" s="210"/>
      <c r="U139" s="210"/>
      <c r="V139" s="210"/>
      <c r="W139" s="210"/>
      <c r="X139" s="210"/>
      <c r="Y139" s="210"/>
      <c r="Z139" s="210"/>
      <c r="AA139" s="210"/>
      <c r="AB139" s="210"/>
      <c r="AC139" s="210"/>
      <c r="AI139" s="210"/>
      <c r="AJ139" s="210"/>
    </row>
    <row r="140" ht="12.75" customHeight="1">
      <c r="C140" s="210"/>
      <c r="D140" s="210"/>
      <c r="E140" s="210"/>
      <c r="F140" s="210"/>
      <c r="G140" s="210"/>
      <c r="H140" s="210"/>
      <c r="I140" s="210"/>
      <c r="J140" s="210"/>
      <c r="K140" s="210"/>
      <c r="L140" s="210"/>
      <c r="M140" s="210"/>
      <c r="N140" s="210"/>
      <c r="O140" s="210"/>
      <c r="P140" s="210"/>
      <c r="Q140" s="210"/>
      <c r="R140" s="210"/>
      <c r="S140" s="210"/>
      <c r="T140" s="210"/>
      <c r="U140" s="210"/>
      <c r="V140" s="210"/>
      <c r="W140" s="210"/>
      <c r="X140" s="210"/>
      <c r="Y140" s="210"/>
      <c r="Z140" s="210"/>
      <c r="AA140" s="210"/>
      <c r="AB140" s="210"/>
      <c r="AC140" s="210"/>
      <c r="AI140" s="210"/>
      <c r="AJ140" s="210"/>
    </row>
    <row r="141" ht="12.75" customHeight="1">
      <c r="C141" s="210"/>
      <c r="D141" s="210"/>
      <c r="E141" s="210"/>
      <c r="F141" s="210"/>
      <c r="G141" s="210"/>
      <c r="H141" s="210"/>
      <c r="I141" s="210"/>
      <c r="J141" s="210"/>
      <c r="K141" s="210"/>
      <c r="L141" s="210"/>
      <c r="M141" s="210"/>
      <c r="N141" s="210"/>
      <c r="O141" s="210"/>
      <c r="P141" s="210"/>
      <c r="Q141" s="210"/>
      <c r="R141" s="210"/>
      <c r="S141" s="210"/>
      <c r="T141" s="210"/>
      <c r="U141" s="210"/>
      <c r="V141" s="210"/>
      <c r="W141" s="210"/>
      <c r="X141" s="210"/>
      <c r="Y141" s="210"/>
      <c r="Z141" s="210"/>
      <c r="AA141" s="210"/>
      <c r="AB141" s="210"/>
      <c r="AC141" s="210"/>
      <c r="AI141" s="210"/>
      <c r="AJ141" s="210"/>
    </row>
    <row r="142" ht="12.75" customHeight="1">
      <c r="C142" s="210"/>
      <c r="D142" s="210"/>
      <c r="E142" s="210"/>
      <c r="F142" s="210"/>
      <c r="G142" s="210"/>
      <c r="H142" s="210"/>
      <c r="I142" s="210"/>
      <c r="J142" s="210"/>
      <c r="K142" s="210"/>
      <c r="L142" s="210"/>
      <c r="M142" s="210"/>
      <c r="N142" s="210"/>
      <c r="O142" s="210"/>
      <c r="P142" s="210"/>
      <c r="Q142" s="210"/>
      <c r="R142" s="210"/>
      <c r="S142" s="210"/>
      <c r="T142" s="210"/>
      <c r="U142" s="210"/>
      <c r="V142" s="210"/>
      <c r="W142" s="210"/>
      <c r="X142" s="210"/>
      <c r="Y142" s="210"/>
      <c r="Z142" s="210"/>
      <c r="AA142" s="210"/>
      <c r="AB142" s="210"/>
      <c r="AC142" s="210"/>
      <c r="AI142" s="210"/>
      <c r="AJ142" s="210"/>
    </row>
    <row r="143" ht="12.75" customHeight="1">
      <c r="C143" s="210"/>
      <c r="D143" s="210"/>
      <c r="E143" s="210"/>
      <c r="F143" s="210"/>
      <c r="G143" s="210"/>
      <c r="H143" s="210"/>
      <c r="I143" s="210"/>
      <c r="J143" s="210"/>
      <c r="K143" s="210"/>
      <c r="L143" s="210"/>
      <c r="M143" s="210"/>
      <c r="N143" s="210"/>
      <c r="O143" s="210"/>
      <c r="P143" s="210"/>
      <c r="Q143" s="210"/>
      <c r="R143" s="210"/>
      <c r="S143" s="210"/>
      <c r="T143" s="210"/>
      <c r="U143" s="210"/>
      <c r="V143" s="210"/>
      <c r="W143" s="210"/>
      <c r="X143" s="210"/>
      <c r="Y143" s="210"/>
      <c r="Z143" s="210"/>
      <c r="AA143" s="210"/>
      <c r="AB143" s="210"/>
      <c r="AC143" s="210"/>
      <c r="AI143" s="210"/>
      <c r="AJ143" s="210"/>
    </row>
    <row r="144" ht="12.75" customHeight="1">
      <c r="C144" s="210"/>
      <c r="D144" s="210"/>
      <c r="E144" s="210"/>
      <c r="F144" s="210"/>
      <c r="G144" s="210"/>
      <c r="H144" s="210"/>
      <c r="I144" s="210"/>
      <c r="J144" s="210"/>
      <c r="K144" s="210"/>
      <c r="L144" s="210"/>
      <c r="M144" s="210"/>
      <c r="N144" s="210"/>
      <c r="O144" s="210"/>
      <c r="P144" s="210"/>
      <c r="Q144" s="210"/>
      <c r="R144" s="210"/>
      <c r="S144" s="210"/>
      <c r="T144" s="210"/>
      <c r="U144" s="210"/>
      <c r="V144" s="210"/>
      <c r="W144" s="210"/>
      <c r="X144" s="210"/>
      <c r="Y144" s="210"/>
      <c r="Z144" s="210"/>
      <c r="AA144" s="210"/>
      <c r="AB144" s="210"/>
      <c r="AC144" s="210"/>
      <c r="AI144" s="210"/>
      <c r="AJ144" s="210"/>
    </row>
    <row r="145" ht="12.75" customHeight="1">
      <c r="C145" s="210"/>
      <c r="D145" s="210"/>
      <c r="E145" s="210"/>
      <c r="F145" s="210"/>
      <c r="G145" s="210"/>
      <c r="H145" s="210"/>
      <c r="I145" s="210"/>
      <c r="J145" s="210"/>
      <c r="K145" s="210"/>
      <c r="L145" s="210"/>
      <c r="M145" s="210"/>
      <c r="N145" s="210"/>
      <c r="O145" s="210"/>
      <c r="P145" s="210"/>
      <c r="Q145" s="210"/>
      <c r="R145" s="210"/>
      <c r="S145" s="210"/>
      <c r="T145" s="210"/>
      <c r="U145" s="210"/>
      <c r="V145" s="210"/>
      <c r="W145" s="210"/>
      <c r="X145" s="210"/>
      <c r="Y145" s="210"/>
      <c r="Z145" s="210"/>
      <c r="AA145" s="210"/>
      <c r="AB145" s="210"/>
      <c r="AC145" s="210"/>
      <c r="AI145" s="210"/>
      <c r="AJ145" s="210"/>
    </row>
    <row r="146" ht="12.75" customHeight="1">
      <c r="C146" s="210"/>
      <c r="D146" s="210"/>
      <c r="E146" s="210"/>
      <c r="F146" s="210"/>
      <c r="G146" s="210"/>
      <c r="H146" s="210"/>
      <c r="I146" s="210"/>
      <c r="J146" s="210"/>
      <c r="K146" s="210"/>
      <c r="L146" s="210"/>
      <c r="M146" s="210"/>
      <c r="N146" s="210"/>
      <c r="O146" s="210"/>
      <c r="P146" s="210"/>
      <c r="Q146" s="210"/>
      <c r="R146" s="210"/>
      <c r="S146" s="210"/>
      <c r="T146" s="210"/>
      <c r="U146" s="210"/>
      <c r="V146" s="210"/>
      <c r="W146" s="210"/>
      <c r="X146" s="210"/>
      <c r="Y146" s="210"/>
      <c r="Z146" s="210"/>
      <c r="AA146" s="210"/>
      <c r="AB146" s="210"/>
      <c r="AC146" s="210"/>
      <c r="AI146" s="210"/>
      <c r="AJ146" s="210"/>
    </row>
    <row r="147" ht="12.75" customHeight="1">
      <c r="C147" s="210"/>
      <c r="D147" s="210"/>
      <c r="E147" s="210"/>
      <c r="F147" s="210"/>
      <c r="G147" s="210"/>
      <c r="H147" s="210"/>
      <c r="I147" s="210"/>
      <c r="J147" s="210"/>
      <c r="K147" s="210"/>
      <c r="L147" s="210"/>
      <c r="M147" s="210"/>
      <c r="N147" s="210"/>
      <c r="O147" s="210"/>
      <c r="P147" s="210"/>
      <c r="Q147" s="210"/>
      <c r="R147" s="210"/>
      <c r="S147" s="210"/>
      <c r="T147" s="210"/>
      <c r="U147" s="210"/>
      <c r="V147" s="210"/>
      <c r="W147" s="210"/>
      <c r="X147" s="210"/>
      <c r="Y147" s="210"/>
      <c r="Z147" s="210"/>
      <c r="AA147" s="210"/>
      <c r="AB147" s="210"/>
      <c r="AC147" s="210"/>
      <c r="AI147" s="210"/>
      <c r="AJ147" s="210"/>
    </row>
    <row r="148" ht="12.75" customHeight="1">
      <c r="C148" s="210"/>
      <c r="D148" s="210"/>
      <c r="E148" s="210"/>
      <c r="F148" s="210"/>
      <c r="G148" s="210"/>
      <c r="H148" s="210"/>
      <c r="I148" s="210"/>
      <c r="J148" s="210"/>
      <c r="K148" s="210"/>
      <c r="L148" s="210"/>
      <c r="M148" s="210"/>
      <c r="N148" s="210"/>
      <c r="O148" s="210"/>
      <c r="P148" s="210"/>
      <c r="Q148" s="210"/>
      <c r="R148" s="210"/>
      <c r="S148" s="210"/>
      <c r="T148" s="210"/>
      <c r="U148" s="210"/>
      <c r="V148" s="210"/>
      <c r="W148" s="210"/>
      <c r="X148" s="210"/>
      <c r="Y148" s="210"/>
      <c r="Z148" s="210"/>
      <c r="AA148" s="210"/>
      <c r="AB148" s="210"/>
      <c r="AC148" s="210"/>
      <c r="AI148" s="210"/>
      <c r="AJ148" s="210"/>
    </row>
    <row r="149" ht="12.75" customHeight="1">
      <c r="C149" s="210"/>
      <c r="D149" s="210"/>
      <c r="E149" s="210"/>
      <c r="F149" s="210"/>
      <c r="G149" s="210"/>
      <c r="H149" s="210"/>
      <c r="I149" s="210"/>
      <c r="J149" s="210"/>
      <c r="K149" s="210"/>
      <c r="L149" s="210"/>
      <c r="M149" s="210"/>
      <c r="N149" s="210"/>
      <c r="O149" s="210"/>
      <c r="P149" s="210"/>
      <c r="Q149" s="210"/>
      <c r="R149" s="210"/>
      <c r="S149" s="210"/>
      <c r="T149" s="210"/>
      <c r="U149" s="210"/>
      <c r="V149" s="210"/>
      <c r="W149" s="210"/>
      <c r="X149" s="210"/>
      <c r="Y149" s="210"/>
      <c r="Z149" s="210"/>
      <c r="AA149" s="210"/>
      <c r="AB149" s="210"/>
      <c r="AC149" s="210"/>
      <c r="AI149" s="210"/>
      <c r="AJ149" s="210"/>
    </row>
    <row r="150" ht="12.75" customHeight="1">
      <c r="C150" s="210"/>
      <c r="D150" s="210"/>
      <c r="E150" s="210"/>
      <c r="F150" s="210"/>
      <c r="G150" s="210"/>
      <c r="H150" s="210"/>
      <c r="I150" s="210"/>
      <c r="J150" s="210"/>
      <c r="K150" s="210"/>
      <c r="L150" s="210"/>
      <c r="M150" s="210"/>
      <c r="N150" s="210"/>
      <c r="O150" s="210"/>
      <c r="P150" s="210"/>
      <c r="Q150" s="210"/>
      <c r="R150" s="210"/>
      <c r="S150" s="210"/>
      <c r="T150" s="210"/>
      <c r="U150" s="210"/>
      <c r="V150" s="210"/>
      <c r="W150" s="210"/>
      <c r="X150" s="210"/>
      <c r="Y150" s="210"/>
      <c r="Z150" s="210"/>
      <c r="AA150" s="210"/>
      <c r="AB150" s="210"/>
      <c r="AC150" s="210"/>
      <c r="AI150" s="210"/>
      <c r="AJ150" s="210"/>
    </row>
    <row r="151" ht="12.75" customHeight="1">
      <c r="C151" s="210"/>
      <c r="D151" s="210"/>
      <c r="E151" s="210"/>
      <c r="F151" s="210"/>
      <c r="G151" s="210"/>
      <c r="H151" s="210"/>
      <c r="I151" s="210"/>
      <c r="J151" s="210"/>
      <c r="K151" s="210"/>
      <c r="L151" s="210"/>
      <c r="M151" s="210"/>
      <c r="N151" s="210"/>
      <c r="O151" s="210"/>
      <c r="P151" s="210"/>
      <c r="Q151" s="210"/>
      <c r="R151" s="210"/>
      <c r="S151" s="210"/>
      <c r="T151" s="210"/>
      <c r="U151" s="210"/>
      <c r="V151" s="210"/>
      <c r="W151" s="210"/>
      <c r="X151" s="210"/>
      <c r="Y151" s="210"/>
      <c r="Z151" s="210"/>
      <c r="AA151" s="210"/>
      <c r="AB151" s="210"/>
      <c r="AC151" s="210"/>
      <c r="AI151" s="210"/>
      <c r="AJ151" s="210"/>
    </row>
    <row r="152" ht="12.75" customHeight="1">
      <c r="C152" s="210"/>
      <c r="D152" s="210"/>
      <c r="E152" s="210"/>
      <c r="F152" s="210"/>
      <c r="G152" s="210"/>
      <c r="H152" s="210"/>
      <c r="I152" s="210"/>
      <c r="J152" s="210"/>
      <c r="K152" s="210"/>
      <c r="L152" s="210"/>
      <c r="M152" s="210"/>
      <c r="N152" s="210"/>
      <c r="O152" s="210"/>
      <c r="P152" s="210"/>
      <c r="Q152" s="210"/>
      <c r="R152" s="210"/>
      <c r="S152" s="210"/>
      <c r="T152" s="210"/>
      <c r="U152" s="210"/>
      <c r="V152" s="210"/>
      <c r="W152" s="210"/>
      <c r="X152" s="210"/>
      <c r="Y152" s="210"/>
      <c r="Z152" s="210"/>
      <c r="AA152" s="210"/>
      <c r="AB152" s="210"/>
      <c r="AC152" s="210"/>
      <c r="AI152" s="210"/>
      <c r="AJ152" s="210"/>
    </row>
    <row r="153" ht="12.75" customHeight="1">
      <c r="C153" s="210"/>
      <c r="D153" s="210"/>
      <c r="E153" s="210"/>
      <c r="F153" s="210"/>
      <c r="G153" s="210"/>
      <c r="H153" s="210"/>
      <c r="I153" s="210"/>
      <c r="J153" s="210"/>
      <c r="K153" s="210"/>
      <c r="L153" s="210"/>
      <c r="M153" s="210"/>
      <c r="N153" s="210"/>
      <c r="O153" s="210"/>
      <c r="P153" s="210"/>
      <c r="Q153" s="210"/>
      <c r="R153" s="210"/>
      <c r="S153" s="210"/>
      <c r="T153" s="210"/>
      <c r="U153" s="210"/>
      <c r="V153" s="210"/>
      <c r="W153" s="210"/>
      <c r="X153" s="210"/>
      <c r="Y153" s="210"/>
      <c r="Z153" s="210"/>
      <c r="AA153" s="210"/>
      <c r="AB153" s="210"/>
      <c r="AC153" s="210"/>
      <c r="AI153" s="210"/>
      <c r="AJ153" s="210"/>
    </row>
    <row r="154" ht="12.75" customHeight="1">
      <c r="C154" s="210"/>
      <c r="D154" s="210"/>
      <c r="E154" s="210"/>
      <c r="F154" s="210"/>
      <c r="G154" s="210"/>
      <c r="H154" s="210"/>
      <c r="I154" s="210"/>
      <c r="J154" s="210"/>
      <c r="K154" s="210"/>
      <c r="L154" s="210"/>
      <c r="M154" s="210"/>
      <c r="N154" s="210"/>
      <c r="O154" s="210"/>
      <c r="P154" s="210"/>
      <c r="Q154" s="210"/>
      <c r="R154" s="210"/>
      <c r="S154" s="210"/>
      <c r="T154" s="210"/>
      <c r="U154" s="210"/>
      <c r="V154" s="210"/>
      <c r="W154" s="210"/>
      <c r="X154" s="210"/>
      <c r="Y154" s="210"/>
      <c r="Z154" s="210"/>
      <c r="AA154" s="210"/>
      <c r="AB154" s="210"/>
      <c r="AC154" s="210"/>
      <c r="AI154" s="210"/>
      <c r="AJ154" s="210"/>
    </row>
    <row r="155" ht="12.75" customHeight="1">
      <c r="C155" s="210"/>
      <c r="D155" s="210"/>
      <c r="E155" s="210"/>
      <c r="F155" s="210"/>
      <c r="G155" s="210"/>
      <c r="H155" s="210"/>
      <c r="I155" s="210"/>
      <c r="J155" s="210"/>
      <c r="K155" s="210"/>
      <c r="L155" s="210"/>
      <c r="M155" s="210"/>
      <c r="N155" s="210"/>
      <c r="O155" s="210"/>
      <c r="P155" s="210"/>
      <c r="Q155" s="210"/>
      <c r="R155" s="210"/>
      <c r="S155" s="210"/>
      <c r="T155" s="210"/>
      <c r="U155" s="210"/>
      <c r="V155" s="210"/>
      <c r="W155" s="210"/>
      <c r="X155" s="210"/>
      <c r="Y155" s="210"/>
      <c r="Z155" s="210"/>
      <c r="AA155" s="210"/>
      <c r="AB155" s="210"/>
      <c r="AC155" s="210"/>
      <c r="AI155" s="210"/>
      <c r="AJ155" s="210"/>
    </row>
    <row r="156" ht="12.75" customHeight="1">
      <c r="C156" s="210"/>
      <c r="D156" s="210"/>
      <c r="E156" s="210"/>
      <c r="F156" s="210"/>
      <c r="G156" s="210"/>
      <c r="H156" s="210"/>
      <c r="I156" s="210"/>
      <c r="J156" s="210"/>
      <c r="K156" s="210"/>
      <c r="L156" s="210"/>
      <c r="M156" s="210"/>
      <c r="N156" s="210"/>
      <c r="O156" s="210"/>
      <c r="P156" s="210"/>
      <c r="Q156" s="210"/>
      <c r="R156" s="210"/>
      <c r="S156" s="210"/>
      <c r="T156" s="210"/>
      <c r="U156" s="210"/>
      <c r="V156" s="210"/>
      <c r="W156" s="210"/>
      <c r="X156" s="210"/>
      <c r="Y156" s="210"/>
      <c r="Z156" s="210"/>
      <c r="AA156" s="210"/>
      <c r="AB156" s="210"/>
      <c r="AC156" s="210"/>
      <c r="AI156" s="210"/>
      <c r="AJ156" s="210"/>
    </row>
    <row r="157" ht="12.75" customHeight="1">
      <c r="C157" s="210"/>
      <c r="D157" s="210"/>
      <c r="E157" s="210"/>
      <c r="F157" s="210"/>
      <c r="G157" s="210"/>
      <c r="H157" s="210"/>
      <c r="I157" s="210"/>
      <c r="J157" s="210"/>
      <c r="K157" s="210"/>
      <c r="L157" s="210"/>
      <c r="M157" s="210"/>
      <c r="N157" s="210"/>
      <c r="O157" s="210"/>
      <c r="P157" s="210"/>
      <c r="Q157" s="210"/>
      <c r="R157" s="210"/>
      <c r="S157" s="210"/>
      <c r="T157" s="210"/>
      <c r="U157" s="210"/>
      <c r="V157" s="210"/>
      <c r="W157" s="210"/>
      <c r="X157" s="210"/>
      <c r="Y157" s="210"/>
      <c r="Z157" s="210"/>
      <c r="AA157" s="210"/>
      <c r="AB157" s="210"/>
      <c r="AC157" s="210"/>
      <c r="AI157" s="210"/>
      <c r="AJ157" s="210"/>
    </row>
    <row r="158" ht="12.75" customHeight="1">
      <c r="C158" s="210"/>
      <c r="D158" s="210"/>
      <c r="E158" s="210"/>
      <c r="F158" s="210"/>
      <c r="G158" s="210"/>
      <c r="H158" s="210"/>
      <c r="I158" s="210"/>
      <c r="J158" s="210"/>
      <c r="K158" s="210"/>
      <c r="L158" s="210"/>
      <c r="M158" s="210"/>
      <c r="N158" s="210"/>
      <c r="O158" s="210"/>
      <c r="P158" s="210"/>
      <c r="Q158" s="210"/>
      <c r="R158" s="210"/>
      <c r="S158" s="210"/>
      <c r="T158" s="210"/>
      <c r="U158" s="210"/>
      <c r="V158" s="210"/>
      <c r="W158" s="210"/>
      <c r="X158" s="210"/>
      <c r="Y158" s="210"/>
      <c r="Z158" s="210"/>
      <c r="AA158" s="210"/>
      <c r="AB158" s="210"/>
      <c r="AC158" s="210"/>
      <c r="AI158" s="210"/>
      <c r="AJ158" s="210"/>
    </row>
    <row r="159" ht="12.75" customHeight="1">
      <c r="C159" s="210"/>
      <c r="D159" s="210"/>
      <c r="E159" s="210"/>
      <c r="F159" s="210"/>
      <c r="G159" s="210"/>
      <c r="H159" s="210"/>
      <c r="I159" s="210"/>
      <c r="J159" s="210"/>
      <c r="K159" s="210"/>
      <c r="L159" s="210"/>
      <c r="M159" s="210"/>
      <c r="N159" s="210"/>
      <c r="O159" s="210"/>
      <c r="P159" s="210"/>
      <c r="Q159" s="210"/>
      <c r="R159" s="210"/>
      <c r="S159" s="210"/>
      <c r="T159" s="210"/>
      <c r="U159" s="210"/>
      <c r="V159" s="210"/>
      <c r="W159" s="210"/>
      <c r="X159" s="210"/>
      <c r="Y159" s="210"/>
      <c r="Z159" s="210"/>
      <c r="AA159" s="210"/>
      <c r="AB159" s="210"/>
      <c r="AC159" s="210"/>
      <c r="AI159" s="210"/>
      <c r="AJ159" s="210"/>
    </row>
    <row r="160" ht="12.75" customHeight="1">
      <c r="C160" s="210"/>
      <c r="D160" s="210"/>
      <c r="E160" s="210"/>
      <c r="F160" s="210"/>
      <c r="G160" s="210"/>
      <c r="H160" s="210"/>
      <c r="I160" s="210"/>
      <c r="J160" s="210"/>
      <c r="K160" s="210"/>
      <c r="L160" s="210"/>
      <c r="M160" s="210"/>
      <c r="N160" s="210"/>
      <c r="O160" s="210"/>
      <c r="P160" s="210"/>
      <c r="Q160" s="210"/>
      <c r="R160" s="210"/>
      <c r="S160" s="210"/>
      <c r="T160" s="210"/>
      <c r="U160" s="210"/>
      <c r="V160" s="210"/>
      <c r="W160" s="210"/>
      <c r="X160" s="210"/>
      <c r="Y160" s="210"/>
      <c r="Z160" s="210"/>
      <c r="AA160" s="210"/>
      <c r="AB160" s="210"/>
      <c r="AC160" s="210"/>
      <c r="AI160" s="210"/>
      <c r="AJ160" s="210"/>
    </row>
    <row r="161" ht="12.75" customHeight="1">
      <c r="C161" s="210"/>
      <c r="D161" s="210"/>
      <c r="E161" s="210"/>
      <c r="F161" s="210"/>
      <c r="G161" s="210"/>
      <c r="H161" s="210"/>
      <c r="I161" s="210"/>
      <c r="J161" s="210"/>
      <c r="K161" s="210"/>
      <c r="L161" s="210"/>
      <c r="M161" s="210"/>
      <c r="N161" s="210"/>
      <c r="O161" s="210"/>
      <c r="P161" s="210"/>
      <c r="Q161" s="210"/>
      <c r="R161" s="210"/>
      <c r="S161" s="210"/>
      <c r="T161" s="210"/>
      <c r="U161" s="210"/>
      <c r="V161" s="210"/>
      <c r="W161" s="210"/>
      <c r="X161" s="210"/>
      <c r="Y161" s="210"/>
      <c r="Z161" s="210"/>
      <c r="AA161" s="210"/>
      <c r="AB161" s="210"/>
      <c r="AC161" s="210"/>
      <c r="AI161" s="210"/>
      <c r="AJ161" s="210"/>
    </row>
    <row r="162" ht="12.75" customHeight="1">
      <c r="C162" s="210"/>
      <c r="D162" s="210"/>
      <c r="E162" s="210"/>
      <c r="F162" s="210"/>
      <c r="G162" s="210"/>
      <c r="H162" s="210"/>
      <c r="I162" s="210"/>
      <c r="J162" s="210"/>
      <c r="K162" s="210"/>
      <c r="L162" s="210"/>
      <c r="M162" s="210"/>
      <c r="N162" s="210"/>
      <c r="O162" s="210"/>
      <c r="P162" s="210"/>
      <c r="Q162" s="210"/>
      <c r="R162" s="210"/>
      <c r="S162" s="210"/>
      <c r="T162" s="210"/>
      <c r="U162" s="210"/>
      <c r="V162" s="210"/>
      <c r="W162" s="210"/>
      <c r="X162" s="210"/>
      <c r="Y162" s="210"/>
      <c r="Z162" s="210"/>
      <c r="AA162" s="210"/>
      <c r="AB162" s="210"/>
      <c r="AC162" s="210"/>
      <c r="AI162" s="210"/>
      <c r="AJ162" s="210"/>
    </row>
    <row r="163" ht="12.75" customHeight="1">
      <c r="C163" s="210"/>
      <c r="D163" s="210"/>
      <c r="E163" s="210"/>
      <c r="F163" s="210"/>
      <c r="G163" s="210"/>
      <c r="H163" s="210"/>
      <c r="I163" s="210"/>
      <c r="J163" s="210"/>
      <c r="K163" s="210"/>
      <c r="L163" s="210"/>
      <c r="M163" s="210"/>
      <c r="N163" s="210"/>
      <c r="O163" s="210"/>
      <c r="P163" s="210"/>
      <c r="Q163" s="210"/>
      <c r="R163" s="210"/>
      <c r="S163" s="210"/>
      <c r="T163" s="210"/>
      <c r="U163" s="210"/>
      <c r="V163" s="210"/>
      <c r="W163" s="210"/>
      <c r="X163" s="210"/>
      <c r="Y163" s="210"/>
      <c r="Z163" s="210"/>
      <c r="AA163" s="210"/>
      <c r="AB163" s="210"/>
      <c r="AC163" s="210"/>
      <c r="AI163" s="210"/>
      <c r="AJ163" s="210"/>
    </row>
    <row r="164" ht="12.75" customHeight="1">
      <c r="C164" s="210"/>
      <c r="D164" s="210"/>
      <c r="E164" s="210"/>
      <c r="F164" s="210"/>
      <c r="G164" s="210"/>
      <c r="H164" s="210"/>
      <c r="I164" s="210"/>
      <c r="J164" s="210"/>
      <c r="K164" s="210"/>
      <c r="L164" s="210"/>
      <c r="M164" s="210"/>
      <c r="N164" s="210"/>
      <c r="O164" s="210"/>
      <c r="P164" s="210"/>
      <c r="Q164" s="210"/>
      <c r="R164" s="210"/>
      <c r="S164" s="210"/>
      <c r="T164" s="210"/>
      <c r="U164" s="210"/>
      <c r="V164" s="210"/>
      <c r="W164" s="210"/>
      <c r="X164" s="210"/>
      <c r="Y164" s="210"/>
      <c r="Z164" s="210"/>
      <c r="AA164" s="210"/>
      <c r="AB164" s="210"/>
      <c r="AC164" s="210"/>
      <c r="AI164" s="210"/>
      <c r="AJ164" s="210"/>
    </row>
    <row r="165" ht="12.75" customHeight="1">
      <c r="C165" s="210"/>
      <c r="D165" s="210"/>
      <c r="E165" s="210"/>
      <c r="F165" s="210"/>
      <c r="G165" s="210"/>
      <c r="H165" s="210"/>
      <c r="I165" s="210"/>
      <c r="J165" s="210"/>
      <c r="K165" s="210"/>
      <c r="L165" s="210"/>
      <c r="M165" s="210"/>
      <c r="N165" s="210"/>
      <c r="O165" s="210"/>
      <c r="P165" s="210"/>
      <c r="Q165" s="210"/>
      <c r="R165" s="210"/>
      <c r="S165" s="210"/>
      <c r="T165" s="210"/>
      <c r="U165" s="210"/>
      <c r="V165" s="210"/>
      <c r="W165" s="210"/>
      <c r="X165" s="210"/>
      <c r="Y165" s="210"/>
      <c r="Z165" s="210"/>
      <c r="AA165" s="210"/>
      <c r="AB165" s="210"/>
      <c r="AC165" s="210"/>
      <c r="AI165" s="210"/>
      <c r="AJ165" s="210"/>
    </row>
    <row r="166" ht="12.75" customHeight="1">
      <c r="C166" s="210"/>
      <c r="D166" s="210"/>
      <c r="E166" s="210"/>
      <c r="F166" s="210"/>
      <c r="G166" s="210"/>
      <c r="H166" s="210"/>
      <c r="I166" s="210"/>
      <c r="J166" s="210"/>
      <c r="K166" s="210"/>
      <c r="L166" s="210"/>
      <c r="M166" s="210"/>
      <c r="N166" s="210"/>
      <c r="O166" s="210"/>
      <c r="P166" s="210"/>
      <c r="Q166" s="210"/>
      <c r="R166" s="210"/>
      <c r="S166" s="210"/>
      <c r="T166" s="210"/>
      <c r="U166" s="210"/>
      <c r="V166" s="210"/>
      <c r="W166" s="210"/>
      <c r="X166" s="210"/>
      <c r="Y166" s="210"/>
      <c r="Z166" s="210"/>
      <c r="AA166" s="210"/>
      <c r="AB166" s="210"/>
      <c r="AC166" s="210"/>
      <c r="AI166" s="210"/>
      <c r="AJ166" s="210"/>
    </row>
    <row r="167" ht="12.75" customHeight="1">
      <c r="C167" s="210"/>
      <c r="D167" s="210"/>
      <c r="E167" s="210"/>
      <c r="F167" s="210"/>
      <c r="G167" s="210"/>
      <c r="H167" s="210"/>
      <c r="I167" s="210"/>
      <c r="J167" s="210"/>
      <c r="K167" s="210"/>
      <c r="L167" s="210"/>
      <c r="M167" s="210"/>
      <c r="N167" s="210"/>
      <c r="O167" s="210"/>
      <c r="P167" s="210"/>
      <c r="Q167" s="210"/>
      <c r="R167" s="210"/>
      <c r="S167" s="210"/>
      <c r="T167" s="210"/>
      <c r="U167" s="210"/>
      <c r="V167" s="210"/>
      <c r="W167" s="210"/>
      <c r="X167" s="210"/>
      <c r="Y167" s="210"/>
      <c r="Z167" s="210"/>
      <c r="AA167" s="210"/>
      <c r="AB167" s="210"/>
      <c r="AC167" s="210"/>
      <c r="AI167" s="210"/>
      <c r="AJ167" s="210"/>
    </row>
    <row r="168" ht="12.75" customHeight="1">
      <c r="C168" s="210"/>
      <c r="D168" s="210"/>
      <c r="E168" s="210"/>
      <c r="F168" s="210"/>
      <c r="G168" s="210"/>
      <c r="H168" s="210"/>
      <c r="I168" s="210"/>
      <c r="J168" s="210"/>
      <c r="K168" s="210"/>
      <c r="L168" s="210"/>
      <c r="M168" s="210"/>
      <c r="N168" s="210"/>
      <c r="O168" s="210"/>
      <c r="P168" s="210"/>
      <c r="Q168" s="210"/>
      <c r="R168" s="210"/>
      <c r="S168" s="210"/>
      <c r="T168" s="210"/>
      <c r="U168" s="210"/>
      <c r="V168" s="210"/>
      <c r="W168" s="210"/>
      <c r="X168" s="210"/>
      <c r="Y168" s="210"/>
      <c r="Z168" s="210"/>
      <c r="AA168" s="210"/>
      <c r="AB168" s="210"/>
      <c r="AC168" s="210"/>
      <c r="AI168" s="210"/>
      <c r="AJ168" s="210"/>
    </row>
    <row r="169" ht="12.75" customHeight="1">
      <c r="C169" s="210"/>
      <c r="D169" s="210"/>
      <c r="E169" s="210"/>
      <c r="F169" s="210"/>
      <c r="G169" s="210"/>
      <c r="H169" s="210"/>
      <c r="I169" s="210"/>
      <c r="J169" s="210"/>
      <c r="K169" s="210"/>
      <c r="L169" s="210"/>
      <c r="M169" s="210"/>
      <c r="N169" s="210"/>
      <c r="O169" s="210"/>
      <c r="P169" s="210"/>
      <c r="Q169" s="210"/>
      <c r="R169" s="210"/>
      <c r="S169" s="210"/>
      <c r="T169" s="210"/>
      <c r="U169" s="210"/>
      <c r="V169" s="210"/>
      <c r="W169" s="210"/>
      <c r="X169" s="210"/>
      <c r="Y169" s="210"/>
      <c r="Z169" s="210"/>
      <c r="AA169" s="210"/>
      <c r="AB169" s="210"/>
      <c r="AC169" s="210"/>
      <c r="AI169" s="210"/>
      <c r="AJ169" s="210"/>
    </row>
    <row r="170" ht="12.75" customHeight="1">
      <c r="C170" s="210"/>
      <c r="D170" s="210"/>
      <c r="E170" s="210"/>
      <c r="F170" s="210"/>
      <c r="G170" s="210"/>
      <c r="H170" s="210"/>
      <c r="I170" s="210"/>
      <c r="J170" s="210"/>
      <c r="K170" s="210"/>
      <c r="L170" s="210"/>
      <c r="M170" s="210"/>
      <c r="N170" s="210"/>
      <c r="O170" s="210"/>
      <c r="P170" s="210"/>
      <c r="Q170" s="210"/>
      <c r="R170" s="210"/>
      <c r="S170" s="210"/>
      <c r="T170" s="210"/>
      <c r="U170" s="210"/>
      <c r="V170" s="210"/>
      <c r="W170" s="210"/>
      <c r="X170" s="210"/>
      <c r="Y170" s="210"/>
      <c r="Z170" s="210"/>
      <c r="AA170" s="210"/>
      <c r="AB170" s="210"/>
      <c r="AC170" s="210"/>
      <c r="AI170" s="210"/>
      <c r="AJ170" s="210"/>
    </row>
    <row r="171" ht="12.75" customHeight="1">
      <c r="C171" s="210"/>
      <c r="D171" s="210"/>
      <c r="E171" s="210"/>
      <c r="F171" s="210"/>
      <c r="G171" s="210"/>
      <c r="H171" s="210"/>
      <c r="I171" s="210"/>
      <c r="J171" s="210"/>
      <c r="K171" s="210"/>
      <c r="L171" s="210"/>
      <c r="M171" s="210"/>
      <c r="N171" s="210"/>
      <c r="O171" s="210"/>
      <c r="P171" s="210"/>
      <c r="Q171" s="210"/>
      <c r="R171" s="210"/>
      <c r="S171" s="210"/>
      <c r="T171" s="210"/>
      <c r="U171" s="210"/>
      <c r="V171" s="210"/>
      <c r="W171" s="210"/>
      <c r="X171" s="210"/>
      <c r="Y171" s="210"/>
      <c r="Z171" s="210"/>
      <c r="AA171" s="210"/>
      <c r="AB171" s="210"/>
      <c r="AC171" s="210"/>
      <c r="AI171" s="210"/>
      <c r="AJ171" s="210"/>
    </row>
    <row r="172" ht="12.75" customHeight="1">
      <c r="C172" s="210"/>
      <c r="D172" s="210"/>
      <c r="E172" s="210"/>
      <c r="F172" s="210"/>
      <c r="G172" s="210"/>
      <c r="H172" s="210"/>
      <c r="I172" s="210"/>
      <c r="J172" s="210"/>
      <c r="K172" s="210"/>
      <c r="L172" s="210"/>
      <c r="M172" s="210"/>
      <c r="N172" s="210"/>
      <c r="O172" s="210"/>
      <c r="P172" s="210"/>
      <c r="Q172" s="210"/>
      <c r="R172" s="210"/>
      <c r="S172" s="210"/>
      <c r="T172" s="210"/>
      <c r="U172" s="210"/>
      <c r="V172" s="210"/>
      <c r="W172" s="210"/>
      <c r="X172" s="210"/>
      <c r="Y172" s="210"/>
      <c r="Z172" s="210"/>
      <c r="AA172" s="210"/>
      <c r="AB172" s="210"/>
      <c r="AC172" s="210"/>
      <c r="AI172" s="210"/>
      <c r="AJ172" s="210"/>
    </row>
    <row r="173" ht="12.75" customHeight="1">
      <c r="C173" s="210"/>
      <c r="D173" s="210"/>
      <c r="E173" s="210"/>
      <c r="F173" s="210"/>
      <c r="G173" s="210"/>
      <c r="H173" s="210"/>
      <c r="I173" s="210"/>
      <c r="J173" s="210"/>
      <c r="K173" s="210"/>
      <c r="L173" s="210"/>
      <c r="M173" s="210"/>
      <c r="N173" s="210"/>
      <c r="O173" s="210"/>
      <c r="P173" s="210"/>
      <c r="Q173" s="210"/>
      <c r="R173" s="210"/>
      <c r="S173" s="210"/>
      <c r="T173" s="210"/>
      <c r="U173" s="210"/>
      <c r="V173" s="210"/>
      <c r="W173" s="210"/>
      <c r="X173" s="210"/>
      <c r="Y173" s="210"/>
      <c r="Z173" s="210"/>
      <c r="AA173" s="210"/>
      <c r="AB173" s="210"/>
      <c r="AC173" s="210"/>
      <c r="AI173" s="210"/>
      <c r="AJ173" s="210"/>
    </row>
    <row r="174" ht="12.75" customHeight="1">
      <c r="C174" s="210"/>
      <c r="D174" s="210"/>
      <c r="E174" s="210"/>
      <c r="F174" s="210"/>
      <c r="G174" s="210"/>
      <c r="H174" s="210"/>
      <c r="I174" s="210"/>
      <c r="J174" s="210"/>
      <c r="K174" s="210"/>
      <c r="L174" s="210"/>
      <c r="M174" s="210"/>
      <c r="N174" s="210"/>
      <c r="O174" s="210"/>
      <c r="P174" s="210"/>
      <c r="Q174" s="210"/>
      <c r="R174" s="210"/>
      <c r="S174" s="210"/>
      <c r="T174" s="210"/>
      <c r="U174" s="210"/>
      <c r="V174" s="210"/>
      <c r="W174" s="210"/>
      <c r="X174" s="210"/>
      <c r="Y174" s="210"/>
      <c r="Z174" s="210"/>
      <c r="AA174" s="210"/>
      <c r="AB174" s="210"/>
      <c r="AC174" s="210"/>
      <c r="AI174" s="210"/>
      <c r="AJ174" s="210"/>
    </row>
    <row r="175" ht="12.75" customHeight="1">
      <c r="C175" s="210"/>
      <c r="D175" s="210"/>
      <c r="E175" s="210"/>
      <c r="F175" s="210"/>
      <c r="G175" s="210"/>
      <c r="H175" s="210"/>
      <c r="I175" s="210"/>
      <c r="J175" s="210"/>
      <c r="K175" s="210"/>
      <c r="L175" s="210"/>
      <c r="M175" s="210"/>
      <c r="N175" s="210"/>
      <c r="O175" s="210"/>
      <c r="P175" s="210"/>
      <c r="Q175" s="210"/>
      <c r="R175" s="210"/>
      <c r="S175" s="210"/>
      <c r="T175" s="210"/>
      <c r="U175" s="210"/>
      <c r="V175" s="210"/>
      <c r="W175" s="210"/>
      <c r="X175" s="210"/>
      <c r="Y175" s="210"/>
      <c r="Z175" s="210"/>
      <c r="AA175" s="210"/>
      <c r="AB175" s="210"/>
      <c r="AC175" s="210"/>
      <c r="AI175" s="210"/>
      <c r="AJ175" s="210"/>
    </row>
    <row r="176" ht="12.75" customHeight="1">
      <c r="C176" s="210"/>
      <c r="D176" s="210"/>
      <c r="E176" s="210"/>
      <c r="F176" s="210"/>
      <c r="G176" s="210"/>
      <c r="H176" s="210"/>
      <c r="I176" s="210"/>
      <c r="J176" s="210"/>
      <c r="K176" s="210"/>
      <c r="L176" s="210"/>
      <c r="M176" s="210"/>
      <c r="N176" s="210"/>
      <c r="O176" s="210"/>
      <c r="P176" s="210"/>
      <c r="Q176" s="210"/>
      <c r="R176" s="210"/>
      <c r="S176" s="210"/>
      <c r="T176" s="210"/>
      <c r="U176" s="210"/>
      <c r="V176" s="210"/>
      <c r="W176" s="210"/>
      <c r="X176" s="210"/>
      <c r="Y176" s="210"/>
      <c r="Z176" s="210"/>
      <c r="AA176" s="210"/>
      <c r="AB176" s="210"/>
      <c r="AC176" s="210"/>
      <c r="AI176" s="210"/>
      <c r="AJ176" s="210"/>
    </row>
    <row r="177" ht="12.75" customHeight="1">
      <c r="C177" s="210"/>
      <c r="D177" s="210"/>
      <c r="E177" s="210"/>
      <c r="F177" s="210"/>
      <c r="G177" s="210"/>
      <c r="H177" s="210"/>
      <c r="I177" s="210"/>
      <c r="J177" s="210"/>
      <c r="K177" s="210"/>
      <c r="L177" s="210"/>
      <c r="M177" s="210"/>
      <c r="N177" s="210"/>
      <c r="O177" s="210"/>
      <c r="P177" s="210"/>
      <c r="Q177" s="210"/>
      <c r="R177" s="210"/>
      <c r="S177" s="210"/>
      <c r="T177" s="210"/>
      <c r="U177" s="210"/>
      <c r="V177" s="210"/>
      <c r="W177" s="210"/>
      <c r="X177" s="210"/>
      <c r="Y177" s="210"/>
      <c r="Z177" s="210"/>
      <c r="AA177" s="210"/>
      <c r="AB177" s="210"/>
      <c r="AC177" s="210"/>
      <c r="AI177" s="210"/>
      <c r="AJ177" s="210"/>
    </row>
    <row r="178" ht="12.75" customHeight="1">
      <c r="C178" s="210"/>
      <c r="D178" s="210"/>
      <c r="E178" s="210"/>
      <c r="F178" s="210"/>
      <c r="G178" s="210"/>
      <c r="H178" s="210"/>
      <c r="I178" s="210"/>
      <c r="J178" s="210"/>
      <c r="K178" s="210"/>
      <c r="L178" s="210"/>
      <c r="M178" s="210"/>
      <c r="N178" s="210"/>
      <c r="O178" s="210"/>
      <c r="P178" s="210"/>
      <c r="Q178" s="210"/>
      <c r="R178" s="210"/>
      <c r="S178" s="210"/>
      <c r="T178" s="210"/>
      <c r="U178" s="210"/>
      <c r="V178" s="210"/>
      <c r="W178" s="210"/>
      <c r="X178" s="210"/>
      <c r="Y178" s="210"/>
      <c r="Z178" s="210"/>
      <c r="AA178" s="210"/>
      <c r="AB178" s="210"/>
      <c r="AC178" s="210"/>
      <c r="AI178" s="210"/>
      <c r="AJ178" s="210"/>
    </row>
    <row r="179" ht="12.75" customHeight="1">
      <c r="C179" s="210"/>
      <c r="D179" s="210"/>
      <c r="E179" s="210"/>
      <c r="F179" s="210"/>
      <c r="G179" s="210"/>
      <c r="H179" s="210"/>
      <c r="I179" s="210"/>
      <c r="J179" s="210"/>
      <c r="K179" s="210"/>
      <c r="L179" s="210"/>
      <c r="M179" s="210"/>
      <c r="N179" s="210"/>
      <c r="O179" s="210"/>
      <c r="P179" s="210"/>
      <c r="Q179" s="210"/>
      <c r="R179" s="210"/>
      <c r="S179" s="210"/>
      <c r="T179" s="210"/>
      <c r="U179" s="210"/>
      <c r="V179" s="210"/>
      <c r="W179" s="210"/>
      <c r="X179" s="210"/>
      <c r="Y179" s="210"/>
      <c r="Z179" s="210"/>
      <c r="AA179" s="210"/>
      <c r="AB179" s="210"/>
      <c r="AC179" s="210"/>
      <c r="AI179" s="210"/>
      <c r="AJ179" s="210"/>
    </row>
    <row r="180" ht="12.75" customHeight="1">
      <c r="C180" s="210"/>
      <c r="D180" s="210"/>
      <c r="E180" s="210"/>
      <c r="F180" s="210"/>
      <c r="G180" s="210"/>
      <c r="H180" s="210"/>
      <c r="I180" s="210"/>
      <c r="J180" s="210"/>
      <c r="K180" s="210"/>
      <c r="L180" s="210"/>
      <c r="M180" s="210"/>
      <c r="N180" s="210"/>
      <c r="O180" s="210"/>
      <c r="P180" s="210"/>
      <c r="Q180" s="210"/>
      <c r="R180" s="210"/>
      <c r="S180" s="210"/>
      <c r="T180" s="210"/>
      <c r="U180" s="210"/>
      <c r="V180" s="210"/>
      <c r="W180" s="210"/>
      <c r="X180" s="210"/>
      <c r="Y180" s="210"/>
      <c r="Z180" s="210"/>
      <c r="AA180" s="210"/>
      <c r="AB180" s="210"/>
      <c r="AC180" s="210"/>
      <c r="AI180" s="210"/>
      <c r="AJ180" s="210"/>
    </row>
    <row r="181" ht="12.75" customHeight="1">
      <c r="C181" s="210"/>
      <c r="D181" s="210"/>
      <c r="E181" s="210"/>
      <c r="F181" s="210"/>
      <c r="G181" s="210"/>
      <c r="H181" s="210"/>
      <c r="I181" s="210"/>
      <c r="J181" s="210"/>
      <c r="K181" s="210"/>
      <c r="L181" s="210"/>
      <c r="M181" s="210"/>
      <c r="N181" s="210"/>
      <c r="O181" s="210"/>
      <c r="P181" s="210"/>
      <c r="Q181" s="210"/>
      <c r="R181" s="210"/>
      <c r="S181" s="210"/>
      <c r="T181" s="210"/>
      <c r="U181" s="210"/>
      <c r="V181" s="210"/>
      <c r="W181" s="210"/>
      <c r="X181" s="210"/>
      <c r="Y181" s="210"/>
      <c r="Z181" s="210"/>
      <c r="AA181" s="210"/>
      <c r="AB181" s="210"/>
      <c r="AC181" s="210"/>
      <c r="AI181" s="210"/>
      <c r="AJ181" s="210"/>
    </row>
    <row r="182" ht="12.75" customHeight="1">
      <c r="C182" s="210"/>
      <c r="D182" s="210"/>
      <c r="E182" s="210"/>
      <c r="F182" s="210"/>
      <c r="G182" s="210"/>
      <c r="H182" s="210"/>
      <c r="I182" s="210"/>
      <c r="J182" s="210"/>
      <c r="K182" s="210"/>
      <c r="L182" s="210"/>
      <c r="M182" s="210"/>
      <c r="N182" s="210"/>
      <c r="O182" s="210"/>
      <c r="P182" s="210"/>
      <c r="Q182" s="210"/>
      <c r="R182" s="210"/>
      <c r="S182" s="210"/>
      <c r="T182" s="210"/>
      <c r="U182" s="210"/>
      <c r="V182" s="210"/>
      <c r="W182" s="210"/>
      <c r="X182" s="210"/>
      <c r="Y182" s="210"/>
      <c r="Z182" s="210"/>
      <c r="AA182" s="210"/>
      <c r="AB182" s="210"/>
      <c r="AC182" s="210"/>
      <c r="AI182" s="210"/>
      <c r="AJ182" s="210"/>
    </row>
    <row r="183" ht="12.75" customHeight="1">
      <c r="C183" s="210"/>
      <c r="D183" s="210"/>
      <c r="E183" s="210"/>
      <c r="F183" s="210"/>
      <c r="G183" s="210"/>
      <c r="H183" s="210"/>
      <c r="I183" s="210"/>
      <c r="J183" s="210"/>
      <c r="K183" s="210"/>
      <c r="L183" s="210"/>
      <c r="M183" s="210"/>
      <c r="N183" s="210"/>
      <c r="O183" s="210"/>
      <c r="P183" s="210"/>
      <c r="Q183" s="210"/>
      <c r="R183" s="210"/>
      <c r="S183" s="210"/>
      <c r="T183" s="210"/>
      <c r="U183" s="210"/>
      <c r="V183" s="210"/>
      <c r="W183" s="210"/>
      <c r="X183" s="210"/>
      <c r="Y183" s="210"/>
      <c r="Z183" s="210"/>
      <c r="AA183" s="210"/>
      <c r="AB183" s="210"/>
      <c r="AC183" s="210"/>
      <c r="AI183" s="210"/>
      <c r="AJ183" s="210"/>
    </row>
    <row r="184" ht="12.75" customHeight="1">
      <c r="C184" s="210"/>
      <c r="D184" s="210"/>
      <c r="E184" s="210"/>
      <c r="F184" s="210"/>
      <c r="G184" s="210"/>
      <c r="H184" s="210"/>
      <c r="I184" s="210"/>
      <c r="J184" s="210"/>
      <c r="K184" s="210"/>
      <c r="L184" s="210"/>
      <c r="M184" s="210"/>
      <c r="N184" s="210"/>
      <c r="O184" s="210"/>
      <c r="P184" s="210"/>
      <c r="Q184" s="210"/>
      <c r="R184" s="210"/>
      <c r="S184" s="210"/>
      <c r="T184" s="210"/>
      <c r="U184" s="210"/>
      <c r="V184" s="210"/>
      <c r="W184" s="210"/>
      <c r="X184" s="210"/>
      <c r="Y184" s="210"/>
      <c r="Z184" s="210"/>
      <c r="AA184" s="210"/>
      <c r="AB184" s="210"/>
      <c r="AC184" s="210"/>
      <c r="AI184" s="210"/>
      <c r="AJ184" s="210"/>
    </row>
    <row r="185" ht="12.75" customHeight="1">
      <c r="C185" s="210"/>
      <c r="D185" s="210"/>
      <c r="E185" s="210"/>
      <c r="F185" s="210"/>
      <c r="G185" s="210"/>
      <c r="H185" s="210"/>
      <c r="I185" s="210"/>
      <c r="J185" s="210"/>
      <c r="K185" s="210"/>
      <c r="L185" s="210"/>
      <c r="M185" s="210"/>
      <c r="N185" s="210"/>
      <c r="O185" s="210"/>
      <c r="P185" s="210"/>
      <c r="Q185" s="210"/>
      <c r="R185" s="210"/>
      <c r="S185" s="210"/>
      <c r="T185" s="210"/>
      <c r="U185" s="210"/>
      <c r="V185" s="210"/>
      <c r="W185" s="210"/>
      <c r="X185" s="210"/>
      <c r="Y185" s="210"/>
      <c r="Z185" s="210"/>
      <c r="AA185" s="210"/>
      <c r="AB185" s="210"/>
      <c r="AC185" s="210"/>
      <c r="AI185" s="210"/>
      <c r="AJ185" s="210"/>
    </row>
    <row r="186" ht="12.75" customHeight="1">
      <c r="C186" s="210"/>
      <c r="D186" s="210"/>
      <c r="E186" s="210"/>
      <c r="F186" s="210"/>
      <c r="G186" s="210"/>
      <c r="H186" s="210"/>
      <c r="I186" s="210"/>
      <c r="J186" s="210"/>
      <c r="K186" s="210"/>
      <c r="L186" s="210"/>
      <c r="M186" s="210"/>
      <c r="N186" s="210"/>
      <c r="O186" s="210"/>
      <c r="P186" s="210"/>
      <c r="Q186" s="210"/>
      <c r="R186" s="210"/>
      <c r="S186" s="210"/>
      <c r="T186" s="210"/>
      <c r="U186" s="210"/>
      <c r="V186" s="210"/>
      <c r="W186" s="210"/>
      <c r="X186" s="210"/>
      <c r="Y186" s="210"/>
      <c r="Z186" s="210"/>
      <c r="AA186" s="210"/>
      <c r="AB186" s="210"/>
      <c r="AC186" s="210"/>
      <c r="AI186" s="210"/>
      <c r="AJ186" s="210"/>
    </row>
    <row r="187" ht="12.75" customHeight="1">
      <c r="C187" s="210"/>
      <c r="D187" s="210"/>
      <c r="E187" s="210"/>
      <c r="F187" s="210"/>
      <c r="G187" s="210"/>
      <c r="H187" s="210"/>
      <c r="I187" s="210"/>
      <c r="J187" s="210"/>
      <c r="K187" s="210"/>
      <c r="L187" s="210"/>
      <c r="M187" s="210"/>
      <c r="N187" s="210"/>
      <c r="O187" s="210"/>
      <c r="P187" s="210"/>
      <c r="Q187" s="210"/>
      <c r="R187" s="210"/>
      <c r="S187" s="210"/>
      <c r="T187" s="210"/>
      <c r="U187" s="210"/>
      <c r="V187" s="210"/>
      <c r="W187" s="210"/>
      <c r="X187" s="210"/>
      <c r="Y187" s="210"/>
      <c r="Z187" s="210"/>
      <c r="AA187" s="210"/>
      <c r="AB187" s="210"/>
      <c r="AC187" s="210"/>
      <c r="AI187" s="210"/>
      <c r="AJ187" s="210"/>
    </row>
    <row r="188" ht="12.75" customHeight="1">
      <c r="C188" s="210"/>
      <c r="D188" s="210"/>
      <c r="E188" s="210"/>
      <c r="F188" s="210"/>
      <c r="G188" s="210"/>
      <c r="H188" s="210"/>
      <c r="I188" s="210"/>
      <c r="J188" s="210"/>
      <c r="K188" s="210"/>
      <c r="L188" s="210"/>
      <c r="M188" s="210"/>
      <c r="N188" s="210"/>
      <c r="O188" s="210"/>
      <c r="P188" s="210"/>
      <c r="Q188" s="210"/>
      <c r="R188" s="210"/>
      <c r="S188" s="210"/>
      <c r="T188" s="210"/>
      <c r="U188" s="210"/>
      <c r="V188" s="210"/>
      <c r="W188" s="210"/>
      <c r="X188" s="210"/>
      <c r="Y188" s="210"/>
      <c r="Z188" s="210"/>
      <c r="AA188" s="210"/>
      <c r="AB188" s="210"/>
      <c r="AC188" s="210"/>
      <c r="AI188" s="210"/>
      <c r="AJ188" s="210"/>
    </row>
    <row r="189" ht="12.75" customHeight="1">
      <c r="C189" s="210"/>
      <c r="D189" s="210"/>
      <c r="E189" s="210"/>
      <c r="F189" s="210"/>
      <c r="G189" s="210"/>
      <c r="H189" s="210"/>
      <c r="I189" s="210"/>
      <c r="J189" s="210"/>
      <c r="K189" s="210"/>
      <c r="L189" s="210"/>
      <c r="M189" s="210"/>
      <c r="N189" s="210"/>
      <c r="O189" s="210"/>
      <c r="P189" s="210"/>
      <c r="Q189" s="210"/>
      <c r="R189" s="210"/>
      <c r="S189" s="210"/>
      <c r="T189" s="210"/>
      <c r="U189" s="210"/>
      <c r="V189" s="210"/>
      <c r="W189" s="210"/>
      <c r="X189" s="210"/>
      <c r="Y189" s="210"/>
      <c r="Z189" s="210"/>
      <c r="AA189" s="210"/>
      <c r="AB189" s="210"/>
      <c r="AC189" s="210"/>
      <c r="AI189" s="210"/>
      <c r="AJ189" s="210"/>
    </row>
    <row r="190" ht="12.75" customHeight="1">
      <c r="C190" s="210"/>
      <c r="D190" s="210"/>
      <c r="E190" s="210"/>
      <c r="F190" s="210"/>
      <c r="G190" s="210"/>
      <c r="H190" s="210"/>
      <c r="I190" s="210"/>
      <c r="J190" s="210"/>
      <c r="K190" s="210"/>
      <c r="L190" s="210"/>
      <c r="M190" s="210"/>
      <c r="N190" s="210"/>
      <c r="O190" s="210"/>
      <c r="P190" s="210"/>
      <c r="Q190" s="210"/>
      <c r="R190" s="210"/>
      <c r="S190" s="210"/>
      <c r="T190" s="210"/>
      <c r="U190" s="210"/>
      <c r="V190" s="210"/>
      <c r="W190" s="210"/>
      <c r="X190" s="210"/>
      <c r="Y190" s="210"/>
      <c r="Z190" s="210"/>
      <c r="AA190" s="210"/>
      <c r="AB190" s="210"/>
      <c r="AC190" s="210"/>
      <c r="AI190" s="210"/>
      <c r="AJ190" s="210"/>
    </row>
    <row r="191" ht="12.75" customHeight="1">
      <c r="C191" s="210"/>
      <c r="D191" s="210"/>
      <c r="E191" s="210"/>
      <c r="F191" s="210"/>
      <c r="G191" s="210"/>
      <c r="H191" s="210"/>
      <c r="I191" s="210"/>
      <c r="J191" s="210"/>
      <c r="K191" s="210"/>
      <c r="L191" s="210"/>
      <c r="M191" s="210"/>
      <c r="N191" s="210"/>
      <c r="O191" s="210"/>
      <c r="P191" s="210"/>
      <c r="Q191" s="210"/>
      <c r="R191" s="210"/>
      <c r="S191" s="210"/>
      <c r="T191" s="210"/>
      <c r="U191" s="210"/>
      <c r="V191" s="210"/>
      <c r="W191" s="210"/>
      <c r="X191" s="210"/>
      <c r="Y191" s="210"/>
      <c r="Z191" s="210"/>
      <c r="AA191" s="210"/>
      <c r="AB191" s="210"/>
      <c r="AC191" s="210"/>
      <c r="AI191" s="210"/>
      <c r="AJ191" s="210"/>
    </row>
    <row r="192" ht="12.75" customHeight="1">
      <c r="C192" s="210"/>
      <c r="D192" s="210"/>
      <c r="E192" s="210"/>
      <c r="F192" s="210"/>
      <c r="G192" s="210"/>
      <c r="H192" s="210"/>
      <c r="I192" s="210"/>
      <c r="J192" s="210"/>
      <c r="K192" s="210"/>
      <c r="L192" s="210"/>
      <c r="M192" s="210"/>
      <c r="N192" s="210"/>
      <c r="O192" s="210"/>
      <c r="P192" s="210"/>
      <c r="Q192" s="210"/>
      <c r="R192" s="210"/>
      <c r="S192" s="210"/>
      <c r="T192" s="210"/>
      <c r="U192" s="210"/>
      <c r="V192" s="210"/>
      <c r="W192" s="210"/>
      <c r="X192" s="210"/>
      <c r="Y192" s="210"/>
      <c r="Z192" s="210"/>
      <c r="AA192" s="210"/>
      <c r="AB192" s="210"/>
      <c r="AC192" s="210"/>
      <c r="AI192" s="210"/>
      <c r="AJ192" s="210"/>
    </row>
    <row r="193" ht="12.75" customHeight="1">
      <c r="C193" s="210"/>
      <c r="D193" s="210"/>
      <c r="E193" s="210"/>
      <c r="F193" s="210"/>
      <c r="G193" s="210"/>
      <c r="H193" s="210"/>
      <c r="I193" s="210"/>
      <c r="J193" s="210"/>
      <c r="K193" s="210"/>
      <c r="L193" s="210"/>
      <c r="M193" s="210"/>
      <c r="N193" s="210"/>
      <c r="O193" s="210"/>
      <c r="P193" s="210"/>
      <c r="Q193" s="210"/>
      <c r="R193" s="210"/>
      <c r="S193" s="210"/>
      <c r="T193" s="210"/>
      <c r="U193" s="210"/>
      <c r="V193" s="210"/>
      <c r="W193" s="210"/>
      <c r="X193" s="210"/>
      <c r="Y193" s="210"/>
      <c r="Z193" s="210"/>
      <c r="AA193" s="210"/>
      <c r="AB193" s="210"/>
      <c r="AC193" s="210"/>
      <c r="AI193" s="210"/>
      <c r="AJ193" s="210"/>
    </row>
    <row r="194" ht="12.75" customHeight="1">
      <c r="C194" s="210"/>
      <c r="D194" s="210"/>
      <c r="E194" s="210"/>
      <c r="F194" s="210"/>
      <c r="G194" s="210"/>
      <c r="H194" s="210"/>
      <c r="I194" s="210"/>
      <c r="J194" s="210"/>
      <c r="K194" s="210"/>
      <c r="L194" s="210"/>
      <c r="M194" s="210"/>
      <c r="N194" s="210"/>
      <c r="O194" s="210"/>
      <c r="P194" s="210"/>
      <c r="Q194" s="210"/>
      <c r="R194" s="210"/>
      <c r="S194" s="210"/>
      <c r="T194" s="210"/>
      <c r="U194" s="210"/>
      <c r="V194" s="210"/>
      <c r="W194" s="210"/>
      <c r="X194" s="210"/>
      <c r="Y194" s="210"/>
      <c r="Z194" s="210"/>
      <c r="AA194" s="210"/>
      <c r="AB194" s="210"/>
      <c r="AC194" s="210"/>
      <c r="AI194" s="210"/>
      <c r="AJ194" s="210"/>
    </row>
    <row r="195" ht="12.75" customHeight="1">
      <c r="C195" s="210"/>
      <c r="D195" s="210"/>
      <c r="E195" s="210"/>
      <c r="F195" s="210"/>
      <c r="G195" s="210"/>
      <c r="H195" s="210"/>
      <c r="I195" s="210"/>
      <c r="J195" s="210"/>
      <c r="K195" s="210"/>
      <c r="L195" s="210"/>
      <c r="M195" s="210"/>
      <c r="N195" s="210"/>
      <c r="O195" s="210"/>
      <c r="P195" s="210"/>
      <c r="Q195" s="210"/>
      <c r="R195" s="210"/>
      <c r="S195" s="210"/>
      <c r="T195" s="210"/>
      <c r="U195" s="210"/>
      <c r="V195" s="210"/>
      <c r="W195" s="210"/>
      <c r="X195" s="210"/>
      <c r="Y195" s="210"/>
      <c r="Z195" s="210"/>
      <c r="AA195" s="210"/>
      <c r="AB195" s="210"/>
      <c r="AC195" s="210"/>
      <c r="AI195" s="210"/>
      <c r="AJ195" s="210"/>
    </row>
    <row r="196" ht="12.75" customHeight="1">
      <c r="C196" s="210"/>
      <c r="D196" s="210"/>
      <c r="E196" s="210"/>
      <c r="F196" s="210"/>
      <c r="G196" s="210"/>
      <c r="H196" s="210"/>
      <c r="I196" s="210"/>
      <c r="J196" s="210"/>
      <c r="K196" s="210"/>
      <c r="L196" s="210"/>
      <c r="M196" s="210"/>
      <c r="N196" s="210"/>
      <c r="O196" s="210"/>
      <c r="P196" s="210"/>
      <c r="Q196" s="210"/>
      <c r="R196" s="210"/>
      <c r="S196" s="210"/>
      <c r="T196" s="210"/>
      <c r="U196" s="210"/>
      <c r="V196" s="210"/>
      <c r="W196" s="210"/>
      <c r="X196" s="210"/>
      <c r="Y196" s="210"/>
      <c r="Z196" s="210"/>
      <c r="AA196" s="210"/>
      <c r="AB196" s="210"/>
      <c r="AC196" s="210"/>
      <c r="AI196" s="210"/>
      <c r="AJ196" s="210"/>
    </row>
    <row r="197" ht="12.75" customHeight="1">
      <c r="C197" s="210"/>
      <c r="D197" s="210"/>
      <c r="E197" s="210"/>
      <c r="F197" s="210"/>
      <c r="G197" s="210"/>
      <c r="H197" s="210"/>
      <c r="I197" s="210"/>
      <c r="J197" s="210"/>
      <c r="K197" s="210"/>
      <c r="L197" s="210"/>
      <c r="M197" s="210"/>
      <c r="N197" s="210"/>
      <c r="O197" s="210"/>
      <c r="P197" s="210"/>
      <c r="Q197" s="210"/>
      <c r="R197" s="210"/>
      <c r="S197" s="210"/>
      <c r="T197" s="210"/>
      <c r="U197" s="210"/>
      <c r="V197" s="210"/>
      <c r="W197" s="210"/>
      <c r="X197" s="210"/>
      <c r="Y197" s="210"/>
      <c r="Z197" s="210"/>
      <c r="AA197" s="210"/>
      <c r="AB197" s="210"/>
      <c r="AC197" s="210"/>
      <c r="AI197" s="210"/>
      <c r="AJ197" s="210"/>
    </row>
    <row r="198" ht="12.75" customHeight="1">
      <c r="C198" s="210"/>
      <c r="D198" s="210"/>
      <c r="E198" s="210"/>
      <c r="F198" s="210"/>
      <c r="G198" s="210"/>
      <c r="H198" s="210"/>
      <c r="I198" s="210"/>
      <c r="J198" s="210"/>
      <c r="K198" s="210"/>
      <c r="L198" s="210"/>
      <c r="M198" s="210"/>
      <c r="N198" s="210"/>
      <c r="O198" s="210"/>
      <c r="P198" s="210"/>
      <c r="Q198" s="210"/>
      <c r="R198" s="210"/>
      <c r="S198" s="210"/>
      <c r="T198" s="210"/>
      <c r="U198" s="210"/>
      <c r="V198" s="210"/>
      <c r="W198" s="210"/>
      <c r="X198" s="210"/>
      <c r="Y198" s="210"/>
      <c r="Z198" s="210"/>
      <c r="AA198" s="210"/>
      <c r="AB198" s="210"/>
      <c r="AC198" s="210"/>
      <c r="AI198" s="210"/>
      <c r="AJ198" s="210"/>
    </row>
    <row r="199" ht="12.75" customHeight="1">
      <c r="C199" s="210"/>
      <c r="D199" s="210"/>
      <c r="E199" s="210"/>
      <c r="F199" s="210"/>
      <c r="G199" s="210"/>
      <c r="H199" s="210"/>
      <c r="I199" s="210"/>
      <c r="J199" s="210"/>
      <c r="K199" s="210"/>
      <c r="L199" s="210"/>
      <c r="M199" s="210"/>
      <c r="N199" s="210"/>
      <c r="O199" s="210"/>
      <c r="P199" s="210"/>
      <c r="Q199" s="210"/>
      <c r="R199" s="210"/>
      <c r="S199" s="210"/>
      <c r="T199" s="210"/>
      <c r="U199" s="210"/>
      <c r="V199" s="210"/>
      <c r="W199" s="210"/>
      <c r="X199" s="210"/>
      <c r="Y199" s="210"/>
      <c r="Z199" s="210"/>
      <c r="AA199" s="210"/>
      <c r="AB199" s="210"/>
      <c r="AC199" s="210"/>
      <c r="AI199" s="210"/>
      <c r="AJ199" s="210"/>
    </row>
    <row r="200" ht="12.75" customHeight="1">
      <c r="C200" s="210"/>
      <c r="D200" s="210"/>
      <c r="E200" s="210"/>
      <c r="F200" s="210"/>
      <c r="G200" s="210"/>
      <c r="H200" s="210"/>
      <c r="I200" s="210"/>
      <c r="J200" s="210"/>
      <c r="K200" s="210"/>
      <c r="L200" s="210"/>
      <c r="M200" s="210"/>
      <c r="N200" s="210"/>
      <c r="O200" s="210"/>
      <c r="P200" s="210"/>
      <c r="Q200" s="210"/>
      <c r="R200" s="210"/>
      <c r="S200" s="210"/>
      <c r="T200" s="210"/>
      <c r="U200" s="210"/>
      <c r="V200" s="210"/>
      <c r="W200" s="210"/>
      <c r="X200" s="210"/>
      <c r="Y200" s="210"/>
      <c r="Z200" s="210"/>
      <c r="AA200" s="210"/>
      <c r="AB200" s="210"/>
      <c r="AC200" s="210"/>
      <c r="AI200" s="210"/>
      <c r="AJ200" s="210"/>
    </row>
    <row r="201" ht="12.75" customHeight="1">
      <c r="C201" s="210"/>
      <c r="D201" s="210"/>
      <c r="E201" s="210"/>
      <c r="F201" s="210"/>
      <c r="G201" s="210"/>
      <c r="H201" s="210"/>
      <c r="I201" s="210"/>
      <c r="J201" s="210"/>
      <c r="K201" s="210"/>
      <c r="L201" s="210"/>
      <c r="M201" s="210"/>
      <c r="N201" s="210"/>
      <c r="O201" s="210"/>
      <c r="P201" s="210"/>
      <c r="Q201" s="210"/>
      <c r="R201" s="210"/>
      <c r="S201" s="210"/>
      <c r="T201" s="210"/>
      <c r="U201" s="210"/>
      <c r="V201" s="210"/>
      <c r="W201" s="210"/>
      <c r="X201" s="210"/>
      <c r="Y201" s="210"/>
      <c r="Z201" s="210"/>
      <c r="AA201" s="210"/>
      <c r="AB201" s="210"/>
      <c r="AC201" s="210"/>
      <c r="AI201" s="210"/>
      <c r="AJ201" s="210"/>
    </row>
    <row r="202" ht="12.75" customHeight="1">
      <c r="C202" s="210"/>
      <c r="D202" s="210"/>
      <c r="E202" s="210"/>
      <c r="F202" s="210"/>
      <c r="G202" s="210"/>
      <c r="H202" s="210"/>
      <c r="I202" s="210"/>
      <c r="J202" s="210"/>
      <c r="K202" s="210"/>
      <c r="L202" s="210"/>
      <c r="M202" s="210"/>
      <c r="N202" s="210"/>
      <c r="O202" s="210"/>
      <c r="P202" s="210"/>
      <c r="Q202" s="210"/>
      <c r="R202" s="210"/>
      <c r="S202" s="210"/>
      <c r="T202" s="210"/>
      <c r="U202" s="210"/>
      <c r="V202" s="210"/>
      <c r="W202" s="210"/>
      <c r="X202" s="210"/>
      <c r="Y202" s="210"/>
      <c r="Z202" s="210"/>
      <c r="AA202" s="210"/>
      <c r="AB202" s="210"/>
      <c r="AC202" s="210"/>
      <c r="AI202" s="210"/>
      <c r="AJ202" s="210"/>
    </row>
    <row r="203" ht="12.75" customHeight="1">
      <c r="C203" s="210"/>
      <c r="D203" s="210"/>
      <c r="E203" s="210"/>
      <c r="F203" s="210"/>
      <c r="G203" s="210"/>
      <c r="H203" s="210"/>
      <c r="I203" s="210"/>
      <c r="J203" s="210"/>
      <c r="K203" s="210"/>
      <c r="L203" s="210"/>
      <c r="M203" s="210"/>
      <c r="N203" s="210"/>
      <c r="O203" s="210"/>
      <c r="P203" s="210"/>
      <c r="Q203" s="210"/>
      <c r="R203" s="210"/>
      <c r="S203" s="210"/>
      <c r="T203" s="210"/>
      <c r="U203" s="210"/>
      <c r="V203" s="210"/>
      <c r="W203" s="210"/>
      <c r="X203" s="210"/>
      <c r="Y203" s="210"/>
      <c r="Z203" s="210"/>
      <c r="AA203" s="210"/>
      <c r="AB203" s="210"/>
      <c r="AC203" s="210"/>
      <c r="AI203" s="210"/>
      <c r="AJ203" s="210"/>
    </row>
    <row r="204" ht="12.75" customHeight="1">
      <c r="C204" s="210"/>
      <c r="D204" s="210"/>
      <c r="E204" s="210"/>
      <c r="F204" s="210"/>
      <c r="G204" s="210"/>
      <c r="H204" s="210"/>
      <c r="I204" s="210"/>
      <c r="J204" s="210"/>
      <c r="K204" s="210"/>
      <c r="L204" s="210"/>
      <c r="M204" s="210"/>
      <c r="N204" s="210"/>
      <c r="O204" s="210"/>
      <c r="P204" s="210"/>
      <c r="Q204" s="210"/>
      <c r="R204" s="210"/>
      <c r="S204" s="210"/>
      <c r="T204" s="210"/>
      <c r="U204" s="210"/>
      <c r="V204" s="210"/>
      <c r="W204" s="210"/>
      <c r="X204" s="210"/>
      <c r="Y204" s="210"/>
      <c r="Z204" s="210"/>
      <c r="AA204" s="210"/>
      <c r="AB204" s="210"/>
      <c r="AC204" s="210"/>
      <c r="AI204" s="210"/>
      <c r="AJ204" s="210"/>
    </row>
    <row r="205" ht="12.75" customHeight="1">
      <c r="C205" s="210"/>
      <c r="D205" s="210"/>
      <c r="E205" s="210"/>
      <c r="F205" s="210"/>
      <c r="G205" s="210"/>
      <c r="H205" s="210"/>
      <c r="I205" s="210"/>
      <c r="J205" s="210"/>
      <c r="K205" s="210"/>
      <c r="L205" s="210"/>
      <c r="M205" s="210"/>
      <c r="N205" s="210"/>
      <c r="O205" s="210"/>
      <c r="P205" s="210"/>
      <c r="Q205" s="210"/>
      <c r="R205" s="210"/>
      <c r="S205" s="210"/>
      <c r="T205" s="210"/>
      <c r="U205" s="210"/>
      <c r="V205" s="210"/>
      <c r="W205" s="210"/>
      <c r="X205" s="210"/>
      <c r="Y205" s="210"/>
      <c r="Z205" s="210"/>
      <c r="AA205" s="210"/>
      <c r="AB205" s="210"/>
      <c r="AC205" s="210"/>
      <c r="AI205" s="210"/>
      <c r="AJ205" s="210"/>
    </row>
    <row r="206" ht="12.75" customHeight="1">
      <c r="C206" s="210"/>
      <c r="D206" s="210"/>
      <c r="E206" s="210"/>
      <c r="F206" s="210"/>
      <c r="G206" s="210"/>
      <c r="H206" s="210"/>
      <c r="I206" s="210"/>
      <c r="J206" s="210"/>
      <c r="K206" s="210"/>
      <c r="L206" s="210"/>
      <c r="M206" s="210"/>
      <c r="N206" s="210"/>
      <c r="O206" s="210"/>
      <c r="P206" s="210"/>
      <c r="Q206" s="210"/>
      <c r="R206" s="210"/>
      <c r="S206" s="210"/>
      <c r="T206" s="210"/>
      <c r="U206" s="210"/>
      <c r="V206" s="210"/>
      <c r="W206" s="210"/>
      <c r="X206" s="210"/>
      <c r="Y206" s="210"/>
      <c r="Z206" s="210"/>
      <c r="AA206" s="210"/>
      <c r="AB206" s="210"/>
      <c r="AC206" s="210"/>
      <c r="AI206" s="210"/>
      <c r="AJ206" s="210"/>
    </row>
    <row r="207" ht="12.75" customHeight="1">
      <c r="C207" s="210"/>
      <c r="D207" s="210"/>
      <c r="E207" s="210"/>
      <c r="F207" s="210"/>
      <c r="G207" s="210"/>
      <c r="H207" s="210"/>
      <c r="I207" s="210"/>
      <c r="J207" s="210"/>
      <c r="K207" s="210"/>
      <c r="L207" s="210"/>
      <c r="M207" s="210"/>
      <c r="N207" s="210"/>
      <c r="O207" s="210"/>
      <c r="P207" s="210"/>
      <c r="Q207" s="210"/>
      <c r="R207" s="210"/>
      <c r="S207" s="210"/>
      <c r="T207" s="210"/>
      <c r="U207" s="210"/>
      <c r="V207" s="210"/>
      <c r="W207" s="210"/>
      <c r="X207" s="210"/>
      <c r="Y207" s="210"/>
      <c r="Z207" s="210"/>
      <c r="AA207" s="210"/>
      <c r="AB207" s="210"/>
      <c r="AC207" s="210"/>
      <c r="AI207" s="210"/>
      <c r="AJ207" s="210"/>
    </row>
    <row r="208" ht="12.75" customHeight="1">
      <c r="C208" s="210"/>
      <c r="D208" s="210"/>
      <c r="E208" s="210"/>
      <c r="F208" s="210"/>
      <c r="G208" s="210"/>
      <c r="H208" s="210"/>
      <c r="I208" s="210"/>
      <c r="J208" s="210"/>
      <c r="K208" s="210"/>
      <c r="L208" s="210"/>
      <c r="M208" s="210"/>
      <c r="N208" s="210"/>
      <c r="O208" s="210"/>
      <c r="P208" s="210"/>
      <c r="Q208" s="210"/>
      <c r="R208" s="210"/>
      <c r="S208" s="210"/>
      <c r="T208" s="210"/>
      <c r="U208" s="210"/>
      <c r="V208" s="210"/>
      <c r="W208" s="210"/>
      <c r="X208" s="210"/>
      <c r="Y208" s="210"/>
      <c r="Z208" s="210"/>
      <c r="AA208" s="210"/>
      <c r="AB208" s="210"/>
      <c r="AC208" s="210"/>
      <c r="AI208" s="210"/>
      <c r="AJ208" s="210"/>
    </row>
    <row r="209" ht="12.75" customHeight="1">
      <c r="C209" s="210"/>
      <c r="D209" s="210"/>
      <c r="E209" s="210"/>
      <c r="F209" s="210"/>
      <c r="G209" s="210"/>
      <c r="H209" s="210"/>
      <c r="I209" s="210"/>
      <c r="J209" s="210"/>
      <c r="K209" s="210"/>
      <c r="L209" s="210"/>
      <c r="M209" s="210"/>
      <c r="N209" s="210"/>
      <c r="O209" s="210"/>
      <c r="P209" s="210"/>
      <c r="Q209" s="210"/>
      <c r="R209" s="210"/>
      <c r="S209" s="210"/>
      <c r="T209" s="210"/>
      <c r="U209" s="210"/>
      <c r="V209" s="210"/>
      <c r="W209" s="210"/>
      <c r="X209" s="210"/>
      <c r="Y209" s="210"/>
      <c r="Z209" s="210"/>
      <c r="AA209" s="210"/>
      <c r="AB209" s="210"/>
      <c r="AC209" s="210"/>
      <c r="AI209" s="210"/>
      <c r="AJ209" s="210"/>
    </row>
    <row r="210" ht="12.75" customHeight="1">
      <c r="C210" s="210"/>
      <c r="D210" s="210"/>
      <c r="E210" s="210"/>
      <c r="F210" s="210"/>
      <c r="G210" s="210"/>
      <c r="H210" s="210"/>
      <c r="I210" s="210"/>
      <c r="J210" s="210"/>
      <c r="K210" s="210"/>
      <c r="L210" s="210"/>
      <c r="M210" s="210"/>
      <c r="N210" s="210"/>
      <c r="O210" s="210"/>
      <c r="P210" s="210"/>
      <c r="Q210" s="210"/>
      <c r="R210" s="210"/>
      <c r="S210" s="210"/>
      <c r="T210" s="210"/>
      <c r="U210" s="210"/>
      <c r="V210" s="210"/>
      <c r="W210" s="210"/>
      <c r="X210" s="210"/>
      <c r="Y210" s="210"/>
      <c r="Z210" s="210"/>
      <c r="AA210" s="210"/>
      <c r="AB210" s="210"/>
      <c r="AC210" s="210"/>
      <c r="AI210" s="210"/>
      <c r="AJ210" s="210"/>
    </row>
    <row r="211" ht="12.75" customHeight="1">
      <c r="C211" s="210"/>
      <c r="D211" s="210"/>
      <c r="E211" s="210"/>
      <c r="F211" s="210"/>
      <c r="G211" s="210"/>
      <c r="H211" s="210"/>
      <c r="I211" s="210"/>
      <c r="J211" s="210"/>
      <c r="K211" s="210"/>
      <c r="L211" s="210"/>
      <c r="M211" s="210"/>
      <c r="N211" s="210"/>
      <c r="O211" s="210"/>
      <c r="P211" s="210"/>
      <c r="Q211" s="210"/>
      <c r="R211" s="210"/>
      <c r="S211" s="210"/>
      <c r="T211" s="210"/>
      <c r="U211" s="210"/>
      <c r="V211" s="210"/>
      <c r="W211" s="210"/>
      <c r="X211" s="210"/>
      <c r="Y211" s="210"/>
      <c r="Z211" s="210"/>
      <c r="AA211" s="210"/>
      <c r="AB211" s="210"/>
      <c r="AC211" s="210"/>
      <c r="AI211" s="210"/>
      <c r="AJ211" s="210"/>
    </row>
    <row r="212" ht="12.75" customHeight="1">
      <c r="C212" s="210"/>
      <c r="D212" s="210"/>
      <c r="E212" s="210"/>
      <c r="F212" s="210"/>
      <c r="G212" s="210"/>
      <c r="H212" s="210"/>
      <c r="I212" s="210"/>
      <c r="J212" s="210"/>
      <c r="K212" s="210"/>
      <c r="L212" s="210"/>
      <c r="M212" s="210"/>
      <c r="N212" s="210"/>
      <c r="O212" s="210"/>
      <c r="P212" s="210"/>
      <c r="Q212" s="210"/>
      <c r="R212" s="210"/>
      <c r="S212" s="210"/>
      <c r="T212" s="210"/>
      <c r="U212" s="210"/>
      <c r="V212" s="210"/>
      <c r="W212" s="210"/>
      <c r="X212" s="210"/>
      <c r="Y212" s="210"/>
      <c r="Z212" s="210"/>
      <c r="AA212" s="210"/>
      <c r="AB212" s="210"/>
      <c r="AC212" s="210"/>
      <c r="AI212" s="210"/>
      <c r="AJ212" s="210"/>
    </row>
    <row r="213" ht="12.75" customHeight="1">
      <c r="C213" s="210"/>
      <c r="D213" s="210"/>
      <c r="E213" s="210"/>
      <c r="F213" s="210"/>
      <c r="G213" s="210"/>
      <c r="H213" s="210"/>
      <c r="I213" s="210"/>
      <c r="J213" s="210"/>
      <c r="K213" s="210"/>
      <c r="L213" s="210"/>
      <c r="M213" s="210"/>
      <c r="N213" s="210"/>
      <c r="O213" s="210"/>
      <c r="P213" s="210"/>
      <c r="Q213" s="210"/>
      <c r="R213" s="210"/>
      <c r="S213" s="210"/>
      <c r="T213" s="210"/>
      <c r="U213" s="210"/>
      <c r="V213" s="210"/>
      <c r="W213" s="210"/>
      <c r="X213" s="210"/>
      <c r="Y213" s="210"/>
      <c r="Z213" s="210"/>
      <c r="AA213" s="210"/>
      <c r="AB213" s="210"/>
      <c r="AC213" s="210"/>
      <c r="AI213" s="210"/>
      <c r="AJ213" s="210"/>
    </row>
    <row r="214" ht="12.75" customHeight="1">
      <c r="C214" s="210"/>
      <c r="D214" s="210"/>
      <c r="E214" s="210"/>
      <c r="F214" s="210"/>
      <c r="G214" s="210"/>
      <c r="H214" s="210"/>
      <c r="I214" s="210"/>
      <c r="J214" s="210"/>
      <c r="K214" s="210"/>
      <c r="L214" s="210"/>
      <c r="M214" s="210"/>
      <c r="N214" s="210"/>
      <c r="O214" s="210"/>
      <c r="P214" s="210"/>
      <c r="Q214" s="210"/>
      <c r="R214" s="210"/>
      <c r="S214" s="210"/>
      <c r="T214" s="210"/>
      <c r="U214" s="210"/>
      <c r="V214" s="210"/>
      <c r="W214" s="210"/>
      <c r="X214" s="210"/>
      <c r="Y214" s="210"/>
      <c r="Z214" s="210"/>
      <c r="AA214" s="210"/>
      <c r="AB214" s="210"/>
      <c r="AC214" s="210"/>
      <c r="AI214" s="210"/>
      <c r="AJ214" s="210"/>
    </row>
    <row r="215" ht="12.75" customHeight="1">
      <c r="C215" s="210"/>
      <c r="D215" s="210"/>
      <c r="E215" s="210"/>
      <c r="F215" s="210"/>
      <c r="G215" s="210"/>
      <c r="H215" s="210"/>
      <c r="I215" s="210"/>
      <c r="J215" s="210"/>
      <c r="K215" s="210"/>
      <c r="L215" s="210"/>
      <c r="M215" s="210"/>
      <c r="N215" s="210"/>
      <c r="O215" s="210"/>
      <c r="P215" s="210"/>
      <c r="Q215" s="210"/>
      <c r="R215" s="210"/>
      <c r="S215" s="210"/>
      <c r="T215" s="210"/>
      <c r="U215" s="210"/>
      <c r="V215" s="210"/>
      <c r="W215" s="210"/>
      <c r="X215" s="210"/>
      <c r="Y215" s="210"/>
      <c r="Z215" s="210"/>
      <c r="AA215" s="210"/>
      <c r="AB215" s="210"/>
      <c r="AC215" s="210"/>
      <c r="AI215" s="210"/>
      <c r="AJ215" s="210"/>
    </row>
    <row r="216" ht="12.75" customHeight="1">
      <c r="C216" s="210"/>
      <c r="D216" s="210"/>
      <c r="E216" s="210"/>
      <c r="F216" s="210"/>
      <c r="G216" s="210"/>
      <c r="H216" s="210"/>
      <c r="I216" s="210"/>
      <c r="J216" s="210"/>
      <c r="K216" s="210"/>
      <c r="L216" s="210"/>
      <c r="M216" s="210"/>
      <c r="N216" s="210"/>
      <c r="O216" s="210"/>
      <c r="P216" s="210"/>
      <c r="Q216" s="210"/>
      <c r="R216" s="210"/>
      <c r="S216" s="210"/>
      <c r="T216" s="210"/>
      <c r="U216" s="210"/>
      <c r="V216" s="210"/>
      <c r="W216" s="210"/>
      <c r="X216" s="210"/>
      <c r="Y216" s="210"/>
      <c r="Z216" s="210"/>
      <c r="AA216" s="210"/>
      <c r="AB216" s="210"/>
      <c r="AC216" s="210"/>
      <c r="AI216" s="210"/>
      <c r="AJ216" s="210"/>
    </row>
    <row r="217" ht="12.75" customHeight="1">
      <c r="C217" s="210"/>
      <c r="D217" s="210"/>
      <c r="E217" s="210"/>
      <c r="F217" s="210"/>
      <c r="G217" s="210"/>
      <c r="H217" s="210"/>
      <c r="I217" s="210"/>
      <c r="J217" s="210"/>
      <c r="K217" s="210"/>
      <c r="L217" s="210"/>
      <c r="M217" s="210"/>
      <c r="N217" s="210"/>
      <c r="O217" s="210"/>
      <c r="P217" s="210"/>
      <c r="Q217" s="210"/>
      <c r="R217" s="210"/>
      <c r="S217" s="210"/>
      <c r="T217" s="210"/>
      <c r="U217" s="210"/>
      <c r="V217" s="210"/>
      <c r="W217" s="210"/>
      <c r="X217" s="210"/>
      <c r="Y217" s="210"/>
      <c r="Z217" s="210"/>
      <c r="AA217" s="210"/>
      <c r="AB217" s="210"/>
      <c r="AC217" s="210"/>
      <c r="AI217" s="210"/>
      <c r="AJ217" s="210"/>
    </row>
    <row r="218" ht="12.75" customHeight="1">
      <c r="C218" s="210"/>
      <c r="D218" s="210"/>
      <c r="E218" s="210"/>
      <c r="F218" s="210"/>
      <c r="G218" s="210"/>
      <c r="H218" s="210"/>
      <c r="I218" s="210"/>
      <c r="J218" s="210"/>
      <c r="K218" s="210"/>
      <c r="L218" s="210"/>
      <c r="M218" s="210"/>
      <c r="N218" s="210"/>
      <c r="O218" s="210"/>
      <c r="P218" s="210"/>
      <c r="Q218" s="210"/>
      <c r="R218" s="210"/>
      <c r="S218" s="210"/>
      <c r="T218" s="210"/>
      <c r="U218" s="210"/>
      <c r="V218" s="210"/>
      <c r="W218" s="210"/>
      <c r="X218" s="210"/>
      <c r="Y218" s="210"/>
      <c r="Z218" s="210"/>
      <c r="AA218" s="210"/>
      <c r="AB218" s="210"/>
      <c r="AC218" s="210"/>
      <c r="AI218" s="210"/>
      <c r="AJ218" s="210"/>
    </row>
    <row r="219" ht="12.75" customHeight="1">
      <c r="C219" s="210"/>
      <c r="D219" s="210"/>
      <c r="E219" s="210"/>
      <c r="F219" s="210"/>
      <c r="G219" s="210"/>
      <c r="H219" s="210"/>
      <c r="I219" s="210"/>
      <c r="J219" s="210"/>
      <c r="K219" s="210"/>
      <c r="L219" s="210"/>
      <c r="M219" s="210"/>
      <c r="N219" s="210"/>
      <c r="O219" s="210"/>
      <c r="P219" s="210"/>
      <c r="Q219" s="210"/>
      <c r="R219" s="210"/>
      <c r="S219" s="210"/>
      <c r="T219" s="210"/>
      <c r="U219" s="210"/>
      <c r="V219" s="210"/>
      <c r="W219" s="210"/>
      <c r="X219" s="210"/>
      <c r="Y219" s="210"/>
      <c r="Z219" s="210"/>
      <c r="AA219" s="210"/>
      <c r="AB219" s="210"/>
      <c r="AC219" s="210"/>
      <c r="AI219" s="210"/>
      <c r="AJ219" s="210"/>
    </row>
    <row r="220" ht="12.75" customHeight="1">
      <c r="C220" s="210"/>
      <c r="D220" s="210"/>
      <c r="E220" s="210"/>
      <c r="F220" s="210"/>
      <c r="G220" s="210"/>
      <c r="H220" s="210"/>
      <c r="I220" s="210"/>
      <c r="J220" s="210"/>
      <c r="K220" s="210"/>
      <c r="L220" s="210"/>
      <c r="M220" s="210"/>
      <c r="N220" s="210"/>
      <c r="O220" s="210"/>
      <c r="P220" s="210"/>
      <c r="Q220" s="210"/>
      <c r="R220" s="210"/>
      <c r="S220" s="210"/>
      <c r="T220" s="210"/>
      <c r="U220" s="210"/>
      <c r="V220" s="210"/>
      <c r="W220" s="210"/>
      <c r="X220" s="210"/>
      <c r="Y220" s="210"/>
      <c r="Z220" s="210"/>
      <c r="AA220" s="210"/>
      <c r="AB220" s="210"/>
      <c r="AC220" s="210"/>
      <c r="AI220" s="210"/>
      <c r="AJ220" s="210"/>
    </row>
    <row r="221" ht="12.75" customHeight="1">
      <c r="C221" s="210"/>
      <c r="D221" s="210"/>
      <c r="E221" s="210"/>
      <c r="F221" s="210"/>
      <c r="G221" s="210"/>
      <c r="H221" s="210"/>
      <c r="I221" s="210"/>
      <c r="J221" s="210"/>
      <c r="K221" s="210"/>
      <c r="L221" s="210"/>
      <c r="M221" s="210"/>
      <c r="N221" s="210"/>
      <c r="O221" s="210"/>
      <c r="P221" s="210"/>
      <c r="Q221" s="210"/>
      <c r="R221" s="210"/>
      <c r="S221" s="210"/>
      <c r="T221" s="210"/>
      <c r="U221" s="210"/>
      <c r="V221" s="210"/>
      <c r="W221" s="210"/>
      <c r="X221" s="210"/>
      <c r="Y221" s="210"/>
      <c r="Z221" s="210"/>
      <c r="AA221" s="210"/>
      <c r="AB221" s="210"/>
      <c r="AC221" s="210"/>
      <c r="AI221" s="210"/>
      <c r="AJ221" s="210"/>
    </row>
    <row r="222" ht="12.75" customHeight="1">
      <c r="C222" s="210"/>
      <c r="D222" s="210"/>
      <c r="E222" s="210"/>
      <c r="F222" s="210"/>
      <c r="G222" s="210"/>
      <c r="H222" s="210"/>
      <c r="I222" s="210"/>
      <c r="J222" s="210"/>
      <c r="K222" s="210"/>
      <c r="L222" s="210"/>
      <c r="M222" s="210"/>
      <c r="N222" s="210"/>
      <c r="O222" s="210"/>
      <c r="P222" s="210"/>
      <c r="Q222" s="210"/>
      <c r="R222" s="210"/>
      <c r="S222" s="210"/>
      <c r="T222" s="210"/>
      <c r="U222" s="210"/>
      <c r="V222" s="210"/>
      <c r="W222" s="210"/>
      <c r="X222" s="210"/>
      <c r="Y222" s="210"/>
      <c r="Z222" s="210"/>
      <c r="AA222" s="210"/>
      <c r="AB222" s="210"/>
      <c r="AC222" s="210"/>
      <c r="AI222" s="210"/>
      <c r="AJ222" s="210"/>
    </row>
    <row r="223" ht="12.75" customHeight="1">
      <c r="C223" s="210"/>
      <c r="D223" s="210"/>
      <c r="E223" s="210"/>
      <c r="F223" s="210"/>
      <c r="G223" s="210"/>
      <c r="H223" s="210"/>
      <c r="I223" s="210"/>
      <c r="J223" s="210"/>
      <c r="K223" s="210"/>
      <c r="L223" s="210"/>
      <c r="M223" s="210"/>
      <c r="N223" s="210"/>
      <c r="O223" s="210"/>
      <c r="P223" s="210"/>
      <c r="Q223" s="210"/>
      <c r="R223" s="210"/>
      <c r="S223" s="210"/>
      <c r="T223" s="210"/>
      <c r="U223" s="210"/>
      <c r="V223" s="210"/>
      <c r="W223" s="210"/>
      <c r="X223" s="210"/>
      <c r="Y223" s="210"/>
      <c r="Z223" s="210"/>
      <c r="AA223" s="210"/>
      <c r="AB223" s="210"/>
      <c r="AC223" s="210"/>
      <c r="AI223" s="210"/>
      <c r="AJ223" s="210"/>
    </row>
    <row r="224" ht="12.75" customHeight="1">
      <c r="C224" s="210"/>
      <c r="D224" s="210"/>
      <c r="E224" s="210"/>
      <c r="F224" s="210"/>
      <c r="G224" s="210"/>
      <c r="H224" s="210"/>
      <c r="I224" s="210"/>
      <c r="J224" s="210"/>
      <c r="K224" s="210"/>
      <c r="L224" s="210"/>
      <c r="M224" s="210"/>
      <c r="N224" s="210"/>
      <c r="O224" s="210"/>
      <c r="P224" s="210"/>
      <c r="Q224" s="210"/>
      <c r="R224" s="210"/>
      <c r="S224" s="210"/>
      <c r="T224" s="210"/>
      <c r="U224" s="210"/>
      <c r="V224" s="210"/>
      <c r="W224" s="210"/>
      <c r="X224" s="210"/>
      <c r="Y224" s="210"/>
      <c r="Z224" s="210"/>
      <c r="AA224" s="210"/>
      <c r="AB224" s="210"/>
      <c r="AC224" s="210"/>
      <c r="AI224" s="210"/>
      <c r="AJ224" s="210"/>
    </row>
    <row r="225" ht="12.75" customHeight="1">
      <c r="C225" s="210"/>
      <c r="D225" s="210"/>
      <c r="E225" s="210"/>
      <c r="F225" s="210"/>
      <c r="G225" s="210"/>
      <c r="H225" s="210"/>
      <c r="I225" s="210"/>
      <c r="J225" s="210"/>
      <c r="K225" s="210"/>
      <c r="L225" s="210"/>
      <c r="M225" s="210"/>
      <c r="N225" s="210"/>
      <c r="O225" s="210"/>
      <c r="P225" s="210"/>
      <c r="Q225" s="210"/>
      <c r="R225" s="210"/>
      <c r="S225" s="210"/>
      <c r="T225" s="210"/>
      <c r="U225" s="210"/>
      <c r="V225" s="210"/>
      <c r="W225" s="210"/>
      <c r="X225" s="210"/>
      <c r="Y225" s="210"/>
      <c r="Z225" s="210"/>
      <c r="AA225" s="210"/>
      <c r="AB225" s="210"/>
      <c r="AC225" s="210"/>
      <c r="AI225" s="210"/>
      <c r="AJ225" s="210"/>
    </row>
    <row r="226" ht="12.75" customHeight="1">
      <c r="C226" s="210"/>
      <c r="D226" s="210"/>
      <c r="E226" s="210"/>
      <c r="F226" s="210"/>
      <c r="G226" s="210"/>
      <c r="H226" s="210"/>
      <c r="I226" s="210"/>
      <c r="J226" s="210"/>
      <c r="K226" s="210"/>
      <c r="L226" s="210"/>
      <c r="M226" s="210"/>
      <c r="N226" s="210"/>
      <c r="O226" s="210"/>
      <c r="P226" s="210"/>
      <c r="Q226" s="210"/>
      <c r="R226" s="210"/>
      <c r="S226" s="210"/>
      <c r="T226" s="210"/>
      <c r="U226" s="210"/>
      <c r="V226" s="210"/>
      <c r="W226" s="210"/>
      <c r="X226" s="210"/>
      <c r="Y226" s="210"/>
      <c r="Z226" s="210"/>
      <c r="AA226" s="210"/>
      <c r="AB226" s="210"/>
      <c r="AC226" s="210"/>
      <c r="AI226" s="210"/>
      <c r="AJ226" s="210"/>
    </row>
    <row r="227" ht="12.75" customHeight="1">
      <c r="C227" s="210"/>
      <c r="D227" s="210"/>
      <c r="E227" s="210"/>
      <c r="F227" s="210"/>
      <c r="G227" s="210"/>
      <c r="H227" s="210"/>
      <c r="I227" s="210"/>
      <c r="J227" s="210"/>
      <c r="K227" s="210"/>
      <c r="L227" s="210"/>
      <c r="M227" s="210"/>
      <c r="N227" s="210"/>
      <c r="O227" s="210"/>
      <c r="P227" s="210"/>
      <c r="Q227" s="210"/>
      <c r="R227" s="210"/>
      <c r="S227" s="210"/>
      <c r="T227" s="210"/>
      <c r="U227" s="210"/>
      <c r="V227" s="210"/>
      <c r="W227" s="210"/>
      <c r="X227" s="210"/>
      <c r="Y227" s="210"/>
      <c r="Z227" s="210"/>
      <c r="AA227" s="210"/>
      <c r="AB227" s="210"/>
      <c r="AC227" s="210"/>
      <c r="AI227" s="210"/>
      <c r="AJ227" s="210"/>
    </row>
    <row r="228" ht="12.75" customHeight="1">
      <c r="C228" s="210"/>
      <c r="D228" s="210"/>
      <c r="E228" s="210"/>
      <c r="F228" s="210"/>
      <c r="G228" s="210"/>
      <c r="H228" s="210"/>
      <c r="I228" s="210"/>
      <c r="J228" s="210"/>
      <c r="K228" s="210"/>
      <c r="L228" s="210"/>
      <c r="M228" s="210"/>
      <c r="N228" s="210"/>
      <c r="O228" s="210"/>
      <c r="P228" s="210"/>
      <c r="Q228" s="210"/>
      <c r="R228" s="210"/>
      <c r="S228" s="210"/>
      <c r="T228" s="210"/>
      <c r="U228" s="210"/>
      <c r="V228" s="210"/>
      <c r="W228" s="210"/>
      <c r="X228" s="210"/>
      <c r="Y228" s="210"/>
      <c r="Z228" s="210"/>
      <c r="AA228" s="210"/>
      <c r="AB228" s="210"/>
      <c r="AC228" s="210"/>
      <c r="AI228" s="210"/>
      <c r="AJ228" s="210"/>
    </row>
    <row r="229" ht="12.75" customHeight="1">
      <c r="C229" s="210"/>
      <c r="D229" s="210"/>
      <c r="E229" s="210"/>
      <c r="F229" s="210"/>
      <c r="G229" s="210"/>
      <c r="H229" s="210"/>
      <c r="I229" s="210"/>
      <c r="J229" s="210"/>
      <c r="K229" s="210"/>
      <c r="L229" s="210"/>
      <c r="M229" s="210"/>
      <c r="N229" s="210"/>
      <c r="O229" s="210"/>
      <c r="P229" s="210"/>
      <c r="Q229" s="210"/>
      <c r="R229" s="210"/>
      <c r="S229" s="210"/>
      <c r="T229" s="210"/>
      <c r="U229" s="210"/>
      <c r="V229" s="210"/>
      <c r="W229" s="210"/>
      <c r="X229" s="210"/>
      <c r="Y229" s="210"/>
      <c r="Z229" s="210"/>
      <c r="AA229" s="210"/>
      <c r="AB229" s="210"/>
      <c r="AC229" s="210"/>
      <c r="AI229" s="210"/>
      <c r="AJ229" s="210"/>
    </row>
    <row r="230" ht="12.75" customHeight="1">
      <c r="C230" s="210"/>
      <c r="D230" s="210"/>
      <c r="E230" s="210"/>
      <c r="F230" s="210"/>
      <c r="G230" s="210"/>
      <c r="H230" s="210"/>
      <c r="I230" s="210"/>
      <c r="J230" s="210"/>
      <c r="K230" s="210"/>
      <c r="L230" s="210"/>
      <c r="M230" s="210"/>
      <c r="N230" s="210"/>
      <c r="O230" s="210"/>
      <c r="P230" s="210"/>
      <c r="Q230" s="210"/>
      <c r="R230" s="210"/>
      <c r="S230" s="210"/>
      <c r="T230" s="210"/>
      <c r="U230" s="210"/>
      <c r="V230" s="210"/>
      <c r="W230" s="210"/>
      <c r="X230" s="210"/>
      <c r="Y230" s="210"/>
      <c r="Z230" s="210"/>
      <c r="AA230" s="210"/>
      <c r="AB230" s="210"/>
      <c r="AC230" s="210"/>
      <c r="AI230" s="210"/>
      <c r="AJ230" s="210"/>
    </row>
    <row r="231" ht="12.75" customHeight="1">
      <c r="C231" s="210"/>
      <c r="D231" s="210"/>
      <c r="E231" s="210"/>
      <c r="F231" s="210"/>
      <c r="G231" s="210"/>
      <c r="H231" s="210"/>
      <c r="I231" s="210"/>
      <c r="J231" s="210"/>
      <c r="K231" s="210"/>
      <c r="L231" s="210"/>
      <c r="M231" s="210"/>
      <c r="N231" s="210"/>
      <c r="O231" s="210"/>
      <c r="P231" s="210"/>
      <c r="Q231" s="210"/>
      <c r="R231" s="210"/>
      <c r="S231" s="210"/>
      <c r="T231" s="210"/>
      <c r="U231" s="210"/>
      <c r="V231" s="210"/>
      <c r="W231" s="210"/>
      <c r="X231" s="210"/>
      <c r="Y231" s="210"/>
      <c r="Z231" s="210"/>
      <c r="AA231" s="210"/>
      <c r="AB231" s="210"/>
      <c r="AC231" s="210"/>
      <c r="AI231" s="210"/>
      <c r="AJ231" s="210"/>
    </row>
    <row r="232" ht="12.75" customHeight="1">
      <c r="C232" s="210"/>
      <c r="D232" s="210"/>
      <c r="E232" s="210"/>
      <c r="F232" s="210"/>
      <c r="G232" s="210"/>
      <c r="H232" s="210"/>
      <c r="I232" s="210"/>
      <c r="J232" s="210"/>
      <c r="K232" s="210"/>
      <c r="L232" s="210"/>
      <c r="M232" s="210"/>
      <c r="N232" s="210"/>
      <c r="O232" s="210"/>
      <c r="P232" s="210"/>
      <c r="Q232" s="210"/>
      <c r="R232" s="210"/>
      <c r="S232" s="210"/>
      <c r="T232" s="210"/>
      <c r="U232" s="210"/>
      <c r="V232" s="210"/>
      <c r="W232" s="210"/>
      <c r="X232" s="210"/>
      <c r="Y232" s="210"/>
      <c r="Z232" s="210"/>
      <c r="AA232" s="210"/>
      <c r="AB232" s="210"/>
      <c r="AC232" s="210"/>
      <c r="AI232" s="210"/>
      <c r="AJ232" s="210"/>
    </row>
    <row r="233" ht="12.75" customHeight="1">
      <c r="C233" s="210"/>
      <c r="D233" s="210"/>
      <c r="E233" s="210"/>
      <c r="F233" s="210"/>
      <c r="G233" s="210"/>
      <c r="H233" s="210"/>
      <c r="I233" s="210"/>
      <c r="J233" s="210"/>
      <c r="K233" s="210"/>
      <c r="L233" s="210"/>
      <c r="M233" s="210"/>
      <c r="N233" s="210"/>
      <c r="O233" s="210"/>
      <c r="P233" s="210"/>
      <c r="Q233" s="210"/>
      <c r="R233" s="210"/>
      <c r="S233" s="210"/>
      <c r="T233" s="210"/>
      <c r="U233" s="210"/>
      <c r="V233" s="210"/>
      <c r="W233" s="210"/>
      <c r="X233" s="210"/>
      <c r="Y233" s="210"/>
      <c r="Z233" s="210"/>
      <c r="AA233" s="210"/>
      <c r="AB233" s="210"/>
      <c r="AC233" s="210"/>
      <c r="AI233" s="210"/>
      <c r="AJ233" s="210"/>
    </row>
    <row r="234" ht="12.75" customHeight="1">
      <c r="C234" s="210"/>
      <c r="D234" s="210"/>
      <c r="E234" s="210"/>
      <c r="F234" s="210"/>
      <c r="G234" s="210"/>
      <c r="H234" s="210"/>
      <c r="I234" s="210"/>
      <c r="J234" s="210"/>
      <c r="K234" s="210"/>
      <c r="L234" s="210"/>
      <c r="M234" s="210"/>
      <c r="N234" s="210"/>
      <c r="O234" s="210"/>
      <c r="P234" s="210"/>
      <c r="Q234" s="210"/>
      <c r="R234" s="210"/>
      <c r="S234" s="210"/>
      <c r="T234" s="210"/>
      <c r="U234" s="210"/>
      <c r="V234" s="210"/>
      <c r="W234" s="210"/>
      <c r="X234" s="210"/>
      <c r="Y234" s="210"/>
      <c r="Z234" s="210"/>
      <c r="AA234" s="210"/>
      <c r="AB234" s="210"/>
      <c r="AC234" s="210"/>
      <c r="AI234" s="210"/>
      <c r="AJ234" s="210"/>
    </row>
    <row r="235" ht="12.75" customHeight="1">
      <c r="C235" s="210"/>
      <c r="D235" s="210"/>
      <c r="E235" s="210"/>
      <c r="F235" s="210"/>
      <c r="G235" s="210"/>
      <c r="H235" s="210"/>
      <c r="I235" s="210"/>
      <c r="J235" s="210"/>
      <c r="K235" s="210"/>
      <c r="L235" s="210"/>
      <c r="M235" s="210"/>
      <c r="N235" s="210"/>
      <c r="O235" s="210"/>
      <c r="P235" s="210"/>
      <c r="Q235" s="210"/>
      <c r="R235" s="210"/>
      <c r="S235" s="210"/>
      <c r="T235" s="210"/>
      <c r="U235" s="210"/>
      <c r="V235" s="210"/>
      <c r="W235" s="210"/>
      <c r="X235" s="210"/>
      <c r="Y235" s="210"/>
      <c r="Z235" s="210"/>
      <c r="AA235" s="210"/>
      <c r="AB235" s="210"/>
      <c r="AC235" s="210"/>
      <c r="AI235" s="210"/>
      <c r="AJ235" s="210"/>
    </row>
    <row r="236" ht="12.75" customHeight="1">
      <c r="C236" s="210"/>
      <c r="D236" s="210"/>
      <c r="E236" s="210"/>
      <c r="F236" s="210"/>
      <c r="G236" s="210"/>
      <c r="H236" s="210"/>
      <c r="I236" s="210"/>
      <c r="J236" s="210"/>
      <c r="K236" s="210"/>
      <c r="L236" s="210"/>
      <c r="M236" s="210"/>
      <c r="N236" s="210"/>
      <c r="O236" s="210"/>
      <c r="P236" s="210"/>
      <c r="Q236" s="210"/>
      <c r="R236" s="210"/>
      <c r="S236" s="210"/>
      <c r="T236" s="210"/>
      <c r="U236" s="210"/>
      <c r="V236" s="210"/>
      <c r="W236" s="210"/>
      <c r="X236" s="210"/>
      <c r="Y236" s="210"/>
      <c r="Z236" s="210"/>
      <c r="AA236" s="210"/>
      <c r="AB236" s="210"/>
      <c r="AC236" s="210"/>
      <c r="AI236" s="210"/>
      <c r="AJ236" s="210"/>
    </row>
    <row r="237" ht="12.75" customHeight="1">
      <c r="C237" s="210"/>
      <c r="D237" s="210"/>
      <c r="E237" s="210"/>
      <c r="F237" s="210"/>
      <c r="G237" s="210"/>
      <c r="H237" s="210"/>
      <c r="I237" s="210"/>
      <c r="J237" s="210"/>
      <c r="K237" s="210"/>
      <c r="L237" s="210"/>
      <c r="M237" s="210"/>
      <c r="N237" s="210"/>
      <c r="O237" s="210"/>
      <c r="P237" s="210"/>
      <c r="Q237" s="210"/>
      <c r="R237" s="210"/>
      <c r="S237" s="210"/>
      <c r="T237" s="210"/>
      <c r="U237" s="210"/>
      <c r="V237" s="210"/>
      <c r="W237" s="210"/>
      <c r="X237" s="210"/>
      <c r="Y237" s="210"/>
      <c r="Z237" s="210"/>
      <c r="AA237" s="210"/>
      <c r="AB237" s="210"/>
      <c r="AC237" s="210"/>
      <c r="AI237" s="210"/>
      <c r="AJ237" s="210"/>
    </row>
    <row r="238" ht="12.75" customHeight="1">
      <c r="C238" s="210"/>
      <c r="D238" s="210"/>
      <c r="E238" s="210"/>
      <c r="F238" s="210"/>
      <c r="G238" s="210"/>
      <c r="H238" s="210"/>
      <c r="I238" s="210"/>
      <c r="J238" s="210"/>
      <c r="K238" s="210"/>
      <c r="L238" s="210"/>
      <c r="M238" s="210"/>
      <c r="N238" s="210"/>
      <c r="O238" s="210"/>
      <c r="P238" s="210"/>
      <c r="Q238" s="210"/>
      <c r="R238" s="210"/>
      <c r="S238" s="210"/>
      <c r="T238" s="210"/>
      <c r="U238" s="210"/>
      <c r="V238" s="210"/>
      <c r="W238" s="210"/>
      <c r="X238" s="210"/>
      <c r="Y238" s="210"/>
      <c r="Z238" s="210"/>
      <c r="AA238" s="210"/>
      <c r="AB238" s="210"/>
      <c r="AC238" s="210"/>
      <c r="AI238" s="210"/>
      <c r="AJ238" s="210"/>
    </row>
    <row r="239" ht="12.75" customHeight="1">
      <c r="C239" s="210"/>
      <c r="D239" s="210"/>
      <c r="E239" s="210"/>
      <c r="F239" s="210"/>
      <c r="G239" s="210"/>
      <c r="H239" s="210"/>
      <c r="I239" s="210"/>
      <c r="J239" s="210"/>
      <c r="K239" s="210"/>
      <c r="L239" s="210"/>
      <c r="M239" s="210"/>
      <c r="N239" s="210"/>
      <c r="O239" s="210"/>
      <c r="P239" s="210"/>
      <c r="Q239" s="210"/>
      <c r="R239" s="210"/>
      <c r="S239" s="210"/>
      <c r="T239" s="210"/>
      <c r="U239" s="210"/>
      <c r="V239" s="210"/>
      <c r="W239" s="210"/>
      <c r="X239" s="210"/>
      <c r="Y239" s="210"/>
      <c r="Z239" s="210"/>
      <c r="AA239" s="210"/>
      <c r="AB239" s="210"/>
      <c r="AC239" s="210"/>
      <c r="AI239" s="210"/>
      <c r="AJ239" s="210"/>
    </row>
    <row r="240" ht="12.75" customHeight="1">
      <c r="C240" s="210"/>
      <c r="D240" s="210"/>
      <c r="E240" s="210"/>
      <c r="F240" s="210"/>
      <c r="G240" s="210"/>
      <c r="H240" s="210"/>
      <c r="I240" s="210"/>
      <c r="J240" s="210"/>
      <c r="K240" s="210"/>
      <c r="L240" s="210"/>
      <c r="M240" s="210"/>
      <c r="N240" s="210"/>
      <c r="O240" s="210"/>
      <c r="P240" s="210"/>
      <c r="Q240" s="210"/>
      <c r="R240" s="210"/>
      <c r="S240" s="210"/>
      <c r="T240" s="210"/>
      <c r="U240" s="210"/>
      <c r="V240" s="210"/>
      <c r="W240" s="210"/>
      <c r="X240" s="210"/>
      <c r="Y240" s="210"/>
      <c r="Z240" s="210"/>
      <c r="AA240" s="210"/>
      <c r="AB240" s="210"/>
      <c r="AC240" s="210"/>
      <c r="AI240" s="210"/>
      <c r="AJ240" s="210"/>
    </row>
    <row r="241" ht="12.75" customHeight="1">
      <c r="C241" s="210"/>
      <c r="D241" s="210"/>
      <c r="E241" s="210"/>
      <c r="F241" s="210"/>
      <c r="G241" s="210"/>
      <c r="H241" s="210"/>
      <c r="I241" s="210"/>
      <c r="J241" s="210"/>
      <c r="K241" s="210"/>
      <c r="L241" s="210"/>
      <c r="M241" s="210"/>
      <c r="N241" s="210"/>
      <c r="O241" s="210"/>
      <c r="P241" s="210"/>
      <c r="Q241" s="210"/>
      <c r="R241" s="210"/>
      <c r="S241" s="210"/>
      <c r="T241" s="210"/>
      <c r="U241" s="210"/>
      <c r="V241" s="210"/>
      <c r="W241" s="210"/>
      <c r="X241" s="210"/>
      <c r="Y241" s="210"/>
      <c r="Z241" s="210"/>
      <c r="AA241" s="210"/>
      <c r="AB241" s="210"/>
      <c r="AC241" s="210"/>
      <c r="AI241" s="210"/>
      <c r="AJ241" s="210"/>
    </row>
    <row r="242" ht="12.75" customHeight="1">
      <c r="C242" s="210"/>
      <c r="D242" s="210"/>
      <c r="E242" s="210"/>
      <c r="F242" s="210"/>
      <c r="G242" s="210"/>
      <c r="H242" s="210"/>
      <c r="I242" s="210"/>
      <c r="J242" s="210"/>
      <c r="K242" s="210"/>
      <c r="L242" s="210"/>
      <c r="M242" s="210"/>
      <c r="N242" s="210"/>
      <c r="O242" s="210"/>
      <c r="P242" s="210"/>
      <c r="Q242" s="210"/>
      <c r="R242" s="210"/>
      <c r="S242" s="210"/>
      <c r="T242" s="210"/>
      <c r="U242" s="210"/>
      <c r="V242" s="210"/>
      <c r="W242" s="210"/>
      <c r="X242" s="210"/>
      <c r="Y242" s="210"/>
      <c r="Z242" s="210"/>
      <c r="AA242" s="210"/>
      <c r="AB242" s="210"/>
      <c r="AC242" s="210"/>
      <c r="AI242" s="210"/>
      <c r="AJ242" s="210"/>
    </row>
    <row r="243" ht="12.75" customHeight="1">
      <c r="C243" s="210"/>
      <c r="D243" s="210"/>
      <c r="E243" s="210"/>
      <c r="F243" s="210"/>
      <c r="G243" s="210"/>
      <c r="H243" s="210"/>
      <c r="I243" s="210"/>
      <c r="J243" s="210"/>
      <c r="K243" s="210"/>
      <c r="L243" s="210"/>
      <c r="M243" s="210"/>
      <c r="N243" s="210"/>
      <c r="O243" s="210"/>
      <c r="P243" s="210"/>
      <c r="Q243" s="210"/>
      <c r="R243" s="210"/>
      <c r="S243" s="210"/>
      <c r="T243" s="210"/>
      <c r="U243" s="210"/>
      <c r="V243" s="210"/>
      <c r="W243" s="210"/>
      <c r="X243" s="210"/>
      <c r="Y243" s="210"/>
      <c r="Z243" s="210"/>
      <c r="AA243" s="210"/>
      <c r="AB243" s="210"/>
      <c r="AC243" s="210"/>
      <c r="AI243" s="210"/>
      <c r="AJ243" s="210"/>
    </row>
    <row r="244" ht="12.75" customHeight="1">
      <c r="C244" s="210"/>
      <c r="D244" s="210"/>
      <c r="E244" s="210"/>
      <c r="F244" s="210"/>
      <c r="G244" s="210"/>
      <c r="H244" s="210"/>
      <c r="I244" s="210"/>
      <c r="J244" s="210"/>
      <c r="K244" s="210"/>
      <c r="L244" s="210"/>
      <c r="M244" s="210"/>
      <c r="N244" s="210"/>
      <c r="O244" s="210"/>
      <c r="P244" s="210"/>
      <c r="Q244" s="210"/>
      <c r="R244" s="210"/>
      <c r="S244" s="210"/>
      <c r="T244" s="210"/>
      <c r="U244" s="210"/>
      <c r="V244" s="210"/>
      <c r="W244" s="210"/>
      <c r="X244" s="210"/>
      <c r="Y244" s="210"/>
      <c r="Z244" s="210"/>
      <c r="AA244" s="210"/>
      <c r="AB244" s="210"/>
      <c r="AC244" s="210"/>
      <c r="AI244" s="210"/>
      <c r="AJ244" s="210"/>
    </row>
    <row r="245" ht="12.75" customHeight="1">
      <c r="C245" s="210"/>
      <c r="D245" s="210"/>
      <c r="E245" s="210"/>
      <c r="F245" s="210"/>
      <c r="G245" s="210"/>
      <c r="H245" s="210"/>
      <c r="I245" s="210"/>
      <c r="J245" s="210"/>
      <c r="K245" s="210"/>
      <c r="L245" s="210"/>
      <c r="M245" s="210"/>
      <c r="N245" s="210"/>
      <c r="O245" s="210"/>
      <c r="P245" s="210"/>
      <c r="Q245" s="210"/>
      <c r="R245" s="210"/>
      <c r="S245" s="210"/>
      <c r="T245" s="210"/>
      <c r="U245" s="210"/>
      <c r="V245" s="210"/>
      <c r="W245" s="210"/>
      <c r="X245" s="210"/>
      <c r="Y245" s="210"/>
      <c r="Z245" s="210"/>
      <c r="AA245" s="210"/>
      <c r="AB245" s="210"/>
      <c r="AC245" s="210"/>
      <c r="AI245" s="210"/>
      <c r="AJ245" s="210"/>
    </row>
    <row r="246" ht="12.75" customHeight="1">
      <c r="C246" s="210"/>
      <c r="D246" s="210"/>
      <c r="E246" s="210"/>
      <c r="F246" s="210"/>
      <c r="G246" s="210"/>
      <c r="H246" s="210"/>
      <c r="I246" s="210"/>
      <c r="J246" s="210"/>
      <c r="K246" s="210"/>
      <c r="L246" s="210"/>
      <c r="M246" s="210"/>
      <c r="N246" s="210"/>
      <c r="O246" s="210"/>
      <c r="P246" s="210"/>
      <c r="Q246" s="210"/>
      <c r="R246" s="210"/>
      <c r="S246" s="210"/>
      <c r="T246" s="210"/>
      <c r="U246" s="210"/>
      <c r="V246" s="210"/>
      <c r="W246" s="210"/>
      <c r="X246" s="210"/>
      <c r="Y246" s="210"/>
      <c r="Z246" s="210"/>
      <c r="AA246" s="210"/>
      <c r="AB246" s="210"/>
      <c r="AC246" s="210"/>
      <c r="AI246" s="210"/>
      <c r="AJ246" s="210"/>
    </row>
    <row r="247" ht="12.75" customHeight="1">
      <c r="C247" s="210"/>
      <c r="D247" s="210"/>
      <c r="E247" s="210"/>
      <c r="F247" s="210"/>
      <c r="G247" s="210"/>
      <c r="H247" s="210"/>
      <c r="I247" s="210"/>
      <c r="J247" s="210"/>
      <c r="K247" s="210"/>
      <c r="L247" s="210"/>
      <c r="M247" s="210"/>
      <c r="N247" s="210"/>
      <c r="O247" s="210"/>
      <c r="P247" s="210"/>
      <c r="Q247" s="210"/>
      <c r="R247" s="210"/>
      <c r="S247" s="210"/>
      <c r="T247" s="210"/>
      <c r="U247" s="210"/>
      <c r="V247" s="210"/>
      <c r="W247" s="210"/>
      <c r="X247" s="210"/>
      <c r="Y247" s="210"/>
      <c r="Z247" s="210"/>
      <c r="AA247" s="210"/>
      <c r="AB247" s="210"/>
      <c r="AC247" s="210"/>
      <c r="AI247" s="210"/>
      <c r="AJ247" s="210"/>
    </row>
    <row r="248" ht="12.75" customHeight="1">
      <c r="C248" s="210"/>
      <c r="D248" s="210"/>
      <c r="E248" s="210"/>
      <c r="F248" s="210"/>
      <c r="G248" s="210"/>
      <c r="H248" s="210"/>
      <c r="I248" s="210"/>
      <c r="J248" s="210"/>
      <c r="K248" s="210"/>
      <c r="L248" s="210"/>
      <c r="M248" s="210"/>
      <c r="N248" s="210"/>
      <c r="O248" s="210"/>
      <c r="P248" s="210"/>
      <c r="Q248" s="210"/>
      <c r="R248" s="210"/>
      <c r="S248" s="210"/>
      <c r="T248" s="210"/>
      <c r="U248" s="210"/>
      <c r="V248" s="210"/>
      <c r="W248" s="210"/>
      <c r="X248" s="210"/>
      <c r="Y248" s="210"/>
      <c r="Z248" s="210"/>
      <c r="AA248" s="210"/>
      <c r="AB248" s="210"/>
      <c r="AC248" s="210"/>
      <c r="AI248" s="210"/>
      <c r="AJ248" s="210"/>
    </row>
    <row r="249" ht="12.75" customHeight="1">
      <c r="C249" s="210"/>
      <c r="D249" s="210"/>
      <c r="E249" s="210"/>
      <c r="F249" s="210"/>
      <c r="G249" s="210"/>
      <c r="H249" s="210"/>
      <c r="I249" s="210"/>
      <c r="J249" s="210"/>
      <c r="K249" s="210"/>
      <c r="L249" s="210"/>
      <c r="M249" s="210"/>
      <c r="N249" s="210"/>
      <c r="O249" s="210"/>
      <c r="P249" s="210"/>
      <c r="Q249" s="210"/>
      <c r="R249" s="210"/>
      <c r="S249" s="210"/>
      <c r="T249" s="210"/>
      <c r="U249" s="210"/>
      <c r="V249" s="210"/>
      <c r="W249" s="210"/>
      <c r="X249" s="210"/>
      <c r="Y249" s="210"/>
      <c r="Z249" s="210"/>
      <c r="AA249" s="210"/>
      <c r="AB249" s="210"/>
      <c r="AC249" s="210"/>
      <c r="AI249" s="210"/>
      <c r="AJ249" s="210"/>
    </row>
    <row r="250" ht="12.75" customHeight="1">
      <c r="C250" s="210"/>
      <c r="D250" s="210"/>
      <c r="E250" s="210"/>
      <c r="F250" s="210"/>
      <c r="G250" s="210"/>
      <c r="H250" s="210"/>
      <c r="I250" s="210"/>
      <c r="J250" s="210"/>
      <c r="K250" s="210"/>
      <c r="L250" s="210"/>
      <c r="M250" s="210"/>
      <c r="N250" s="210"/>
      <c r="O250" s="210"/>
      <c r="P250" s="210"/>
      <c r="Q250" s="210"/>
      <c r="R250" s="210"/>
      <c r="S250" s="210"/>
      <c r="T250" s="210"/>
      <c r="U250" s="210"/>
      <c r="V250" s="210"/>
      <c r="W250" s="210"/>
      <c r="X250" s="210"/>
      <c r="Y250" s="210"/>
      <c r="Z250" s="210"/>
      <c r="AA250" s="210"/>
      <c r="AB250" s="210"/>
      <c r="AC250" s="210"/>
      <c r="AI250" s="210"/>
      <c r="AJ250" s="210"/>
    </row>
    <row r="251" ht="12.75" customHeight="1">
      <c r="C251" s="210"/>
      <c r="D251" s="210"/>
      <c r="E251" s="210"/>
      <c r="F251" s="210"/>
      <c r="G251" s="210"/>
      <c r="H251" s="210"/>
      <c r="I251" s="210"/>
      <c r="J251" s="210"/>
      <c r="K251" s="210"/>
      <c r="L251" s="210"/>
      <c r="M251" s="210"/>
      <c r="N251" s="210"/>
      <c r="O251" s="210"/>
      <c r="P251" s="210"/>
      <c r="Q251" s="210"/>
      <c r="R251" s="210"/>
      <c r="S251" s="210"/>
      <c r="T251" s="210"/>
      <c r="U251" s="210"/>
      <c r="V251" s="210"/>
      <c r="W251" s="210"/>
      <c r="X251" s="210"/>
      <c r="Y251" s="210"/>
      <c r="Z251" s="210"/>
      <c r="AA251" s="210"/>
      <c r="AB251" s="210"/>
      <c r="AC251" s="210"/>
      <c r="AI251" s="210"/>
      <c r="AJ251" s="210"/>
    </row>
    <row r="252" ht="12.75" customHeight="1">
      <c r="C252" s="210"/>
      <c r="D252" s="210"/>
      <c r="E252" s="210"/>
      <c r="F252" s="210"/>
      <c r="G252" s="210"/>
      <c r="H252" s="210"/>
      <c r="I252" s="210"/>
      <c r="J252" s="210"/>
      <c r="K252" s="210"/>
      <c r="L252" s="210"/>
      <c r="M252" s="210"/>
      <c r="N252" s="210"/>
      <c r="O252" s="210"/>
      <c r="P252" s="210"/>
      <c r="Q252" s="210"/>
      <c r="R252" s="210"/>
      <c r="S252" s="210"/>
      <c r="T252" s="210"/>
      <c r="U252" s="210"/>
      <c r="V252" s="210"/>
      <c r="W252" s="210"/>
      <c r="X252" s="210"/>
      <c r="Y252" s="210"/>
      <c r="Z252" s="210"/>
      <c r="AA252" s="210"/>
      <c r="AB252" s="210"/>
      <c r="AC252" s="210"/>
      <c r="AI252" s="210"/>
      <c r="AJ252" s="210"/>
    </row>
    <row r="253" ht="12.75" customHeight="1">
      <c r="C253" s="210"/>
      <c r="D253" s="210"/>
      <c r="E253" s="210"/>
      <c r="F253" s="210"/>
      <c r="G253" s="210"/>
      <c r="H253" s="210"/>
      <c r="I253" s="210"/>
      <c r="J253" s="210"/>
      <c r="K253" s="210"/>
      <c r="L253" s="210"/>
      <c r="M253" s="210"/>
      <c r="N253" s="210"/>
      <c r="O253" s="210"/>
      <c r="P253" s="210"/>
      <c r="Q253" s="210"/>
      <c r="R253" s="210"/>
      <c r="S253" s="210"/>
      <c r="T253" s="210"/>
      <c r="U253" s="210"/>
      <c r="V253" s="210"/>
      <c r="W253" s="210"/>
      <c r="X253" s="210"/>
      <c r="Y253" s="210"/>
      <c r="Z253" s="210"/>
      <c r="AA253" s="210"/>
      <c r="AB253" s="210"/>
      <c r="AC253" s="210"/>
      <c r="AI253" s="210"/>
      <c r="AJ253" s="210"/>
    </row>
    <row r="254" ht="12.75" customHeight="1">
      <c r="C254" s="210"/>
      <c r="D254" s="210"/>
      <c r="E254" s="210"/>
      <c r="F254" s="210"/>
      <c r="G254" s="210"/>
      <c r="H254" s="210"/>
      <c r="I254" s="210"/>
      <c r="J254" s="210"/>
      <c r="K254" s="210"/>
      <c r="L254" s="210"/>
      <c r="M254" s="210"/>
      <c r="N254" s="210"/>
      <c r="O254" s="210"/>
      <c r="P254" s="210"/>
      <c r="Q254" s="210"/>
      <c r="R254" s="210"/>
      <c r="S254" s="210"/>
      <c r="T254" s="210"/>
      <c r="U254" s="210"/>
      <c r="V254" s="210"/>
      <c r="W254" s="210"/>
      <c r="X254" s="210"/>
      <c r="Y254" s="210"/>
      <c r="Z254" s="210"/>
      <c r="AA254" s="210"/>
      <c r="AB254" s="210"/>
      <c r="AC254" s="210"/>
      <c r="AI254" s="210"/>
      <c r="AJ254" s="210"/>
    </row>
    <row r="255" ht="12.75" customHeight="1">
      <c r="C255" s="210"/>
      <c r="D255" s="210"/>
      <c r="E255" s="210"/>
      <c r="F255" s="210"/>
      <c r="G255" s="210"/>
      <c r="H255" s="210"/>
      <c r="I255" s="210"/>
      <c r="J255" s="210"/>
      <c r="K255" s="210"/>
      <c r="L255" s="210"/>
      <c r="M255" s="210"/>
      <c r="N255" s="210"/>
      <c r="O255" s="210"/>
      <c r="P255" s="210"/>
      <c r="Q255" s="210"/>
      <c r="R255" s="210"/>
      <c r="S255" s="210"/>
      <c r="T255" s="210"/>
      <c r="U255" s="210"/>
      <c r="V255" s="210"/>
      <c r="W255" s="210"/>
      <c r="X255" s="210"/>
      <c r="Y255" s="210"/>
      <c r="Z255" s="210"/>
      <c r="AA255" s="210"/>
      <c r="AB255" s="210"/>
      <c r="AC255" s="210"/>
      <c r="AI255" s="210"/>
      <c r="AJ255" s="210"/>
    </row>
    <row r="256" ht="12.75" customHeight="1">
      <c r="C256" s="210"/>
      <c r="D256" s="210"/>
      <c r="E256" s="210"/>
      <c r="F256" s="210"/>
      <c r="G256" s="210"/>
      <c r="H256" s="210"/>
      <c r="I256" s="210"/>
      <c r="J256" s="210"/>
      <c r="K256" s="210"/>
      <c r="L256" s="210"/>
      <c r="M256" s="210"/>
      <c r="N256" s="210"/>
      <c r="O256" s="210"/>
      <c r="P256" s="210"/>
      <c r="Q256" s="210"/>
      <c r="R256" s="210"/>
      <c r="S256" s="210"/>
      <c r="T256" s="210"/>
      <c r="U256" s="210"/>
      <c r="V256" s="210"/>
      <c r="W256" s="210"/>
      <c r="X256" s="210"/>
      <c r="Y256" s="210"/>
      <c r="Z256" s="210"/>
      <c r="AA256" s="210"/>
      <c r="AB256" s="210"/>
      <c r="AC256" s="210"/>
      <c r="AI256" s="210"/>
      <c r="AJ256" s="210"/>
    </row>
    <row r="257" ht="12.75" customHeight="1">
      <c r="C257" s="210"/>
      <c r="D257" s="210"/>
      <c r="E257" s="210"/>
      <c r="F257" s="210"/>
      <c r="G257" s="210"/>
      <c r="H257" s="210"/>
      <c r="I257" s="210"/>
      <c r="J257" s="210"/>
      <c r="K257" s="210"/>
      <c r="L257" s="210"/>
      <c r="M257" s="210"/>
      <c r="N257" s="210"/>
      <c r="O257" s="210"/>
      <c r="P257" s="210"/>
      <c r="Q257" s="210"/>
      <c r="R257" s="210"/>
      <c r="S257" s="210"/>
      <c r="T257" s="210"/>
      <c r="U257" s="210"/>
      <c r="V257" s="210"/>
      <c r="W257" s="210"/>
      <c r="X257" s="210"/>
      <c r="Y257" s="210"/>
      <c r="Z257" s="210"/>
      <c r="AA257" s="210"/>
      <c r="AB257" s="210"/>
      <c r="AC257" s="210"/>
      <c r="AI257" s="210"/>
      <c r="AJ257" s="210"/>
    </row>
    <row r="258" ht="12.75" customHeight="1">
      <c r="C258" s="210"/>
      <c r="D258" s="210"/>
      <c r="E258" s="210"/>
      <c r="F258" s="210"/>
      <c r="G258" s="210"/>
      <c r="H258" s="210"/>
      <c r="I258" s="210"/>
      <c r="J258" s="210"/>
      <c r="K258" s="210"/>
      <c r="L258" s="210"/>
      <c r="M258" s="210"/>
      <c r="N258" s="210"/>
      <c r="O258" s="210"/>
      <c r="P258" s="210"/>
      <c r="Q258" s="210"/>
      <c r="R258" s="210"/>
      <c r="S258" s="210"/>
      <c r="T258" s="210"/>
      <c r="U258" s="210"/>
      <c r="V258" s="210"/>
      <c r="W258" s="210"/>
      <c r="X258" s="210"/>
      <c r="Y258" s="210"/>
      <c r="Z258" s="210"/>
      <c r="AA258" s="210"/>
      <c r="AB258" s="210"/>
      <c r="AC258" s="210"/>
      <c r="AI258" s="210"/>
      <c r="AJ258" s="210"/>
    </row>
    <row r="259" ht="12.75" customHeight="1">
      <c r="C259" s="210"/>
      <c r="D259" s="210"/>
      <c r="E259" s="210"/>
      <c r="F259" s="210"/>
      <c r="G259" s="210"/>
      <c r="H259" s="210"/>
      <c r="I259" s="210"/>
      <c r="J259" s="210"/>
      <c r="K259" s="210"/>
      <c r="L259" s="210"/>
      <c r="M259" s="210"/>
      <c r="N259" s="210"/>
      <c r="O259" s="210"/>
      <c r="P259" s="210"/>
      <c r="Q259" s="210"/>
      <c r="R259" s="210"/>
      <c r="S259" s="210"/>
      <c r="T259" s="210"/>
      <c r="U259" s="210"/>
      <c r="V259" s="210"/>
      <c r="W259" s="210"/>
      <c r="X259" s="210"/>
      <c r="Y259" s="210"/>
      <c r="Z259" s="210"/>
      <c r="AA259" s="210"/>
      <c r="AB259" s="210"/>
      <c r="AC259" s="210"/>
      <c r="AI259" s="210"/>
      <c r="AJ259" s="210"/>
    </row>
    <row r="260" ht="12.75" customHeight="1">
      <c r="C260" s="210"/>
      <c r="D260" s="210"/>
      <c r="E260" s="210"/>
      <c r="F260" s="210"/>
      <c r="G260" s="210"/>
      <c r="H260" s="210"/>
      <c r="I260" s="210"/>
      <c r="J260" s="210"/>
      <c r="K260" s="210"/>
      <c r="L260" s="210"/>
      <c r="M260" s="210"/>
      <c r="N260" s="210"/>
      <c r="O260" s="210"/>
      <c r="P260" s="210"/>
      <c r="Q260" s="210"/>
      <c r="R260" s="210"/>
      <c r="S260" s="210"/>
      <c r="T260" s="210"/>
      <c r="U260" s="210"/>
      <c r="V260" s="210"/>
      <c r="W260" s="210"/>
      <c r="X260" s="210"/>
      <c r="Y260" s="210"/>
      <c r="Z260" s="210"/>
      <c r="AA260" s="210"/>
      <c r="AB260" s="210"/>
      <c r="AC260" s="210"/>
      <c r="AI260" s="210"/>
      <c r="AJ260" s="210"/>
    </row>
    <row r="261" ht="12.75" customHeight="1">
      <c r="C261" s="210"/>
      <c r="D261" s="210"/>
      <c r="E261" s="210"/>
      <c r="F261" s="210"/>
      <c r="G261" s="210"/>
      <c r="H261" s="210"/>
      <c r="I261" s="210"/>
      <c r="J261" s="210"/>
      <c r="K261" s="210"/>
      <c r="L261" s="210"/>
      <c r="M261" s="210"/>
      <c r="N261" s="210"/>
      <c r="O261" s="210"/>
      <c r="P261" s="210"/>
      <c r="Q261" s="210"/>
      <c r="R261" s="210"/>
      <c r="S261" s="210"/>
      <c r="T261" s="210"/>
      <c r="U261" s="210"/>
      <c r="V261" s="210"/>
      <c r="W261" s="210"/>
      <c r="X261" s="210"/>
      <c r="Y261" s="210"/>
      <c r="Z261" s="210"/>
      <c r="AA261" s="210"/>
      <c r="AB261" s="210"/>
      <c r="AC261" s="210"/>
      <c r="AI261" s="210"/>
      <c r="AJ261" s="210"/>
    </row>
    <row r="262" ht="12.75" customHeight="1">
      <c r="C262" s="210"/>
      <c r="D262" s="210"/>
      <c r="E262" s="210"/>
      <c r="F262" s="210"/>
      <c r="G262" s="210"/>
      <c r="H262" s="210"/>
      <c r="I262" s="210"/>
      <c r="J262" s="210"/>
      <c r="K262" s="210"/>
      <c r="L262" s="210"/>
      <c r="M262" s="210"/>
      <c r="N262" s="210"/>
      <c r="O262" s="210"/>
      <c r="P262" s="210"/>
      <c r="Q262" s="210"/>
      <c r="R262" s="210"/>
      <c r="S262" s="210"/>
      <c r="T262" s="210"/>
      <c r="U262" s="210"/>
      <c r="V262" s="210"/>
      <c r="W262" s="210"/>
      <c r="X262" s="210"/>
      <c r="Y262" s="210"/>
      <c r="Z262" s="210"/>
      <c r="AA262" s="210"/>
      <c r="AB262" s="210"/>
      <c r="AC262" s="210"/>
      <c r="AI262" s="210"/>
      <c r="AJ262" s="210"/>
    </row>
    <row r="263" ht="12.75" customHeight="1">
      <c r="C263" s="210"/>
      <c r="D263" s="210"/>
      <c r="E263" s="210"/>
      <c r="F263" s="210"/>
      <c r="G263" s="210"/>
      <c r="H263" s="210"/>
      <c r="I263" s="210"/>
      <c r="J263" s="210"/>
      <c r="K263" s="210"/>
      <c r="L263" s="210"/>
      <c r="M263" s="210"/>
      <c r="N263" s="210"/>
      <c r="O263" s="210"/>
      <c r="P263" s="210"/>
      <c r="Q263" s="210"/>
      <c r="R263" s="210"/>
      <c r="S263" s="210"/>
      <c r="T263" s="210"/>
      <c r="U263" s="210"/>
      <c r="V263" s="210"/>
      <c r="W263" s="210"/>
      <c r="X263" s="210"/>
      <c r="Y263" s="210"/>
      <c r="Z263" s="210"/>
      <c r="AA263" s="210"/>
      <c r="AB263" s="210"/>
      <c r="AC263" s="210"/>
      <c r="AI263" s="210"/>
      <c r="AJ263" s="210"/>
    </row>
    <row r="264" ht="12.75" customHeight="1">
      <c r="C264" s="210"/>
      <c r="D264" s="210"/>
      <c r="E264" s="210"/>
      <c r="F264" s="210"/>
      <c r="G264" s="210"/>
      <c r="H264" s="210"/>
      <c r="I264" s="210"/>
      <c r="J264" s="210"/>
      <c r="K264" s="210"/>
      <c r="L264" s="210"/>
      <c r="M264" s="210"/>
      <c r="N264" s="210"/>
      <c r="O264" s="210"/>
      <c r="P264" s="210"/>
      <c r="Q264" s="210"/>
      <c r="R264" s="210"/>
      <c r="S264" s="210"/>
      <c r="T264" s="210"/>
      <c r="U264" s="210"/>
      <c r="V264" s="210"/>
      <c r="W264" s="210"/>
      <c r="X264" s="210"/>
      <c r="Y264" s="210"/>
      <c r="Z264" s="210"/>
      <c r="AA264" s="210"/>
      <c r="AB264" s="210"/>
      <c r="AC264" s="210"/>
      <c r="AI264" s="210"/>
      <c r="AJ264" s="210"/>
    </row>
    <row r="265" ht="12.75" customHeight="1">
      <c r="C265" s="210"/>
      <c r="D265" s="210"/>
      <c r="E265" s="210"/>
      <c r="F265" s="210"/>
      <c r="G265" s="210"/>
      <c r="H265" s="210"/>
      <c r="I265" s="210"/>
      <c r="J265" s="210"/>
      <c r="K265" s="210"/>
      <c r="L265" s="210"/>
      <c r="M265" s="210"/>
      <c r="N265" s="210"/>
      <c r="O265" s="210"/>
      <c r="P265" s="210"/>
      <c r="Q265" s="210"/>
      <c r="R265" s="210"/>
      <c r="S265" s="210"/>
      <c r="T265" s="210"/>
      <c r="U265" s="210"/>
      <c r="V265" s="210"/>
      <c r="W265" s="210"/>
      <c r="X265" s="210"/>
      <c r="Y265" s="210"/>
      <c r="Z265" s="210"/>
      <c r="AA265" s="210"/>
      <c r="AB265" s="210"/>
      <c r="AC265" s="210"/>
      <c r="AI265" s="210"/>
      <c r="AJ265" s="210"/>
    </row>
    <row r="266" ht="12.75" customHeight="1">
      <c r="C266" s="210"/>
      <c r="D266" s="210"/>
      <c r="E266" s="210"/>
      <c r="F266" s="210"/>
      <c r="G266" s="210"/>
      <c r="H266" s="210"/>
      <c r="I266" s="210"/>
      <c r="J266" s="210"/>
      <c r="K266" s="210"/>
      <c r="L266" s="210"/>
      <c r="M266" s="210"/>
      <c r="N266" s="210"/>
      <c r="O266" s="210"/>
      <c r="P266" s="210"/>
      <c r="Q266" s="210"/>
      <c r="R266" s="210"/>
      <c r="S266" s="210"/>
      <c r="T266" s="210"/>
      <c r="U266" s="210"/>
      <c r="V266" s="210"/>
      <c r="W266" s="210"/>
      <c r="X266" s="210"/>
      <c r="Y266" s="210"/>
      <c r="Z266" s="210"/>
      <c r="AA266" s="210"/>
      <c r="AB266" s="210"/>
      <c r="AC266" s="210"/>
      <c r="AI266" s="210"/>
      <c r="AJ266" s="210"/>
    </row>
    <row r="267" ht="12.75" customHeight="1">
      <c r="C267" s="210"/>
      <c r="D267" s="210"/>
      <c r="E267" s="210"/>
      <c r="F267" s="210"/>
      <c r="G267" s="210"/>
      <c r="H267" s="210"/>
      <c r="I267" s="210"/>
      <c r="J267" s="210"/>
      <c r="K267" s="210"/>
      <c r="L267" s="210"/>
      <c r="M267" s="210"/>
      <c r="N267" s="210"/>
      <c r="O267" s="210"/>
      <c r="P267" s="210"/>
      <c r="Q267" s="210"/>
      <c r="R267" s="210"/>
      <c r="S267" s="210"/>
      <c r="T267" s="210"/>
      <c r="U267" s="210"/>
      <c r="V267" s="210"/>
      <c r="W267" s="210"/>
      <c r="X267" s="210"/>
      <c r="Y267" s="210"/>
      <c r="Z267" s="210"/>
      <c r="AA267" s="210"/>
      <c r="AB267" s="210"/>
      <c r="AC267" s="210"/>
      <c r="AI267" s="210"/>
      <c r="AJ267" s="210"/>
    </row>
    <row r="268" ht="12.75" customHeight="1">
      <c r="C268" s="210"/>
      <c r="D268" s="210"/>
      <c r="E268" s="210"/>
      <c r="F268" s="210"/>
      <c r="G268" s="210"/>
      <c r="H268" s="210"/>
      <c r="I268" s="210"/>
      <c r="J268" s="210"/>
      <c r="K268" s="210"/>
      <c r="L268" s="210"/>
      <c r="M268" s="210"/>
      <c r="N268" s="210"/>
      <c r="O268" s="210"/>
      <c r="P268" s="210"/>
      <c r="Q268" s="210"/>
      <c r="R268" s="210"/>
      <c r="S268" s="210"/>
      <c r="T268" s="210"/>
      <c r="U268" s="210"/>
      <c r="V268" s="210"/>
      <c r="W268" s="210"/>
      <c r="X268" s="210"/>
      <c r="Y268" s="210"/>
      <c r="Z268" s="210"/>
      <c r="AA268" s="210"/>
      <c r="AB268" s="210"/>
      <c r="AC268" s="210"/>
      <c r="AI268" s="210"/>
      <c r="AJ268" s="210"/>
    </row>
    <row r="269" ht="12.75" customHeight="1">
      <c r="C269" s="210"/>
      <c r="D269" s="210"/>
      <c r="E269" s="210"/>
      <c r="F269" s="210"/>
      <c r="G269" s="210"/>
      <c r="H269" s="210"/>
      <c r="I269" s="210"/>
      <c r="J269" s="210"/>
      <c r="K269" s="210"/>
      <c r="L269" s="210"/>
      <c r="M269" s="210"/>
      <c r="N269" s="210"/>
      <c r="O269" s="210"/>
      <c r="P269" s="210"/>
      <c r="Q269" s="210"/>
      <c r="R269" s="210"/>
      <c r="S269" s="210"/>
      <c r="T269" s="210"/>
      <c r="U269" s="210"/>
      <c r="V269" s="210"/>
      <c r="W269" s="210"/>
      <c r="X269" s="210"/>
      <c r="Y269" s="210"/>
      <c r="Z269" s="210"/>
      <c r="AA269" s="210"/>
      <c r="AB269" s="210"/>
      <c r="AC269" s="210"/>
      <c r="AI269" s="210"/>
      <c r="AJ269" s="210"/>
    </row>
    <row r="270" ht="12.75" customHeight="1">
      <c r="C270" s="210"/>
      <c r="D270" s="210"/>
      <c r="E270" s="210"/>
      <c r="F270" s="210"/>
      <c r="G270" s="210"/>
      <c r="H270" s="210"/>
      <c r="I270" s="210"/>
      <c r="J270" s="210"/>
      <c r="K270" s="210"/>
      <c r="L270" s="210"/>
      <c r="M270" s="210"/>
      <c r="N270" s="210"/>
      <c r="O270" s="210"/>
      <c r="P270" s="210"/>
      <c r="Q270" s="210"/>
      <c r="R270" s="210"/>
      <c r="S270" s="210"/>
      <c r="T270" s="210"/>
      <c r="U270" s="210"/>
      <c r="V270" s="210"/>
      <c r="W270" s="210"/>
      <c r="X270" s="210"/>
      <c r="Y270" s="210"/>
      <c r="Z270" s="210"/>
      <c r="AA270" s="210"/>
      <c r="AB270" s="210"/>
      <c r="AC270" s="210"/>
      <c r="AI270" s="210"/>
      <c r="AJ270" s="210"/>
    </row>
    <row r="271" ht="12.75" customHeight="1">
      <c r="C271" s="210"/>
      <c r="D271" s="210"/>
      <c r="E271" s="210"/>
      <c r="F271" s="210"/>
      <c r="G271" s="210"/>
      <c r="H271" s="210"/>
      <c r="I271" s="210"/>
      <c r="J271" s="210"/>
      <c r="K271" s="210"/>
      <c r="L271" s="210"/>
      <c r="M271" s="210"/>
      <c r="N271" s="210"/>
      <c r="O271" s="210"/>
      <c r="P271" s="210"/>
      <c r="Q271" s="210"/>
      <c r="R271" s="210"/>
      <c r="S271" s="210"/>
      <c r="T271" s="210"/>
      <c r="U271" s="210"/>
      <c r="V271" s="210"/>
      <c r="W271" s="210"/>
      <c r="X271" s="210"/>
      <c r="Y271" s="210"/>
      <c r="Z271" s="210"/>
      <c r="AA271" s="210"/>
      <c r="AB271" s="210"/>
      <c r="AC271" s="210"/>
      <c r="AI271" s="210"/>
      <c r="AJ271" s="210"/>
    </row>
    <row r="272" ht="12.75" customHeight="1">
      <c r="C272" s="210"/>
      <c r="D272" s="210"/>
      <c r="E272" s="210"/>
      <c r="F272" s="210"/>
      <c r="G272" s="210"/>
      <c r="H272" s="210"/>
      <c r="I272" s="210"/>
      <c r="J272" s="210"/>
      <c r="K272" s="210"/>
      <c r="L272" s="210"/>
      <c r="M272" s="210"/>
      <c r="N272" s="210"/>
      <c r="O272" s="210"/>
      <c r="P272" s="210"/>
      <c r="Q272" s="210"/>
      <c r="R272" s="210"/>
      <c r="S272" s="210"/>
      <c r="T272" s="210"/>
      <c r="U272" s="210"/>
      <c r="V272" s="210"/>
      <c r="W272" s="210"/>
      <c r="X272" s="210"/>
      <c r="Y272" s="210"/>
      <c r="Z272" s="210"/>
      <c r="AA272" s="210"/>
      <c r="AB272" s="210"/>
      <c r="AC272" s="210"/>
      <c r="AI272" s="210"/>
      <c r="AJ272" s="210"/>
    </row>
    <row r="273" ht="12.75" customHeight="1">
      <c r="C273" s="210"/>
      <c r="D273" s="210"/>
      <c r="E273" s="210"/>
      <c r="F273" s="210"/>
      <c r="G273" s="210"/>
      <c r="H273" s="210"/>
      <c r="I273" s="210"/>
      <c r="J273" s="210"/>
      <c r="K273" s="210"/>
      <c r="L273" s="210"/>
      <c r="M273" s="210"/>
      <c r="N273" s="210"/>
      <c r="O273" s="210"/>
      <c r="P273" s="210"/>
      <c r="Q273" s="210"/>
      <c r="R273" s="210"/>
      <c r="S273" s="210"/>
      <c r="T273" s="210"/>
      <c r="U273" s="210"/>
      <c r="V273" s="210"/>
      <c r="W273" s="210"/>
      <c r="X273" s="210"/>
      <c r="Y273" s="210"/>
      <c r="Z273" s="210"/>
      <c r="AA273" s="210"/>
      <c r="AB273" s="210"/>
      <c r="AC273" s="210"/>
      <c r="AI273" s="210"/>
      <c r="AJ273" s="210"/>
    </row>
    <row r="274" ht="12.75" customHeight="1">
      <c r="C274" s="210"/>
      <c r="D274" s="210"/>
      <c r="E274" s="210"/>
      <c r="F274" s="210"/>
      <c r="G274" s="210"/>
      <c r="H274" s="210"/>
      <c r="I274" s="210"/>
      <c r="J274" s="210"/>
      <c r="K274" s="210"/>
      <c r="L274" s="210"/>
      <c r="M274" s="210"/>
      <c r="N274" s="210"/>
      <c r="O274" s="210"/>
      <c r="P274" s="210"/>
      <c r="Q274" s="210"/>
      <c r="R274" s="210"/>
      <c r="S274" s="210"/>
      <c r="T274" s="210"/>
      <c r="U274" s="210"/>
      <c r="V274" s="210"/>
      <c r="W274" s="210"/>
      <c r="X274" s="210"/>
      <c r="Y274" s="210"/>
      <c r="Z274" s="210"/>
      <c r="AA274" s="210"/>
      <c r="AB274" s="210"/>
      <c r="AC274" s="210"/>
      <c r="AI274" s="210"/>
      <c r="AJ274" s="210"/>
    </row>
    <row r="275" ht="12.75" customHeight="1">
      <c r="C275" s="210"/>
      <c r="D275" s="210"/>
      <c r="E275" s="210"/>
      <c r="F275" s="210"/>
      <c r="G275" s="210"/>
      <c r="H275" s="210"/>
      <c r="I275" s="210"/>
      <c r="J275" s="210"/>
      <c r="K275" s="210"/>
      <c r="L275" s="210"/>
      <c r="M275" s="210"/>
      <c r="N275" s="210"/>
      <c r="O275" s="210"/>
      <c r="P275" s="210"/>
      <c r="Q275" s="210"/>
      <c r="R275" s="210"/>
      <c r="S275" s="210"/>
      <c r="T275" s="210"/>
      <c r="U275" s="210"/>
      <c r="V275" s="210"/>
      <c r="W275" s="210"/>
      <c r="X275" s="210"/>
      <c r="Y275" s="210"/>
      <c r="Z275" s="210"/>
      <c r="AA275" s="210"/>
      <c r="AB275" s="210"/>
      <c r="AC275" s="210"/>
      <c r="AI275" s="210"/>
      <c r="AJ275" s="210"/>
    </row>
    <row r="276" ht="12.75" customHeight="1">
      <c r="C276" s="210"/>
      <c r="D276" s="210"/>
      <c r="E276" s="210"/>
      <c r="F276" s="210"/>
      <c r="G276" s="210"/>
      <c r="H276" s="210"/>
      <c r="I276" s="210"/>
      <c r="J276" s="210"/>
      <c r="K276" s="210"/>
      <c r="L276" s="210"/>
      <c r="M276" s="210"/>
      <c r="N276" s="210"/>
      <c r="O276" s="210"/>
      <c r="P276" s="210"/>
      <c r="Q276" s="210"/>
      <c r="R276" s="210"/>
      <c r="S276" s="210"/>
      <c r="T276" s="210"/>
      <c r="U276" s="210"/>
      <c r="V276" s="210"/>
      <c r="W276" s="210"/>
      <c r="X276" s="210"/>
      <c r="Y276" s="210"/>
      <c r="Z276" s="210"/>
      <c r="AA276" s="210"/>
      <c r="AB276" s="210"/>
      <c r="AC276" s="210"/>
      <c r="AI276" s="210"/>
      <c r="AJ276" s="210"/>
    </row>
    <row r="277" ht="12.75" customHeight="1">
      <c r="C277" s="210"/>
      <c r="D277" s="210"/>
      <c r="E277" s="210"/>
      <c r="F277" s="210"/>
      <c r="G277" s="210"/>
      <c r="H277" s="210"/>
      <c r="I277" s="210"/>
      <c r="J277" s="210"/>
      <c r="K277" s="210"/>
      <c r="L277" s="210"/>
      <c r="M277" s="210"/>
      <c r="N277" s="210"/>
      <c r="O277" s="210"/>
      <c r="P277" s="210"/>
      <c r="Q277" s="210"/>
      <c r="R277" s="210"/>
      <c r="S277" s="210"/>
      <c r="T277" s="210"/>
      <c r="U277" s="210"/>
      <c r="V277" s="210"/>
      <c r="W277" s="210"/>
      <c r="X277" s="210"/>
      <c r="Y277" s="210"/>
      <c r="Z277" s="210"/>
      <c r="AA277" s="210"/>
      <c r="AB277" s="210"/>
      <c r="AC277" s="210"/>
      <c r="AI277" s="210"/>
      <c r="AJ277" s="210"/>
    </row>
    <row r="278" ht="12.75" customHeight="1">
      <c r="C278" s="210"/>
      <c r="D278" s="210"/>
      <c r="E278" s="210"/>
      <c r="F278" s="210"/>
      <c r="G278" s="210"/>
      <c r="H278" s="210"/>
      <c r="I278" s="210"/>
      <c r="J278" s="210"/>
      <c r="K278" s="210"/>
      <c r="L278" s="210"/>
      <c r="M278" s="210"/>
      <c r="N278" s="210"/>
      <c r="O278" s="210"/>
      <c r="P278" s="210"/>
      <c r="Q278" s="210"/>
      <c r="R278" s="210"/>
      <c r="S278" s="210"/>
      <c r="T278" s="210"/>
      <c r="U278" s="210"/>
      <c r="V278" s="210"/>
      <c r="W278" s="210"/>
      <c r="X278" s="210"/>
      <c r="Y278" s="210"/>
      <c r="Z278" s="210"/>
      <c r="AA278" s="210"/>
      <c r="AB278" s="210"/>
      <c r="AC278" s="210"/>
      <c r="AI278" s="210"/>
      <c r="AJ278" s="210"/>
    </row>
    <row r="279" ht="12.75" customHeight="1">
      <c r="C279" s="210"/>
      <c r="D279" s="210"/>
      <c r="E279" s="210"/>
      <c r="F279" s="210"/>
      <c r="G279" s="210"/>
      <c r="H279" s="210"/>
      <c r="I279" s="210"/>
      <c r="J279" s="210"/>
      <c r="K279" s="210"/>
      <c r="L279" s="210"/>
      <c r="M279" s="210"/>
      <c r="N279" s="210"/>
      <c r="O279" s="210"/>
      <c r="P279" s="210"/>
      <c r="Q279" s="210"/>
      <c r="R279" s="210"/>
      <c r="S279" s="210"/>
      <c r="T279" s="210"/>
      <c r="U279" s="210"/>
      <c r="V279" s="210"/>
      <c r="W279" s="210"/>
      <c r="X279" s="210"/>
      <c r="Y279" s="210"/>
      <c r="Z279" s="210"/>
      <c r="AA279" s="210"/>
      <c r="AB279" s="210"/>
      <c r="AC279" s="210"/>
      <c r="AI279" s="210"/>
      <c r="AJ279" s="210"/>
    </row>
    <row r="280" ht="12.75" customHeight="1">
      <c r="C280" s="210"/>
      <c r="D280" s="210"/>
      <c r="E280" s="210"/>
      <c r="F280" s="210"/>
      <c r="G280" s="210"/>
      <c r="H280" s="210"/>
      <c r="I280" s="210"/>
      <c r="J280" s="210"/>
      <c r="K280" s="210"/>
      <c r="L280" s="210"/>
      <c r="M280" s="210"/>
      <c r="N280" s="210"/>
      <c r="O280" s="210"/>
      <c r="P280" s="210"/>
      <c r="Q280" s="210"/>
      <c r="R280" s="210"/>
      <c r="S280" s="210"/>
      <c r="T280" s="210"/>
      <c r="U280" s="210"/>
      <c r="V280" s="210"/>
      <c r="W280" s="210"/>
      <c r="X280" s="210"/>
      <c r="Y280" s="210"/>
      <c r="Z280" s="210"/>
      <c r="AA280" s="210"/>
      <c r="AB280" s="210"/>
      <c r="AC280" s="210"/>
      <c r="AI280" s="210"/>
      <c r="AJ280" s="210"/>
    </row>
    <row r="281" ht="12.75" customHeight="1">
      <c r="C281" s="210"/>
      <c r="D281" s="210"/>
      <c r="E281" s="210"/>
      <c r="F281" s="210"/>
      <c r="G281" s="210"/>
      <c r="H281" s="210"/>
      <c r="I281" s="210"/>
      <c r="J281" s="210"/>
      <c r="K281" s="210"/>
      <c r="L281" s="210"/>
      <c r="M281" s="210"/>
      <c r="N281" s="210"/>
      <c r="O281" s="210"/>
      <c r="P281" s="210"/>
      <c r="Q281" s="210"/>
      <c r="R281" s="210"/>
      <c r="S281" s="210"/>
      <c r="T281" s="210"/>
      <c r="U281" s="210"/>
      <c r="V281" s="210"/>
      <c r="W281" s="210"/>
      <c r="X281" s="210"/>
      <c r="Y281" s="210"/>
      <c r="Z281" s="210"/>
      <c r="AA281" s="210"/>
      <c r="AB281" s="210"/>
      <c r="AC281" s="210"/>
      <c r="AI281" s="210"/>
      <c r="AJ281" s="210"/>
    </row>
    <row r="282" ht="12.75" customHeight="1">
      <c r="C282" s="210"/>
      <c r="D282" s="210"/>
      <c r="E282" s="210"/>
      <c r="F282" s="210"/>
      <c r="G282" s="210"/>
      <c r="H282" s="210"/>
      <c r="I282" s="210"/>
      <c r="J282" s="210"/>
      <c r="K282" s="210"/>
      <c r="L282" s="210"/>
      <c r="M282" s="210"/>
      <c r="N282" s="210"/>
      <c r="O282" s="210"/>
      <c r="P282" s="210"/>
      <c r="Q282" s="210"/>
      <c r="R282" s="210"/>
      <c r="S282" s="210"/>
      <c r="T282" s="210"/>
      <c r="U282" s="210"/>
      <c r="V282" s="210"/>
      <c r="W282" s="210"/>
      <c r="X282" s="210"/>
      <c r="Y282" s="210"/>
      <c r="Z282" s="210"/>
      <c r="AA282" s="210"/>
      <c r="AB282" s="210"/>
      <c r="AC282" s="210"/>
      <c r="AI282" s="210"/>
      <c r="AJ282" s="210"/>
    </row>
    <row r="283" ht="12.75" customHeight="1">
      <c r="C283" s="210"/>
      <c r="D283" s="210"/>
      <c r="E283" s="210"/>
      <c r="F283" s="210"/>
      <c r="G283" s="210"/>
      <c r="H283" s="210"/>
      <c r="I283" s="210"/>
      <c r="J283" s="210"/>
      <c r="K283" s="210"/>
      <c r="L283" s="210"/>
      <c r="M283" s="210"/>
      <c r="N283" s="210"/>
      <c r="O283" s="210"/>
      <c r="P283" s="210"/>
      <c r="Q283" s="210"/>
      <c r="R283" s="210"/>
      <c r="S283" s="210"/>
      <c r="T283" s="210"/>
      <c r="U283" s="210"/>
      <c r="V283" s="210"/>
      <c r="W283" s="210"/>
      <c r="X283" s="210"/>
      <c r="Y283" s="210"/>
      <c r="Z283" s="210"/>
      <c r="AA283" s="210"/>
      <c r="AB283" s="210"/>
      <c r="AC283" s="210"/>
      <c r="AI283" s="210"/>
      <c r="AJ283" s="210"/>
    </row>
    <row r="284" ht="12.75" customHeight="1">
      <c r="C284" s="210"/>
      <c r="D284" s="210"/>
      <c r="E284" s="210"/>
      <c r="F284" s="210"/>
      <c r="G284" s="210"/>
      <c r="H284" s="210"/>
      <c r="I284" s="210"/>
      <c r="J284" s="210"/>
      <c r="K284" s="210"/>
      <c r="L284" s="210"/>
      <c r="M284" s="210"/>
      <c r="N284" s="210"/>
      <c r="O284" s="210"/>
      <c r="P284" s="210"/>
      <c r="Q284" s="210"/>
      <c r="R284" s="210"/>
      <c r="S284" s="210"/>
      <c r="T284" s="210"/>
      <c r="U284" s="210"/>
      <c r="V284" s="210"/>
      <c r="W284" s="210"/>
      <c r="X284" s="210"/>
      <c r="Y284" s="210"/>
      <c r="Z284" s="210"/>
      <c r="AA284" s="210"/>
      <c r="AB284" s="210"/>
      <c r="AC284" s="210"/>
      <c r="AI284" s="210"/>
      <c r="AJ284" s="210"/>
    </row>
    <row r="285" ht="12.75" customHeight="1">
      <c r="C285" s="210"/>
      <c r="D285" s="210"/>
      <c r="E285" s="210"/>
      <c r="F285" s="210"/>
      <c r="G285" s="210"/>
      <c r="H285" s="210"/>
      <c r="I285" s="210"/>
      <c r="J285" s="210"/>
      <c r="K285" s="210"/>
      <c r="L285" s="210"/>
      <c r="M285" s="210"/>
      <c r="N285" s="210"/>
      <c r="O285" s="210"/>
      <c r="P285" s="210"/>
      <c r="Q285" s="210"/>
      <c r="R285" s="210"/>
      <c r="S285" s="210"/>
      <c r="T285" s="210"/>
      <c r="U285" s="210"/>
      <c r="V285" s="210"/>
      <c r="W285" s="210"/>
      <c r="X285" s="210"/>
      <c r="Y285" s="210"/>
      <c r="Z285" s="210"/>
      <c r="AA285" s="210"/>
      <c r="AB285" s="210"/>
      <c r="AC285" s="210"/>
      <c r="AI285" s="210"/>
      <c r="AJ285" s="210"/>
    </row>
    <row r="286" ht="12.75" customHeight="1">
      <c r="C286" s="210"/>
      <c r="D286" s="210"/>
      <c r="E286" s="210"/>
      <c r="F286" s="210"/>
      <c r="G286" s="210"/>
      <c r="H286" s="210"/>
      <c r="I286" s="210"/>
      <c r="J286" s="210"/>
      <c r="K286" s="210"/>
      <c r="L286" s="210"/>
      <c r="M286" s="210"/>
      <c r="N286" s="210"/>
      <c r="O286" s="210"/>
      <c r="P286" s="210"/>
      <c r="Q286" s="210"/>
      <c r="R286" s="210"/>
      <c r="S286" s="210"/>
      <c r="T286" s="210"/>
      <c r="U286" s="210"/>
      <c r="V286" s="210"/>
      <c r="W286" s="210"/>
      <c r="X286" s="210"/>
      <c r="Y286" s="210"/>
      <c r="Z286" s="210"/>
      <c r="AA286" s="210"/>
      <c r="AB286" s="210"/>
      <c r="AC286" s="210"/>
      <c r="AI286" s="210"/>
      <c r="AJ286" s="210"/>
    </row>
    <row r="287" ht="12.75" customHeight="1">
      <c r="C287" s="210"/>
      <c r="D287" s="210"/>
      <c r="E287" s="210"/>
      <c r="F287" s="210"/>
      <c r="G287" s="210"/>
      <c r="H287" s="210"/>
      <c r="I287" s="210"/>
      <c r="J287" s="210"/>
      <c r="K287" s="210"/>
      <c r="L287" s="210"/>
      <c r="M287" s="210"/>
      <c r="N287" s="210"/>
      <c r="O287" s="210"/>
      <c r="P287" s="210"/>
      <c r="Q287" s="210"/>
      <c r="R287" s="210"/>
      <c r="S287" s="210"/>
      <c r="T287" s="210"/>
      <c r="U287" s="210"/>
      <c r="V287" s="210"/>
      <c r="W287" s="210"/>
      <c r="X287" s="210"/>
      <c r="Y287" s="210"/>
      <c r="Z287" s="210"/>
      <c r="AA287" s="210"/>
      <c r="AB287" s="210"/>
      <c r="AC287" s="210"/>
      <c r="AI287" s="210"/>
      <c r="AJ287" s="210"/>
    </row>
    <row r="288" ht="12.75" customHeight="1">
      <c r="C288" s="210"/>
      <c r="D288" s="210"/>
      <c r="E288" s="210"/>
      <c r="F288" s="210"/>
      <c r="G288" s="210"/>
      <c r="H288" s="210"/>
      <c r="I288" s="210"/>
      <c r="J288" s="210"/>
      <c r="K288" s="210"/>
      <c r="L288" s="210"/>
      <c r="M288" s="210"/>
      <c r="N288" s="210"/>
      <c r="O288" s="210"/>
      <c r="P288" s="210"/>
      <c r="Q288" s="210"/>
      <c r="R288" s="210"/>
      <c r="S288" s="210"/>
      <c r="T288" s="210"/>
      <c r="U288" s="210"/>
      <c r="V288" s="210"/>
      <c r="W288" s="210"/>
      <c r="X288" s="210"/>
      <c r="Y288" s="210"/>
      <c r="Z288" s="210"/>
      <c r="AA288" s="210"/>
      <c r="AB288" s="210"/>
      <c r="AC288" s="210"/>
      <c r="AI288" s="210"/>
      <c r="AJ288" s="210"/>
    </row>
    <row r="289" ht="12.75" customHeight="1">
      <c r="C289" s="210"/>
      <c r="D289" s="210"/>
      <c r="E289" s="210"/>
      <c r="F289" s="210"/>
      <c r="G289" s="210"/>
      <c r="H289" s="210"/>
      <c r="I289" s="210"/>
      <c r="J289" s="210"/>
      <c r="K289" s="210"/>
      <c r="L289" s="210"/>
      <c r="M289" s="210"/>
      <c r="N289" s="210"/>
      <c r="O289" s="210"/>
      <c r="P289" s="210"/>
      <c r="Q289" s="210"/>
      <c r="R289" s="210"/>
      <c r="S289" s="210"/>
      <c r="T289" s="210"/>
      <c r="U289" s="210"/>
      <c r="V289" s="210"/>
      <c r="W289" s="210"/>
      <c r="X289" s="210"/>
      <c r="Y289" s="210"/>
      <c r="Z289" s="210"/>
      <c r="AA289" s="210"/>
      <c r="AB289" s="210"/>
      <c r="AC289" s="210"/>
      <c r="AI289" s="210"/>
      <c r="AJ289" s="210"/>
    </row>
    <row r="290" ht="12.75" customHeight="1">
      <c r="C290" s="210"/>
      <c r="D290" s="210"/>
      <c r="E290" s="210"/>
      <c r="F290" s="210"/>
      <c r="G290" s="210"/>
      <c r="H290" s="210"/>
      <c r="I290" s="210"/>
      <c r="J290" s="210"/>
      <c r="K290" s="210"/>
      <c r="L290" s="210"/>
      <c r="M290" s="210"/>
      <c r="N290" s="210"/>
      <c r="O290" s="210"/>
      <c r="P290" s="210"/>
      <c r="Q290" s="210"/>
      <c r="R290" s="210"/>
      <c r="S290" s="210"/>
      <c r="T290" s="210"/>
      <c r="U290" s="210"/>
      <c r="V290" s="210"/>
      <c r="W290" s="210"/>
      <c r="X290" s="210"/>
      <c r="Y290" s="210"/>
      <c r="Z290" s="210"/>
      <c r="AA290" s="210"/>
      <c r="AB290" s="210"/>
      <c r="AC290" s="210"/>
      <c r="AI290" s="210"/>
      <c r="AJ290" s="210"/>
    </row>
    <row r="291" ht="12.75" customHeight="1">
      <c r="C291" s="210"/>
      <c r="D291" s="210"/>
      <c r="E291" s="210"/>
      <c r="F291" s="210"/>
      <c r="G291" s="210"/>
      <c r="H291" s="210"/>
      <c r="I291" s="210"/>
      <c r="J291" s="210"/>
      <c r="K291" s="210"/>
      <c r="L291" s="210"/>
      <c r="M291" s="210"/>
      <c r="N291" s="210"/>
      <c r="O291" s="210"/>
      <c r="P291" s="210"/>
      <c r="Q291" s="210"/>
      <c r="R291" s="210"/>
      <c r="S291" s="210"/>
      <c r="T291" s="210"/>
      <c r="U291" s="210"/>
      <c r="V291" s="210"/>
      <c r="W291" s="210"/>
      <c r="X291" s="210"/>
      <c r="Y291" s="210"/>
      <c r="Z291" s="210"/>
      <c r="AA291" s="210"/>
      <c r="AB291" s="210"/>
      <c r="AC291" s="210"/>
      <c r="AI291" s="210"/>
      <c r="AJ291" s="210"/>
    </row>
    <row r="292" ht="12.75" customHeight="1">
      <c r="C292" s="210"/>
      <c r="D292" s="210"/>
      <c r="E292" s="210"/>
      <c r="F292" s="210"/>
      <c r="G292" s="210"/>
      <c r="H292" s="210"/>
      <c r="I292" s="210"/>
      <c r="J292" s="210"/>
      <c r="K292" s="210"/>
      <c r="L292" s="210"/>
      <c r="M292" s="210"/>
      <c r="N292" s="210"/>
      <c r="O292" s="210"/>
      <c r="P292" s="210"/>
      <c r="Q292" s="210"/>
      <c r="R292" s="210"/>
      <c r="S292" s="210"/>
      <c r="T292" s="210"/>
      <c r="U292" s="210"/>
      <c r="V292" s="210"/>
      <c r="W292" s="210"/>
      <c r="X292" s="210"/>
      <c r="Y292" s="210"/>
      <c r="Z292" s="210"/>
      <c r="AA292" s="210"/>
      <c r="AB292" s="210"/>
      <c r="AC292" s="210"/>
      <c r="AI292" s="210"/>
      <c r="AJ292" s="210"/>
    </row>
    <row r="293" ht="12.75" customHeight="1">
      <c r="C293" s="210"/>
      <c r="D293" s="210"/>
      <c r="E293" s="210"/>
      <c r="F293" s="210"/>
      <c r="G293" s="210"/>
      <c r="H293" s="210"/>
      <c r="I293" s="210"/>
      <c r="J293" s="210"/>
      <c r="K293" s="210"/>
      <c r="L293" s="210"/>
      <c r="M293" s="210"/>
      <c r="N293" s="210"/>
      <c r="O293" s="210"/>
      <c r="P293" s="210"/>
      <c r="Q293" s="210"/>
      <c r="R293" s="210"/>
      <c r="S293" s="210"/>
      <c r="T293" s="210"/>
      <c r="U293" s="210"/>
      <c r="V293" s="210"/>
      <c r="W293" s="210"/>
      <c r="X293" s="210"/>
      <c r="Y293" s="210"/>
      <c r="Z293" s="210"/>
      <c r="AA293" s="210"/>
      <c r="AB293" s="210"/>
      <c r="AC293" s="210"/>
      <c r="AI293" s="210"/>
      <c r="AJ293" s="210"/>
    </row>
    <row r="294" ht="12.75" customHeight="1">
      <c r="C294" s="210"/>
      <c r="D294" s="210"/>
      <c r="E294" s="210"/>
      <c r="F294" s="210"/>
      <c r="G294" s="210"/>
      <c r="H294" s="210"/>
      <c r="I294" s="210"/>
      <c r="J294" s="210"/>
      <c r="K294" s="210"/>
      <c r="L294" s="210"/>
      <c r="M294" s="210"/>
      <c r="N294" s="210"/>
      <c r="O294" s="210"/>
      <c r="P294" s="210"/>
      <c r="Q294" s="210"/>
      <c r="R294" s="210"/>
      <c r="S294" s="210"/>
      <c r="T294" s="210"/>
      <c r="U294" s="210"/>
      <c r="V294" s="210"/>
      <c r="W294" s="210"/>
      <c r="X294" s="210"/>
      <c r="Y294" s="210"/>
      <c r="Z294" s="210"/>
      <c r="AA294" s="210"/>
      <c r="AB294" s="210"/>
      <c r="AC294" s="210"/>
      <c r="AI294" s="210"/>
      <c r="AJ294" s="210"/>
    </row>
    <row r="295" ht="12.75" customHeight="1">
      <c r="C295" s="210"/>
      <c r="D295" s="210"/>
      <c r="E295" s="210"/>
      <c r="F295" s="210"/>
      <c r="G295" s="210"/>
      <c r="H295" s="210"/>
      <c r="I295" s="210"/>
      <c r="J295" s="210"/>
      <c r="K295" s="210"/>
      <c r="L295" s="210"/>
      <c r="M295" s="210"/>
      <c r="N295" s="210"/>
      <c r="O295" s="210"/>
      <c r="P295" s="210"/>
      <c r="Q295" s="210"/>
      <c r="R295" s="210"/>
      <c r="S295" s="210"/>
      <c r="T295" s="210"/>
      <c r="U295" s="210"/>
      <c r="V295" s="210"/>
      <c r="W295" s="210"/>
      <c r="X295" s="210"/>
      <c r="Y295" s="210"/>
      <c r="Z295" s="210"/>
      <c r="AA295" s="210"/>
      <c r="AB295" s="210"/>
      <c r="AC295" s="210"/>
      <c r="AI295" s="210"/>
      <c r="AJ295" s="210"/>
    </row>
    <row r="296" ht="12.75" customHeight="1">
      <c r="C296" s="210"/>
      <c r="D296" s="210"/>
      <c r="E296" s="210"/>
      <c r="F296" s="210"/>
      <c r="G296" s="210"/>
      <c r="H296" s="210"/>
      <c r="I296" s="210"/>
      <c r="J296" s="210"/>
      <c r="K296" s="210"/>
      <c r="L296" s="210"/>
      <c r="M296" s="210"/>
      <c r="N296" s="210"/>
      <c r="O296" s="210"/>
      <c r="P296" s="210"/>
      <c r="Q296" s="210"/>
      <c r="R296" s="210"/>
      <c r="S296" s="210"/>
      <c r="T296" s="210"/>
      <c r="U296" s="210"/>
      <c r="V296" s="210"/>
      <c r="W296" s="210"/>
      <c r="X296" s="210"/>
      <c r="Y296" s="210"/>
      <c r="Z296" s="210"/>
      <c r="AA296" s="210"/>
      <c r="AB296" s="210"/>
      <c r="AC296" s="210"/>
      <c r="AI296" s="210"/>
      <c r="AJ296" s="210"/>
    </row>
    <row r="297" ht="12.75" customHeight="1">
      <c r="C297" s="210"/>
      <c r="D297" s="210"/>
      <c r="E297" s="210"/>
      <c r="F297" s="210"/>
      <c r="G297" s="210"/>
      <c r="H297" s="210"/>
      <c r="I297" s="210"/>
      <c r="J297" s="210"/>
      <c r="K297" s="210"/>
      <c r="L297" s="210"/>
      <c r="M297" s="210"/>
      <c r="N297" s="210"/>
      <c r="O297" s="210"/>
      <c r="P297" s="210"/>
      <c r="Q297" s="210"/>
      <c r="R297" s="210"/>
      <c r="S297" s="210"/>
      <c r="T297" s="210"/>
      <c r="U297" s="210"/>
      <c r="V297" s="210"/>
      <c r="W297" s="210"/>
      <c r="X297" s="210"/>
      <c r="Y297" s="210"/>
      <c r="Z297" s="210"/>
      <c r="AA297" s="210"/>
      <c r="AB297" s="210"/>
      <c r="AC297" s="210"/>
      <c r="AI297" s="210"/>
      <c r="AJ297" s="210"/>
    </row>
    <row r="298" ht="12.75" customHeight="1">
      <c r="C298" s="210"/>
      <c r="D298" s="210"/>
      <c r="E298" s="210"/>
      <c r="F298" s="210"/>
      <c r="G298" s="210"/>
      <c r="H298" s="210"/>
      <c r="I298" s="210"/>
      <c r="J298" s="210"/>
      <c r="K298" s="210"/>
      <c r="L298" s="210"/>
      <c r="M298" s="210"/>
      <c r="N298" s="210"/>
      <c r="O298" s="210"/>
      <c r="P298" s="210"/>
      <c r="Q298" s="210"/>
      <c r="R298" s="210"/>
      <c r="S298" s="210"/>
      <c r="T298" s="210"/>
      <c r="U298" s="210"/>
      <c r="V298" s="210"/>
      <c r="W298" s="210"/>
      <c r="X298" s="210"/>
      <c r="Y298" s="210"/>
      <c r="Z298" s="210"/>
      <c r="AA298" s="210"/>
      <c r="AB298" s="210"/>
      <c r="AC298" s="210"/>
      <c r="AI298" s="210"/>
      <c r="AJ298" s="210"/>
    </row>
    <row r="299" ht="12.75" customHeight="1">
      <c r="C299" s="210"/>
      <c r="D299" s="210"/>
      <c r="E299" s="210"/>
      <c r="F299" s="210"/>
      <c r="G299" s="210"/>
      <c r="H299" s="210"/>
      <c r="I299" s="210"/>
      <c r="J299" s="210"/>
      <c r="K299" s="210"/>
      <c r="L299" s="210"/>
      <c r="M299" s="210"/>
      <c r="N299" s="210"/>
      <c r="O299" s="210"/>
      <c r="P299" s="210"/>
      <c r="Q299" s="210"/>
      <c r="R299" s="210"/>
      <c r="S299" s="210"/>
      <c r="T299" s="210"/>
      <c r="U299" s="210"/>
      <c r="V299" s="210"/>
      <c r="W299" s="210"/>
      <c r="X299" s="210"/>
      <c r="Y299" s="210"/>
      <c r="Z299" s="210"/>
      <c r="AA299" s="210"/>
      <c r="AB299" s="210"/>
      <c r="AC299" s="210"/>
      <c r="AI299" s="210"/>
      <c r="AJ299" s="210"/>
    </row>
    <row r="300" ht="12.75" customHeight="1">
      <c r="C300" s="210"/>
      <c r="D300" s="210"/>
      <c r="E300" s="210"/>
      <c r="F300" s="210"/>
      <c r="G300" s="210"/>
      <c r="H300" s="210"/>
      <c r="I300" s="210"/>
      <c r="J300" s="210"/>
      <c r="K300" s="210"/>
      <c r="L300" s="210"/>
      <c r="M300" s="210"/>
      <c r="N300" s="210"/>
      <c r="O300" s="210"/>
      <c r="P300" s="210"/>
      <c r="Q300" s="210"/>
      <c r="R300" s="210"/>
      <c r="S300" s="210"/>
      <c r="T300" s="210"/>
      <c r="U300" s="210"/>
      <c r="V300" s="210"/>
      <c r="W300" s="210"/>
      <c r="X300" s="210"/>
      <c r="Y300" s="210"/>
      <c r="Z300" s="210"/>
      <c r="AA300" s="210"/>
      <c r="AB300" s="210"/>
      <c r="AC300" s="210"/>
      <c r="AI300" s="210"/>
      <c r="AJ300" s="210"/>
    </row>
    <row r="301" ht="12.75" customHeight="1">
      <c r="C301" s="210"/>
      <c r="D301" s="210"/>
      <c r="E301" s="210"/>
      <c r="F301" s="210"/>
      <c r="G301" s="210"/>
      <c r="H301" s="210"/>
      <c r="I301" s="210"/>
      <c r="J301" s="210"/>
      <c r="K301" s="210"/>
      <c r="L301" s="210"/>
      <c r="M301" s="210"/>
      <c r="N301" s="210"/>
      <c r="O301" s="210"/>
      <c r="P301" s="210"/>
      <c r="Q301" s="210"/>
      <c r="R301" s="210"/>
      <c r="S301" s="210"/>
      <c r="T301" s="210"/>
      <c r="U301" s="210"/>
      <c r="V301" s="210"/>
      <c r="W301" s="210"/>
      <c r="X301" s="210"/>
      <c r="Y301" s="210"/>
      <c r="Z301" s="210"/>
      <c r="AA301" s="210"/>
      <c r="AB301" s="210"/>
      <c r="AC301" s="210"/>
      <c r="AI301" s="210"/>
      <c r="AJ301" s="210"/>
    </row>
    <row r="302" ht="12.75" customHeight="1">
      <c r="C302" s="210"/>
      <c r="D302" s="210"/>
      <c r="E302" s="210"/>
      <c r="F302" s="210"/>
      <c r="G302" s="210"/>
      <c r="H302" s="210"/>
      <c r="I302" s="210"/>
      <c r="J302" s="210"/>
      <c r="K302" s="210"/>
      <c r="L302" s="210"/>
      <c r="M302" s="210"/>
      <c r="N302" s="210"/>
      <c r="O302" s="210"/>
      <c r="P302" s="210"/>
      <c r="Q302" s="210"/>
      <c r="R302" s="210"/>
      <c r="S302" s="210"/>
      <c r="T302" s="210"/>
      <c r="U302" s="210"/>
      <c r="V302" s="210"/>
      <c r="W302" s="210"/>
      <c r="X302" s="210"/>
      <c r="Y302" s="210"/>
      <c r="Z302" s="210"/>
      <c r="AA302" s="210"/>
      <c r="AB302" s="210"/>
      <c r="AC302" s="210"/>
      <c r="AI302" s="210"/>
      <c r="AJ302" s="210"/>
    </row>
    <row r="303" ht="12.75" customHeight="1">
      <c r="C303" s="210"/>
      <c r="D303" s="210"/>
      <c r="E303" s="210"/>
      <c r="F303" s="210"/>
      <c r="G303" s="210"/>
      <c r="H303" s="210"/>
      <c r="I303" s="210"/>
      <c r="J303" s="210"/>
      <c r="K303" s="210"/>
      <c r="L303" s="210"/>
      <c r="M303" s="210"/>
      <c r="N303" s="210"/>
      <c r="O303" s="210"/>
      <c r="P303" s="210"/>
      <c r="Q303" s="210"/>
      <c r="R303" s="210"/>
      <c r="S303" s="210"/>
      <c r="T303" s="210"/>
      <c r="U303" s="210"/>
      <c r="V303" s="210"/>
      <c r="W303" s="210"/>
      <c r="X303" s="210"/>
      <c r="Y303" s="210"/>
      <c r="Z303" s="210"/>
      <c r="AA303" s="210"/>
      <c r="AB303" s="210"/>
      <c r="AC303" s="210"/>
      <c r="AI303" s="210"/>
      <c r="AJ303" s="210"/>
    </row>
    <row r="304" ht="12.75" customHeight="1">
      <c r="C304" s="210"/>
      <c r="D304" s="210"/>
      <c r="E304" s="210"/>
      <c r="F304" s="210"/>
      <c r="G304" s="210"/>
      <c r="H304" s="210"/>
      <c r="I304" s="210"/>
      <c r="J304" s="210"/>
      <c r="K304" s="210"/>
      <c r="L304" s="210"/>
      <c r="M304" s="210"/>
      <c r="N304" s="210"/>
      <c r="O304" s="210"/>
      <c r="P304" s="210"/>
      <c r="Q304" s="210"/>
      <c r="R304" s="210"/>
      <c r="S304" s="210"/>
      <c r="T304" s="210"/>
      <c r="U304" s="210"/>
      <c r="V304" s="210"/>
      <c r="W304" s="210"/>
      <c r="X304" s="210"/>
      <c r="Y304" s="210"/>
      <c r="Z304" s="210"/>
      <c r="AA304" s="210"/>
      <c r="AB304" s="210"/>
      <c r="AC304" s="210"/>
      <c r="AI304" s="210"/>
      <c r="AJ304" s="210"/>
    </row>
    <row r="305" ht="12.75" customHeight="1">
      <c r="C305" s="210"/>
      <c r="D305" s="210"/>
      <c r="E305" s="210"/>
      <c r="F305" s="210"/>
      <c r="G305" s="210"/>
      <c r="H305" s="210"/>
      <c r="I305" s="210"/>
      <c r="J305" s="210"/>
      <c r="K305" s="210"/>
      <c r="L305" s="210"/>
      <c r="M305" s="210"/>
      <c r="N305" s="210"/>
      <c r="O305" s="210"/>
      <c r="P305" s="210"/>
      <c r="Q305" s="210"/>
      <c r="R305" s="210"/>
      <c r="S305" s="210"/>
      <c r="T305" s="210"/>
      <c r="U305" s="210"/>
      <c r="V305" s="210"/>
      <c r="W305" s="210"/>
      <c r="X305" s="210"/>
      <c r="Y305" s="210"/>
      <c r="Z305" s="210"/>
      <c r="AA305" s="210"/>
      <c r="AB305" s="210"/>
      <c r="AC305" s="210"/>
      <c r="AI305" s="210"/>
      <c r="AJ305" s="210"/>
    </row>
    <row r="306" ht="12.75" customHeight="1">
      <c r="C306" s="210"/>
      <c r="D306" s="210"/>
      <c r="E306" s="210"/>
      <c r="F306" s="210"/>
      <c r="G306" s="210"/>
      <c r="H306" s="210"/>
      <c r="I306" s="210"/>
      <c r="J306" s="210"/>
      <c r="K306" s="210"/>
      <c r="L306" s="210"/>
      <c r="M306" s="210"/>
      <c r="N306" s="210"/>
      <c r="O306" s="210"/>
      <c r="P306" s="210"/>
      <c r="Q306" s="210"/>
      <c r="R306" s="210"/>
      <c r="S306" s="210"/>
      <c r="T306" s="210"/>
      <c r="U306" s="210"/>
      <c r="V306" s="210"/>
      <c r="W306" s="210"/>
      <c r="X306" s="210"/>
      <c r="Y306" s="210"/>
      <c r="Z306" s="210"/>
      <c r="AA306" s="210"/>
      <c r="AB306" s="210"/>
      <c r="AC306" s="210"/>
      <c r="AI306" s="210"/>
      <c r="AJ306" s="210"/>
    </row>
    <row r="307" ht="12.75" customHeight="1">
      <c r="C307" s="210"/>
      <c r="D307" s="210"/>
      <c r="E307" s="210"/>
      <c r="F307" s="210"/>
      <c r="G307" s="210"/>
      <c r="H307" s="210"/>
      <c r="I307" s="210"/>
      <c r="J307" s="210"/>
      <c r="K307" s="210"/>
      <c r="L307" s="210"/>
      <c r="M307" s="210"/>
      <c r="N307" s="210"/>
      <c r="O307" s="210"/>
      <c r="P307" s="210"/>
      <c r="Q307" s="210"/>
      <c r="R307" s="210"/>
      <c r="S307" s="210"/>
      <c r="T307" s="210"/>
      <c r="U307" s="210"/>
      <c r="V307" s="210"/>
      <c r="W307" s="210"/>
      <c r="X307" s="210"/>
      <c r="Y307" s="210"/>
      <c r="Z307" s="210"/>
      <c r="AA307" s="210"/>
      <c r="AB307" s="210"/>
      <c r="AC307" s="210"/>
      <c r="AI307" s="210"/>
      <c r="AJ307" s="210"/>
    </row>
    <row r="308" ht="12.75" customHeight="1">
      <c r="C308" s="210"/>
      <c r="D308" s="210"/>
      <c r="E308" s="210"/>
      <c r="F308" s="210"/>
      <c r="G308" s="210"/>
      <c r="H308" s="210"/>
      <c r="I308" s="210"/>
      <c r="J308" s="210"/>
      <c r="K308" s="210"/>
      <c r="L308" s="210"/>
      <c r="M308" s="210"/>
      <c r="N308" s="210"/>
      <c r="O308" s="210"/>
      <c r="P308" s="210"/>
      <c r="Q308" s="210"/>
      <c r="R308" s="210"/>
      <c r="S308" s="210"/>
      <c r="T308" s="210"/>
      <c r="U308" s="210"/>
      <c r="V308" s="210"/>
      <c r="W308" s="210"/>
      <c r="X308" s="210"/>
      <c r="Y308" s="210"/>
      <c r="Z308" s="210"/>
      <c r="AA308" s="210"/>
      <c r="AB308" s="210"/>
      <c r="AC308" s="210"/>
      <c r="AI308" s="210"/>
      <c r="AJ308" s="210"/>
    </row>
    <row r="309" ht="12.75" customHeight="1">
      <c r="C309" s="210"/>
      <c r="D309" s="210"/>
      <c r="E309" s="210"/>
      <c r="F309" s="210"/>
      <c r="G309" s="210"/>
      <c r="H309" s="210"/>
      <c r="I309" s="210"/>
      <c r="J309" s="210"/>
      <c r="K309" s="210"/>
      <c r="L309" s="210"/>
      <c r="M309" s="210"/>
      <c r="N309" s="210"/>
      <c r="O309" s="210"/>
      <c r="P309" s="210"/>
      <c r="Q309" s="210"/>
      <c r="R309" s="210"/>
      <c r="S309" s="210"/>
      <c r="T309" s="210"/>
      <c r="U309" s="210"/>
      <c r="V309" s="210"/>
      <c r="W309" s="210"/>
      <c r="X309" s="210"/>
      <c r="Y309" s="210"/>
      <c r="Z309" s="210"/>
      <c r="AA309" s="210"/>
      <c r="AB309" s="210"/>
      <c r="AC309" s="210"/>
      <c r="AI309" s="210"/>
      <c r="AJ309" s="210"/>
    </row>
    <row r="310" ht="12.75" customHeight="1">
      <c r="C310" s="210"/>
      <c r="D310" s="210"/>
      <c r="E310" s="210"/>
      <c r="F310" s="210"/>
      <c r="G310" s="210"/>
      <c r="H310" s="210"/>
      <c r="I310" s="210"/>
      <c r="J310" s="210"/>
      <c r="K310" s="210"/>
      <c r="L310" s="210"/>
      <c r="M310" s="210"/>
      <c r="N310" s="210"/>
      <c r="O310" s="210"/>
      <c r="P310" s="210"/>
      <c r="Q310" s="210"/>
      <c r="R310" s="210"/>
      <c r="S310" s="210"/>
      <c r="T310" s="210"/>
      <c r="U310" s="210"/>
      <c r="V310" s="210"/>
      <c r="W310" s="210"/>
      <c r="X310" s="210"/>
      <c r="Y310" s="210"/>
      <c r="Z310" s="210"/>
      <c r="AA310" s="210"/>
      <c r="AB310" s="210"/>
      <c r="AC310" s="210"/>
      <c r="AI310" s="210"/>
      <c r="AJ310" s="210"/>
    </row>
    <row r="311" ht="12.75" customHeight="1">
      <c r="C311" s="210"/>
      <c r="D311" s="210"/>
      <c r="E311" s="210"/>
      <c r="F311" s="210"/>
      <c r="G311" s="210"/>
      <c r="H311" s="210"/>
      <c r="I311" s="210"/>
      <c r="J311" s="210"/>
      <c r="K311" s="210"/>
      <c r="L311" s="210"/>
      <c r="M311" s="210"/>
      <c r="N311" s="210"/>
      <c r="O311" s="210"/>
      <c r="P311" s="210"/>
      <c r="Q311" s="210"/>
      <c r="R311" s="210"/>
      <c r="S311" s="210"/>
      <c r="T311" s="210"/>
      <c r="U311" s="210"/>
      <c r="V311" s="210"/>
      <c r="W311" s="210"/>
      <c r="X311" s="210"/>
      <c r="Y311" s="210"/>
      <c r="Z311" s="210"/>
      <c r="AA311" s="210"/>
      <c r="AB311" s="210"/>
      <c r="AC311" s="210"/>
      <c r="AI311" s="210"/>
      <c r="AJ311" s="210"/>
    </row>
    <row r="312" ht="12.75" customHeight="1">
      <c r="C312" s="210"/>
      <c r="D312" s="210"/>
      <c r="E312" s="210"/>
      <c r="F312" s="210"/>
      <c r="G312" s="210"/>
      <c r="H312" s="210"/>
      <c r="I312" s="210"/>
      <c r="J312" s="210"/>
      <c r="K312" s="210"/>
      <c r="L312" s="210"/>
      <c r="M312" s="210"/>
      <c r="N312" s="210"/>
      <c r="O312" s="210"/>
      <c r="P312" s="210"/>
      <c r="Q312" s="210"/>
      <c r="R312" s="210"/>
      <c r="S312" s="210"/>
      <c r="T312" s="210"/>
      <c r="U312" s="210"/>
      <c r="V312" s="210"/>
      <c r="W312" s="210"/>
      <c r="X312" s="210"/>
      <c r="Y312" s="210"/>
      <c r="Z312" s="210"/>
      <c r="AA312" s="210"/>
      <c r="AB312" s="210"/>
      <c r="AC312" s="210"/>
      <c r="AI312" s="210"/>
      <c r="AJ312" s="210"/>
    </row>
    <row r="313" ht="12.75" customHeight="1">
      <c r="C313" s="210"/>
      <c r="D313" s="210"/>
      <c r="E313" s="210"/>
      <c r="F313" s="210"/>
      <c r="G313" s="210"/>
      <c r="H313" s="210"/>
      <c r="I313" s="210"/>
      <c r="J313" s="210"/>
      <c r="K313" s="210"/>
      <c r="L313" s="210"/>
      <c r="M313" s="210"/>
      <c r="N313" s="210"/>
      <c r="O313" s="210"/>
      <c r="P313" s="210"/>
      <c r="Q313" s="210"/>
      <c r="R313" s="210"/>
      <c r="S313" s="210"/>
      <c r="T313" s="210"/>
      <c r="U313" s="210"/>
      <c r="V313" s="210"/>
      <c r="W313" s="210"/>
      <c r="X313" s="210"/>
      <c r="Y313" s="210"/>
      <c r="Z313" s="210"/>
      <c r="AA313" s="210"/>
      <c r="AB313" s="210"/>
      <c r="AC313" s="210"/>
      <c r="AI313" s="210"/>
      <c r="AJ313" s="210"/>
    </row>
    <row r="314" ht="12.75" customHeight="1">
      <c r="C314" s="210"/>
      <c r="D314" s="210"/>
      <c r="E314" s="210"/>
      <c r="F314" s="210"/>
      <c r="G314" s="210"/>
      <c r="H314" s="210"/>
      <c r="I314" s="210"/>
      <c r="J314" s="210"/>
      <c r="K314" s="210"/>
      <c r="L314" s="210"/>
      <c r="M314" s="210"/>
      <c r="N314" s="210"/>
      <c r="O314" s="210"/>
      <c r="P314" s="210"/>
      <c r="Q314" s="210"/>
      <c r="R314" s="210"/>
      <c r="S314" s="210"/>
      <c r="T314" s="210"/>
      <c r="U314" s="210"/>
      <c r="V314" s="210"/>
      <c r="W314" s="210"/>
      <c r="X314" s="210"/>
      <c r="Y314" s="210"/>
      <c r="Z314" s="210"/>
      <c r="AA314" s="210"/>
      <c r="AB314" s="210"/>
      <c r="AC314" s="210"/>
      <c r="AI314" s="210"/>
      <c r="AJ314" s="210"/>
    </row>
    <row r="315" ht="12.75" customHeight="1">
      <c r="C315" s="210"/>
      <c r="D315" s="210"/>
      <c r="E315" s="210"/>
      <c r="F315" s="210"/>
      <c r="G315" s="210"/>
      <c r="H315" s="210"/>
      <c r="I315" s="210"/>
      <c r="J315" s="210"/>
      <c r="K315" s="210"/>
      <c r="L315" s="210"/>
      <c r="M315" s="210"/>
      <c r="N315" s="210"/>
      <c r="O315" s="210"/>
      <c r="P315" s="210"/>
      <c r="Q315" s="210"/>
      <c r="R315" s="210"/>
      <c r="S315" s="210"/>
      <c r="T315" s="210"/>
      <c r="U315" s="210"/>
      <c r="V315" s="210"/>
      <c r="W315" s="210"/>
      <c r="X315" s="210"/>
      <c r="Y315" s="210"/>
      <c r="Z315" s="210"/>
      <c r="AA315" s="210"/>
      <c r="AB315" s="210"/>
      <c r="AC315" s="210"/>
      <c r="AI315" s="210"/>
      <c r="AJ315" s="210"/>
    </row>
    <row r="316" ht="12.75" customHeight="1">
      <c r="C316" s="210"/>
      <c r="D316" s="210"/>
      <c r="E316" s="210"/>
      <c r="F316" s="210"/>
      <c r="G316" s="210"/>
      <c r="H316" s="210"/>
      <c r="I316" s="210"/>
      <c r="J316" s="210"/>
      <c r="K316" s="210"/>
      <c r="L316" s="210"/>
      <c r="M316" s="210"/>
      <c r="N316" s="210"/>
      <c r="O316" s="210"/>
      <c r="P316" s="210"/>
      <c r="Q316" s="210"/>
      <c r="R316" s="210"/>
      <c r="S316" s="210"/>
      <c r="T316" s="210"/>
      <c r="U316" s="210"/>
      <c r="V316" s="210"/>
      <c r="W316" s="210"/>
      <c r="X316" s="210"/>
      <c r="Y316" s="210"/>
      <c r="Z316" s="210"/>
      <c r="AA316" s="210"/>
      <c r="AB316" s="210"/>
      <c r="AC316" s="210"/>
      <c r="AI316" s="210"/>
      <c r="AJ316" s="210"/>
    </row>
    <row r="317" ht="12.75" customHeight="1">
      <c r="C317" s="210"/>
      <c r="D317" s="210"/>
      <c r="E317" s="210"/>
      <c r="F317" s="210"/>
      <c r="G317" s="210"/>
      <c r="H317" s="210"/>
      <c r="I317" s="210"/>
      <c r="J317" s="210"/>
      <c r="K317" s="210"/>
      <c r="L317" s="210"/>
      <c r="M317" s="210"/>
      <c r="N317" s="210"/>
      <c r="O317" s="210"/>
      <c r="P317" s="210"/>
      <c r="Q317" s="210"/>
      <c r="R317" s="210"/>
      <c r="S317" s="210"/>
      <c r="T317" s="210"/>
      <c r="U317" s="210"/>
      <c r="V317" s="210"/>
      <c r="W317" s="210"/>
      <c r="X317" s="210"/>
      <c r="Y317" s="210"/>
      <c r="Z317" s="210"/>
      <c r="AA317" s="210"/>
      <c r="AB317" s="210"/>
      <c r="AC317" s="210"/>
      <c r="AI317" s="210"/>
      <c r="AJ317" s="210"/>
    </row>
    <row r="318" ht="12.75" customHeight="1">
      <c r="C318" s="210"/>
      <c r="D318" s="210"/>
      <c r="E318" s="210"/>
      <c r="F318" s="210"/>
      <c r="G318" s="210"/>
      <c r="H318" s="210"/>
      <c r="I318" s="210"/>
      <c r="J318" s="210"/>
      <c r="K318" s="210"/>
      <c r="L318" s="210"/>
      <c r="M318" s="210"/>
      <c r="N318" s="210"/>
      <c r="O318" s="210"/>
      <c r="P318" s="210"/>
      <c r="Q318" s="210"/>
      <c r="R318" s="210"/>
      <c r="S318" s="210"/>
      <c r="T318" s="210"/>
      <c r="U318" s="210"/>
      <c r="V318" s="210"/>
      <c r="W318" s="210"/>
      <c r="X318" s="210"/>
      <c r="Y318" s="210"/>
      <c r="Z318" s="210"/>
      <c r="AA318" s="210"/>
      <c r="AB318" s="210"/>
      <c r="AC318" s="210"/>
      <c r="AI318" s="210"/>
      <c r="AJ318" s="210"/>
    </row>
    <row r="319" ht="12.75" customHeight="1">
      <c r="C319" s="210"/>
      <c r="D319" s="210"/>
      <c r="E319" s="210"/>
      <c r="F319" s="210"/>
      <c r="G319" s="210"/>
      <c r="H319" s="210"/>
      <c r="I319" s="210"/>
      <c r="J319" s="210"/>
      <c r="K319" s="210"/>
      <c r="L319" s="210"/>
      <c r="M319" s="210"/>
      <c r="N319" s="210"/>
      <c r="O319" s="210"/>
      <c r="P319" s="210"/>
      <c r="Q319" s="210"/>
      <c r="R319" s="210"/>
      <c r="S319" s="210"/>
      <c r="T319" s="210"/>
      <c r="U319" s="210"/>
      <c r="V319" s="210"/>
      <c r="W319" s="210"/>
      <c r="X319" s="210"/>
      <c r="Y319" s="210"/>
      <c r="Z319" s="210"/>
      <c r="AA319" s="210"/>
      <c r="AB319" s="210"/>
      <c r="AC319" s="210"/>
      <c r="AI319" s="210"/>
      <c r="AJ319" s="210"/>
    </row>
    <row r="320" ht="12.75" customHeight="1">
      <c r="C320" s="210"/>
      <c r="D320" s="210"/>
      <c r="E320" s="210"/>
      <c r="F320" s="210"/>
      <c r="G320" s="210"/>
      <c r="H320" s="210"/>
      <c r="I320" s="210"/>
      <c r="J320" s="210"/>
      <c r="K320" s="210"/>
      <c r="L320" s="210"/>
      <c r="M320" s="210"/>
      <c r="N320" s="210"/>
      <c r="O320" s="210"/>
      <c r="P320" s="210"/>
      <c r="Q320" s="210"/>
      <c r="R320" s="210"/>
      <c r="S320" s="210"/>
      <c r="T320" s="210"/>
      <c r="U320" s="210"/>
      <c r="V320" s="210"/>
      <c r="W320" s="210"/>
      <c r="X320" s="210"/>
      <c r="Y320" s="210"/>
      <c r="Z320" s="210"/>
      <c r="AA320" s="210"/>
      <c r="AB320" s="210"/>
      <c r="AC320" s="210"/>
      <c r="AI320" s="210"/>
      <c r="AJ320" s="210"/>
    </row>
    <row r="321" ht="12.75" customHeight="1">
      <c r="C321" s="210"/>
      <c r="D321" s="210"/>
      <c r="E321" s="210"/>
      <c r="F321" s="210"/>
      <c r="G321" s="210"/>
      <c r="H321" s="210"/>
      <c r="I321" s="210"/>
      <c r="J321" s="210"/>
      <c r="K321" s="210"/>
      <c r="L321" s="210"/>
      <c r="M321" s="210"/>
      <c r="N321" s="210"/>
      <c r="O321" s="210"/>
      <c r="P321" s="210"/>
      <c r="Q321" s="210"/>
      <c r="R321" s="210"/>
      <c r="S321" s="210"/>
      <c r="T321" s="210"/>
      <c r="U321" s="210"/>
      <c r="V321" s="210"/>
      <c r="W321" s="210"/>
      <c r="X321" s="210"/>
      <c r="Y321" s="210"/>
      <c r="Z321" s="210"/>
      <c r="AA321" s="210"/>
      <c r="AB321" s="210"/>
      <c r="AC321" s="210"/>
      <c r="AI321" s="210"/>
      <c r="AJ321" s="210"/>
    </row>
    <row r="322" ht="12.75" customHeight="1">
      <c r="C322" s="210"/>
      <c r="D322" s="210"/>
      <c r="E322" s="210"/>
      <c r="F322" s="210"/>
      <c r="G322" s="210"/>
      <c r="H322" s="210"/>
      <c r="I322" s="210"/>
      <c r="J322" s="210"/>
      <c r="K322" s="210"/>
      <c r="L322" s="210"/>
      <c r="M322" s="210"/>
      <c r="N322" s="210"/>
      <c r="O322" s="210"/>
      <c r="P322" s="210"/>
      <c r="Q322" s="210"/>
      <c r="R322" s="210"/>
      <c r="S322" s="210"/>
      <c r="T322" s="210"/>
      <c r="U322" s="210"/>
      <c r="V322" s="210"/>
      <c r="W322" s="210"/>
      <c r="X322" s="210"/>
      <c r="Y322" s="210"/>
      <c r="Z322" s="210"/>
      <c r="AA322" s="210"/>
      <c r="AB322" s="210"/>
      <c r="AC322" s="210"/>
      <c r="AI322" s="210"/>
      <c r="AJ322" s="210"/>
    </row>
    <row r="323" ht="12.75" customHeight="1">
      <c r="C323" s="210"/>
      <c r="D323" s="210"/>
      <c r="E323" s="210"/>
      <c r="F323" s="210"/>
      <c r="G323" s="210"/>
      <c r="H323" s="210"/>
      <c r="I323" s="210"/>
      <c r="J323" s="210"/>
      <c r="K323" s="210"/>
      <c r="L323" s="210"/>
      <c r="M323" s="210"/>
      <c r="N323" s="210"/>
      <c r="O323" s="210"/>
      <c r="P323" s="210"/>
      <c r="Q323" s="210"/>
      <c r="R323" s="210"/>
      <c r="S323" s="210"/>
      <c r="T323" s="210"/>
      <c r="U323" s="210"/>
      <c r="V323" s="210"/>
      <c r="W323" s="210"/>
      <c r="X323" s="210"/>
      <c r="Y323" s="210"/>
      <c r="Z323" s="210"/>
      <c r="AA323" s="210"/>
      <c r="AB323" s="210"/>
      <c r="AC323" s="210"/>
      <c r="AI323" s="210"/>
      <c r="AJ323" s="210"/>
    </row>
    <row r="324" ht="12.75" customHeight="1">
      <c r="C324" s="210"/>
      <c r="D324" s="210"/>
      <c r="E324" s="210"/>
      <c r="F324" s="210"/>
      <c r="G324" s="210"/>
      <c r="H324" s="210"/>
      <c r="I324" s="210"/>
      <c r="J324" s="210"/>
      <c r="K324" s="210"/>
      <c r="L324" s="210"/>
      <c r="M324" s="210"/>
      <c r="N324" s="210"/>
      <c r="O324" s="210"/>
      <c r="P324" s="210"/>
      <c r="Q324" s="210"/>
      <c r="R324" s="210"/>
      <c r="S324" s="210"/>
      <c r="T324" s="210"/>
      <c r="U324" s="210"/>
      <c r="V324" s="210"/>
      <c r="W324" s="210"/>
      <c r="X324" s="210"/>
      <c r="Y324" s="210"/>
      <c r="Z324" s="210"/>
      <c r="AA324" s="210"/>
      <c r="AB324" s="210"/>
      <c r="AC324" s="210"/>
      <c r="AI324" s="210"/>
      <c r="AJ324" s="210"/>
    </row>
    <row r="325" ht="12.75" customHeight="1">
      <c r="C325" s="210"/>
      <c r="D325" s="210"/>
      <c r="E325" s="210"/>
      <c r="F325" s="210"/>
      <c r="G325" s="210"/>
      <c r="H325" s="210"/>
      <c r="I325" s="210"/>
      <c r="J325" s="210"/>
      <c r="K325" s="210"/>
      <c r="L325" s="210"/>
      <c r="M325" s="210"/>
      <c r="N325" s="210"/>
      <c r="O325" s="210"/>
      <c r="P325" s="210"/>
      <c r="Q325" s="210"/>
      <c r="R325" s="210"/>
      <c r="S325" s="210"/>
      <c r="T325" s="210"/>
      <c r="U325" s="210"/>
      <c r="V325" s="210"/>
      <c r="W325" s="210"/>
      <c r="X325" s="210"/>
      <c r="Y325" s="210"/>
      <c r="Z325" s="210"/>
      <c r="AA325" s="210"/>
      <c r="AB325" s="210"/>
      <c r="AC325" s="210"/>
      <c r="AI325" s="210"/>
      <c r="AJ325" s="210"/>
    </row>
    <row r="326" ht="12.75" customHeight="1">
      <c r="C326" s="210"/>
      <c r="D326" s="210"/>
      <c r="E326" s="210"/>
      <c r="F326" s="210"/>
      <c r="G326" s="210"/>
      <c r="H326" s="210"/>
      <c r="I326" s="210"/>
      <c r="J326" s="210"/>
      <c r="K326" s="210"/>
      <c r="L326" s="210"/>
      <c r="M326" s="210"/>
      <c r="N326" s="210"/>
      <c r="O326" s="210"/>
      <c r="P326" s="210"/>
      <c r="Q326" s="210"/>
      <c r="R326" s="210"/>
      <c r="S326" s="210"/>
      <c r="T326" s="210"/>
      <c r="U326" s="210"/>
      <c r="V326" s="210"/>
      <c r="W326" s="210"/>
      <c r="X326" s="210"/>
      <c r="Y326" s="210"/>
      <c r="Z326" s="210"/>
      <c r="AA326" s="210"/>
      <c r="AB326" s="210"/>
      <c r="AC326" s="210"/>
      <c r="AI326" s="210"/>
      <c r="AJ326" s="210"/>
    </row>
    <row r="327" ht="12.75" customHeight="1">
      <c r="C327" s="210"/>
      <c r="D327" s="210"/>
      <c r="E327" s="210"/>
      <c r="F327" s="210"/>
      <c r="G327" s="210"/>
      <c r="H327" s="210"/>
      <c r="I327" s="210"/>
      <c r="J327" s="210"/>
      <c r="K327" s="210"/>
      <c r="L327" s="210"/>
      <c r="M327" s="210"/>
      <c r="N327" s="210"/>
      <c r="O327" s="210"/>
      <c r="P327" s="210"/>
      <c r="Q327" s="210"/>
      <c r="R327" s="210"/>
      <c r="S327" s="210"/>
      <c r="T327" s="210"/>
      <c r="U327" s="210"/>
      <c r="V327" s="210"/>
      <c r="W327" s="210"/>
      <c r="X327" s="210"/>
      <c r="Y327" s="210"/>
      <c r="Z327" s="210"/>
      <c r="AA327" s="210"/>
      <c r="AB327" s="210"/>
      <c r="AC327" s="210"/>
      <c r="AI327" s="210"/>
      <c r="AJ327" s="210"/>
    </row>
    <row r="328" ht="12.75" customHeight="1">
      <c r="C328" s="210"/>
      <c r="D328" s="210"/>
      <c r="E328" s="210"/>
      <c r="F328" s="210"/>
      <c r="G328" s="210"/>
      <c r="H328" s="210"/>
      <c r="I328" s="210"/>
      <c r="J328" s="210"/>
      <c r="K328" s="210"/>
      <c r="L328" s="210"/>
      <c r="M328" s="210"/>
      <c r="N328" s="210"/>
      <c r="O328" s="210"/>
      <c r="P328" s="210"/>
      <c r="Q328" s="210"/>
      <c r="R328" s="210"/>
      <c r="S328" s="210"/>
      <c r="T328" s="210"/>
      <c r="U328" s="210"/>
      <c r="V328" s="210"/>
      <c r="W328" s="210"/>
      <c r="X328" s="210"/>
      <c r="Y328" s="210"/>
      <c r="Z328" s="210"/>
      <c r="AA328" s="210"/>
      <c r="AB328" s="210"/>
      <c r="AC328" s="210"/>
      <c r="AI328" s="210"/>
      <c r="AJ328" s="210"/>
    </row>
    <row r="329" ht="12.75" customHeight="1">
      <c r="C329" s="210"/>
      <c r="D329" s="210"/>
      <c r="E329" s="210"/>
      <c r="F329" s="210"/>
      <c r="G329" s="210"/>
      <c r="H329" s="210"/>
      <c r="I329" s="210"/>
      <c r="J329" s="210"/>
      <c r="K329" s="210"/>
      <c r="L329" s="210"/>
      <c r="M329" s="210"/>
      <c r="N329" s="210"/>
      <c r="O329" s="210"/>
      <c r="P329" s="210"/>
      <c r="Q329" s="210"/>
      <c r="R329" s="210"/>
      <c r="S329" s="210"/>
      <c r="T329" s="210"/>
      <c r="U329" s="210"/>
      <c r="V329" s="210"/>
      <c r="W329" s="210"/>
      <c r="X329" s="210"/>
      <c r="Y329" s="210"/>
      <c r="Z329" s="210"/>
      <c r="AA329" s="210"/>
      <c r="AB329" s="210"/>
      <c r="AC329" s="210"/>
      <c r="AI329" s="210"/>
      <c r="AJ329" s="210"/>
    </row>
    <row r="330" ht="12.75" customHeight="1">
      <c r="C330" s="210"/>
      <c r="D330" s="210"/>
      <c r="E330" s="210"/>
      <c r="F330" s="210"/>
      <c r="G330" s="210"/>
      <c r="H330" s="210"/>
      <c r="I330" s="210"/>
      <c r="J330" s="210"/>
      <c r="K330" s="210"/>
      <c r="L330" s="210"/>
      <c r="M330" s="210"/>
      <c r="N330" s="210"/>
      <c r="O330" s="210"/>
      <c r="P330" s="210"/>
      <c r="Q330" s="210"/>
      <c r="R330" s="210"/>
      <c r="S330" s="210"/>
      <c r="T330" s="210"/>
      <c r="U330" s="210"/>
      <c r="V330" s="210"/>
      <c r="W330" s="210"/>
      <c r="X330" s="210"/>
      <c r="Y330" s="210"/>
      <c r="Z330" s="210"/>
      <c r="AA330" s="210"/>
      <c r="AB330" s="210"/>
      <c r="AC330" s="210"/>
      <c r="AI330" s="210"/>
      <c r="AJ330" s="210"/>
    </row>
    <row r="331" ht="12.75" customHeight="1">
      <c r="C331" s="210"/>
      <c r="D331" s="210"/>
      <c r="E331" s="210"/>
      <c r="F331" s="210"/>
      <c r="G331" s="210"/>
      <c r="H331" s="210"/>
      <c r="I331" s="210"/>
      <c r="J331" s="210"/>
      <c r="K331" s="210"/>
      <c r="L331" s="210"/>
      <c r="M331" s="210"/>
      <c r="N331" s="210"/>
      <c r="O331" s="210"/>
      <c r="P331" s="210"/>
      <c r="Q331" s="210"/>
      <c r="R331" s="210"/>
      <c r="S331" s="210"/>
      <c r="T331" s="210"/>
      <c r="U331" s="210"/>
      <c r="V331" s="210"/>
      <c r="W331" s="210"/>
      <c r="X331" s="210"/>
      <c r="Y331" s="210"/>
      <c r="Z331" s="210"/>
      <c r="AA331" s="210"/>
      <c r="AB331" s="210"/>
      <c r="AC331" s="210"/>
      <c r="AI331" s="210"/>
      <c r="AJ331" s="210"/>
    </row>
    <row r="332" ht="12.75" customHeight="1">
      <c r="C332" s="210"/>
      <c r="D332" s="210"/>
      <c r="E332" s="210"/>
      <c r="F332" s="210"/>
      <c r="G332" s="210"/>
      <c r="H332" s="210"/>
      <c r="I332" s="210"/>
      <c r="J332" s="210"/>
      <c r="K332" s="210"/>
      <c r="L332" s="210"/>
      <c r="M332" s="210"/>
      <c r="N332" s="210"/>
      <c r="O332" s="210"/>
      <c r="P332" s="210"/>
      <c r="Q332" s="210"/>
      <c r="R332" s="210"/>
      <c r="S332" s="210"/>
      <c r="T332" s="210"/>
      <c r="U332" s="210"/>
      <c r="V332" s="210"/>
      <c r="W332" s="210"/>
      <c r="X332" s="210"/>
      <c r="Y332" s="210"/>
      <c r="Z332" s="210"/>
      <c r="AA332" s="210"/>
      <c r="AB332" s="210"/>
      <c r="AC332" s="210"/>
      <c r="AI332" s="210"/>
      <c r="AJ332" s="210"/>
    </row>
    <row r="333" ht="12.75" customHeight="1">
      <c r="C333" s="210"/>
      <c r="D333" s="210"/>
      <c r="E333" s="210"/>
      <c r="F333" s="210"/>
      <c r="G333" s="210"/>
      <c r="H333" s="210"/>
      <c r="I333" s="210"/>
      <c r="J333" s="210"/>
      <c r="K333" s="210"/>
      <c r="L333" s="210"/>
      <c r="M333" s="210"/>
      <c r="N333" s="210"/>
      <c r="O333" s="210"/>
      <c r="P333" s="210"/>
      <c r="Q333" s="210"/>
      <c r="R333" s="210"/>
      <c r="S333" s="210"/>
      <c r="T333" s="210"/>
      <c r="U333" s="210"/>
      <c r="V333" s="210"/>
      <c r="W333" s="210"/>
      <c r="X333" s="210"/>
      <c r="Y333" s="210"/>
      <c r="Z333" s="210"/>
      <c r="AA333" s="210"/>
      <c r="AB333" s="210"/>
      <c r="AC333" s="210"/>
      <c r="AI333" s="210"/>
      <c r="AJ333" s="210"/>
    </row>
    <row r="334" ht="12.75" customHeight="1">
      <c r="C334" s="210"/>
      <c r="D334" s="210"/>
      <c r="E334" s="210"/>
      <c r="F334" s="210"/>
      <c r="G334" s="210"/>
      <c r="H334" s="210"/>
      <c r="I334" s="210"/>
      <c r="J334" s="210"/>
      <c r="K334" s="210"/>
      <c r="L334" s="210"/>
      <c r="M334" s="210"/>
      <c r="N334" s="210"/>
      <c r="O334" s="210"/>
      <c r="P334" s="210"/>
      <c r="Q334" s="210"/>
      <c r="R334" s="210"/>
      <c r="S334" s="210"/>
      <c r="T334" s="210"/>
      <c r="U334" s="210"/>
      <c r="V334" s="210"/>
      <c r="W334" s="210"/>
      <c r="X334" s="210"/>
      <c r="Y334" s="210"/>
      <c r="Z334" s="210"/>
      <c r="AA334" s="210"/>
      <c r="AB334" s="210"/>
      <c r="AC334" s="210"/>
      <c r="AI334" s="210"/>
      <c r="AJ334" s="210"/>
    </row>
    <row r="335" ht="12.75" customHeight="1">
      <c r="C335" s="210"/>
      <c r="D335" s="210"/>
      <c r="E335" s="210"/>
      <c r="F335" s="210"/>
      <c r="G335" s="210"/>
      <c r="H335" s="210"/>
      <c r="I335" s="210"/>
      <c r="J335" s="210"/>
      <c r="K335" s="210"/>
      <c r="L335" s="210"/>
      <c r="M335" s="210"/>
      <c r="N335" s="210"/>
      <c r="O335" s="210"/>
      <c r="P335" s="210"/>
      <c r="Q335" s="210"/>
      <c r="R335" s="210"/>
      <c r="S335" s="210"/>
      <c r="T335" s="210"/>
      <c r="U335" s="210"/>
      <c r="V335" s="210"/>
      <c r="W335" s="210"/>
      <c r="X335" s="210"/>
      <c r="Y335" s="210"/>
      <c r="Z335" s="210"/>
      <c r="AA335" s="210"/>
      <c r="AB335" s="210"/>
      <c r="AC335" s="210"/>
      <c r="AI335" s="210"/>
      <c r="AJ335" s="210"/>
    </row>
    <row r="336" ht="12.75" customHeight="1">
      <c r="C336" s="210"/>
      <c r="D336" s="210"/>
      <c r="E336" s="210"/>
      <c r="F336" s="210"/>
      <c r="G336" s="210"/>
      <c r="H336" s="210"/>
      <c r="I336" s="210"/>
      <c r="J336" s="210"/>
      <c r="K336" s="210"/>
      <c r="L336" s="210"/>
      <c r="M336" s="210"/>
      <c r="N336" s="210"/>
      <c r="O336" s="210"/>
      <c r="P336" s="210"/>
      <c r="Q336" s="210"/>
      <c r="R336" s="210"/>
      <c r="S336" s="210"/>
      <c r="T336" s="210"/>
      <c r="U336" s="210"/>
      <c r="V336" s="210"/>
      <c r="W336" s="210"/>
      <c r="X336" s="210"/>
      <c r="Y336" s="210"/>
      <c r="Z336" s="210"/>
      <c r="AA336" s="210"/>
      <c r="AB336" s="210"/>
      <c r="AC336" s="210"/>
      <c r="AI336" s="210"/>
      <c r="AJ336" s="210"/>
    </row>
    <row r="337" ht="12.75" customHeight="1">
      <c r="C337" s="210"/>
      <c r="D337" s="210"/>
      <c r="E337" s="210"/>
      <c r="F337" s="210"/>
      <c r="G337" s="210"/>
      <c r="H337" s="210"/>
      <c r="I337" s="210"/>
      <c r="J337" s="210"/>
      <c r="K337" s="210"/>
      <c r="L337" s="210"/>
      <c r="M337" s="210"/>
      <c r="N337" s="210"/>
      <c r="O337" s="210"/>
      <c r="P337" s="210"/>
      <c r="Q337" s="210"/>
      <c r="R337" s="210"/>
      <c r="S337" s="210"/>
      <c r="T337" s="210"/>
      <c r="U337" s="210"/>
      <c r="V337" s="210"/>
      <c r="W337" s="210"/>
      <c r="X337" s="210"/>
      <c r="Y337" s="210"/>
      <c r="Z337" s="210"/>
      <c r="AA337" s="210"/>
      <c r="AB337" s="210"/>
      <c r="AC337" s="210"/>
      <c r="AI337" s="210"/>
      <c r="AJ337" s="210"/>
    </row>
    <row r="338" ht="12.75" customHeight="1">
      <c r="C338" s="210"/>
      <c r="D338" s="210"/>
      <c r="E338" s="210"/>
      <c r="F338" s="210"/>
      <c r="G338" s="210"/>
      <c r="H338" s="210"/>
      <c r="I338" s="210"/>
      <c r="J338" s="210"/>
      <c r="K338" s="210"/>
      <c r="L338" s="210"/>
      <c r="M338" s="210"/>
      <c r="N338" s="210"/>
      <c r="O338" s="210"/>
      <c r="P338" s="210"/>
      <c r="Q338" s="210"/>
      <c r="R338" s="210"/>
      <c r="S338" s="210"/>
      <c r="T338" s="210"/>
      <c r="U338" s="210"/>
      <c r="V338" s="210"/>
      <c r="W338" s="210"/>
      <c r="X338" s="210"/>
      <c r="Y338" s="210"/>
      <c r="Z338" s="210"/>
      <c r="AA338" s="210"/>
      <c r="AB338" s="210"/>
      <c r="AC338" s="210"/>
      <c r="AI338" s="210"/>
      <c r="AJ338" s="210"/>
    </row>
    <row r="339" ht="12.75" customHeight="1">
      <c r="C339" s="210"/>
      <c r="D339" s="210"/>
      <c r="E339" s="210"/>
      <c r="F339" s="210"/>
      <c r="G339" s="210"/>
      <c r="H339" s="210"/>
      <c r="I339" s="210"/>
      <c r="J339" s="210"/>
      <c r="K339" s="210"/>
      <c r="L339" s="210"/>
      <c r="M339" s="210"/>
      <c r="N339" s="210"/>
      <c r="O339" s="210"/>
      <c r="P339" s="210"/>
      <c r="Q339" s="210"/>
      <c r="R339" s="210"/>
      <c r="S339" s="210"/>
      <c r="T339" s="210"/>
      <c r="U339" s="210"/>
      <c r="V339" s="210"/>
      <c r="W339" s="210"/>
      <c r="X339" s="210"/>
      <c r="Y339" s="210"/>
      <c r="Z339" s="210"/>
      <c r="AA339" s="210"/>
      <c r="AB339" s="210"/>
      <c r="AC339" s="210"/>
      <c r="AI339" s="210"/>
      <c r="AJ339" s="210"/>
    </row>
    <row r="340" ht="12.75" customHeight="1">
      <c r="C340" s="210"/>
      <c r="D340" s="210"/>
      <c r="E340" s="210"/>
      <c r="F340" s="210"/>
      <c r="G340" s="210"/>
      <c r="H340" s="210"/>
      <c r="I340" s="210"/>
      <c r="J340" s="210"/>
      <c r="K340" s="210"/>
      <c r="L340" s="210"/>
      <c r="M340" s="210"/>
      <c r="N340" s="210"/>
      <c r="O340" s="210"/>
      <c r="P340" s="210"/>
      <c r="Q340" s="210"/>
      <c r="R340" s="210"/>
      <c r="S340" s="210"/>
      <c r="T340" s="210"/>
      <c r="U340" s="210"/>
      <c r="V340" s="210"/>
      <c r="W340" s="210"/>
      <c r="X340" s="210"/>
      <c r="Y340" s="210"/>
      <c r="Z340" s="210"/>
      <c r="AA340" s="210"/>
      <c r="AB340" s="210"/>
      <c r="AC340" s="210"/>
      <c r="AI340" s="210"/>
      <c r="AJ340" s="210"/>
    </row>
    <row r="341" ht="12.75" customHeight="1">
      <c r="C341" s="210"/>
      <c r="D341" s="210"/>
      <c r="E341" s="210"/>
      <c r="F341" s="210"/>
      <c r="G341" s="210"/>
      <c r="H341" s="210"/>
      <c r="I341" s="210"/>
      <c r="J341" s="210"/>
      <c r="K341" s="210"/>
      <c r="L341" s="210"/>
      <c r="M341" s="210"/>
      <c r="N341" s="210"/>
      <c r="O341" s="210"/>
      <c r="P341" s="210"/>
      <c r="Q341" s="210"/>
      <c r="R341" s="210"/>
      <c r="S341" s="210"/>
      <c r="T341" s="210"/>
      <c r="U341" s="210"/>
      <c r="V341" s="210"/>
      <c r="W341" s="210"/>
      <c r="X341" s="210"/>
      <c r="Y341" s="210"/>
      <c r="Z341" s="210"/>
      <c r="AA341" s="210"/>
      <c r="AB341" s="210"/>
      <c r="AC341" s="210"/>
      <c r="AI341" s="210"/>
      <c r="AJ341" s="210"/>
    </row>
    <row r="342" ht="12.75" customHeight="1">
      <c r="C342" s="210"/>
      <c r="D342" s="210"/>
      <c r="E342" s="210"/>
      <c r="F342" s="210"/>
      <c r="G342" s="210"/>
      <c r="H342" s="210"/>
      <c r="I342" s="210"/>
      <c r="J342" s="210"/>
      <c r="K342" s="210"/>
      <c r="L342" s="210"/>
      <c r="M342" s="210"/>
      <c r="N342" s="210"/>
      <c r="O342" s="210"/>
      <c r="P342" s="210"/>
      <c r="Q342" s="210"/>
      <c r="R342" s="210"/>
      <c r="S342" s="210"/>
      <c r="T342" s="210"/>
      <c r="U342" s="210"/>
      <c r="V342" s="210"/>
      <c r="W342" s="210"/>
      <c r="X342" s="210"/>
      <c r="Y342" s="210"/>
      <c r="Z342" s="210"/>
      <c r="AA342" s="210"/>
      <c r="AB342" s="210"/>
      <c r="AC342" s="210"/>
      <c r="AI342" s="210"/>
      <c r="AJ342" s="210"/>
    </row>
    <row r="343" ht="12.75" customHeight="1">
      <c r="C343" s="210"/>
      <c r="D343" s="210"/>
      <c r="E343" s="210"/>
      <c r="F343" s="210"/>
      <c r="G343" s="210"/>
      <c r="H343" s="210"/>
      <c r="I343" s="210"/>
      <c r="J343" s="210"/>
      <c r="K343" s="210"/>
      <c r="L343" s="210"/>
      <c r="M343" s="210"/>
      <c r="N343" s="210"/>
      <c r="O343" s="210"/>
      <c r="P343" s="210"/>
      <c r="Q343" s="210"/>
      <c r="R343" s="210"/>
      <c r="S343" s="210"/>
      <c r="T343" s="210"/>
      <c r="U343" s="210"/>
      <c r="V343" s="210"/>
      <c r="W343" s="210"/>
      <c r="X343" s="210"/>
      <c r="Y343" s="210"/>
      <c r="Z343" s="210"/>
      <c r="AA343" s="210"/>
      <c r="AB343" s="210"/>
      <c r="AC343" s="210"/>
      <c r="AI343" s="210"/>
      <c r="AJ343" s="210"/>
    </row>
    <row r="344" ht="12.75" customHeight="1">
      <c r="C344" s="210"/>
      <c r="D344" s="210"/>
      <c r="E344" s="210"/>
      <c r="F344" s="210"/>
      <c r="G344" s="210"/>
      <c r="H344" s="210"/>
      <c r="I344" s="210"/>
      <c r="J344" s="210"/>
      <c r="K344" s="210"/>
      <c r="L344" s="210"/>
      <c r="M344" s="210"/>
      <c r="N344" s="210"/>
      <c r="O344" s="210"/>
      <c r="P344" s="210"/>
      <c r="Q344" s="210"/>
      <c r="R344" s="210"/>
      <c r="S344" s="210"/>
      <c r="T344" s="210"/>
      <c r="U344" s="210"/>
      <c r="V344" s="210"/>
      <c r="W344" s="210"/>
      <c r="X344" s="210"/>
      <c r="Y344" s="210"/>
      <c r="Z344" s="210"/>
      <c r="AA344" s="210"/>
      <c r="AB344" s="210"/>
      <c r="AC344" s="210"/>
      <c r="AI344" s="210"/>
      <c r="AJ344" s="210"/>
    </row>
    <row r="345" ht="12.75" customHeight="1">
      <c r="C345" s="210"/>
      <c r="D345" s="210"/>
      <c r="E345" s="210"/>
      <c r="F345" s="210"/>
      <c r="G345" s="210"/>
      <c r="H345" s="210"/>
      <c r="I345" s="210"/>
      <c r="J345" s="210"/>
      <c r="K345" s="210"/>
      <c r="L345" s="210"/>
      <c r="M345" s="210"/>
      <c r="N345" s="210"/>
      <c r="O345" s="210"/>
      <c r="P345" s="210"/>
      <c r="Q345" s="210"/>
      <c r="R345" s="210"/>
      <c r="S345" s="210"/>
      <c r="T345" s="210"/>
      <c r="U345" s="210"/>
      <c r="V345" s="210"/>
      <c r="W345" s="210"/>
      <c r="X345" s="210"/>
      <c r="Y345" s="210"/>
      <c r="Z345" s="210"/>
      <c r="AA345" s="210"/>
      <c r="AB345" s="210"/>
      <c r="AC345" s="210"/>
      <c r="AI345" s="210"/>
      <c r="AJ345" s="210"/>
    </row>
    <row r="346" ht="12.75" customHeight="1">
      <c r="C346" s="210"/>
      <c r="D346" s="210"/>
      <c r="E346" s="210"/>
      <c r="F346" s="210"/>
      <c r="G346" s="210"/>
      <c r="H346" s="210"/>
      <c r="I346" s="210"/>
      <c r="J346" s="210"/>
      <c r="K346" s="210"/>
      <c r="L346" s="210"/>
      <c r="M346" s="210"/>
      <c r="N346" s="210"/>
      <c r="O346" s="210"/>
      <c r="P346" s="210"/>
      <c r="Q346" s="210"/>
      <c r="R346" s="210"/>
      <c r="S346" s="210"/>
      <c r="T346" s="210"/>
      <c r="U346" s="210"/>
      <c r="V346" s="210"/>
      <c r="W346" s="210"/>
      <c r="X346" s="210"/>
      <c r="Y346" s="210"/>
      <c r="Z346" s="210"/>
      <c r="AA346" s="210"/>
      <c r="AB346" s="210"/>
      <c r="AC346" s="210"/>
      <c r="AI346" s="210"/>
      <c r="AJ346" s="210"/>
    </row>
    <row r="347" ht="12.75" customHeight="1">
      <c r="C347" s="210"/>
      <c r="D347" s="210"/>
      <c r="E347" s="210"/>
      <c r="F347" s="210"/>
      <c r="G347" s="210"/>
      <c r="H347" s="210"/>
      <c r="I347" s="210"/>
      <c r="J347" s="210"/>
      <c r="K347" s="210"/>
      <c r="L347" s="210"/>
      <c r="M347" s="210"/>
      <c r="N347" s="210"/>
      <c r="O347" s="210"/>
      <c r="P347" s="210"/>
      <c r="Q347" s="210"/>
      <c r="R347" s="210"/>
      <c r="S347" s="210"/>
      <c r="T347" s="210"/>
      <c r="U347" s="210"/>
      <c r="V347" s="210"/>
      <c r="W347" s="210"/>
      <c r="X347" s="210"/>
      <c r="Y347" s="210"/>
      <c r="Z347" s="210"/>
      <c r="AA347" s="210"/>
      <c r="AB347" s="210"/>
      <c r="AC347" s="210"/>
      <c r="AI347" s="210"/>
      <c r="AJ347" s="210"/>
    </row>
    <row r="348" ht="12.75" customHeight="1">
      <c r="C348" s="210"/>
      <c r="D348" s="210"/>
      <c r="E348" s="210"/>
      <c r="F348" s="210"/>
      <c r="G348" s="210"/>
      <c r="H348" s="210"/>
      <c r="I348" s="210"/>
      <c r="J348" s="210"/>
      <c r="K348" s="210"/>
      <c r="L348" s="210"/>
      <c r="M348" s="210"/>
      <c r="N348" s="210"/>
      <c r="O348" s="210"/>
      <c r="P348" s="210"/>
      <c r="Q348" s="210"/>
      <c r="R348" s="210"/>
      <c r="S348" s="210"/>
      <c r="T348" s="210"/>
      <c r="U348" s="210"/>
      <c r="V348" s="210"/>
      <c r="W348" s="210"/>
      <c r="X348" s="210"/>
      <c r="Y348" s="210"/>
      <c r="Z348" s="210"/>
      <c r="AA348" s="210"/>
      <c r="AB348" s="210"/>
      <c r="AC348" s="210"/>
      <c r="AI348" s="210"/>
      <c r="AJ348" s="210"/>
    </row>
    <row r="349" ht="12.75" customHeight="1">
      <c r="C349" s="210"/>
      <c r="D349" s="210"/>
      <c r="E349" s="210"/>
      <c r="F349" s="210"/>
      <c r="G349" s="210"/>
      <c r="H349" s="210"/>
      <c r="I349" s="210"/>
      <c r="J349" s="210"/>
      <c r="K349" s="210"/>
      <c r="L349" s="210"/>
      <c r="M349" s="210"/>
      <c r="N349" s="210"/>
      <c r="O349" s="210"/>
      <c r="P349" s="210"/>
      <c r="Q349" s="210"/>
      <c r="R349" s="210"/>
      <c r="S349" s="210"/>
      <c r="T349" s="210"/>
      <c r="U349" s="210"/>
      <c r="V349" s="210"/>
      <c r="W349" s="210"/>
      <c r="X349" s="210"/>
      <c r="Y349" s="210"/>
      <c r="Z349" s="210"/>
      <c r="AA349" s="210"/>
      <c r="AB349" s="210"/>
      <c r="AC349" s="210"/>
      <c r="AI349" s="210"/>
      <c r="AJ349" s="210"/>
    </row>
    <row r="350" ht="12.75" customHeight="1">
      <c r="C350" s="210"/>
      <c r="D350" s="210"/>
      <c r="E350" s="210"/>
      <c r="F350" s="210"/>
      <c r="G350" s="210"/>
      <c r="H350" s="210"/>
      <c r="I350" s="210"/>
      <c r="J350" s="210"/>
      <c r="K350" s="210"/>
      <c r="L350" s="210"/>
      <c r="M350" s="210"/>
      <c r="N350" s="210"/>
      <c r="O350" s="210"/>
      <c r="P350" s="210"/>
      <c r="Q350" s="210"/>
      <c r="R350" s="210"/>
      <c r="S350" s="210"/>
      <c r="T350" s="210"/>
      <c r="U350" s="210"/>
      <c r="V350" s="210"/>
      <c r="W350" s="210"/>
      <c r="X350" s="210"/>
      <c r="Y350" s="210"/>
      <c r="Z350" s="210"/>
      <c r="AA350" s="210"/>
      <c r="AB350" s="210"/>
      <c r="AC350" s="210"/>
      <c r="AI350" s="210"/>
      <c r="AJ350" s="210"/>
    </row>
    <row r="351" ht="12.75" customHeight="1">
      <c r="C351" s="210"/>
      <c r="D351" s="210"/>
      <c r="E351" s="210"/>
      <c r="F351" s="210"/>
      <c r="G351" s="210"/>
      <c r="H351" s="210"/>
      <c r="I351" s="210"/>
      <c r="J351" s="210"/>
      <c r="K351" s="210"/>
      <c r="L351" s="210"/>
      <c r="M351" s="210"/>
      <c r="N351" s="210"/>
      <c r="O351" s="210"/>
      <c r="P351" s="210"/>
      <c r="Q351" s="210"/>
      <c r="R351" s="210"/>
      <c r="S351" s="210"/>
      <c r="T351" s="210"/>
      <c r="U351" s="210"/>
      <c r="V351" s="210"/>
      <c r="W351" s="210"/>
      <c r="X351" s="210"/>
      <c r="Y351" s="210"/>
      <c r="Z351" s="210"/>
      <c r="AA351" s="210"/>
      <c r="AB351" s="210"/>
      <c r="AC351" s="210"/>
      <c r="AI351" s="210"/>
      <c r="AJ351" s="210"/>
    </row>
    <row r="352" ht="12.75" customHeight="1">
      <c r="C352" s="210"/>
      <c r="D352" s="210"/>
      <c r="E352" s="210"/>
      <c r="F352" s="210"/>
      <c r="G352" s="210"/>
      <c r="H352" s="210"/>
      <c r="I352" s="210"/>
      <c r="J352" s="210"/>
      <c r="K352" s="210"/>
      <c r="L352" s="210"/>
      <c r="M352" s="210"/>
      <c r="N352" s="210"/>
      <c r="O352" s="210"/>
      <c r="P352" s="210"/>
      <c r="Q352" s="210"/>
      <c r="R352" s="210"/>
      <c r="S352" s="210"/>
      <c r="T352" s="210"/>
      <c r="U352" s="210"/>
      <c r="V352" s="210"/>
      <c r="W352" s="210"/>
      <c r="X352" s="210"/>
      <c r="Y352" s="210"/>
      <c r="Z352" s="210"/>
      <c r="AA352" s="210"/>
      <c r="AB352" s="210"/>
      <c r="AC352" s="210"/>
      <c r="AI352" s="210"/>
      <c r="AJ352" s="210"/>
    </row>
    <row r="353" ht="12.75" customHeight="1">
      <c r="C353" s="210"/>
      <c r="D353" s="210"/>
      <c r="E353" s="210"/>
      <c r="F353" s="210"/>
      <c r="G353" s="210"/>
      <c r="H353" s="210"/>
      <c r="I353" s="210"/>
      <c r="J353" s="210"/>
      <c r="K353" s="210"/>
      <c r="L353" s="210"/>
      <c r="M353" s="210"/>
      <c r="N353" s="210"/>
      <c r="O353" s="210"/>
      <c r="P353" s="210"/>
      <c r="Q353" s="210"/>
      <c r="R353" s="210"/>
      <c r="S353" s="210"/>
      <c r="T353" s="210"/>
      <c r="U353" s="210"/>
      <c r="V353" s="210"/>
      <c r="W353" s="210"/>
      <c r="X353" s="210"/>
      <c r="Y353" s="210"/>
      <c r="Z353" s="210"/>
      <c r="AA353" s="210"/>
      <c r="AB353" s="210"/>
      <c r="AC353" s="210"/>
      <c r="AI353" s="210"/>
      <c r="AJ353" s="210"/>
    </row>
    <row r="354" ht="12.75" customHeight="1">
      <c r="C354" s="210"/>
      <c r="D354" s="210"/>
      <c r="E354" s="210"/>
      <c r="F354" s="210"/>
      <c r="G354" s="210"/>
      <c r="H354" s="210"/>
      <c r="I354" s="210"/>
      <c r="J354" s="210"/>
      <c r="K354" s="210"/>
      <c r="L354" s="210"/>
      <c r="M354" s="210"/>
      <c r="N354" s="210"/>
      <c r="O354" s="210"/>
      <c r="P354" s="210"/>
      <c r="Q354" s="210"/>
      <c r="R354" s="210"/>
      <c r="S354" s="210"/>
      <c r="T354" s="210"/>
      <c r="U354" s="210"/>
      <c r="V354" s="210"/>
      <c r="W354" s="210"/>
      <c r="X354" s="210"/>
      <c r="Y354" s="210"/>
      <c r="Z354" s="210"/>
      <c r="AA354" s="210"/>
      <c r="AB354" s="210"/>
      <c r="AC354" s="210"/>
      <c r="AI354" s="210"/>
      <c r="AJ354" s="210"/>
    </row>
    <row r="355" ht="12.75" customHeight="1">
      <c r="C355" s="210"/>
      <c r="D355" s="210"/>
      <c r="E355" s="210"/>
      <c r="F355" s="210"/>
      <c r="G355" s="210"/>
      <c r="H355" s="210"/>
      <c r="I355" s="210"/>
      <c r="J355" s="210"/>
      <c r="K355" s="210"/>
      <c r="L355" s="210"/>
      <c r="M355" s="210"/>
      <c r="N355" s="210"/>
      <c r="O355" s="210"/>
      <c r="P355" s="210"/>
      <c r="Q355" s="210"/>
      <c r="R355" s="210"/>
      <c r="S355" s="210"/>
      <c r="T355" s="210"/>
      <c r="U355" s="210"/>
      <c r="V355" s="210"/>
      <c r="W355" s="210"/>
      <c r="X355" s="210"/>
      <c r="Y355" s="210"/>
      <c r="Z355" s="210"/>
      <c r="AA355" s="210"/>
      <c r="AB355" s="210"/>
      <c r="AC355" s="210"/>
      <c r="AI355" s="210"/>
      <c r="AJ355" s="210"/>
    </row>
    <row r="356" ht="12.75" customHeight="1">
      <c r="C356" s="210"/>
      <c r="D356" s="210"/>
      <c r="E356" s="210"/>
      <c r="F356" s="210"/>
      <c r="G356" s="210"/>
      <c r="H356" s="210"/>
      <c r="I356" s="210"/>
      <c r="J356" s="210"/>
      <c r="K356" s="210"/>
      <c r="L356" s="210"/>
      <c r="M356" s="210"/>
      <c r="N356" s="210"/>
      <c r="O356" s="210"/>
      <c r="P356" s="210"/>
      <c r="Q356" s="210"/>
      <c r="R356" s="210"/>
      <c r="S356" s="210"/>
      <c r="T356" s="210"/>
      <c r="U356" s="210"/>
      <c r="V356" s="210"/>
      <c r="W356" s="210"/>
      <c r="X356" s="210"/>
      <c r="Y356" s="210"/>
      <c r="Z356" s="210"/>
      <c r="AA356" s="210"/>
      <c r="AB356" s="210"/>
      <c r="AC356" s="210"/>
      <c r="AI356" s="210"/>
      <c r="AJ356" s="210"/>
    </row>
    <row r="357" ht="12.75" customHeight="1">
      <c r="C357" s="210"/>
      <c r="D357" s="210"/>
      <c r="E357" s="210"/>
      <c r="F357" s="210"/>
      <c r="G357" s="210"/>
      <c r="H357" s="210"/>
      <c r="I357" s="210"/>
      <c r="J357" s="210"/>
      <c r="K357" s="210"/>
      <c r="L357" s="210"/>
      <c r="M357" s="210"/>
      <c r="N357" s="210"/>
      <c r="O357" s="210"/>
      <c r="P357" s="210"/>
      <c r="Q357" s="210"/>
      <c r="R357" s="210"/>
      <c r="S357" s="210"/>
      <c r="T357" s="210"/>
      <c r="U357" s="210"/>
      <c r="V357" s="210"/>
      <c r="W357" s="210"/>
      <c r="X357" s="210"/>
      <c r="Y357" s="210"/>
      <c r="Z357" s="210"/>
      <c r="AA357" s="210"/>
      <c r="AB357" s="210"/>
      <c r="AC357" s="210"/>
      <c r="AI357" s="210"/>
      <c r="AJ357" s="210"/>
    </row>
    <row r="358" ht="12.75" customHeight="1">
      <c r="C358" s="210"/>
      <c r="D358" s="210"/>
      <c r="E358" s="210"/>
      <c r="F358" s="210"/>
      <c r="G358" s="210"/>
      <c r="H358" s="210"/>
      <c r="I358" s="210"/>
      <c r="J358" s="210"/>
      <c r="K358" s="210"/>
      <c r="L358" s="210"/>
      <c r="M358" s="210"/>
      <c r="N358" s="210"/>
      <c r="O358" s="210"/>
      <c r="P358" s="210"/>
      <c r="Q358" s="210"/>
      <c r="R358" s="210"/>
      <c r="S358" s="210"/>
      <c r="T358" s="210"/>
      <c r="U358" s="210"/>
      <c r="V358" s="210"/>
      <c r="W358" s="210"/>
      <c r="X358" s="210"/>
      <c r="Y358" s="210"/>
      <c r="Z358" s="210"/>
      <c r="AA358" s="210"/>
      <c r="AB358" s="210"/>
      <c r="AC358" s="210"/>
      <c r="AI358" s="210"/>
      <c r="AJ358" s="210"/>
    </row>
    <row r="359" ht="12.75" customHeight="1">
      <c r="C359" s="210"/>
      <c r="D359" s="210"/>
      <c r="E359" s="210"/>
      <c r="F359" s="210"/>
      <c r="G359" s="210"/>
      <c r="H359" s="210"/>
      <c r="I359" s="210"/>
      <c r="J359" s="210"/>
      <c r="K359" s="210"/>
      <c r="L359" s="210"/>
      <c r="M359" s="210"/>
      <c r="N359" s="210"/>
      <c r="O359" s="210"/>
      <c r="P359" s="210"/>
      <c r="Q359" s="210"/>
      <c r="R359" s="210"/>
      <c r="S359" s="210"/>
      <c r="T359" s="210"/>
      <c r="U359" s="210"/>
      <c r="V359" s="210"/>
      <c r="W359" s="210"/>
      <c r="X359" s="210"/>
      <c r="Y359" s="210"/>
      <c r="Z359" s="210"/>
      <c r="AA359" s="210"/>
      <c r="AB359" s="210"/>
      <c r="AC359" s="210"/>
      <c r="AI359" s="210"/>
      <c r="AJ359" s="210"/>
    </row>
    <row r="360" ht="12.75" customHeight="1">
      <c r="C360" s="210"/>
      <c r="D360" s="210"/>
      <c r="E360" s="210"/>
      <c r="F360" s="210"/>
      <c r="G360" s="210"/>
      <c r="H360" s="210"/>
      <c r="I360" s="210"/>
      <c r="J360" s="210"/>
      <c r="K360" s="210"/>
      <c r="L360" s="210"/>
      <c r="M360" s="210"/>
      <c r="N360" s="210"/>
      <c r="O360" s="210"/>
      <c r="P360" s="210"/>
      <c r="Q360" s="210"/>
      <c r="R360" s="210"/>
      <c r="S360" s="210"/>
      <c r="T360" s="210"/>
      <c r="U360" s="210"/>
      <c r="V360" s="210"/>
      <c r="W360" s="210"/>
      <c r="X360" s="210"/>
      <c r="Y360" s="210"/>
      <c r="Z360" s="210"/>
      <c r="AA360" s="210"/>
      <c r="AB360" s="210"/>
      <c r="AC360" s="210"/>
      <c r="AI360" s="210"/>
      <c r="AJ360" s="210"/>
    </row>
    <row r="361" ht="12.75" customHeight="1">
      <c r="C361" s="210"/>
      <c r="D361" s="210"/>
      <c r="E361" s="210"/>
      <c r="F361" s="210"/>
      <c r="G361" s="210"/>
      <c r="H361" s="210"/>
      <c r="I361" s="210"/>
      <c r="J361" s="210"/>
      <c r="K361" s="210"/>
      <c r="L361" s="210"/>
      <c r="M361" s="210"/>
      <c r="N361" s="210"/>
      <c r="O361" s="210"/>
      <c r="P361" s="210"/>
      <c r="Q361" s="210"/>
      <c r="R361" s="210"/>
      <c r="S361" s="210"/>
      <c r="T361" s="210"/>
      <c r="U361" s="210"/>
      <c r="V361" s="210"/>
      <c r="W361" s="210"/>
      <c r="X361" s="210"/>
      <c r="Y361" s="210"/>
      <c r="Z361" s="210"/>
      <c r="AA361" s="210"/>
      <c r="AB361" s="210"/>
      <c r="AC361" s="210"/>
      <c r="AI361" s="210"/>
      <c r="AJ361" s="210"/>
    </row>
    <row r="362" ht="12.75" customHeight="1">
      <c r="C362" s="210"/>
      <c r="D362" s="210"/>
      <c r="E362" s="210"/>
      <c r="F362" s="210"/>
      <c r="G362" s="210"/>
      <c r="H362" s="210"/>
      <c r="I362" s="210"/>
      <c r="J362" s="210"/>
      <c r="K362" s="210"/>
      <c r="L362" s="210"/>
      <c r="M362" s="210"/>
      <c r="N362" s="210"/>
      <c r="O362" s="210"/>
      <c r="P362" s="210"/>
      <c r="Q362" s="210"/>
      <c r="R362" s="210"/>
      <c r="S362" s="210"/>
      <c r="T362" s="210"/>
      <c r="U362" s="210"/>
      <c r="V362" s="210"/>
      <c r="W362" s="210"/>
      <c r="X362" s="210"/>
      <c r="Y362" s="210"/>
      <c r="Z362" s="210"/>
      <c r="AA362" s="210"/>
      <c r="AB362" s="210"/>
      <c r="AC362" s="210"/>
      <c r="AI362" s="210"/>
      <c r="AJ362" s="210"/>
    </row>
    <row r="363" ht="12.75" customHeight="1">
      <c r="C363" s="210"/>
      <c r="D363" s="210"/>
      <c r="E363" s="210"/>
      <c r="F363" s="210"/>
      <c r="G363" s="210"/>
      <c r="H363" s="210"/>
      <c r="I363" s="210"/>
      <c r="J363" s="210"/>
      <c r="K363" s="210"/>
      <c r="L363" s="210"/>
      <c r="M363" s="210"/>
      <c r="N363" s="210"/>
      <c r="O363" s="210"/>
      <c r="P363" s="210"/>
      <c r="Q363" s="210"/>
      <c r="R363" s="210"/>
      <c r="S363" s="210"/>
      <c r="T363" s="210"/>
      <c r="U363" s="210"/>
      <c r="V363" s="210"/>
      <c r="W363" s="210"/>
      <c r="X363" s="210"/>
      <c r="Y363" s="210"/>
      <c r="Z363" s="210"/>
      <c r="AA363" s="210"/>
      <c r="AB363" s="210"/>
      <c r="AC363" s="210"/>
      <c r="AI363" s="210"/>
      <c r="AJ363" s="210"/>
    </row>
    <row r="364" ht="12.75" customHeight="1">
      <c r="C364" s="210"/>
      <c r="D364" s="210"/>
      <c r="E364" s="210"/>
      <c r="F364" s="210"/>
      <c r="G364" s="210"/>
      <c r="H364" s="210"/>
      <c r="I364" s="210"/>
      <c r="J364" s="210"/>
      <c r="K364" s="210"/>
      <c r="L364" s="210"/>
      <c r="M364" s="210"/>
      <c r="N364" s="210"/>
      <c r="O364" s="210"/>
      <c r="P364" s="210"/>
      <c r="Q364" s="210"/>
      <c r="R364" s="210"/>
      <c r="S364" s="210"/>
      <c r="T364" s="210"/>
      <c r="U364" s="210"/>
      <c r="V364" s="210"/>
      <c r="W364" s="210"/>
      <c r="X364" s="210"/>
      <c r="Y364" s="210"/>
      <c r="Z364" s="210"/>
      <c r="AA364" s="210"/>
      <c r="AB364" s="210"/>
      <c r="AC364" s="210"/>
      <c r="AI364" s="210"/>
      <c r="AJ364" s="210"/>
    </row>
    <row r="365" ht="12.75" customHeight="1">
      <c r="C365" s="210"/>
      <c r="D365" s="210"/>
      <c r="E365" s="210"/>
      <c r="F365" s="210"/>
      <c r="G365" s="210"/>
      <c r="H365" s="210"/>
      <c r="I365" s="210"/>
      <c r="J365" s="210"/>
      <c r="K365" s="210"/>
      <c r="L365" s="210"/>
      <c r="M365" s="210"/>
      <c r="N365" s="210"/>
      <c r="O365" s="210"/>
      <c r="P365" s="210"/>
      <c r="Q365" s="210"/>
      <c r="R365" s="210"/>
      <c r="S365" s="210"/>
      <c r="T365" s="210"/>
      <c r="U365" s="210"/>
      <c r="V365" s="210"/>
      <c r="W365" s="210"/>
      <c r="X365" s="210"/>
      <c r="Y365" s="210"/>
      <c r="Z365" s="210"/>
      <c r="AA365" s="210"/>
      <c r="AB365" s="210"/>
      <c r="AC365" s="210"/>
      <c r="AI365" s="210"/>
      <c r="AJ365" s="210"/>
    </row>
    <row r="366" ht="12.75" customHeight="1">
      <c r="C366" s="210"/>
      <c r="D366" s="210"/>
      <c r="E366" s="210"/>
      <c r="F366" s="210"/>
      <c r="G366" s="210"/>
      <c r="H366" s="210"/>
      <c r="I366" s="210"/>
      <c r="J366" s="210"/>
      <c r="K366" s="210"/>
      <c r="L366" s="210"/>
      <c r="M366" s="210"/>
      <c r="N366" s="210"/>
      <c r="O366" s="210"/>
      <c r="P366" s="210"/>
      <c r="Q366" s="210"/>
      <c r="R366" s="210"/>
      <c r="S366" s="210"/>
      <c r="T366" s="210"/>
      <c r="U366" s="210"/>
      <c r="V366" s="210"/>
      <c r="W366" s="210"/>
      <c r="X366" s="210"/>
      <c r="Y366" s="210"/>
      <c r="Z366" s="210"/>
      <c r="AA366" s="210"/>
      <c r="AB366" s="210"/>
      <c r="AC366" s="210"/>
      <c r="AI366" s="210"/>
      <c r="AJ366" s="210"/>
    </row>
    <row r="367" ht="12.75" customHeight="1">
      <c r="C367" s="210"/>
      <c r="D367" s="210"/>
      <c r="E367" s="210"/>
      <c r="F367" s="210"/>
      <c r="G367" s="210"/>
      <c r="H367" s="210"/>
      <c r="I367" s="210"/>
      <c r="J367" s="210"/>
      <c r="K367" s="210"/>
      <c r="L367" s="210"/>
      <c r="M367" s="210"/>
      <c r="N367" s="210"/>
      <c r="O367" s="210"/>
      <c r="P367" s="210"/>
      <c r="Q367" s="210"/>
      <c r="R367" s="210"/>
      <c r="S367" s="210"/>
      <c r="T367" s="210"/>
      <c r="U367" s="210"/>
      <c r="V367" s="210"/>
      <c r="W367" s="210"/>
      <c r="X367" s="210"/>
      <c r="Y367" s="210"/>
      <c r="Z367" s="210"/>
      <c r="AA367" s="210"/>
      <c r="AB367" s="210"/>
      <c r="AC367" s="210"/>
      <c r="AI367" s="210"/>
      <c r="AJ367" s="210"/>
    </row>
    <row r="368" ht="12.75" customHeight="1">
      <c r="C368" s="210"/>
      <c r="D368" s="210"/>
      <c r="E368" s="210"/>
      <c r="F368" s="210"/>
      <c r="G368" s="210"/>
      <c r="H368" s="210"/>
      <c r="I368" s="210"/>
      <c r="J368" s="210"/>
      <c r="K368" s="210"/>
      <c r="L368" s="210"/>
      <c r="M368" s="210"/>
      <c r="N368" s="210"/>
      <c r="O368" s="210"/>
      <c r="P368" s="210"/>
      <c r="Q368" s="210"/>
      <c r="R368" s="210"/>
      <c r="S368" s="210"/>
      <c r="T368" s="210"/>
      <c r="U368" s="210"/>
      <c r="V368" s="210"/>
      <c r="W368" s="210"/>
      <c r="X368" s="210"/>
      <c r="Y368" s="210"/>
      <c r="Z368" s="210"/>
      <c r="AA368" s="210"/>
      <c r="AB368" s="210"/>
      <c r="AC368" s="210"/>
      <c r="AI368" s="210"/>
      <c r="AJ368" s="210"/>
    </row>
    <row r="369" ht="12.75" customHeight="1">
      <c r="C369" s="210"/>
      <c r="D369" s="210"/>
      <c r="E369" s="210"/>
      <c r="F369" s="210"/>
      <c r="G369" s="210"/>
      <c r="H369" s="210"/>
      <c r="I369" s="210"/>
      <c r="J369" s="210"/>
      <c r="K369" s="210"/>
      <c r="L369" s="210"/>
      <c r="M369" s="210"/>
      <c r="N369" s="210"/>
      <c r="O369" s="210"/>
      <c r="P369" s="210"/>
      <c r="Q369" s="210"/>
      <c r="R369" s="210"/>
      <c r="S369" s="210"/>
      <c r="T369" s="210"/>
      <c r="U369" s="210"/>
      <c r="V369" s="210"/>
      <c r="W369" s="210"/>
      <c r="X369" s="210"/>
      <c r="Y369" s="210"/>
      <c r="Z369" s="210"/>
      <c r="AA369" s="210"/>
      <c r="AB369" s="210"/>
      <c r="AC369" s="210"/>
      <c r="AI369" s="210"/>
      <c r="AJ369" s="210"/>
    </row>
    <row r="370" ht="12.75" customHeight="1">
      <c r="C370" s="210"/>
      <c r="D370" s="210"/>
      <c r="E370" s="210"/>
      <c r="F370" s="210"/>
      <c r="G370" s="210"/>
      <c r="H370" s="210"/>
      <c r="I370" s="210"/>
      <c r="J370" s="210"/>
      <c r="K370" s="210"/>
      <c r="L370" s="210"/>
      <c r="M370" s="210"/>
      <c r="N370" s="210"/>
      <c r="O370" s="210"/>
      <c r="P370" s="210"/>
      <c r="Q370" s="210"/>
      <c r="R370" s="210"/>
      <c r="S370" s="210"/>
      <c r="T370" s="210"/>
      <c r="U370" s="210"/>
      <c r="V370" s="210"/>
      <c r="W370" s="210"/>
      <c r="X370" s="210"/>
      <c r="Y370" s="210"/>
      <c r="Z370" s="210"/>
      <c r="AA370" s="210"/>
      <c r="AB370" s="210"/>
      <c r="AC370" s="210"/>
      <c r="AI370" s="210"/>
      <c r="AJ370" s="210"/>
    </row>
    <row r="371" ht="12.75" customHeight="1">
      <c r="C371" s="210"/>
      <c r="D371" s="210"/>
      <c r="E371" s="210"/>
      <c r="F371" s="210"/>
      <c r="G371" s="210"/>
      <c r="H371" s="210"/>
      <c r="I371" s="210"/>
      <c r="J371" s="210"/>
      <c r="K371" s="210"/>
      <c r="L371" s="210"/>
      <c r="M371" s="210"/>
      <c r="N371" s="210"/>
      <c r="O371" s="210"/>
      <c r="P371" s="210"/>
      <c r="Q371" s="210"/>
      <c r="R371" s="210"/>
      <c r="S371" s="210"/>
      <c r="T371" s="210"/>
      <c r="U371" s="210"/>
      <c r="V371" s="210"/>
      <c r="W371" s="210"/>
      <c r="X371" s="210"/>
      <c r="Y371" s="210"/>
      <c r="Z371" s="210"/>
      <c r="AA371" s="210"/>
      <c r="AB371" s="210"/>
      <c r="AC371" s="210"/>
      <c r="AI371" s="210"/>
      <c r="AJ371" s="210"/>
    </row>
    <row r="372" ht="12.75" customHeight="1">
      <c r="C372" s="210"/>
      <c r="D372" s="210"/>
      <c r="E372" s="210"/>
      <c r="F372" s="210"/>
      <c r="G372" s="210"/>
      <c r="H372" s="210"/>
      <c r="I372" s="210"/>
      <c r="J372" s="210"/>
      <c r="K372" s="210"/>
      <c r="L372" s="210"/>
      <c r="M372" s="210"/>
      <c r="N372" s="210"/>
      <c r="O372" s="210"/>
      <c r="P372" s="210"/>
      <c r="Q372" s="210"/>
      <c r="R372" s="210"/>
      <c r="S372" s="210"/>
      <c r="T372" s="210"/>
      <c r="U372" s="210"/>
      <c r="V372" s="210"/>
      <c r="W372" s="210"/>
      <c r="X372" s="210"/>
      <c r="Y372" s="210"/>
      <c r="Z372" s="210"/>
      <c r="AA372" s="210"/>
      <c r="AB372" s="210"/>
      <c r="AC372" s="210"/>
      <c r="AI372" s="210"/>
      <c r="AJ372" s="210"/>
    </row>
    <row r="373" ht="12.75" customHeight="1">
      <c r="C373" s="210"/>
      <c r="D373" s="210"/>
      <c r="E373" s="210"/>
      <c r="F373" s="210"/>
      <c r="G373" s="210"/>
      <c r="H373" s="210"/>
      <c r="I373" s="210"/>
      <c r="J373" s="210"/>
      <c r="K373" s="210"/>
      <c r="L373" s="210"/>
      <c r="M373" s="210"/>
      <c r="N373" s="210"/>
      <c r="O373" s="210"/>
      <c r="P373" s="210"/>
      <c r="Q373" s="210"/>
      <c r="R373" s="210"/>
      <c r="S373" s="210"/>
      <c r="T373" s="210"/>
      <c r="U373" s="210"/>
      <c r="V373" s="210"/>
      <c r="W373" s="210"/>
      <c r="X373" s="210"/>
      <c r="Y373" s="210"/>
      <c r="Z373" s="210"/>
      <c r="AA373" s="210"/>
      <c r="AB373" s="210"/>
      <c r="AC373" s="210"/>
      <c r="AI373" s="210"/>
      <c r="AJ373" s="210"/>
    </row>
    <row r="374" ht="12.75" customHeight="1">
      <c r="C374" s="210"/>
      <c r="D374" s="210"/>
      <c r="E374" s="210"/>
      <c r="F374" s="210"/>
      <c r="G374" s="210"/>
      <c r="H374" s="210"/>
      <c r="I374" s="210"/>
      <c r="J374" s="210"/>
      <c r="K374" s="210"/>
      <c r="L374" s="210"/>
      <c r="M374" s="210"/>
      <c r="N374" s="210"/>
      <c r="O374" s="210"/>
      <c r="P374" s="210"/>
      <c r="Q374" s="210"/>
      <c r="R374" s="210"/>
      <c r="S374" s="210"/>
      <c r="T374" s="210"/>
      <c r="U374" s="210"/>
      <c r="V374" s="210"/>
      <c r="W374" s="210"/>
      <c r="X374" s="210"/>
      <c r="Y374" s="210"/>
      <c r="Z374" s="210"/>
      <c r="AA374" s="210"/>
      <c r="AB374" s="210"/>
      <c r="AC374" s="210"/>
      <c r="AI374" s="210"/>
      <c r="AJ374" s="210"/>
    </row>
    <row r="375" ht="12.75" customHeight="1">
      <c r="C375" s="210"/>
      <c r="D375" s="210"/>
      <c r="E375" s="210"/>
      <c r="F375" s="210"/>
      <c r="G375" s="210"/>
      <c r="H375" s="210"/>
      <c r="I375" s="210"/>
      <c r="J375" s="210"/>
      <c r="K375" s="210"/>
      <c r="L375" s="210"/>
      <c r="M375" s="210"/>
      <c r="N375" s="210"/>
      <c r="O375" s="210"/>
      <c r="P375" s="210"/>
      <c r="Q375" s="210"/>
      <c r="R375" s="210"/>
      <c r="S375" s="210"/>
      <c r="T375" s="210"/>
      <c r="U375" s="210"/>
      <c r="V375" s="210"/>
      <c r="W375" s="210"/>
      <c r="X375" s="210"/>
      <c r="Y375" s="210"/>
      <c r="Z375" s="210"/>
      <c r="AA375" s="210"/>
      <c r="AB375" s="210"/>
      <c r="AC375" s="210"/>
      <c r="AI375" s="210"/>
      <c r="AJ375" s="210"/>
    </row>
    <row r="376" ht="12.75" customHeight="1">
      <c r="C376" s="210"/>
      <c r="D376" s="210"/>
      <c r="E376" s="210"/>
      <c r="F376" s="210"/>
      <c r="G376" s="210"/>
      <c r="H376" s="210"/>
      <c r="I376" s="210"/>
      <c r="J376" s="210"/>
      <c r="K376" s="210"/>
      <c r="L376" s="210"/>
      <c r="M376" s="210"/>
      <c r="N376" s="210"/>
      <c r="O376" s="210"/>
      <c r="P376" s="210"/>
      <c r="Q376" s="210"/>
      <c r="R376" s="210"/>
      <c r="S376" s="210"/>
      <c r="T376" s="210"/>
      <c r="U376" s="210"/>
      <c r="V376" s="210"/>
      <c r="W376" s="210"/>
      <c r="X376" s="210"/>
      <c r="Y376" s="210"/>
      <c r="Z376" s="210"/>
      <c r="AA376" s="210"/>
      <c r="AB376" s="210"/>
      <c r="AC376" s="210"/>
      <c r="AI376" s="210"/>
      <c r="AJ376" s="210"/>
    </row>
    <row r="377" ht="12.75" customHeight="1">
      <c r="C377" s="210"/>
      <c r="D377" s="210"/>
      <c r="E377" s="210"/>
      <c r="F377" s="210"/>
      <c r="G377" s="210"/>
      <c r="H377" s="210"/>
      <c r="I377" s="210"/>
      <c r="J377" s="210"/>
      <c r="K377" s="210"/>
      <c r="L377" s="210"/>
      <c r="M377" s="210"/>
      <c r="N377" s="210"/>
      <c r="O377" s="210"/>
      <c r="P377" s="210"/>
      <c r="Q377" s="210"/>
      <c r="R377" s="210"/>
      <c r="S377" s="210"/>
      <c r="T377" s="210"/>
      <c r="U377" s="210"/>
      <c r="V377" s="210"/>
      <c r="W377" s="210"/>
      <c r="X377" s="210"/>
      <c r="Y377" s="210"/>
      <c r="Z377" s="210"/>
      <c r="AA377" s="210"/>
      <c r="AB377" s="210"/>
      <c r="AC377" s="210"/>
      <c r="AI377" s="210"/>
      <c r="AJ377" s="210"/>
    </row>
    <row r="378" ht="12.75" customHeight="1">
      <c r="C378" s="210"/>
      <c r="D378" s="210"/>
      <c r="E378" s="210"/>
      <c r="F378" s="210"/>
      <c r="G378" s="210"/>
      <c r="H378" s="210"/>
      <c r="I378" s="210"/>
      <c r="J378" s="210"/>
      <c r="K378" s="210"/>
      <c r="L378" s="210"/>
      <c r="M378" s="210"/>
      <c r="N378" s="210"/>
      <c r="O378" s="210"/>
      <c r="P378" s="210"/>
      <c r="Q378" s="210"/>
      <c r="R378" s="210"/>
      <c r="S378" s="210"/>
      <c r="T378" s="210"/>
      <c r="U378" s="210"/>
      <c r="V378" s="210"/>
      <c r="W378" s="210"/>
      <c r="X378" s="210"/>
      <c r="Y378" s="210"/>
      <c r="Z378" s="210"/>
      <c r="AA378" s="210"/>
      <c r="AB378" s="210"/>
      <c r="AC378" s="210"/>
      <c r="AI378" s="210"/>
      <c r="AJ378" s="210"/>
    </row>
    <row r="379" ht="12.75" customHeight="1">
      <c r="C379" s="210"/>
      <c r="D379" s="210"/>
      <c r="E379" s="210"/>
      <c r="F379" s="210"/>
      <c r="G379" s="210"/>
      <c r="H379" s="210"/>
      <c r="I379" s="210"/>
      <c r="J379" s="210"/>
      <c r="K379" s="210"/>
      <c r="L379" s="210"/>
      <c r="M379" s="210"/>
      <c r="N379" s="210"/>
      <c r="O379" s="210"/>
      <c r="P379" s="210"/>
      <c r="Q379" s="210"/>
      <c r="R379" s="210"/>
      <c r="S379" s="210"/>
      <c r="T379" s="210"/>
      <c r="U379" s="210"/>
      <c r="V379" s="210"/>
      <c r="W379" s="210"/>
      <c r="X379" s="210"/>
      <c r="Y379" s="210"/>
      <c r="Z379" s="210"/>
      <c r="AA379" s="210"/>
      <c r="AB379" s="210"/>
      <c r="AC379" s="210"/>
      <c r="AI379" s="210"/>
      <c r="AJ379" s="210"/>
    </row>
    <row r="380" ht="12.75" customHeight="1">
      <c r="C380" s="210"/>
      <c r="D380" s="210"/>
      <c r="E380" s="210"/>
      <c r="F380" s="210"/>
      <c r="G380" s="210"/>
      <c r="H380" s="210"/>
      <c r="I380" s="210"/>
      <c r="J380" s="210"/>
      <c r="K380" s="210"/>
      <c r="L380" s="210"/>
      <c r="M380" s="210"/>
      <c r="N380" s="210"/>
      <c r="O380" s="210"/>
      <c r="P380" s="210"/>
      <c r="Q380" s="210"/>
      <c r="R380" s="210"/>
      <c r="S380" s="210"/>
      <c r="T380" s="210"/>
      <c r="U380" s="210"/>
      <c r="V380" s="210"/>
      <c r="W380" s="210"/>
      <c r="X380" s="210"/>
      <c r="Y380" s="210"/>
      <c r="Z380" s="210"/>
      <c r="AA380" s="210"/>
      <c r="AB380" s="210"/>
      <c r="AC380" s="210"/>
      <c r="AI380" s="210"/>
      <c r="AJ380" s="210"/>
    </row>
    <row r="381" ht="12.75" customHeight="1">
      <c r="C381" s="210"/>
      <c r="D381" s="210"/>
      <c r="E381" s="210"/>
      <c r="F381" s="210"/>
      <c r="G381" s="210"/>
      <c r="H381" s="210"/>
      <c r="I381" s="210"/>
      <c r="J381" s="210"/>
      <c r="K381" s="210"/>
      <c r="L381" s="210"/>
      <c r="M381" s="210"/>
      <c r="N381" s="210"/>
      <c r="O381" s="210"/>
      <c r="P381" s="210"/>
      <c r="Q381" s="210"/>
      <c r="R381" s="210"/>
      <c r="S381" s="210"/>
      <c r="T381" s="210"/>
      <c r="U381" s="210"/>
      <c r="V381" s="210"/>
      <c r="W381" s="210"/>
      <c r="X381" s="210"/>
      <c r="Y381" s="210"/>
      <c r="Z381" s="210"/>
      <c r="AA381" s="210"/>
      <c r="AB381" s="210"/>
      <c r="AC381" s="210"/>
      <c r="AI381" s="210"/>
      <c r="AJ381" s="210"/>
    </row>
    <row r="382" ht="12.75" customHeight="1">
      <c r="C382" s="210"/>
      <c r="D382" s="210"/>
      <c r="E382" s="210"/>
      <c r="F382" s="210"/>
      <c r="G382" s="210"/>
      <c r="H382" s="210"/>
      <c r="I382" s="210"/>
      <c r="J382" s="210"/>
      <c r="K382" s="210"/>
      <c r="L382" s="210"/>
      <c r="M382" s="210"/>
      <c r="N382" s="210"/>
      <c r="O382" s="210"/>
      <c r="P382" s="210"/>
      <c r="Q382" s="210"/>
      <c r="R382" s="210"/>
      <c r="S382" s="210"/>
      <c r="T382" s="210"/>
      <c r="U382" s="210"/>
      <c r="V382" s="210"/>
      <c r="W382" s="210"/>
      <c r="X382" s="210"/>
      <c r="Y382" s="210"/>
      <c r="Z382" s="210"/>
      <c r="AA382" s="210"/>
      <c r="AB382" s="210"/>
      <c r="AC382" s="210"/>
      <c r="AI382" s="210"/>
      <c r="AJ382" s="210"/>
    </row>
    <row r="383" ht="12.75" customHeight="1">
      <c r="C383" s="210"/>
      <c r="D383" s="210"/>
      <c r="E383" s="210"/>
      <c r="F383" s="210"/>
      <c r="G383" s="210"/>
      <c r="H383" s="210"/>
      <c r="I383" s="210"/>
      <c r="J383" s="210"/>
      <c r="K383" s="210"/>
      <c r="L383" s="210"/>
      <c r="M383" s="210"/>
      <c r="N383" s="210"/>
      <c r="O383" s="210"/>
      <c r="P383" s="210"/>
      <c r="Q383" s="210"/>
      <c r="R383" s="210"/>
      <c r="S383" s="210"/>
      <c r="T383" s="210"/>
      <c r="U383" s="210"/>
      <c r="V383" s="210"/>
      <c r="W383" s="210"/>
      <c r="X383" s="210"/>
      <c r="Y383" s="210"/>
      <c r="Z383" s="210"/>
      <c r="AA383" s="210"/>
      <c r="AB383" s="210"/>
      <c r="AC383" s="210"/>
      <c r="AI383" s="210"/>
      <c r="AJ383" s="210"/>
    </row>
    <row r="384" ht="12.75" customHeight="1">
      <c r="C384" s="210"/>
      <c r="D384" s="210"/>
      <c r="E384" s="210"/>
      <c r="F384" s="210"/>
      <c r="G384" s="210"/>
      <c r="H384" s="210"/>
      <c r="I384" s="210"/>
      <c r="J384" s="210"/>
      <c r="K384" s="210"/>
      <c r="L384" s="210"/>
      <c r="M384" s="210"/>
      <c r="N384" s="210"/>
      <c r="O384" s="210"/>
      <c r="P384" s="210"/>
      <c r="Q384" s="210"/>
      <c r="R384" s="210"/>
      <c r="S384" s="210"/>
      <c r="T384" s="210"/>
      <c r="U384" s="210"/>
      <c r="V384" s="210"/>
      <c r="W384" s="210"/>
      <c r="X384" s="210"/>
      <c r="Y384" s="210"/>
      <c r="Z384" s="210"/>
      <c r="AA384" s="210"/>
      <c r="AB384" s="210"/>
      <c r="AC384" s="210"/>
      <c r="AI384" s="210"/>
      <c r="AJ384" s="210"/>
    </row>
    <row r="385" ht="12.75" customHeight="1">
      <c r="C385" s="210"/>
      <c r="D385" s="210"/>
      <c r="E385" s="210"/>
      <c r="F385" s="210"/>
      <c r="G385" s="210"/>
      <c r="H385" s="210"/>
      <c r="I385" s="210"/>
      <c r="J385" s="210"/>
      <c r="K385" s="210"/>
      <c r="L385" s="210"/>
      <c r="M385" s="210"/>
      <c r="N385" s="210"/>
      <c r="O385" s="210"/>
      <c r="P385" s="210"/>
      <c r="Q385" s="210"/>
      <c r="R385" s="210"/>
      <c r="S385" s="210"/>
      <c r="T385" s="210"/>
      <c r="U385" s="210"/>
      <c r="V385" s="210"/>
      <c r="W385" s="210"/>
      <c r="X385" s="210"/>
      <c r="Y385" s="210"/>
      <c r="Z385" s="210"/>
      <c r="AA385" s="210"/>
      <c r="AB385" s="210"/>
      <c r="AC385" s="210"/>
      <c r="AI385" s="210"/>
      <c r="AJ385" s="210"/>
    </row>
    <row r="386" ht="12.75" customHeight="1">
      <c r="C386" s="210"/>
      <c r="D386" s="210"/>
      <c r="E386" s="210"/>
      <c r="F386" s="210"/>
      <c r="G386" s="210"/>
      <c r="H386" s="210"/>
      <c r="I386" s="210"/>
      <c r="J386" s="210"/>
      <c r="K386" s="210"/>
      <c r="L386" s="210"/>
      <c r="M386" s="210"/>
      <c r="N386" s="210"/>
      <c r="O386" s="210"/>
      <c r="P386" s="210"/>
      <c r="Q386" s="210"/>
      <c r="R386" s="210"/>
      <c r="S386" s="210"/>
      <c r="T386" s="210"/>
      <c r="U386" s="210"/>
      <c r="V386" s="210"/>
      <c r="W386" s="210"/>
      <c r="X386" s="210"/>
      <c r="Y386" s="210"/>
      <c r="Z386" s="210"/>
      <c r="AA386" s="210"/>
      <c r="AB386" s="210"/>
      <c r="AC386" s="210"/>
      <c r="AI386" s="210"/>
      <c r="AJ386" s="210"/>
    </row>
    <row r="387" ht="12.75" customHeight="1">
      <c r="C387" s="210"/>
      <c r="D387" s="210"/>
      <c r="E387" s="210"/>
      <c r="F387" s="210"/>
      <c r="G387" s="210"/>
      <c r="H387" s="210"/>
      <c r="I387" s="210"/>
      <c r="J387" s="210"/>
      <c r="K387" s="210"/>
      <c r="L387" s="210"/>
      <c r="M387" s="210"/>
      <c r="N387" s="210"/>
      <c r="O387" s="210"/>
      <c r="P387" s="210"/>
      <c r="Q387" s="210"/>
      <c r="R387" s="210"/>
      <c r="S387" s="210"/>
      <c r="T387" s="210"/>
      <c r="U387" s="210"/>
      <c r="V387" s="210"/>
      <c r="W387" s="210"/>
      <c r="X387" s="210"/>
      <c r="Y387" s="210"/>
      <c r="Z387" s="210"/>
      <c r="AA387" s="210"/>
      <c r="AB387" s="210"/>
      <c r="AC387" s="210"/>
      <c r="AI387" s="210"/>
      <c r="AJ387" s="210"/>
    </row>
    <row r="388" ht="12.75" customHeight="1">
      <c r="C388" s="210"/>
      <c r="D388" s="210"/>
      <c r="E388" s="210"/>
      <c r="F388" s="210"/>
      <c r="G388" s="210"/>
      <c r="H388" s="210"/>
      <c r="I388" s="210"/>
      <c r="J388" s="210"/>
      <c r="K388" s="210"/>
      <c r="L388" s="210"/>
      <c r="M388" s="210"/>
      <c r="N388" s="210"/>
      <c r="O388" s="210"/>
      <c r="P388" s="210"/>
      <c r="Q388" s="210"/>
      <c r="R388" s="210"/>
      <c r="S388" s="210"/>
      <c r="T388" s="210"/>
      <c r="U388" s="210"/>
      <c r="V388" s="210"/>
      <c r="W388" s="210"/>
      <c r="X388" s="210"/>
      <c r="Y388" s="210"/>
      <c r="Z388" s="210"/>
      <c r="AA388" s="210"/>
      <c r="AB388" s="210"/>
      <c r="AC388" s="210"/>
      <c r="AI388" s="210"/>
      <c r="AJ388" s="210"/>
    </row>
    <row r="389" ht="12.75" customHeight="1">
      <c r="C389" s="210"/>
      <c r="D389" s="210"/>
      <c r="E389" s="210"/>
      <c r="F389" s="210"/>
      <c r="G389" s="210"/>
      <c r="H389" s="210"/>
      <c r="I389" s="210"/>
      <c r="J389" s="210"/>
      <c r="K389" s="210"/>
      <c r="L389" s="210"/>
      <c r="M389" s="210"/>
      <c r="N389" s="210"/>
      <c r="O389" s="210"/>
      <c r="P389" s="210"/>
      <c r="Q389" s="210"/>
      <c r="R389" s="210"/>
      <c r="S389" s="210"/>
      <c r="T389" s="210"/>
      <c r="U389" s="210"/>
      <c r="V389" s="210"/>
      <c r="W389" s="210"/>
      <c r="X389" s="210"/>
      <c r="Y389" s="210"/>
      <c r="Z389" s="210"/>
      <c r="AA389" s="210"/>
      <c r="AB389" s="210"/>
      <c r="AC389" s="210"/>
      <c r="AI389" s="210"/>
      <c r="AJ389" s="210"/>
    </row>
    <row r="390" ht="12.75" customHeight="1">
      <c r="C390" s="210"/>
      <c r="D390" s="210"/>
      <c r="E390" s="210"/>
      <c r="F390" s="210"/>
      <c r="G390" s="210"/>
      <c r="H390" s="210"/>
      <c r="I390" s="210"/>
      <c r="J390" s="210"/>
      <c r="K390" s="210"/>
      <c r="L390" s="210"/>
      <c r="M390" s="210"/>
      <c r="N390" s="210"/>
      <c r="O390" s="210"/>
      <c r="P390" s="210"/>
      <c r="Q390" s="210"/>
      <c r="R390" s="210"/>
      <c r="S390" s="210"/>
      <c r="T390" s="210"/>
      <c r="U390" s="210"/>
      <c r="V390" s="210"/>
      <c r="W390" s="210"/>
      <c r="X390" s="210"/>
      <c r="Y390" s="210"/>
      <c r="Z390" s="210"/>
      <c r="AA390" s="210"/>
      <c r="AB390" s="210"/>
      <c r="AC390" s="210"/>
      <c r="AI390" s="210"/>
      <c r="AJ390" s="210"/>
    </row>
    <row r="391" ht="12.75" customHeight="1">
      <c r="C391" s="210"/>
      <c r="D391" s="210"/>
      <c r="E391" s="210"/>
      <c r="F391" s="210"/>
      <c r="G391" s="210"/>
      <c r="H391" s="210"/>
      <c r="I391" s="210"/>
      <c r="J391" s="210"/>
      <c r="K391" s="210"/>
      <c r="L391" s="210"/>
      <c r="M391" s="210"/>
      <c r="N391" s="210"/>
      <c r="O391" s="210"/>
      <c r="P391" s="210"/>
      <c r="Q391" s="210"/>
      <c r="R391" s="210"/>
      <c r="S391" s="210"/>
      <c r="T391" s="210"/>
      <c r="U391" s="210"/>
      <c r="V391" s="210"/>
      <c r="W391" s="210"/>
      <c r="X391" s="210"/>
      <c r="Y391" s="210"/>
      <c r="Z391" s="210"/>
      <c r="AA391" s="210"/>
      <c r="AB391" s="210"/>
      <c r="AC391" s="210"/>
      <c r="AI391" s="210"/>
      <c r="AJ391" s="210"/>
    </row>
    <row r="392" ht="12.75" customHeight="1">
      <c r="C392" s="210"/>
      <c r="D392" s="210"/>
      <c r="E392" s="210"/>
      <c r="F392" s="210"/>
      <c r="G392" s="210"/>
      <c r="H392" s="210"/>
      <c r="I392" s="210"/>
      <c r="J392" s="210"/>
      <c r="K392" s="210"/>
      <c r="L392" s="210"/>
      <c r="M392" s="210"/>
      <c r="N392" s="210"/>
      <c r="O392" s="210"/>
      <c r="P392" s="210"/>
      <c r="Q392" s="210"/>
      <c r="R392" s="210"/>
      <c r="S392" s="210"/>
      <c r="T392" s="210"/>
      <c r="U392" s="210"/>
      <c r="V392" s="210"/>
      <c r="W392" s="210"/>
      <c r="X392" s="210"/>
      <c r="Y392" s="210"/>
      <c r="Z392" s="210"/>
      <c r="AA392" s="210"/>
      <c r="AB392" s="210"/>
      <c r="AC392" s="210"/>
      <c r="AI392" s="210"/>
      <c r="AJ392" s="210"/>
    </row>
    <row r="393" ht="12.75" customHeight="1">
      <c r="C393" s="210"/>
      <c r="D393" s="210"/>
      <c r="E393" s="210"/>
      <c r="F393" s="210"/>
      <c r="G393" s="210"/>
      <c r="H393" s="210"/>
      <c r="I393" s="210"/>
      <c r="J393" s="210"/>
      <c r="K393" s="210"/>
      <c r="L393" s="210"/>
      <c r="M393" s="210"/>
      <c r="N393" s="210"/>
      <c r="O393" s="210"/>
      <c r="P393" s="210"/>
      <c r="Q393" s="210"/>
      <c r="R393" s="210"/>
      <c r="S393" s="210"/>
      <c r="T393" s="210"/>
      <c r="U393" s="210"/>
      <c r="V393" s="210"/>
      <c r="W393" s="210"/>
      <c r="X393" s="210"/>
      <c r="Y393" s="210"/>
      <c r="Z393" s="210"/>
      <c r="AA393" s="210"/>
      <c r="AB393" s="210"/>
      <c r="AC393" s="210"/>
      <c r="AI393" s="210"/>
      <c r="AJ393" s="210"/>
    </row>
    <row r="394" ht="12.75" customHeight="1">
      <c r="C394" s="210"/>
      <c r="D394" s="210"/>
      <c r="E394" s="210"/>
      <c r="F394" s="210"/>
      <c r="G394" s="210"/>
      <c r="H394" s="210"/>
      <c r="I394" s="210"/>
      <c r="J394" s="210"/>
      <c r="K394" s="210"/>
      <c r="L394" s="210"/>
      <c r="M394" s="210"/>
      <c r="N394" s="210"/>
      <c r="O394" s="210"/>
      <c r="P394" s="210"/>
      <c r="Q394" s="210"/>
      <c r="R394" s="210"/>
      <c r="S394" s="210"/>
      <c r="T394" s="210"/>
      <c r="U394" s="210"/>
      <c r="V394" s="210"/>
      <c r="W394" s="210"/>
      <c r="X394" s="210"/>
      <c r="Y394" s="210"/>
      <c r="Z394" s="210"/>
      <c r="AA394" s="210"/>
      <c r="AB394" s="210"/>
      <c r="AC394" s="210"/>
      <c r="AI394" s="210"/>
      <c r="AJ394" s="210"/>
    </row>
    <row r="395" ht="12.75" customHeight="1">
      <c r="C395" s="210"/>
      <c r="D395" s="210"/>
      <c r="E395" s="210"/>
      <c r="F395" s="210"/>
      <c r="G395" s="210"/>
      <c r="H395" s="210"/>
      <c r="I395" s="210"/>
      <c r="J395" s="210"/>
      <c r="K395" s="210"/>
      <c r="L395" s="210"/>
      <c r="M395" s="210"/>
      <c r="N395" s="210"/>
      <c r="O395" s="210"/>
      <c r="P395" s="210"/>
      <c r="Q395" s="210"/>
      <c r="R395" s="210"/>
      <c r="S395" s="210"/>
      <c r="T395" s="210"/>
      <c r="U395" s="210"/>
      <c r="V395" s="210"/>
      <c r="W395" s="210"/>
      <c r="X395" s="210"/>
      <c r="Y395" s="210"/>
      <c r="Z395" s="210"/>
      <c r="AA395" s="210"/>
      <c r="AB395" s="210"/>
      <c r="AC395" s="210"/>
      <c r="AI395" s="210"/>
      <c r="AJ395" s="210"/>
    </row>
    <row r="396" ht="12.75" customHeight="1">
      <c r="C396" s="210"/>
      <c r="D396" s="210"/>
      <c r="E396" s="210"/>
      <c r="F396" s="210"/>
      <c r="G396" s="210"/>
      <c r="H396" s="210"/>
      <c r="I396" s="210"/>
      <c r="J396" s="210"/>
      <c r="K396" s="210"/>
      <c r="L396" s="210"/>
      <c r="M396" s="210"/>
      <c r="N396" s="210"/>
      <c r="O396" s="210"/>
      <c r="P396" s="210"/>
      <c r="Q396" s="210"/>
      <c r="R396" s="210"/>
      <c r="S396" s="210"/>
      <c r="T396" s="210"/>
      <c r="U396" s="210"/>
      <c r="V396" s="210"/>
      <c r="W396" s="210"/>
      <c r="X396" s="210"/>
      <c r="Y396" s="210"/>
      <c r="Z396" s="210"/>
      <c r="AA396" s="210"/>
      <c r="AB396" s="210"/>
      <c r="AC396" s="210"/>
      <c r="AI396" s="210"/>
      <c r="AJ396" s="210"/>
    </row>
    <row r="397" ht="12.75" customHeight="1">
      <c r="C397" s="210"/>
      <c r="D397" s="210"/>
      <c r="E397" s="210"/>
      <c r="F397" s="210"/>
      <c r="G397" s="210"/>
      <c r="H397" s="210"/>
      <c r="I397" s="210"/>
      <c r="J397" s="210"/>
      <c r="K397" s="210"/>
      <c r="L397" s="210"/>
      <c r="M397" s="210"/>
      <c r="N397" s="210"/>
      <c r="O397" s="210"/>
      <c r="P397" s="210"/>
      <c r="Q397" s="210"/>
      <c r="R397" s="210"/>
      <c r="S397" s="210"/>
      <c r="T397" s="210"/>
      <c r="U397" s="210"/>
      <c r="V397" s="210"/>
      <c r="W397" s="210"/>
      <c r="X397" s="210"/>
      <c r="Y397" s="210"/>
      <c r="Z397" s="210"/>
      <c r="AA397" s="210"/>
      <c r="AB397" s="210"/>
      <c r="AC397" s="210"/>
      <c r="AI397" s="210"/>
      <c r="AJ397" s="210"/>
    </row>
    <row r="398" ht="12.75" customHeight="1">
      <c r="C398" s="210"/>
      <c r="D398" s="210"/>
      <c r="E398" s="210"/>
      <c r="F398" s="210"/>
      <c r="G398" s="210"/>
      <c r="H398" s="210"/>
      <c r="I398" s="210"/>
      <c r="J398" s="210"/>
      <c r="K398" s="210"/>
      <c r="L398" s="210"/>
      <c r="M398" s="210"/>
      <c r="N398" s="210"/>
      <c r="O398" s="210"/>
      <c r="P398" s="210"/>
      <c r="Q398" s="210"/>
      <c r="R398" s="210"/>
      <c r="S398" s="210"/>
      <c r="T398" s="210"/>
      <c r="U398" s="210"/>
      <c r="V398" s="210"/>
      <c r="W398" s="210"/>
      <c r="X398" s="210"/>
      <c r="Y398" s="210"/>
      <c r="Z398" s="210"/>
      <c r="AA398" s="210"/>
      <c r="AB398" s="210"/>
      <c r="AC398" s="210"/>
      <c r="AI398" s="210"/>
      <c r="AJ398" s="210"/>
    </row>
    <row r="399" ht="12.75" customHeight="1">
      <c r="C399" s="210"/>
      <c r="D399" s="210"/>
      <c r="E399" s="210"/>
      <c r="F399" s="210"/>
      <c r="G399" s="210"/>
      <c r="H399" s="210"/>
      <c r="I399" s="210"/>
      <c r="J399" s="210"/>
      <c r="K399" s="210"/>
      <c r="L399" s="210"/>
      <c r="M399" s="210"/>
      <c r="N399" s="210"/>
      <c r="O399" s="210"/>
      <c r="P399" s="210"/>
      <c r="Q399" s="210"/>
      <c r="R399" s="210"/>
      <c r="S399" s="210"/>
      <c r="T399" s="210"/>
      <c r="U399" s="210"/>
      <c r="V399" s="210"/>
      <c r="W399" s="210"/>
      <c r="X399" s="210"/>
      <c r="Y399" s="210"/>
      <c r="Z399" s="210"/>
      <c r="AA399" s="210"/>
      <c r="AB399" s="210"/>
      <c r="AC399" s="210"/>
      <c r="AI399" s="210"/>
      <c r="AJ399" s="210"/>
    </row>
    <row r="400" ht="12.75" customHeight="1">
      <c r="C400" s="210"/>
      <c r="D400" s="210"/>
      <c r="E400" s="210"/>
      <c r="F400" s="210"/>
      <c r="G400" s="210"/>
      <c r="H400" s="210"/>
      <c r="I400" s="210"/>
      <c r="J400" s="210"/>
      <c r="K400" s="210"/>
      <c r="L400" s="210"/>
      <c r="M400" s="210"/>
      <c r="N400" s="210"/>
      <c r="O400" s="210"/>
      <c r="P400" s="210"/>
      <c r="Q400" s="210"/>
      <c r="R400" s="210"/>
      <c r="S400" s="210"/>
      <c r="T400" s="210"/>
      <c r="U400" s="210"/>
      <c r="V400" s="210"/>
      <c r="W400" s="210"/>
      <c r="X400" s="210"/>
      <c r="Y400" s="210"/>
      <c r="Z400" s="210"/>
      <c r="AA400" s="210"/>
      <c r="AB400" s="210"/>
      <c r="AC400" s="210"/>
      <c r="AI400" s="210"/>
      <c r="AJ400" s="210"/>
    </row>
    <row r="401" ht="12.75" customHeight="1">
      <c r="C401" s="210"/>
      <c r="D401" s="210"/>
      <c r="E401" s="210"/>
      <c r="F401" s="210"/>
      <c r="G401" s="210"/>
      <c r="H401" s="210"/>
      <c r="I401" s="210"/>
      <c r="J401" s="210"/>
      <c r="K401" s="210"/>
      <c r="L401" s="210"/>
      <c r="M401" s="210"/>
      <c r="N401" s="210"/>
      <c r="O401" s="210"/>
      <c r="P401" s="210"/>
      <c r="Q401" s="210"/>
      <c r="R401" s="210"/>
      <c r="S401" s="210"/>
      <c r="T401" s="210"/>
      <c r="U401" s="210"/>
      <c r="V401" s="210"/>
      <c r="W401" s="210"/>
      <c r="X401" s="210"/>
      <c r="Y401" s="210"/>
      <c r="Z401" s="210"/>
      <c r="AA401" s="210"/>
      <c r="AB401" s="210"/>
      <c r="AC401" s="210"/>
      <c r="AI401" s="210"/>
      <c r="AJ401" s="210"/>
    </row>
    <row r="402" ht="12.75" customHeight="1">
      <c r="C402" s="210"/>
      <c r="D402" s="210"/>
      <c r="E402" s="210"/>
      <c r="F402" s="210"/>
      <c r="G402" s="210"/>
      <c r="H402" s="210"/>
      <c r="I402" s="210"/>
      <c r="J402" s="210"/>
      <c r="K402" s="210"/>
      <c r="L402" s="210"/>
      <c r="M402" s="210"/>
      <c r="N402" s="210"/>
      <c r="O402" s="210"/>
      <c r="P402" s="210"/>
      <c r="Q402" s="210"/>
      <c r="R402" s="210"/>
      <c r="S402" s="210"/>
      <c r="T402" s="210"/>
      <c r="U402" s="210"/>
      <c r="V402" s="210"/>
      <c r="W402" s="210"/>
      <c r="X402" s="210"/>
      <c r="Y402" s="210"/>
      <c r="Z402" s="210"/>
      <c r="AA402" s="210"/>
      <c r="AB402" s="210"/>
      <c r="AC402" s="210"/>
      <c r="AI402" s="210"/>
      <c r="AJ402" s="210"/>
    </row>
    <row r="403" ht="12.75" customHeight="1">
      <c r="C403" s="210"/>
      <c r="D403" s="210"/>
      <c r="E403" s="210"/>
      <c r="F403" s="210"/>
      <c r="G403" s="210"/>
      <c r="H403" s="210"/>
      <c r="I403" s="210"/>
      <c r="J403" s="210"/>
      <c r="K403" s="210"/>
      <c r="L403" s="210"/>
      <c r="M403" s="210"/>
      <c r="N403" s="210"/>
      <c r="O403" s="210"/>
      <c r="P403" s="210"/>
      <c r="Q403" s="210"/>
      <c r="R403" s="210"/>
      <c r="S403" s="210"/>
      <c r="T403" s="210"/>
      <c r="U403" s="210"/>
      <c r="V403" s="210"/>
      <c r="W403" s="210"/>
      <c r="X403" s="210"/>
      <c r="Y403" s="210"/>
      <c r="Z403" s="210"/>
      <c r="AA403" s="210"/>
      <c r="AB403" s="210"/>
      <c r="AC403" s="210"/>
      <c r="AI403" s="210"/>
      <c r="AJ403" s="210"/>
    </row>
    <row r="404" ht="12.75" customHeight="1">
      <c r="C404" s="210"/>
      <c r="D404" s="210"/>
      <c r="E404" s="210"/>
      <c r="F404" s="210"/>
      <c r="G404" s="210"/>
      <c r="H404" s="210"/>
      <c r="I404" s="210"/>
      <c r="J404" s="210"/>
      <c r="K404" s="210"/>
      <c r="L404" s="210"/>
      <c r="M404" s="210"/>
      <c r="N404" s="210"/>
      <c r="O404" s="210"/>
      <c r="P404" s="210"/>
      <c r="Q404" s="210"/>
      <c r="R404" s="210"/>
      <c r="S404" s="210"/>
      <c r="T404" s="210"/>
      <c r="U404" s="210"/>
      <c r="V404" s="210"/>
      <c r="W404" s="210"/>
      <c r="X404" s="210"/>
      <c r="Y404" s="210"/>
      <c r="Z404" s="210"/>
      <c r="AA404" s="210"/>
      <c r="AB404" s="210"/>
      <c r="AC404" s="210"/>
      <c r="AI404" s="210"/>
      <c r="AJ404" s="210"/>
    </row>
    <row r="405" ht="12.75" customHeight="1">
      <c r="C405" s="210"/>
      <c r="D405" s="210"/>
      <c r="E405" s="210"/>
      <c r="F405" s="210"/>
      <c r="G405" s="210"/>
      <c r="H405" s="210"/>
      <c r="I405" s="210"/>
      <c r="J405" s="210"/>
      <c r="K405" s="210"/>
      <c r="L405" s="210"/>
      <c r="M405" s="210"/>
      <c r="N405" s="210"/>
      <c r="O405" s="210"/>
      <c r="P405" s="210"/>
      <c r="Q405" s="210"/>
      <c r="R405" s="210"/>
      <c r="S405" s="210"/>
      <c r="T405" s="210"/>
      <c r="U405" s="210"/>
      <c r="V405" s="210"/>
      <c r="W405" s="210"/>
      <c r="X405" s="210"/>
      <c r="Y405" s="210"/>
      <c r="Z405" s="210"/>
      <c r="AA405" s="210"/>
      <c r="AB405" s="210"/>
      <c r="AC405" s="210"/>
      <c r="AI405" s="210"/>
      <c r="AJ405" s="210"/>
    </row>
    <row r="406" ht="12.75" customHeight="1">
      <c r="C406" s="210"/>
      <c r="D406" s="210"/>
      <c r="E406" s="210"/>
      <c r="F406" s="210"/>
      <c r="G406" s="210"/>
      <c r="H406" s="210"/>
      <c r="I406" s="210"/>
      <c r="J406" s="210"/>
      <c r="K406" s="210"/>
      <c r="L406" s="210"/>
      <c r="M406" s="210"/>
      <c r="N406" s="210"/>
      <c r="O406" s="210"/>
      <c r="P406" s="210"/>
      <c r="Q406" s="210"/>
      <c r="R406" s="210"/>
      <c r="S406" s="210"/>
      <c r="T406" s="210"/>
      <c r="U406" s="210"/>
      <c r="V406" s="210"/>
      <c r="W406" s="210"/>
      <c r="X406" s="210"/>
      <c r="Y406" s="210"/>
      <c r="Z406" s="210"/>
      <c r="AA406" s="210"/>
      <c r="AB406" s="210"/>
      <c r="AC406" s="210"/>
      <c r="AI406" s="210"/>
      <c r="AJ406" s="210"/>
    </row>
    <row r="407" ht="12.75" customHeight="1">
      <c r="C407" s="210"/>
      <c r="D407" s="210"/>
      <c r="E407" s="210"/>
      <c r="F407" s="210"/>
      <c r="G407" s="210"/>
      <c r="H407" s="210"/>
      <c r="I407" s="210"/>
      <c r="J407" s="210"/>
      <c r="K407" s="210"/>
      <c r="L407" s="210"/>
      <c r="M407" s="210"/>
      <c r="N407" s="210"/>
      <c r="O407" s="210"/>
      <c r="P407" s="210"/>
      <c r="Q407" s="210"/>
      <c r="R407" s="210"/>
      <c r="S407" s="210"/>
      <c r="T407" s="210"/>
      <c r="U407" s="210"/>
      <c r="V407" s="210"/>
      <c r="W407" s="210"/>
      <c r="X407" s="210"/>
      <c r="Y407" s="210"/>
      <c r="Z407" s="210"/>
      <c r="AA407" s="210"/>
      <c r="AB407" s="210"/>
      <c r="AC407" s="210"/>
      <c r="AI407" s="210"/>
      <c r="AJ407" s="210"/>
    </row>
    <row r="408" ht="12.75" customHeight="1">
      <c r="C408" s="210"/>
      <c r="D408" s="210"/>
      <c r="E408" s="210"/>
      <c r="F408" s="210"/>
      <c r="G408" s="210"/>
      <c r="H408" s="210"/>
      <c r="I408" s="210"/>
      <c r="J408" s="210"/>
      <c r="K408" s="210"/>
      <c r="L408" s="210"/>
      <c r="M408" s="210"/>
      <c r="N408" s="210"/>
      <c r="O408" s="210"/>
      <c r="P408" s="210"/>
      <c r="Q408" s="210"/>
      <c r="R408" s="210"/>
      <c r="S408" s="210"/>
      <c r="T408" s="210"/>
      <c r="U408" s="210"/>
      <c r="V408" s="210"/>
      <c r="W408" s="210"/>
      <c r="X408" s="210"/>
      <c r="Y408" s="210"/>
      <c r="Z408" s="210"/>
      <c r="AA408" s="210"/>
      <c r="AB408" s="210"/>
      <c r="AC408" s="210"/>
      <c r="AI408" s="210"/>
      <c r="AJ408" s="210"/>
    </row>
    <row r="409" ht="12.75" customHeight="1">
      <c r="C409" s="210"/>
      <c r="D409" s="210"/>
      <c r="E409" s="210"/>
      <c r="F409" s="210"/>
      <c r="G409" s="210"/>
      <c r="H409" s="210"/>
      <c r="I409" s="210"/>
      <c r="J409" s="210"/>
      <c r="K409" s="210"/>
      <c r="L409" s="210"/>
      <c r="M409" s="210"/>
      <c r="N409" s="210"/>
      <c r="O409" s="210"/>
      <c r="P409" s="210"/>
      <c r="Q409" s="210"/>
      <c r="R409" s="210"/>
      <c r="S409" s="210"/>
      <c r="T409" s="210"/>
      <c r="U409" s="210"/>
      <c r="V409" s="210"/>
      <c r="W409" s="210"/>
      <c r="X409" s="210"/>
      <c r="Y409" s="210"/>
      <c r="Z409" s="210"/>
      <c r="AA409" s="210"/>
      <c r="AB409" s="210"/>
      <c r="AC409" s="210"/>
      <c r="AI409" s="210"/>
      <c r="AJ409" s="210"/>
    </row>
    <row r="410" ht="12.75" customHeight="1">
      <c r="C410" s="210"/>
      <c r="D410" s="210"/>
      <c r="E410" s="210"/>
      <c r="F410" s="210"/>
      <c r="G410" s="210"/>
      <c r="H410" s="210"/>
      <c r="I410" s="210"/>
      <c r="J410" s="210"/>
      <c r="K410" s="210"/>
      <c r="L410" s="210"/>
      <c r="M410" s="210"/>
      <c r="N410" s="210"/>
      <c r="O410" s="210"/>
      <c r="P410" s="210"/>
      <c r="Q410" s="210"/>
      <c r="R410" s="210"/>
      <c r="S410" s="210"/>
      <c r="T410" s="210"/>
      <c r="U410" s="210"/>
      <c r="V410" s="210"/>
      <c r="W410" s="210"/>
      <c r="X410" s="210"/>
      <c r="Y410" s="210"/>
      <c r="Z410" s="210"/>
      <c r="AA410" s="210"/>
      <c r="AB410" s="210"/>
      <c r="AC410" s="210"/>
      <c r="AI410" s="210"/>
      <c r="AJ410" s="210"/>
    </row>
    <row r="411" ht="12.75" customHeight="1">
      <c r="C411" s="210"/>
      <c r="D411" s="210"/>
      <c r="E411" s="210"/>
      <c r="F411" s="210"/>
      <c r="G411" s="210"/>
      <c r="H411" s="210"/>
      <c r="I411" s="210"/>
      <c r="J411" s="210"/>
      <c r="K411" s="210"/>
      <c r="L411" s="210"/>
      <c r="M411" s="210"/>
      <c r="N411" s="210"/>
      <c r="O411" s="210"/>
      <c r="P411" s="210"/>
      <c r="Q411" s="210"/>
      <c r="R411" s="210"/>
      <c r="S411" s="210"/>
      <c r="T411" s="210"/>
      <c r="U411" s="210"/>
      <c r="V411" s="210"/>
      <c r="W411" s="210"/>
      <c r="X411" s="210"/>
      <c r="Y411" s="210"/>
      <c r="Z411" s="210"/>
      <c r="AA411" s="210"/>
      <c r="AB411" s="210"/>
      <c r="AC411" s="210"/>
      <c r="AI411" s="210"/>
      <c r="AJ411" s="210"/>
    </row>
    <row r="412" ht="12.75" customHeight="1">
      <c r="C412" s="210"/>
      <c r="D412" s="210"/>
      <c r="E412" s="210"/>
      <c r="F412" s="210"/>
      <c r="G412" s="210"/>
      <c r="H412" s="210"/>
      <c r="I412" s="210"/>
      <c r="J412" s="210"/>
      <c r="K412" s="210"/>
      <c r="L412" s="210"/>
      <c r="M412" s="210"/>
      <c r="N412" s="210"/>
      <c r="O412" s="210"/>
      <c r="P412" s="210"/>
      <c r="Q412" s="210"/>
      <c r="R412" s="210"/>
      <c r="S412" s="210"/>
      <c r="T412" s="210"/>
      <c r="U412" s="210"/>
      <c r="V412" s="210"/>
      <c r="W412" s="210"/>
      <c r="X412" s="210"/>
      <c r="Y412" s="210"/>
      <c r="Z412" s="210"/>
      <c r="AA412" s="210"/>
      <c r="AB412" s="210"/>
      <c r="AC412" s="210"/>
      <c r="AI412" s="210"/>
      <c r="AJ412" s="210"/>
    </row>
    <row r="413" ht="12.75" customHeight="1">
      <c r="C413" s="210"/>
      <c r="D413" s="210"/>
      <c r="E413" s="210"/>
      <c r="F413" s="210"/>
      <c r="G413" s="210"/>
      <c r="H413" s="210"/>
      <c r="I413" s="210"/>
      <c r="J413" s="210"/>
      <c r="K413" s="210"/>
      <c r="L413" s="210"/>
      <c r="M413" s="210"/>
      <c r="N413" s="210"/>
      <c r="O413" s="210"/>
      <c r="P413" s="210"/>
      <c r="Q413" s="210"/>
      <c r="R413" s="210"/>
      <c r="S413" s="210"/>
      <c r="T413" s="210"/>
      <c r="U413" s="210"/>
      <c r="V413" s="210"/>
      <c r="W413" s="210"/>
      <c r="X413" s="210"/>
      <c r="Y413" s="210"/>
      <c r="Z413" s="210"/>
      <c r="AA413" s="210"/>
      <c r="AB413" s="210"/>
      <c r="AC413" s="210"/>
      <c r="AI413" s="210"/>
      <c r="AJ413" s="210"/>
    </row>
    <row r="414" ht="12.75" customHeight="1">
      <c r="C414" s="210"/>
      <c r="D414" s="210"/>
      <c r="E414" s="210"/>
      <c r="F414" s="210"/>
      <c r="G414" s="210"/>
      <c r="H414" s="210"/>
      <c r="I414" s="210"/>
      <c r="J414" s="210"/>
      <c r="K414" s="210"/>
      <c r="L414" s="210"/>
      <c r="M414" s="210"/>
      <c r="N414" s="210"/>
      <c r="O414" s="210"/>
      <c r="P414" s="210"/>
      <c r="Q414" s="210"/>
      <c r="R414" s="210"/>
      <c r="S414" s="210"/>
      <c r="T414" s="210"/>
      <c r="U414" s="210"/>
      <c r="V414" s="210"/>
      <c r="W414" s="210"/>
      <c r="X414" s="210"/>
      <c r="Y414" s="210"/>
      <c r="Z414" s="210"/>
      <c r="AA414" s="210"/>
      <c r="AB414" s="210"/>
      <c r="AC414" s="210"/>
      <c r="AI414" s="210"/>
      <c r="AJ414" s="210"/>
    </row>
    <row r="415" ht="12.75" customHeight="1">
      <c r="C415" s="210"/>
      <c r="D415" s="210"/>
      <c r="E415" s="210"/>
      <c r="F415" s="210"/>
      <c r="G415" s="210"/>
      <c r="H415" s="210"/>
      <c r="I415" s="210"/>
      <c r="J415" s="210"/>
      <c r="K415" s="210"/>
      <c r="L415" s="210"/>
      <c r="M415" s="210"/>
      <c r="N415" s="210"/>
      <c r="O415" s="210"/>
      <c r="P415" s="210"/>
      <c r="Q415" s="210"/>
      <c r="R415" s="210"/>
      <c r="S415" s="210"/>
      <c r="T415" s="210"/>
      <c r="U415" s="210"/>
      <c r="V415" s="210"/>
      <c r="W415" s="210"/>
      <c r="X415" s="210"/>
      <c r="Y415" s="210"/>
      <c r="Z415" s="210"/>
      <c r="AA415" s="210"/>
      <c r="AB415" s="210"/>
      <c r="AC415" s="210"/>
      <c r="AI415" s="210"/>
      <c r="AJ415" s="210"/>
    </row>
    <row r="416" ht="12.75" customHeight="1">
      <c r="C416" s="210"/>
      <c r="D416" s="210"/>
      <c r="E416" s="210"/>
      <c r="F416" s="210"/>
      <c r="G416" s="210"/>
      <c r="H416" s="210"/>
      <c r="I416" s="210"/>
      <c r="J416" s="210"/>
      <c r="K416" s="210"/>
      <c r="L416" s="210"/>
      <c r="M416" s="210"/>
      <c r="N416" s="210"/>
      <c r="O416" s="210"/>
      <c r="P416" s="210"/>
      <c r="Q416" s="210"/>
      <c r="R416" s="210"/>
      <c r="S416" s="210"/>
      <c r="T416" s="210"/>
      <c r="U416" s="210"/>
      <c r="V416" s="210"/>
      <c r="W416" s="210"/>
      <c r="X416" s="210"/>
      <c r="Y416" s="210"/>
      <c r="Z416" s="210"/>
      <c r="AA416" s="210"/>
      <c r="AB416" s="210"/>
      <c r="AC416" s="210"/>
      <c r="AI416" s="210"/>
      <c r="AJ416" s="210"/>
    </row>
    <row r="417" ht="12.75" customHeight="1">
      <c r="C417" s="210"/>
      <c r="D417" s="210"/>
      <c r="E417" s="210"/>
      <c r="F417" s="210"/>
      <c r="G417" s="210"/>
      <c r="H417" s="210"/>
      <c r="I417" s="210"/>
      <c r="J417" s="210"/>
      <c r="K417" s="210"/>
      <c r="L417" s="210"/>
      <c r="M417" s="210"/>
      <c r="N417" s="210"/>
      <c r="O417" s="210"/>
      <c r="P417" s="210"/>
      <c r="Q417" s="210"/>
      <c r="R417" s="210"/>
      <c r="S417" s="210"/>
      <c r="T417" s="210"/>
      <c r="U417" s="210"/>
      <c r="V417" s="210"/>
      <c r="W417" s="210"/>
      <c r="X417" s="210"/>
      <c r="Y417" s="210"/>
      <c r="Z417" s="210"/>
      <c r="AA417" s="210"/>
      <c r="AB417" s="210"/>
      <c r="AC417" s="210"/>
      <c r="AI417" s="210"/>
      <c r="AJ417" s="210"/>
    </row>
    <row r="418" ht="12.75" customHeight="1">
      <c r="C418" s="210"/>
      <c r="D418" s="210"/>
      <c r="E418" s="210"/>
      <c r="F418" s="210"/>
      <c r="G418" s="210"/>
      <c r="H418" s="210"/>
      <c r="I418" s="210"/>
      <c r="J418" s="210"/>
      <c r="K418" s="210"/>
      <c r="L418" s="210"/>
      <c r="M418" s="210"/>
      <c r="N418" s="210"/>
      <c r="O418" s="210"/>
      <c r="P418" s="210"/>
      <c r="Q418" s="210"/>
      <c r="R418" s="210"/>
      <c r="S418" s="210"/>
      <c r="T418" s="210"/>
      <c r="U418" s="210"/>
      <c r="V418" s="210"/>
      <c r="W418" s="210"/>
      <c r="X418" s="210"/>
      <c r="Y418" s="210"/>
      <c r="Z418" s="210"/>
      <c r="AA418" s="210"/>
      <c r="AB418" s="210"/>
      <c r="AC418" s="210"/>
      <c r="AI418" s="210"/>
      <c r="AJ418" s="210"/>
    </row>
    <row r="419" ht="12.75" customHeight="1">
      <c r="C419" s="210"/>
      <c r="D419" s="210"/>
      <c r="E419" s="210"/>
      <c r="F419" s="210"/>
      <c r="G419" s="210"/>
      <c r="H419" s="210"/>
      <c r="I419" s="210"/>
      <c r="J419" s="210"/>
      <c r="K419" s="210"/>
      <c r="L419" s="210"/>
      <c r="M419" s="210"/>
      <c r="N419" s="210"/>
      <c r="O419" s="210"/>
      <c r="P419" s="210"/>
      <c r="Q419" s="210"/>
      <c r="R419" s="210"/>
      <c r="S419" s="210"/>
      <c r="T419" s="210"/>
      <c r="U419" s="210"/>
      <c r="V419" s="210"/>
      <c r="W419" s="210"/>
      <c r="X419" s="210"/>
      <c r="Y419" s="210"/>
      <c r="Z419" s="210"/>
      <c r="AA419" s="210"/>
      <c r="AB419" s="210"/>
      <c r="AC419" s="210"/>
      <c r="AI419" s="210"/>
      <c r="AJ419" s="210"/>
    </row>
    <row r="420" ht="12.75" customHeight="1">
      <c r="C420" s="210"/>
      <c r="D420" s="210"/>
      <c r="E420" s="210"/>
      <c r="F420" s="210"/>
      <c r="G420" s="210"/>
      <c r="H420" s="210"/>
      <c r="I420" s="210"/>
      <c r="J420" s="210"/>
      <c r="K420" s="210"/>
      <c r="L420" s="210"/>
      <c r="M420" s="210"/>
      <c r="N420" s="210"/>
      <c r="O420" s="210"/>
      <c r="P420" s="210"/>
      <c r="Q420" s="210"/>
      <c r="R420" s="210"/>
      <c r="S420" s="210"/>
      <c r="T420" s="210"/>
      <c r="U420" s="210"/>
      <c r="V420" s="210"/>
      <c r="W420" s="210"/>
      <c r="X420" s="210"/>
      <c r="Y420" s="210"/>
      <c r="Z420" s="210"/>
      <c r="AA420" s="210"/>
      <c r="AB420" s="210"/>
      <c r="AC420" s="210"/>
      <c r="AI420" s="210"/>
      <c r="AJ420" s="210"/>
    </row>
    <row r="421" ht="12.75" customHeight="1">
      <c r="C421" s="210"/>
      <c r="D421" s="210"/>
      <c r="E421" s="210"/>
      <c r="F421" s="210"/>
      <c r="G421" s="210"/>
      <c r="H421" s="210"/>
      <c r="I421" s="210"/>
      <c r="J421" s="210"/>
      <c r="K421" s="210"/>
      <c r="L421" s="210"/>
      <c r="M421" s="210"/>
      <c r="N421" s="210"/>
      <c r="O421" s="210"/>
      <c r="P421" s="210"/>
      <c r="Q421" s="210"/>
      <c r="R421" s="210"/>
      <c r="S421" s="210"/>
      <c r="T421" s="210"/>
      <c r="U421" s="210"/>
      <c r="V421" s="210"/>
      <c r="W421" s="210"/>
      <c r="X421" s="210"/>
      <c r="Y421" s="210"/>
      <c r="Z421" s="210"/>
      <c r="AA421" s="210"/>
      <c r="AB421" s="210"/>
      <c r="AC421" s="210"/>
      <c r="AI421" s="210"/>
      <c r="AJ421" s="210"/>
    </row>
    <row r="422" ht="12.75" customHeight="1">
      <c r="C422" s="210"/>
      <c r="D422" s="210"/>
      <c r="E422" s="210"/>
      <c r="F422" s="210"/>
      <c r="G422" s="210"/>
      <c r="H422" s="210"/>
      <c r="I422" s="210"/>
      <c r="J422" s="210"/>
      <c r="K422" s="210"/>
      <c r="L422" s="210"/>
      <c r="M422" s="210"/>
      <c r="N422" s="210"/>
      <c r="O422" s="210"/>
      <c r="P422" s="210"/>
      <c r="Q422" s="210"/>
      <c r="R422" s="210"/>
      <c r="S422" s="210"/>
      <c r="T422" s="210"/>
      <c r="U422" s="210"/>
      <c r="V422" s="210"/>
      <c r="W422" s="210"/>
      <c r="X422" s="210"/>
      <c r="Y422" s="210"/>
      <c r="Z422" s="210"/>
      <c r="AA422" s="210"/>
      <c r="AB422" s="210"/>
      <c r="AC422" s="210"/>
      <c r="AI422" s="210"/>
      <c r="AJ422" s="210"/>
    </row>
    <row r="423" ht="12.75" customHeight="1">
      <c r="C423" s="210"/>
      <c r="D423" s="210"/>
      <c r="E423" s="210"/>
      <c r="F423" s="210"/>
      <c r="G423" s="210"/>
      <c r="H423" s="210"/>
      <c r="I423" s="210"/>
      <c r="J423" s="210"/>
      <c r="K423" s="210"/>
      <c r="L423" s="210"/>
      <c r="M423" s="210"/>
      <c r="N423" s="210"/>
      <c r="O423" s="210"/>
      <c r="P423" s="210"/>
      <c r="Q423" s="210"/>
      <c r="R423" s="210"/>
      <c r="S423" s="210"/>
      <c r="T423" s="210"/>
      <c r="U423" s="210"/>
      <c r="V423" s="210"/>
      <c r="W423" s="210"/>
      <c r="X423" s="210"/>
      <c r="Y423" s="210"/>
      <c r="Z423" s="210"/>
      <c r="AA423" s="210"/>
      <c r="AB423" s="210"/>
      <c r="AC423" s="210"/>
      <c r="AI423" s="210"/>
      <c r="AJ423" s="210"/>
    </row>
    <row r="424" ht="12.75" customHeight="1">
      <c r="C424" s="210"/>
      <c r="D424" s="210"/>
      <c r="E424" s="210"/>
      <c r="F424" s="210"/>
      <c r="G424" s="210"/>
      <c r="H424" s="210"/>
      <c r="I424" s="210"/>
      <c r="J424" s="210"/>
      <c r="K424" s="210"/>
      <c r="L424" s="210"/>
      <c r="M424" s="210"/>
      <c r="N424" s="210"/>
      <c r="O424" s="210"/>
      <c r="P424" s="210"/>
      <c r="Q424" s="210"/>
      <c r="R424" s="210"/>
      <c r="S424" s="210"/>
      <c r="T424" s="210"/>
      <c r="U424" s="210"/>
      <c r="V424" s="210"/>
      <c r="W424" s="210"/>
      <c r="X424" s="210"/>
      <c r="Y424" s="210"/>
      <c r="Z424" s="210"/>
      <c r="AA424" s="210"/>
      <c r="AB424" s="210"/>
      <c r="AC424" s="210"/>
      <c r="AI424" s="210"/>
      <c r="AJ424" s="210"/>
    </row>
    <row r="425" ht="12.75" customHeight="1">
      <c r="C425" s="210"/>
      <c r="D425" s="210"/>
      <c r="E425" s="210"/>
      <c r="F425" s="210"/>
      <c r="G425" s="210"/>
      <c r="H425" s="210"/>
      <c r="I425" s="210"/>
      <c r="J425" s="210"/>
      <c r="K425" s="210"/>
      <c r="L425" s="210"/>
      <c r="M425" s="210"/>
      <c r="N425" s="210"/>
      <c r="O425" s="210"/>
      <c r="P425" s="210"/>
      <c r="Q425" s="210"/>
      <c r="R425" s="210"/>
      <c r="S425" s="210"/>
      <c r="T425" s="210"/>
      <c r="U425" s="210"/>
      <c r="V425" s="210"/>
      <c r="W425" s="210"/>
      <c r="X425" s="210"/>
      <c r="Y425" s="210"/>
      <c r="Z425" s="210"/>
      <c r="AA425" s="210"/>
      <c r="AB425" s="210"/>
      <c r="AC425" s="210"/>
      <c r="AI425" s="210"/>
      <c r="AJ425" s="210"/>
    </row>
    <row r="426" ht="12.75" customHeight="1">
      <c r="C426" s="210"/>
      <c r="D426" s="210"/>
      <c r="E426" s="210"/>
      <c r="F426" s="210"/>
      <c r="G426" s="210"/>
      <c r="H426" s="210"/>
      <c r="I426" s="210"/>
      <c r="J426" s="210"/>
      <c r="K426" s="210"/>
      <c r="L426" s="210"/>
      <c r="M426" s="210"/>
      <c r="N426" s="210"/>
      <c r="O426" s="210"/>
      <c r="P426" s="210"/>
      <c r="Q426" s="210"/>
      <c r="R426" s="210"/>
      <c r="S426" s="210"/>
      <c r="T426" s="210"/>
      <c r="U426" s="210"/>
      <c r="V426" s="210"/>
      <c r="W426" s="210"/>
      <c r="X426" s="210"/>
      <c r="Y426" s="210"/>
      <c r="Z426" s="210"/>
      <c r="AA426" s="210"/>
      <c r="AB426" s="210"/>
      <c r="AC426" s="210"/>
      <c r="AI426" s="210"/>
      <c r="AJ426" s="210"/>
    </row>
    <row r="427" ht="12.75" customHeight="1">
      <c r="C427" s="210"/>
      <c r="D427" s="210"/>
      <c r="E427" s="210"/>
      <c r="F427" s="210"/>
      <c r="G427" s="210"/>
      <c r="H427" s="210"/>
      <c r="I427" s="210"/>
      <c r="J427" s="210"/>
      <c r="K427" s="210"/>
      <c r="L427" s="210"/>
      <c r="M427" s="210"/>
      <c r="N427" s="210"/>
      <c r="O427" s="210"/>
      <c r="P427" s="210"/>
      <c r="Q427" s="210"/>
      <c r="R427" s="210"/>
      <c r="S427" s="210"/>
      <c r="T427" s="210"/>
      <c r="U427" s="210"/>
      <c r="V427" s="210"/>
      <c r="W427" s="210"/>
      <c r="X427" s="210"/>
      <c r="Y427" s="210"/>
      <c r="Z427" s="210"/>
      <c r="AA427" s="210"/>
      <c r="AB427" s="210"/>
      <c r="AC427" s="210"/>
      <c r="AI427" s="210"/>
      <c r="AJ427" s="210"/>
    </row>
    <row r="428" ht="12.75" customHeight="1">
      <c r="C428" s="210"/>
      <c r="D428" s="210"/>
      <c r="E428" s="210"/>
      <c r="F428" s="210"/>
      <c r="G428" s="210"/>
      <c r="H428" s="210"/>
      <c r="I428" s="210"/>
      <c r="J428" s="210"/>
      <c r="K428" s="210"/>
      <c r="L428" s="210"/>
      <c r="M428" s="210"/>
      <c r="N428" s="210"/>
      <c r="O428" s="210"/>
      <c r="P428" s="210"/>
      <c r="Q428" s="210"/>
      <c r="R428" s="210"/>
      <c r="S428" s="210"/>
      <c r="T428" s="210"/>
      <c r="U428" s="210"/>
      <c r="V428" s="210"/>
      <c r="W428" s="210"/>
      <c r="X428" s="210"/>
      <c r="Y428" s="210"/>
      <c r="Z428" s="210"/>
      <c r="AA428" s="210"/>
      <c r="AB428" s="210"/>
      <c r="AC428" s="210"/>
      <c r="AI428" s="210"/>
      <c r="AJ428" s="210"/>
    </row>
    <row r="429" ht="12.75" customHeight="1">
      <c r="C429" s="210"/>
      <c r="D429" s="210"/>
      <c r="E429" s="210"/>
      <c r="F429" s="210"/>
      <c r="G429" s="210"/>
      <c r="H429" s="210"/>
      <c r="I429" s="210"/>
      <c r="J429" s="210"/>
      <c r="K429" s="210"/>
      <c r="L429" s="210"/>
      <c r="M429" s="210"/>
      <c r="N429" s="210"/>
      <c r="O429" s="210"/>
      <c r="P429" s="210"/>
      <c r="Q429" s="210"/>
      <c r="R429" s="210"/>
      <c r="S429" s="210"/>
      <c r="T429" s="210"/>
      <c r="U429" s="210"/>
      <c r="V429" s="210"/>
      <c r="W429" s="210"/>
      <c r="X429" s="210"/>
      <c r="Y429" s="210"/>
      <c r="Z429" s="210"/>
      <c r="AA429" s="210"/>
      <c r="AB429" s="210"/>
      <c r="AC429" s="210"/>
      <c r="AI429" s="210"/>
      <c r="AJ429" s="210"/>
    </row>
    <row r="430" ht="12.75" customHeight="1">
      <c r="C430" s="210"/>
      <c r="D430" s="210"/>
      <c r="E430" s="210"/>
      <c r="F430" s="210"/>
      <c r="G430" s="210"/>
      <c r="H430" s="210"/>
      <c r="I430" s="210"/>
      <c r="J430" s="210"/>
      <c r="K430" s="210"/>
      <c r="L430" s="210"/>
      <c r="M430" s="210"/>
      <c r="N430" s="210"/>
      <c r="O430" s="210"/>
      <c r="P430" s="210"/>
      <c r="Q430" s="210"/>
      <c r="R430" s="210"/>
      <c r="S430" s="210"/>
      <c r="T430" s="210"/>
      <c r="U430" s="210"/>
      <c r="V430" s="210"/>
      <c r="W430" s="210"/>
      <c r="X430" s="210"/>
      <c r="Y430" s="210"/>
      <c r="Z430" s="210"/>
      <c r="AA430" s="210"/>
      <c r="AB430" s="210"/>
      <c r="AC430" s="210"/>
      <c r="AI430" s="210"/>
      <c r="AJ430" s="210"/>
    </row>
    <row r="431" ht="12.75" customHeight="1">
      <c r="C431" s="210"/>
      <c r="D431" s="210"/>
      <c r="E431" s="210"/>
      <c r="F431" s="210"/>
      <c r="G431" s="210"/>
      <c r="H431" s="210"/>
      <c r="I431" s="210"/>
      <c r="J431" s="210"/>
      <c r="K431" s="210"/>
      <c r="L431" s="210"/>
      <c r="M431" s="210"/>
      <c r="N431" s="210"/>
      <c r="O431" s="210"/>
      <c r="P431" s="210"/>
      <c r="Q431" s="210"/>
      <c r="R431" s="210"/>
      <c r="S431" s="210"/>
      <c r="T431" s="210"/>
      <c r="U431" s="210"/>
      <c r="V431" s="210"/>
      <c r="W431" s="210"/>
      <c r="X431" s="210"/>
      <c r="Y431" s="210"/>
      <c r="Z431" s="210"/>
      <c r="AA431" s="210"/>
      <c r="AB431" s="210"/>
      <c r="AC431" s="210"/>
      <c r="AI431" s="210"/>
      <c r="AJ431" s="210"/>
    </row>
    <row r="432" ht="12.75" customHeight="1">
      <c r="C432" s="210"/>
      <c r="D432" s="210"/>
      <c r="E432" s="210"/>
      <c r="F432" s="210"/>
      <c r="G432" s="210"/>
      <c r="H432" s="210"/>
      <c r="I432" s="210"/>
      <c r="J432" s="210"/>
      <c r="K432" s="210"/>
      <c r="L432" s="210"/>
      <c r="M432" s="210"/>
      <c r="N432" s="210"/>
      <c r="O432" s="210"/>
      <c r="P432" s="210"/>
      <c r="Q432" s="210"/>
      <c r="R432" s="210"/>
      <c r="S432" s="210"/>
      <c r="T432" s="210"/>
      <c r="U432" s="210"/>
      <c r="V432" s="210"/>
      <c r="W432" s="210"/>
      <c r="X432" s="210"/>
      <c r="Y432" s="210"/>
      <c r="Z432" s="210"/>
      <c r="AA432" s="210"/>
      <c r="AB432" s="210"/>
      <c r="AC432" s="210"/>
      <c r="AI432" s="210"/>
      <c r="AJ432" s="210"/>
    </row>
    <row r="433" ht="12.75" customHeight="1">
      <c r="C433" s="210"/>
      <c r="D433" s="210"/>
      <c r="E433" s="210"/>
      <c r="F433" s="210"/>
      <c r="G433" s="210"/>
      <c r="H433" s="210"/>
      <c r="I433" s="210"/>
      <c r="J433" s="210"/>
      <c r="K433" s="210"/>
      <c r="L433" s="210"/>
      <c r="M433" s="210"/>
      <c r="N433" s="210"/>
      <c r="O433" s="210"/>
      <c r="P433" s="210"/>
      <c r="Q433" s="210"/>
      <c r="R433" s="210"/>
      <c r="S433" s="210"/>
      <c r="T433" s="210"/>
      <c r="U433" s="210"/>
      <c r="V433" s="210"/>
      <c r="W433" s="210"/>
      <c r="X433" s="210"/>
      <c r="Y433" s="210"/>
      <c r="Z433" s="210"/>
      <c r="AA433" s="210"/>
      <c r="AB433" s="210"/>
      <c r="AC433" s="210"/>
      <c r="AI433" s="210"/>
      <c r="AJ433" s="210"/>
    </row>
    <row r="434" ht="12.75" customHeight="1">
      <c r="C434" s="210"/>
      <c r="D434" s="210"/>
      <c r="E434" s="210"/>
      <c r="F434" s="210"/>
      <c r="G434" s="210"/>
      <c r="H434" s="210"/>
      <c r="I434" s="210"/>
      <c r="J434" s="210"/>
      <c r="K434" s="210"/>
      <c r="L434" s="210"/>
      <c r="M434" s="210"/>
      <c r="N434" s="210"/>
      <c r="O434" s="210"/>
      <c r="P434" s="210"/>
      <c r="Q434" s="210"/>
      <c r="R434" s="210"/>
      <c r="S434" s="210"/>
      <c r="T434" s="210"/>
      <c r="U434" s="210"/>
      <c r="V434" s="210"/>
      <c r="W434" s="210"/>
      <c r="X434" s="210"/>
      <c r="Y434" s="210"/>
      <c r="Z434" s="210"/>
      <c r="AA434" s="210"/>
      <c r="AB434" s="210"/>
      <c r="AC434" s="210"/>
      <c r="AI434" s="210"/>
      <c r="AJ434" s="210"/>
    </row>
    <row r="435" ht="12.75" customHeight="1">
      <c r="C435" s="210"/>
      <c r="D435" s="210"/>
      <c r="E435" s="210"/>
      <c r="F435" s="210"/>
      <c r="G435" s="210"/>
      <c r="H435" s="210"/>
      <c r="I435" s="210"/>
      <c r="J435" s="210"/>
      <c r="K435" s="210"/>
      <c r="L435" s="210"/>
      <c r="M435" s="210"/>
      <c r="N435" s="210"/>
      <c r="O435" s="210"/>
      <c r="P435" s="210"/>
      <c r="Q435" s="210"/>
      <c r="R435" s="210"/>
      <c r="S435" s="210"/>
      <c r="T435" s="210"/>
      <c r="U435" s="210"/>
      <c r="V435" s="210"/>
      <c r="W435" s="210"/>
      <c r="X435" s="210"/>
      <c r="Y435" s="210"/>
      <c r="Z435" s="210"/>
      <c r="AA435" s="210"/>
      <c r="AB435" s="210"/>
      <c r="AC435" s="210"/>
      <c r="AI435" s="210"/>
      <c r="AJ435" s="210"/>
    </row>
    <row r="436" ht="12.75" customHeight="1">
      <c r="C436" s="210"/>
      <c r="D436" s="210"/>
      <c r="E436" s="210"/>
      <c r="F436" s="210"/>
      <c r="G436" s="210"/>
      <c r="H436" s="210"/>
      <c r="I436" s="210"/>
      <c r="J436" s="210"/>
      <c r="K436" s="210"/>
      <c r="L436" s="210"/>
      <c r="M436" s="210"/>
      <c r="N436" s="210"/>
      <c r="O436" s="210"/>
      <c r="P436" s="210"/>
      <c r="Q436" s="210"/>
      <c r="R436" s="210"/>
      <c r="S436" s="210"/>
      <c r="T436" s="210"/>
      <c r="U436" s="210"/>
      <c r="V436" s="210"/>
      <c r="W436" s="210"/>
      <c r="X436" s="210"/>
      <c r="Y436" s="210"/>
      <c r="Z436" s="210"/>
      <c r="AA436" s="210"/>
      <c r="AB436" s="210"/>
      <c r="AC436" s="210"/>
      <c r="AI436" s="210"/>
      <c r="AJ436" s="210"/>
    </row>
    <row r="437" ht="12.75" customHeight="1">
      <c r="C437" s="210"/>
      <c r="D437" s="210"/>
      <c r="E437" s="210"/>
      <c r="F437" s="210"/>
      <c r="G437" s="210"/>
      <c r="H437" s="210"/>
      <c r="I437" s="210"/>
      <c r="J437" s="210"/>
      <c r="K437" s="210"/>
      <c r="L437" s="210"/>
      <c r="M437" s="210"/>
      <c r="N437" s="210"/>
      <c r="O437" s="210"/>
      <c r="P437" s="210"/>
      <c r="Q437" s="210"/>
      <c r="R437" s="210"/>
      <c r="S437" s="210"/>
      <c r="T437" s="210"/>
      <c r="U437" s="210"/>
      <c r="V437" s="210"/>
      <c r="W437" s="210"/>
      <c r="X437" s="210"/>
      <c r="Y437" s="210"/>
      <c r="Z437" s="210"/>
      <c r="AA437" s="210"/>
      <c r="AB437" s="210"/>
      <c r="AC437" s="210"/>
      <c r="AI437" s="210"/>
      <c r="AJ437" s="210"/>
    </row>
    <row r="438" ht="12.75" customHeight="1">
      <c r="C438" s="210"/>
      <c r="D438" s="210"/>
      <c r="E438" s="210"/>
      <c r="F438" s="210"/>
      <c r="G438" s="210"/>
      <c r="H438" s="210"/>
      <c r="I438" s="210"/>
      <c r="J438" s="210"/>
      <c r="K438" s="210"/>
      <c r="L438" s="210"/>
      <c r="M438" s="210"/>
      <c r="N438" s="210"/>
      <c r="O438" s="210"/>
      <c r="P438" s="210"/>
      <c r="Q438" s="210"/>
      <c r="R438" s="210"/>
      <c r="S438" s="210"/>
      <c r="T438" s="210"/>
      <c r="U438" s="210"/>
      <c r="V438" s="210"/>
      <c r="W438" s="210"/>
      <c r="X438" s="210"/>
      <c r="Y438" s="210"/>
      <c r="Z438" s="210"/>
      <c r="AA438" s="210"/>
      <c r="AB438" s="210"/>
      <c r="AC438" s="210"/>
      <c r="AI438" s="210"/>
      <c r="AJ438" s="210"/>
    </row>
    <row r="439" ht="12.75" customHeight="1">
      <c r="C439" s="210"/>
      <c r="D439" s="210"/>
      <c r="E439" s="210"/>
      <c r="F439" s="210"/>
      <c r="G439" s="210"/>
      <c r="H439" s="210"/>
      <c r="I439" s="210"/>
      <c r="J439" s="210"/>
      <c r="K439" s="210"/>
      <c r="L439" s="210"/>
      <c r="M439" s="210"/>
      <c r="N439" s="210"/>
      <c r="O439" s="210"/>
      <c r="P439" s="210"/>
      <c r="Q439" s="210"/>
      <c r="R439" s="210"/>
      <c r="S439" s="210"/>
      <c r="T439" s="210"/>
      <c r="U439" s="210"/>
      <c r="V439" s="210"/>
      <c r="W439" s="210"/>
      <c r="X439" s="210"/>
      <c r="Y439" s="210"/>
      <c r="Z439" s="210"/>
      <c r="AA439" s="210"/>
      <c r="AB439" s="210"/>
      <c r="AC439" s="210"/>
      <c r="AI439" s="210"/>
      <c r="AJ439" s="210"/>
    </row>
    <row r="440" ht="12.75" customHeight="1">
      <c r="C440" s="210"/>
      <c r="D440" s="210"/>
      <c r="E440" s="210"/>
      <c r="F440" s="210"/>
      <c r="G440" s="210"/>
      <c r="H440" s="210"/>
      <c r="I440" s="210"/>
      <c r="J440" s="210"/>
      <c r="K440" s="210"/>
      <c r="L440" s="210"/>
      <c r="M440" s="210"/>
      <c r="N440" s="210"/>
      <c r="O440" s="210"/>
      <c r="P440" s="210"/>
      <c r="Q440" s="210"/>
      <c r="R440" s="210"/>
      <c r="S440" s="210"/>
      <c r="T440" s="210"/>
      <c r="U440" s="210"/>
      <c r="V440" s="210"/>
      <c r="W440" s="210"/>
      <c r="X440" s="210"/>
      <c r="Y440" s="210"/>
      <c r="Z440" s="210"/>
      <c r="AA440" s="210"/>
      <c r="AB440" s="210"/>
      <c r="AC440" s="210"/>
      <c r="AI440" s="210"/>
      <c r="AJ440" s="210"/>
    </row>
    <row r="441" ht="12.75" customHeight="1">
      <c r="C441" s="210"/>
      <c r="D441" s="210"/>
      <c r="E441" s="210"/>
      <c r="F441" s="210"/>
      <c r="G441" s="210"/>
      <c r="H441" s="210"/>
      <c r="I441" s="210"/>
      <c r="J441" s="210"/>
      <c r="K441" s="210"/>
      <c r="L441" s="210"/>
      <c r="M441" s="210"/>
      <c r="N441" s="210"/>
      <c r="O441" s="210"/>
      <c r="P441" s="210"/>
      <c r="Q441" s="210"/>
      <c r="R441" s="210"/>
      <c r="S441" s="210"/>
      <c r="T441" s="210"/>
      <c r="U441" s="210"/>
      <c r="V441" s="210"/>
      <c r="W441" s="210"/>
      <c r="X441" s="210"/>
      <c r="Y441" s="210"/>
      <c r="Z441" s="210"/>
      <c r="AA441" s="210"/>
      <c r="AB441" s="210"/>
      <c r="AC441" s="210"/>
      <c r="AI441" s="210"/>
      <c r="AJ441" s="210"/>
    </row>
    <row r="442" ht="12.75" customHeight="1">
      <c r="C442" s="210"/>
      <c r="D442" s="210"/>
      <c r="E442" s="210"/>
      <c r="F442" s="210"/>
      <c r="G442" s="210"/>
      <c r="H442" s="210"/>
      <c r="I442" s="210"/>
      <c r="J442" s="210"/>
      <c r="K442" s="210"/>
      <c r="L442" s="210"/>
      <c r="M442" s="210"/>
      <c r="N442" s="210"/>
      <c r="O442" s="210"/>
      <c r="P442" s="210"/>
      <c r="Q442" s="210"/>
      <c r="R442" s="210"/>
      <c r="S442" s="210"/>
      <c r="T442" s="210"/>
      <c r="U442" s="210"/>
      <c r="V442" s="210"/>
      <c r="W442" s="210"/>
      <c r="X442" s="210"/>
      <c r="Y442" s="210"/>
      <c r="Z442" s="210"/>
      <c r="AA442" s="210"/>
      <c r="AB442" s="210"/>
      <c r="AC442" s="210"/>
      <c r="AI442" s="210"/>
      <c r="AJ442" s="210"/>
    </row>
    <row r="443" ht="12.75" customHeight="1">
      <c r="C443" s="210"/>
      <c r="D443" s="210"/>
      <c r="E443" s="210"/>
      <c r="F443" s="210"/>
      <c r="G443" s="210"/>
      <c r="H443" s="210"/>
      <c r="I443" s="210"/>
      <c r="J443" s="210"/>
      <c r="K443" s="210"/>
      <c r="L443" s="210"/>
      <c r="M443" s="210"/>
      <c r="N443" s="210"/>
      <c r="O443" s="210"/>
      <c r="P443" s="210"/>
      <c r="Q443" s="210"/>
      <c r="R443" s="210"/>
      <c r="S443" s="210"/>
      <c r="T443" s="210"/>
      <c r="U443" s="210"/>
      <c r="V443" s="210"/>
      <c r="W443" s="210"/>
      <c r="X443" s="210"/>
      <c r="Y443" s="210"/>
      <c r="Z443" s="210"/>
      <c r="AA443" s="210"/>
      <c r="AB443" s="210"/>
      <c r="AC443" s="210"/>
      <c r="AI443" s="210"/>
      <c r="AJ443" s="210"/>
    </row>
    <row r="444" ht="12.75" customHeight="1">
      <c r="C444" s="210"/>
      <c r="D444" s="210"/>
      <c r="E444" s="210"/>
      <c r="F444" s="210"/>
      <c r="G444" s="210"/>
      <c r="H444" s="210"/>
      <c r="I444" s="210"/>
      <c r="J444" s="210"/>
      <c r="K444" s="210"/>
      <c r="L444" s="210"/>
      <c r="M444" s="210"/>
      <c r="N444" s="210"/>
      <c r="O444" s="210"/>
      <c r="P444" s="210"/>
      <c r="Q444" s="210"/>
      <c r="R444" s="210"/>
      <c r="S444" s="210"/>
      <c r="T444" s="210"/>
      <c r="U444" s="210"/>
      <c r="V444" s="210"/>
      <c r="W444" s="210"/>
      <c r="X444" s="210"/>
      <c r="Y444" s="210"/>
      <c r="Z444" s="210"/>
      <c r="AA444" s="210"/>
      <c r="AB444" s="210"/>
      <c r="AC444" s="210"/>
      <c r="AI444" s="210"/>
      <c r="AJ444" s="210"/>
    </row>
    <row r="445" ht="12.75" customHeight="1">
      <c r="C445" s="210"/>
      <c r="D445" s="210"/>
      <c r="E445" s="210"/>
      <c r="F445" s="210"/>
      <c r="G445" s="210"/>
      <c r="H445" s="210"/>
      <c r="I445" s="210"/>
      <c r="J445" s="210"/>
      <c r="K445" s="210"/>
      <c r="L445" s="210"/>
      <c r="M445" s="210"/>
      <c r="N445" s="210"/>
      <c r="O445" s="210"/>
      <c r="P445" s="210"/>
      <c r="Q445" s="210"/>
      <c r="R445" s="210"/>
      <c r="S445" s="210"/>
      <c r="T445" s="210"/>
      <c r="U445" s="210"/>
      <c r="V445" s="210"/>
      <c r="W445" s="210"/>
      <c r="X445" s="210"/>
      <c r="Y445" s="210"/>
      <c r="Z445" s="210"/>
      <c r="AA445" s="210"/>
      <c r="AB445" s="210"/>
      <c r="AC445" s="210"/>
      <c r="AI445" s="210"/>
      <c r="AJ445" s="210"/>
    </row>
    <row r="446" ht="12.75" customHeight="1">
      <c r="C446" s="210"/>
      <c r="D446" s="210"/>
      <c r="E446" s="210"/>
      <c r="F446" s="210"/>
      <c r="G446" s="210"/>
      <c r="H446" s="210"/>
      <c r="I446" s="210"/>
      <c r="J446" s="210"/>
      <c r="K446" s="210"/>
      <c r="L446" s="210"/>
      <c r="M446" s="210"/>
      <c r="N446" s="210"/>
      <c r="O446" s="210"/>
      <c r="P446" s="210"/>
      <c r="Q446" s="210"/>
      <c r="R446" s="210"/>
      <c r="S446" s="210"/>
      <c r="T446" s="210"/>
      <c r="U446" s="210"/>
      <c r="V446" s="210"/>
      <c r="W446" s="210"/>
      <c r="X446" s="210"/>
      <c r="Y446" s="210"/>
      <c r="Z446" s="210"/>
      <c r="AA446" s="210"/>
      <c r="AB446" s="210"/>
      <c r="AC446" s="210"/>
      <c r="AI446" s="210"/>
      <c r="AJ446" s="210"/>
    </row>
    <row r="447" ht="12.75" customHeight="1">
      <c r="C447" s="210"/>
      <c r="D447" s="210"/>
      <c r="E447" s="210"/>
      <c r="F447" s="210"/>
      <c r="G447" s="210"/>
      <c r="H447" s="210"/>
      <c r="I447" s="210"/>
      <c r="J447" s="210"/>
      <c r="K447" s="210"/>
      <c r="L447" s="210"/>
      <c r="M447" s="210"/>
      <c r="N447" s="210"/>
      <c r="O447" s="210"/>
      <c r="P447" s="210"/>
      <c r="Q447" s="210"/>
      <c r="R447" s="210"/>
      <c r="S447" s="210"/>
      <c r="T447" s="210"/>
      <c r="U447" s="210"/>
      <c r="V447" s="210"/>
      <c r="W447" s="210"/>
      <c r="X447" s="210"/>
      <c r="Y447" s="210"/>
      <c r="Z447" s="210"/>
      <c r="AA447" s="210"/>
      <c r="AB447" s="210"/>
      <c r="AC447" s="210"/>
      <c r="AI447" s="210"/>
      <c r="AJ447" s="210"/>
    </row>
    <row r="448" ht="12.75" customHeight="1">
      <c r="C448" s="210"/>
      <c r="D448" s="210"/>
      <c r="E448" s="210"/>
      <c r="F448" s="210"/>
      <c r="G448" s="210"/>
      <c r="H448" s="210"/>
      <c r="I448" s="210"/>
      <c r="J448" s="210"/>
      <c r="K448" s="210"/>
      <c r="L448" s="210"/>
      <c r="M448" s="210"/>
      <c r="N448" s="210"/>
      <c r="O448" s="210"/>
      <c r="P448" s="210"/>
      <c r="Q448" s="210"/>
      <c r="R448" s="210"/>
      <c r="S448" s="210"/>
      <c r="T448" s="210"/>
      <c r="U448" s="210"/>
      <c r="V448" s="210"/>
      <c r="W448" s="210"/>
      <c r="X448" s="210"/>
      <c r="Y448" s="210"/>
      <c r="Z448" s="210"/>
      <c r="AA448" s="210"/>
      <c r="AB448" s="210"/>
      <c r="AC448" s="210"/>
      <c r="AI448" s="210"/>
      <c r="AJ448" s="210"/>
    </row>
    <row r="449" ht="12.75" customHeight="1">
      <c r="C449" s="210"/>
      <c r="D449" s="210"/>
      <c r="E449" s="210"/>
      <c r="F449" s="210"/>
      <c r="G449" s="210"/>
      <c r="H449" s="210"/>
      <c r="I449" s="210"/>
      <c r="J449" s="210"/>
      <c r="K449" s="210"/>
      <c r="L449" s="210"/>
      <c r="M449" s="210"/>
      <c r="N449" s="210"/>
      <c r="O449" s="210"/>
      <c r="P449" s="210"/>
      <c r="Q449" s="210"/>
      <c r="R449" s="210"/>
      <c r="S449" s="210"/>
      <c r="T449" s="210"/>
      <c r="U449" s="210"/>
      <c r="V449" s="210"/>
      <c r="W449" s="210"/>
      <c r="X449" s="210"/>
      <c r="Y449" s="210"/>
      <c r="Z449" s="210"/>
      <c r="AA449" s="210"/>
      <c r="AB449" s="210"/>
      <c r="AC449" s="210"/>
      <c r="AI449" s="210"/>
      <c r="AJ449" s="210"/>
    </row>
    <row r="450" ht="12.75" customHeight="1">
      <c r="C450" s="210"/>
      <c r="D450" s="210"/>
      <c r="E450" s="210"/>
      <c r="F450" s="210"/>
      <c r="G450" s="210"/>
      <c r="H450" s="210"/>
      <c r="I450" s="210"/>
      <c r="J450" s="210"/>
      <c r="K450" s="210"/>
      <c r="L450" s="210"/>
      <c r="M450" s="210"/>
      <c r="N450" s="210"/>
      <c r="O450" s="210"/>
      <c r="P450" s="210"/>
      <c r="Q450" s="210"/>
      <c r="R450" s="210"/>
      <c r="S450" s="210"/>
      <c r="T450" s="210"/>
      <c r="U450" s="210"/>
      <c r="V450" s="210"/>
      <c r="W450" s="210"/>
      <c r="X450" s="210"/>
      <c r="Y450" s="210"/>
      <c r="Z450" s="210"/>
      <c r="AA450" s="210"/>
      <c r="AB450" s="210"/>
      <c r="AC450" s="210"/>
      <c r="AI450" s="210"/>
      <c r="AJ450" s="210"/>
    </row>
    <row r="451" ht="12.75" customHeight="1">
      <c r="C451" s="210"/>
      <c r="D451" s="210"/>
      <c r="E451" s="210"/>
      <c r="F451" s="210"/>
      <c r="G451" s="210"/>
      <c r="H451" s="210"/>
      <c r="I451" s="210"/>
      <c r="J451" s="210"/>
      <c r="K451" s="210"/>
      <c r="L451" s="210"/>
      <c r="M451" s="210"/>
      <c r="N451" s="210"/>
      <c r="O451" s="210"/>
      <c r="P451" s="210"/>
      <c r="Q451" s="210"/>
      <c r="R451" s="210"/>
      <c r="S451" s="210"/>
      <c r="T451" s="210"/>
      <c r="U451" s="210"/>
      <c r="V451" s="210"/>
      <c r="W451" s="210"/>
      <c r="X451" s="210"/>
      <c r="Y451" s="210"/>
      <c r="Z451" s="210"/>
      <c r="AA451" s="210"/>
      <c r="AB451" s="210"/>
      <c r="AC451" s="210"/>
      <c r="AI451" s="210"/>
      <c r="AJ451" s="210"/>
    </row>
    <row r="452" ht="12.75" customHeight="1">
      <c r="C452" s="210"/>
      <c r="D452" s="210"/>
      <c r="E452" s="210"/>
      <c r="F452" s="210"/>
      <c r="G452" s="210"/>
      <c r="H452" s="210"/>
      <c r="I452" s="210"/>
      <c r="J452" s="210"/>
      <c r="K452" s="210"/>
      <c r="L452" s="210"/>
      <c r="M452" s="210"/>
      <c r="N452" s="210"/>
      <c r="O452" s="210"/>
      <c r="P452" s="210"/>
      <c r="Q452" s="210"/>
      <c r="R452" s="210"/>
      <c r="S452" s="210"/>
      <c r="T452" s="210"/>
      <c r="U452" s="210"/>
      <c r="V452" s="210"/>
      <c r="W452" s="210"/>
      <c r="X452" s="210"/>
      <c r="Y452" s="210"/>
      <c r="Z452" s="210"/>
      <c r="AA452" s="210"/>
      <c r="AB452" s="210"/>
      <c r="AC452" s="210"/>
      <c r="AI452" s="210"/>
      <c r="AJ452" s="210"/>
    </row>
    <row r="453" ht="12.75" customHeight="1">
      <c r="C453" s="210"/>
      <c r="D453" s="210"/>
      <c r="E453" s="210"/>
      <c r="F453" s="210"/>
      <c r="G453" s="210"/>
      <c r="H453" s="210"/>
      <c r="I453" s="210"/>
      <c r="J453" s="210"/>
      <c r="K453" s="210"/>
      <c r="L453" s="210"/>
      <c r="M453" s="210"/>
      <c r="N453" s="210"/>
      <c r="O453" s="210"/>
      <c r="P453" s="210"/>
      <c r="Q453" s="210"/>
      <c r="R453" s="210"/>
      <c r="S453" s="210"/>
      <c r="T453" s="210"/>
      <c r="U453" s="210"/>
      <c r="V453" s="210"/>
      <c r="W453" s="210"/>
      <c r="X453" s="210"/>
      <c r="Y453" s="210"/>
      <c r="Z453" s="210"/>
      <c r="AA453" s="210"/>
      <c r="AB453" s="210"/>
      <c r="AC453" s="210"/>
      <c r="AI453" s="210"/>
      <c r="AJ453" s="210"/>
    </row>
    <row r="454" ht="12.75" customHeight="1">
      <c r="C454" s="210"/>
      <c r="D454" s="210"/>
      <c r="E454" s="210"/>
      <c r="F454" s="210"/>
      <c r="G454" s="210"/>
      <c r="H454" s="210"/>
      <c r="I454" s="210"/>
      <c r="J454" s="210"/>
      <c r="K454" s="210"/>
      <c r="L454" s="210"/>
      <c r="M454" s="210"/>
      <c r="N454" s="210"/>
      <c r="O454" s="210"/>
      <c r="P454" s="210"/>
      <c r="Q454" s="210"/>
      <c r="R454" s="210"/>
      <c r="S454" s="210"/>
      <c r="T454" s="210"/>
      <c r="U454" s="210"/>
      <c r="V454" s="210"/>
      <c r="W454" s="210"/>
      <c r="X454" s="210"/>
      <c r="Y454" s="210"/>
      <c r="Z454" s="210"/>
      <c r="AA454" s="210"/>
      <c r="AB454" s="210"/>
      <c r="AC454" s="210"/>
      <c r="AI454" s="210"/>
      <c r="AJ454" s="210"/>
    </row>
    <row r="455" ht="12.75" customHeight="1">
      <c r="C455" s="210"/>
      <c r="D455" s="210"/>
      <c r="E455" s="210"/>
      <c r="F455" s="210"/>
      <c r="G455" s="210"/>
      <c r="H455" s="210"/>
      <c r="I455" s="210"/>
      <c r="J455" s="210"/>
      <c r="K455" s="210"/>
      <c r="L455" s="210"/>
      <c r="M455" s="210"/>
      <c r="N455" s="210"/>
      <c r="O455" s="210"/>
      <c r="P455" s="210"/>
      <c r="Q455" s="210"/>
      <c r="R455" s="210"/>
      <c r="S455" s="210"/>
      <c r="T455" s="210"/>
      <c r="U455" s="210"/>
      <c r="V455" s="210"/>
      <c r="W455" s="210"/>
      <c r="X455" s="210"/>
      <c r="Y455" s="210"/>
      <c r="Z455" s="210"/>
      <c r="AA455" s="210"/>
      <c r="AB455" s="210"/>
      <c r="AC455" s="210"/>
      <c r="AI455" s="210"/>
      <c r="AJ455" s="210"/>
    </row>
    <row r="456" ht="12.75" customHeight="1">
      <c r="C456" s="210"/>
      <c r="D456" s="210"/>
      <c r="E456" s="210"/>
      <c r="F456" s="210"/>
      <c r="G456" s="210"/>
      <c r="H456" s="210"/>
      <c r="I456" s="210"/>
      <c r="J456" s="210"/>
      <c r="K456" s="210"/>
      <c r="L456" s="210"/>
      <c r="M456" s="210"/>
      <c r="N456" s="210"/>
      <c r="O456" s="210"/>
      <c r="P456" s="210"/>
      <c r="Q456" s="210"/>
      <c r="R456" s="210"/>
      <c r="S456" s="210"/>
      <c r="T456" s="210"/>
      <c r="U456" s="210"/>
      <c r="V456" s="210"/>
      <c r="W456" s="210"/>
      <c r="X456" s="210"/>
      <c r="Y456" s="210"/>
      <c r="Z456" s="210"/>
      <c r="AA456" s="210"/>
      <c r="AB456" s="210"/>
      <c r="AC456" s="210"/>
      <c r="AI456" s="210"/>
      <c r="AJ456" s="210"/>
    </row>
    <row r="457" ht="12.75" customHeight="1">
      <c r="C457" s="210"/>
      <c r="D457" s="210"/>
      <c r="E457" s="210"/>
      <c r="F457" s="210"/>
      <c r="G457" s="210"/>
      <c r="H457" s="210"/>
      <c r="I457" s="210"/>
      <c r="J457" s="210"/>
      <c r="K457" s="210"/>
      <c r="L457" s="210"/>
      <c r="M457" s="210"/>
      <c r="N457" s="210"/>
      <c r="O457" s="210"/>
      <c r="P457" s="210"/>
      <c r="Q457" s="210"/>
      <c r="R457" s="210"/>
      <c r="S457" s="210"/>
      <c r="T457" s="210"/>
      <c r="U457" s="210"/>
      <c r="V457" s="210"/>
      <c r="W457" s="210"/>
      <c r="X457" s="210"/>
      <c r="Y457" s="210"/>
      <c r="Z457" s="210"/>
      <c r="AA457" s="210"/>
      <c r="AB457" s="210"/>
      <c r="AC457" s="210"/>
      <c r="AI457" s="210"/>
      <c r="AJ457" s="210"/>
    </row>
    <row r="458" ht="12.75" customHeight="1">
      <c r="C458" s="210"/>
      <c r="D458" s="210"/>
      <c r="E458" s="210"/>
      <c r="F458" s="210"/>
      <c r="G458" s="210"/>
      <c r="H458" s="210"/>
      <c r="I458" s="210"/>
      <c r="J458" s="210"/>
      <c r="K458" s="210"/>
      <c r="L458" s="210"/>
      <c r="M458" s="210"/>
      <c r="N458" s="210"/>
      <c r="O458" s="210"/>
      <c r="P458" s="210"/>
      <c r="Q458" s="210"/>
      <c r="R458" s="210"/>
      <c r="S458" s="210"/>
      <c r="T458" s="210"/>
      <c r="U458" s="210"/>
      <c r="V458" s="210"/>
      <c r="W458" s="210"/>
      <c r="X458" s="210"/>
      <c r="Y458" s="210"/>
      <c r="Z458" s="210"/>
      <c r="AA458" s="210"/>
      <c r="AB458" s="210"/>
      <c r="AC458" s="210"/>
      <c r="AI458" s="210"/>
      <c r="AJ458" s="210"/>
    </row>
    <row r="459" ht="12.75" customHeight="1">
      <c r="C459" s="210"/>
      <c r="D459" s="210"/>
      <c r="E459" s="210"/>
      <c r="F459" s="210"/>
      <c r="G459" s="210"/>
      <c r="H459" s="210"/>
      <c r="I459" s="210"/>
      <c r="J459" s="210"/>
      <c r="K459" s="210"/>
      <c r="L459" s="210"/>
      <c r="M459" s="210"/>
      <c r="N459" s="210"/>
      <c r="O459" s="210"/>
      <c r="P459" s="210"/>
      <c r="Q459" s="210"/>
      <c r="R459" s="210"/>
      <c r="S459" s="210"/>
      <c r="T459" s="210"/>
      <c r="U459" s="210"/>
      <c r="V459" s="210"/>
      <c r="W459" s="210"/>
      <c r="X459" s="210"/>
      <c r="Y459" s="210"/>
      <c r="Z459" s="210"/>
      <c r="AA459" s="210"/>
      <c r="AB459" s="210"/>
      <c r="AC459" s="210"/>
      <c r="AI459" s="210"/>
      <c r="AJ459" s="210"/>
    </row>
    <row r="460" ht="12.75" customHeight="1">
      <c r="C460" s="210"/>
      <c r="D460" s="210"/>
      <c r="E460" s="210"/>
      <c r="F460" s="210"/>
      <c r="G460" s="210"/>
      <c r="H460" s="210"/>
      <c r="I460" s="210"/>
      <c r="J460" s="210"/>
      <c r="K460" s="210"/>
      <c r="L460" s="210"/>
      <c r="M460" s="210"/>
      <c r="N460" s="210"/>
      <c r="O460" s="210"/>
      <c r="P460" s="210"/>
      <c r="Q460" s="210"/>
      <c r="R460" s="210"/>
      <c r="S460" s="210"/>
      <c r="T460" s="210"/>
      <c r="U460" s="210"/>
      <c r="V460" s="210"/>
      <c r="W460" s="210"/>
      <c r="X460" s="210"/>
      <c r="Y460" s="210"/>
      <c r="Z460" s="210"/>
      <c r="AA460" s="210"/>
      <c r="AB460" s="210"/>
      <c r="AC460" s="210"/>
      <c r="AI460" s="210"/>
      <c r="AJ460" s="210"/>
    </row>
    <row r="461" ht="12.75" customHeight="1">
      <c r="C461" s="210"/>
      <c r="D461" s="210"/>
      <c r="E461" s="210"/>
      <c r="F461" s="210"/>
      <c r="G461" s="210"/>
      <c r="H461" s="210"/>
      <c r="I461" s="210"/>
      <c r="J461" s="210"/>
      <c r="K461" s="210"/>
      <c r="L461" s="210"/>
      <c r="M461" s="210"/>
      <c r="N461" s="210"/>
      <c r="O461" s="210"/>
      <c r="P461" s="210"/>
      <c r="Q461" s="210"/>
      <c r="R461" s="210"/>
      <c r="S461" s="210"/>
      <c r="T461" s="210"/>
      <c r="U461" s="210"/>
      <c r="V461" s="210"/>
      <c r="W461" s="210"/>
      <c r="X461" s="210"/>
      <c r="Y461" s="210"/>
      <c r="Z461" s="210"/>
      <c r="AA461" s="210"/>
      <c r="AB461" s="210"/>
      <c r="AC461" s="210"/>
      <c r="AI461" s="210"/>
      <c r="AJ461" s="210"/>
    </row>
    <row r="462" ht="12.75" customHeight="1">
      <c r="C462" s="210"/>
      <c r="D462" s="210"/>
      <c r="E462" s="210"/>
      <c r="F462" s="210"/>
      <c r="G462" s="210"/>
      <c r="H462" s="210"/>
      <c r="I462" s="210"/>
      <c r="J462" s="210"/>
      <c r="K462" s="210"/>
      <c r="L462" s="210"/>
      <c r="M462" s="210"/>
      <c r="N462" s="210"/>
      <c r="O462" s="210"/>
      <c r="P462" s="210"/>
      <c r="Q462" s="210"/>
      <c r="R462" s="210"/>
      <c r="S462" s="210"/>
      <c r="T462" s="210"/>
      <c r="U462" s="210"/>
      <c r="V462" s="210"/>
      <c r="W462" s="210"/>
      <c r="X462" s="210"/>
      <c r="Y462" s="210"/>
      <c r="Z462" s="210"/>
      <c r="AA462" s="210"/>
      <c r="AB462" s="210"/>
      <c r="AC462" s="210"/>
      <c r="AI462" s="210"/>
      <c r="AJ462" s="210"/>
    </row>
    <row r="463" ht="12.75" customHeight="1">
      <c r="C463" s="210"/>
      <c r="D463" s="210"/>
      <c r="E463" s="210"/>
      <c r="F463" s="210"/>
      <c r="G463" s="210"/>
      <c r="H463" s="210"/>
      <c r="I463" s="210"/>
      <c r="J463" s="210"/>
      <c r="K463" s="210"/>
      <c r="L463" s="210"/>
      <c r="M463" s="210"/>
      <c r="N463" s="210"/>
      <c r="O463" s="210"/>
      <c r="P463" s="210"/>
      <c r="Q463" s="210"/>
      <c r="R463" s="210"/>
      <c r="S463" s="210"/>
      <c r="T463" s="210"/>
      <c r="U463" s="210"/>
      <c r="V463" s="210"/>
      <c r="W463" s="210"/>
      <c r="X463" s="210"/>
      <c r="Y463" s="210"/>
      <c r="Z463" s="210"/>
      <c r="AA463" s="210"/>
      <c r="AB463" s="210"/>
      <c r="AC463" s="210"/>
      <c r="AI463" s="210"/>
      <c r="AJ463" s="210"/>
    </row>
    <row r="464" ht="12.75" customHeight="1">
      <c r="C464" s="210"/>
      <c r="D464" s="210"/>
      <c r="E464" s="210"/>
      <c r="F464" s="210"/>
      <c r="G464" s="210"/>
      <c r="H464" s="210"/>
      <c r="I464" s="210"/>
      <c r="J464" s="210"/>
      <c r="K464" s="210"/>
      <c r="L464" s="210"/>
      <c r="M464" s="210"/>
      <c r="N464" s="210"/>
      <c r="O464" s="210"/>
      <c r="P464" s="210"/>
      <c r="Q464" s="210"/>
      <c r="R464" s="210"/>
      <c r="S464" s="210"/>
      <c r="T464" s="210"/>
      <c r="U464" s="210"/>
      <c r="V464" s="210"/>
      <c r="W464" s="210"/>
      <c r="X464" s="210"/>
      <c r="Y464" s="210"/>
      <c r="Z464" s="210"/>
      <c r="AA464" s="210"/>
      <c r="AB464" s="210"/>
      <c r="AC464" s="210"/>
      <c r="AI464" s="210"/>
      <c r="AJ464" s="210"/>
    </row>
    <row r="465" ht="12.75" customHeight="1">
      <c r="C465" s="210"/>
      <c r="D465" s="210"/>
      <c r="E465" s="210"/>
      <c r="F465" s="210"/>
      <c r="G465" s="210"/>
      <c r="H465" s="210"/>
      <c r="I465" s="210"/>
      <c r="J465" s="210"/>
      <c r="K465" s="210"/>
      <c r="L465" s="210"/>
      <c r="M465" s="210"/>
      <c r="N465" s="210"/>
      <c r="O465" s="210"/>
      <c r="P465" s="210"/>
      <c r="Q465" s="210"/>
      <c r="R465" s="210"/>
      <c r="S465" s="210"/>
      <c r="T465" s="210"/>
      <c r="U465" s="210"/>
      <c r="V465" s="210"/>
      <c r="W465" s="210"/>
      <c r="X465" s="210"/>
      <c r="Y465" s="210"/>
      <c r="Z465" s="210"/>
      <c r="AA465" s="210"/>
      <c r="AB465" s="210"/>
      <c r="AC465" s="210"/>
      <c r="AI465" s="210"/>
      <c r="AJ465" s="210"/>
    </row>
    <row r="466" ht="12.75" customHeight="1">
      <c r="C466" s="210"/>
      <c r="D466" s="210"/>
      <c r="E466" s="210"/>
      <c r="F466" s="210"/>
      <c r="G466" s="210"/>
      <c r="H466" s="210"/>
      <c r="I466" s="210"/>
      <c r="J466" s="210"/>
      <c r="K466" s="210"/>
      <c r="L466" s="210"/>
      <c r="M466" s="210"/>
      <c r="N466" s="210"/>
      <c r="O466" s="210"/>
      <c r="P466" s="210"/>
      <c r="Q466" s="210"/>
      <c r="R466" s="210"/>
      <c r="S466" s="210"/>
      <c r="T466" s="210"/>
      <c r="U466" s="210"/>
      <c r="V466" s="210"/>
      <c r="W466" s="210"/>
      <c r="X466" s="210"/>
      <c r="Y466" s="210"/>
      <c r="Z466" s="210"/>
      <c r="AA466" s="210"/>
      <c r="AB466" s="210"/>
      <c r="AC466" s="210"/>
      <c r="AI466" s="210"/>
      <c r="AJ466" s="210"/>
    </row>
    <row r="467" ht="12.75" customHeight="1">
      <c r="C467" s="210"/>
      <c r="D467" s="210"/>
      <c r="E467" s="210"/>
      <c r="F467" s="210"/>
      <c r="G467" s="210"/>
      <c r="H467" s="210"/>
      <c r="I467" s="210"/>
      <c r="J467" s="210"/>
      <c r="K467" s="210"/>
      <c r="L467" s="210"/>
      <c r="M467" s="210"/>
      <c r="N467" s="210"/>
      <c r="O467" s="210"/>
      <c r="P467" s="210"/>
      <c r="Q467" s="210"/>
      <c r="R467" s="210"/>
      <c r="S467" s="210"/>
      <c r="T467" s="210"/>
      <c r="U467" s="210"/>
      <c r="V467" s="210"/>
      <c r="W467" s="210"/>
      <c r="X467" s="210"/>
      <c r="Y467" s="210"/>
      <c r="Z467" s="210"/>
      <c r="AA467" s="210"/>
      <c r="AB467" s="210"/>
      <c r="AC467" s="210"/>
      <c r="AI467" s="210"/>
      <c r="AJ467" s="210"/>
    </row>
    <row r="468" ht="12.75" customHeight="1">
      <c r="C468" s="210"/>
      <c r="D468" s="210"/>
      <c r="E468" s="210"/>
      <c r="F468" s="210"/>
      <c r="G468" s="210"/>
      <c r="H468" s="210"/>
      <c r="I468" s="210"/>
      <c r="J468" s="210"/>
      <c r="K468" s="210"/>
      <c r="L468" s="210"/>
      <c r="M468" s="210"/>
      <c r="N468" s="210"/>
      <c r="O468" s="210"/>
      <c r="P468" s="210"/>
      <c r="Q468" s="210"/>
      <c r="R468" s="210"/>
      <c r="S468" s="210"/>
      <c r="T468" s="210"/>
      <c r="U468" s="210"/>
      <c r="V468" s="210"/>
      <c r="W468" s="210"/>
      <c r="X468" s="210"/>
      <c r="Y468" s="210"/>
      <c r="Z468" s="210"/>
      <c r="AA468" s="210"/>
      <c r="AB468" s="210"/>
      <c r="AC468" s="210"/>
      <c r="AI468" s="210"/>
      <c r="AJ468" s="210"/>
    </row>
    <row r="469" ht="12.75" customHeight="1">
      <c r="C469" s="210"/>
      <c r="D469" s="210"/>
      <c r="E469" s="210"/>
      <c r="F469" s="210"/>
      <c r="G469" s="210"/>
      <c r="H469" s="210"/>
      <c r="I469" s="210"/>
      <c r="J469" s="210"/>
      <c r="K469" s="210"/>
      <c r="L469" s="210"/>
      <c r="M469" s="210"/>
      <c r="N469" s="210"/>
      <c r="O469" s="210"/>
      <c r="P469" s="210"/>
      <c r="Q469" s="210"/>
      <c r="R469" s="210"/>
      <c r="S469" s="210"/>
      <c r="T469" s="210"/>
      <c r="U469" s="210"/>
      <c r="V469" s="210"/>
      <c r="W469" s="210"/>
      <c r="X469" s="210"/>
      <c r="Y469" s="210"/>
      <c r="Z469" s="210"/>
      <c r="AA469" s="210"/>
      <c r="AB469" s="210"/>
      <c r="AC469" s="210"/>
      <c r="AI469" s="210"/>
      <c r="AJ469" s="210"/>
    </row>
    <row r="470" ht="12.75" customHeight="1">
      <c r="C470" s="210"/>
      <c r="D470" s="210"/>
      <c r="E470" s="210"/>
      <c r="F470" s="210"/>
      <c r="G470" s="210"/>
      <c r="H470" s="210"/>
      <c r="I470" s="210"/>
      <c r="J470" s="210"/>
      <c r="K470" s="210"/>
      <c r="L470" s="210"/>
      <c r="M470" s="210"/>
      <c r="N470" s="210"/>
      <c r="O470" s="210"/>
      <c r="P470" s="210"/>
      <c r="Q470" s="210"/>
      <c r="R470" s="210"/>
      <c r="S470" s="210"/>
      <c r="T470" s="210"/>
      <c r="U470" s="210"/>
      <c r="V470" s="210"/>
      <c r="W470" s="210"/>
      <c r="X470" s="210"/>
      <c r="Y470" s="210"/>
      <c r="Z470" s="210"/>
      <c r="AA470" s="210"/>
      <c r="AB470" s="210"/>
      <c r="AC470" s="210"/>
      <c r="AI470" s="210"/>
      <c r="AJ470" s="210"/>
    </row>
    <row r="471" ht="12.75" customHeight="1">
      <c r="C471" s="210"/>
      <c r="D471" s="210"/>
      <c r="E471" s="210"/>
      <c r="F471" s="210"/>
      <c r="G471" s="210"/>
      <c r="H471" s="210"/>
      <c r="I471" s="210"/>
      <c r="J471" s="210"/>
      <c r="K471" s="210"/>
      <c r="L471" s="210"/>
      <c r="M471" s="210"/>
      <c r="N471" s="210"/>
      <c r="O471" s="210"/>
      <c r="P471" s="210"/>
      <c r="Q471" s="210"/>
      <c r="R471" s="210"/>
      <c r="S471" s="210"/>
      <c r="T471" s="210"/>
      <c r="U471" s="210"/>
      <c r="V471" s="210"/>
      <c r="W471" s="210"/>
      <c r="X471" s="210"/>
      <c r="Y471" s="210"/>
      <c r="Z471" s="210"/>
      <c r="AA471" s="210"/>
      <c r="AB471" s="210"/>
      <c r="AC471" s="210"/>
      <c r="AI471" s="210"/>
      <c r="AJ471" s="210"/>
    </row>
    <row r="472" ht="12.75" customHeight="1">
      <c r="C472" s="210"/>
      <c r="D472" s="210"/>
      <c r="E472" s="210"/>
      <c r="F472" s="210"/>
      <c r="G472" s="210"/>
      <c r="H472" s="210"/>
      <c r="I472" s="210"/>
      <c r="J472" s="210"/>
      <c r="K472" s="210"/>
      <c r="L472" s="210"/>
      <c r="M472" s="210"/>
      <c r="N472" s="210"/>
      <c r="O472" s="210"/>
      <c r="P472" s="210"/>
      <c r="Q472" s="210"/>
      <c r="R472" s="210"/>
      <c r="S472" s="210"/>
      <c r="T472" s="210"/>
      <c r="U472" s="210"/>
      <c r="V472" s="210"/>
      <c r="W472" s="210"/>
      <c r="X472" s="210"/>
      <c r="Y472" s="210"/>
      <c r="Z472" s="210"/>
      <c r="AA472" s="210"/>
      <c r="AB472" s="210"/>
      <c r="AC472" s="210"/>
      <c r="AI472" s="210"/>
      <c r="AJ472" s="210"/>
    </row>
    <row r="473" ht="12.75" customHeight="1">
      <c r="C473" s="210"/>
      <c r="D473" s="210"/>
      <c r="E473" s="210"/>
      <c r="F473" s="210"/>
      <c r="G473" s="210"/>
      <c r="H473" s="210"/>
      <c r="I473" s="210"/>
      <c r="J473" s="210"/>
      <c r="K473" s="210"/>
      <c r="L473" s="210"/>
      <c r="M473" s="210"/>
      <c r="N473" s="210"/>
      <c r="O473" s="210"/>
      <c r="P473" s="210"/>
      <c r="Q473" s="210"/>
      <c r="R473" s="210"/>
      <c r="S473" s="210"/>
      <c r="T473" s="210"/>
      <c r="U473" s="210"/>
      <c r="V473" s="210"/>
      <c r="W473" s="210"/>
      <c r="X473" s="210"/>
      <c r="Y473" s="210"/>
      <c r="Z473" s="210"/>
      <c r="AA473" s="210"/>
      <c r="AB473" s="210"/>
      <c r="AC473" s="210"/>
      <c r="AI473" s="210"/>
      <c r="AJ473" s="210"/>
    </row>
    <row r="474" ht="12.75" customHeight="1">
      <c r="C474" s="210"/>
      <c r="D474" s="210"/>
      <c r="E474" s="210"/>
      <c r="F474" s="210"/>
      <c r="G474" s="210"/>
      <c r="H474" s="210"/>
      <c r="I474" s="210"/>
      <c r="J474" s="210"/>
      <c r="K474" s="210"/>
      <c r="L474" s="210"/>
      <c r="M474" s="210"/>
      <c r="N474" s="210"/>
      <c r="O474" s="210"/>
      <c r="P474" s="210"/>
      <c r="Q474" s="210"/>
      <c r="R474" s="210"/>
      <c r="S474" s="210"/>
      <c r="T474" s="210"/>
      <c r="U474" s="210"/>
      <c r="V474" s="210"/>
      <c r="W474" s="210"/>
      <c r="X474" s="210"/>
      <c r="Y474" s="210"/>
      <c r="Z474" s="210"/>
      <c r="AA474" s="210"/>
      <c r="AB474" s="210"/>
      <c r="AC474" s="210"/>
      <c r="AI474" s="210"/>
      <c r="AJ474" s="210"/>
    </row>
    <row r="475" ht="12.75" customHeight="1">
      <c r="C475" s="210"/>
      <c r="D475" s="210"/>
      <c r="E475" s="210"/>
      <c r="F475" s="210"/>
      <c r="G475" s="210"/>
      <c r="H475" s="210"/>
      <c r="I475" s="210"/>
      <c r="J475" s="210"/>
      <c r="K475" s="210"/>
      <c r="L475" s="210"/>
      <c r="M475" s="210"/>
      <c r="N475" s="210"/>
      <c r="O475" s="210"/>
      <c r="P475" s="210"/>
      <c r="Q475" s="210"/>
      <c r="R475" s="210"/>
      <c r="S475" s="210"/>
      <c r="T475" s="210"/>
      <c r="U475" s="210"/>
      <c r="V475" s="210"/>
      <c r="W475" s="210"/>
      <c r="X475" s="210"/>
      <c r="Y475" s="210"/>
      <c r="Z475" s="210"/>
      <c r="AA475" s="210"/>
      <c r="AB475" s="210"/>
      <c r="AC475" s="210"/>
      <c r="AI475" s="210"/>
      <c r="AJ475" s="210"/>
    </row>
    <row r="476" ht="12.75" customHeight="1">
      <c r="C476" s="210"/>
      <c r="D476" s="210"/>
      <c r="E476" s="210"/>
      <c r="F476" s="210"/>
      <c r="G476" s="210"/>
      <c r="H476" s="210"/>
      <c r="I476" s="210"/>
      <c r="J476" s="210"/>
      <c r="K476" s="210"/>
      <c r="L476" s="210"/>
      <c r="M476" s="210"/>
      <c r="N476" s="210"/>
      <c r="O476" s="210"/>
      <c r="P476" s="210"/>
      <c r="Q476" s="210"/>
      <c r="R476" s="210"/>
      <c r="S476" s="210"/>
      <c r="T476" s="210"/>
      <c r="U476" s="210"/>
      <c r="V476" s="210"/>
      <c r="W476" s="210"/>
      <c r="X476" s="210"/>
      <c r="Y476" s="210"/>
      <c r="Z476" s="210"/>
      <c r="AA476" s="210"/>
      <c r="AB476" s="210"/>
      <c r="AC476" s="210"/>
      <c r="AI476" s="210"/>
      <c r="AJ476" s="210"/>
    </row>
    <row r="477" ht="12.75" customHeight="1">
      <c r="C477" s="210"/>
      <c r="D477" s="210"/>
      <c r="E477" s="210"/>
      <c r="F477" s="210"/>
      <c r="G477" s="210"/>
      <c r="H477" s="210"/>
      <c r="I477" s="210"/>
      <c r="J477" s="210"/>
      <c r="K477" s="210"/>
      <c r="L477" s="210"/>
      <c r="M477" s="210"/>
      <c r="N477" s="210"/>
      <c r="O477" s="210"/>
      <c r="P477" s="210"/>
      <c r="Q477" s="210"/>
      <c r="R477" s="210"/>
      <c r="S477" s="210"/>
      <c r="T477" s="210"/>
      <c r="U477" s="210"/>
      <c r="V477" s="210"/>
      <c r="W477" s="210"/>
      <c r="X477" s="210"/>
      <c r="Y477" s="210"/>
      <c r="Z477" s="210"/>
      <c r="AA477" s="210"/>
      <c r="AB477" s="210"/>
      <c r="AC477" s="210"/>
      <c r="AI477" s="210"/>
      <c r="AJ477" s="210"/>
    </row>
    <row r="478" ht="12.75" customHeight="1">
      <c r="C478" s="210"/>
      <c r="D478" s="210"/>
      <c r="E478" s="210"/>
      <c r="F478" s="210"/>
      <c r="G478" s="210"/>
      <c r="H478" s="210"/>
      <c r="I478" s="210"/>
      <c r="J478" s="210"/>
      <c r="K478" s="210"/>
      <c r="L478" s="210"/>
      <c r="M478" s="210"/>
      <c r="N478" s="210"/>
      <c r="O478" s="210"/>
      <c r="P478" s="210"/>
      <c r="Q478" s="210"/>
      <c r="R478" s="210"/>
      <c r="S478" s="210"/>
      <c r="T478" s="210"/>
      <c r="U478" s="210"/>
      <c r="V478" s="210"/>
      <c r="W478" s="210"/>
      <c r="X478" s="210"/>
      <c r="Y478" s="210"/>
      <c r="Z478" s="210"/>
      <c r="AA478" s="210"/>
      <c r="AB478" s="210"/>
      <c r="AC478" s="210"/>
      <c r="AI478" s="210"/>
      <c r="AJ478" s="210"/>
    </row>
    <row r="479" ht="12.75" customHeight="1">
      <c r="C479" s="210"/>
      <c r="D479" s="210"/>
      <c r="E479" s="210"/>
      <c r="F479" s="210"/>
      <c r="G479" s="210"/>
      <c r="H479" s="210"/>
      <c r="I479" s="210"/>
      <c r="J479" s="210"/>
      <c r="K479" s="210"/>
      <c r="L479" s="210"/>
      <c r="M479" s="210"/>
      <c r="N479" s="210"/>
      <c r="O479" s="210"/>
      <c r="P479" s="210"/>
      <c r="Q479" s="210"/>
      <c r="R479" s="210"/>
      <c r="S479" s="210"/>
      <c r="T479" s="210"/>
      <c r="U479" s="210"/>
      <c r="V479" s="210"/>
      <c r="W479" s="210"/>
      <c r="X479" s="210"/>
      <c r="Y479" s="210"/>
      <c r="Z479" s="210"/>
      <c r="AA479" s="210"/>
      <c r="AB479" s="210"/>
      <c r="AC479" s="210"/>
      <c r="AI479" s="210"/>
      <c r="AJ479" s="210"/>
    </row>
    <row r="480" ht="12.75" customHeight="1">
      <c r="C480" s="210"/>
      <c r="D480" s="210"/>
      <c r="E480" s="210"/>
      <c r="F480" s="210"/>
      <c r="G480" s="210"/>
      <c r="H480" s="210"/>
      <c r="I480" s="210"/>
      <c r="J480" s="210"/>
      <c r="K480" s="210"/>
      <c r="L480" s="210"/>
      <c r="M480" s="210"/>
      <c r="N480" s="210"/>
      <c r="O480" s="210"/>
      <c r="P480" s="210"/>
      <c r="Q480" s="210"/>
      <c r="R480" s="210"/>
      <c r="S480" s="210"/>
      <c r="T480" s="210"/>
      <c r="U480" s="210"/>
      <c r="V480" s="210"/>
      <c r="W480" s="210"/>
      <c r="X480" s="210"/>
      <c r="Y480" s="210"/>
      <c r="Z480" s="210"/>
      <c r="AA480" s="210"/>
      <c r="AB480" s="210"/>
      <c r="AC480" s="210"/>
      <c r="AI480" s="210"/>
      <c r="AJ480" s="210"/>
    </row>
    <row r="481" ht="12.75" customHeight="1">
      <c r="C481" s="210"/>
      <c r="D481" s="210"/>
      <c r="E481" s="210"/>
      <c r="F481" s="210"/>
      <c r="G481" s="210"/>
      <c r="H481" s="210"/>
      <c r="I481" s="210"/>
      <c r="J481" s="210"/>
      <c r="K481" s="210"/>
      <c r="L481" s="210"/>
      <c r="M481" s="210"/>
      <c r="N481" s="210"/>
      <c r="O481" s="210"/>
      <c r="P481" s="210"/>
      <c r="Q481" s="210"/>
      <c r="R481" s="210"/>
      <c r="S481" s="210"/>
      <c r="T481" s="210"/>
      <c r="U481" s="210"/>
      <c r="V481" s="210"/>
      <c r="W481" s="210"/>
      <c r="X481" s="210"/>
      <c r="Y481" s="210"/>
      <c r="Z481" s="210"/>
      <c r="AA481" s="210"/>
      <c r="AB481" s="210"/>
      <c r="AC481" s="210"/>
      <c r="AI481" s="210"/>
      <c r="AJ481" s="210"/>
    </row>
    <row r="482" ht="12.75" customHeight="1">
      <c r="C482" s="210"/>
      <c r="D482" s="210"/>
      <c r="E482" s="210"/>
      <c r="F482" s="210"/>
      <c r="G482" s="210"/>
      <c r="H482" s="210"/>
      <c r="I482" s="210"/>
      <c r="J482" s="210"/>
      <c r="K482" s="210"/>
      <c r="L482" s="210"/>
      <c r="M482" s="210"/>
      <c r="N482" s="210"/>
      <c r="O482" s="210"/>
      <c r="P482" s="210"/>
      <c r="Q482" s="210"/>
      <c r="R482" s="210"/>
      <c r="S482" s="210"/>
      <c r="T482" s="210"/>
      <c r="U482" s="210"/>
      <c r="V482" s="210"/>
      <c r="W482" s="210"/>
      <c r="X482" s="210"/>
      <c r="Y482" s="210"/>
      <c r="Z482" s="210"/>
      <c r="AA482" s="210"/>
      <c r="AB482" s="210"/>
      <c r="AC482" s="210"/>
      <c r="AI482" s="210"/>
      <c r="AJ482" s="210"/>
    </row>
    <row r="483" ht="12.75" customHeight="1">
      <c r="C483" s="210"/>
      <c r="D483" s="210"/>
      <c r="E483" s="210"/>
      <c r="F483" s="210"/>
      <c r="G483" s="210"/>
      <c r="H483" s="210"/>
      <c r="I483" s="210"/>
      <c r="J483" s="210"/>
      <c r="K483" s="210"/>
      <c r="L483" s="210"/>
      <c r="M483" s="210"/>
      <c r="N483" s="210"/>
      <c r="O483" s="210"/>
      <c r="P483" s="210"/>
      <c r="Q483" s="210"/>
      <c r="R483" s="210"/>
      <c r="S483" s="210"/>
      <c r="T483" s="210"/>
      <c r="U483" s="210"/>
      <c r="V483" s="210"/>
      <c r="W483" s="210"/>
      <c r="X483" s="210"/>
      <c r="Y483" s="210"/>
      <c r="Z483" s="210"/>
      <c r="AA483" s="210"/>
      <c r="AB483" s="210"/>
      <c r="AC483" s="210"/>
      <c r="AI483" s="210"/>
      <c r="AJ483" s="210"/>
    </row>
    <row r="484" ht="12.75" customHeight="1">
      <c r="C484" s="210"/>
      <c r="D484" s="210"/>
      <c r="E484" s="210"/>
      <c r="F484" s="210"/>
      <c r="G484" s="210"/>
      <c r="H484" s="210"/>
      <c r="I484" s="210"/>
      <c r="J484" s="210"/>
      <c r="K484" s="210"/>
      <c r="L484" s="210"/>
      <c r="M484" s="210"/>
      <c r="N484" s="210"/>
      <c r="O484" s="210"/>
      <c r="P484" s="210"/>
      <c r="Q484" s="210"/>
      <c r="R484" s="210"/>
      <c r="S484" s="210"/>
      <c r="T484" s="210"/>
      <c r="U484" s="210"/>
      <c r="V484" s="210"/>
      <c r="W484" s="210"/>
      <c r="X484" s="210"/>
      <c r="Y484" s="210"/>
      <c r="Z484" s="210"/>
      <c r="AA484" s="210"/>
      <c r="AB484" s="210"/>
      <c r="AC484" s="210"/>
      <c r="AI484" s="210"/>
      <c r="AJ484" s="210"/>
    </row>
    <row r="485" ht="12.75" customHeight="1">
      <c r="C485" s="210"/>
      <c r="D485" s="210"/>
      <c r="E485" s="210"/>
      <c r="F485" s="210"/>
      <c r="G485" s="210"/>
      <c r="H485" s="210"/>
      <c r="I485" s="210"/>
      <c r="J485" s="210"/>
      <c r="K485" s="210"/>
      <c r="L485" s="210"/>
      <c r="M485" s="210"/>
      <c r="N485" s="210"/>
      <c r="O485" s="210"/>
      <c r="P485" s="210"/>
      <c r="Q485" s="210"/>
      <c r="R485" s="210"/>
      <c r="S485" s="210"/>
      <c r="T485" s="210"/>
      <c r="U485" s="210"/>
      <c r="V485" s="210"/>
      <c r="W485" s="210"/>
      <c r="X485" s="210"/>
      <c r="Y485" s="210"/>
      <c r="Z485" s="210"/>
      <c r="AA485" s="210"/>
      <c r="AB485" s="210"/>
      <c r="AC485" s="210"/>
      <c r="AI485" s="210"/>
      <c r="AJ485" s="210"/>
    </row>
    <row r="486" ht="12.75" customHeight="1">
      <c r="C486" s="210"/>
      <c r="D486" s="210"/>
      <c r="E486" s="210"/>
      <c r="F486" s="210"/>
      <c r="G486" s="210"/>
      <c r="H486" s="210"/>
      <c r="I486" s="210"/>
      <c r="J486" s="210"/>
      <c r="K486" s="210"/>
      <c r="L486" s="210"/>
      <c r="M486" s="210"/>
      <c r="N486" s="210"/>
      <c r="O486" s="210"/>
      <c r="P486" s="210"/>
      <c r="Q486" s="210"/>
      <c r="R486" s="210"/>
      <c r="S486" s="210"/>
      <c r="T486" s="210"/>
      <c r="U486" s="210"/>
      <c r="V486" s="210"/>
      <c r="W486" s="210"/>
      <c r="X486" s="210"/>
      <c r="Y486" s="210"/>
      <c r="Z486" s="210"/>
      <c r="AA486" s="210"/>
      <c r="AB486" s="210"/>
      <c r="AC486" s="210"/>
      <c r="AI486" s="210"/>
      <c r="AJ486" s="210"/>
    </row>
    <row r="487" ht="12.75" customHeight="1">
      <c r="C487" s="210"/>
      <c r="D487" s="210"/>
      <c r="E487" s="210"/>
      <c r="F487" s="210"/>
      <c r="G487" s="210"/>
      <c r="H487" s="210"/>
      <c r="I487" s="210"/>
      <c r="J487" s="210"/>
      <c r="K487" s="210"/>
      <c r="L487" s="210"/>
      <c r="M487" s="210"/>
      <c r="N487" s="210"/>
      <c r="O487" s="210"/>
      <c r="P487" s="210"/>
      <c r="Q487" s="210"/>
      <c r="R487" s="210"/>
      <c r="S487" s="210"/>
      <c r="T487" s="210"/>
      <c r="U487" s="210"/>
      <c r="V487" s="210"/>
      <c r="W487" s="210"/>
      <c r="X487" s="210"/>
      <c r="Y487" s="210"/>
      <c r="Z487" s="210"/>
      <c r="AA487" s="210"/>
      <c r="AB487" s="210"/>
      <c r="AC487" s="210"/>
      <c r="AI487" s="210"/>
      <c r="AJ487" s="210"/>
    </row>
    <row r="488" ht="12.75" customHeight="1">
      <c r="C488" s="210"/>
      <c r="D488" s="210"/>
      <c r="E488" s="210"/>
      <c r="F488" s="210"/>
      <c r="G488" s="210"/>
      <c r="H488" s="210"/>
      <c r="I488" s="210"/>
      <c r="J488" s="210"/>
      <c r="K488" s="210"/>
      <c r="L488" s="210"/>
      <c r="M488" s="210"/>
      <c r="N488" s="210"/>
      <c r="O488" s="210"/>
      <c r="P488" s="210"/>
      <c r="Q488" s="210"/>
      <c r="R488" s="210"/>
      <c r="S488" s="210"/>
      <c r="T488" s="210"/>
      <c r="U488" s="210"/>
      <c r="V488" s="210"/>
      <c r="W488" s="210"/>
      <c r="X488" s="210"/>
      <c r="Y488" s="210"/>
      <c r="Z488" s="210"/>
      <c r="AA488" s="210"/>
      <c r="AB488" s="210"/>
      <c r="AC488" s="210"/>
      <c r="AI488" s="210"/>
      <c r="AJ488" s="210"/>
    </row>
    <row r="489" ht="12.75" customHeight="1">
      <c r="C489" s="210"/>
      <c r="D489" s="210"/>
      <c r="E489" s="210"/>
      <c r="F489" s="210"/>
      <c r="G489" s="210"/>
      <c r="H489" s="210"/>
      <c r="I489" s="210"/>
      <c r="J489" s="210"/>
      <c r="K489" s="210"/>
      <c r="L489" s="210"/>
      <c r="M489" s="210"/>
      <c r="N489" s="210"/>
      <c r="O489" s="210"/>
      <c r="P489" s="210"/>
      <c r="Q489" s="210"/>
      <c r="R489" s="210"/>
      <c r="S489" s="210"/>
      <c r="T489" s="210"/>
      <c r="U489" s="210"/>
      <c r="V489" s="210"/>
      <c r="W489" s="210"/>
      <c r="X489" s="210"/>
      <c r="Y489" s="210"/>
      <c r="Z489" s="210"/>
      <c r="AA489" s="210"/>
      <c r="AB489" s="210"/>
      <c r="AC489" s="210"/>
      <c r="AI489" s="210"/>
      <c r="AJ489" s="210"/>
    </row>
    <row r="490" ht="12.75" customHeight="1">
      <c r="C490" s="210"/>
      <c r="D490" s="210"/>
      <c r="E490" s="210"/>
      <c r="F490" s="210"/>
      <c r="G490" s="210"/>
      <c r="H490" s="210"/>
      <c r="I490" s="210"/>
      <c r="J490" s="210"/>
      <c r="K490" s="210"/>
      <c r="L490" s="210"/>
      <c r="M490" s="210"/>
      <c r="N490" s="210"/>
      <c r="O490" s="210"/>
      <c r="P490" s="210"/>
      <c r="Q490" s="210"/>
      <c r="R490" s="210"/>
      <c r="S490" s="210"/>
      <c r="T490" s="210"/>
      <c r="U490" s="210"/>
      <c r="V490" s="210"/>
      <c r="W490" s="210"/>
      <c r="X490" s="210"/>
      <c r="Y490" s="210"/>
      <c r="Z490" s="210"/>
      <c r="AA490" s="210"/>
      <c r="AB490" s="210"/>
      <c r="AC490" s="210"/>
      <c r="AI490" s="210"/>
      <c r="AJ490" s="210"/>
    </row>
    <row r="491" ht="12.75" customHeight="1">
      <c r="C491" s="210"/>
      <c r="D491" s="210"/>
      <c r="E491" s="210"/>
      <c r="F491" s="210"/>
      <c r="G491" s="210"/>
      <c r="H491" s="210"/>
      <c r="I491" s="210"/>
      <c r="J491" s="210"/>
      <c r="K491" s="210"/>
      <c r="L491" s="210"/>
      <c r="M491" s="210"/>
      <c r="N491" s="210"/>
      <c r="O491" s="210"/>
      <c r="P491" s="210"/>
      <c r="Q491" s="210"/>
      <c r="R491" s="210"/>
      <c r="S491" s="210"/>
      <c r="T491" s="210"/>
      <c r="U491" s="210"/>
      <c r="V491" s="210"/>
      <c r="W491" s="210"/>
      <c r="X491" s="210"/>
      <c r="Y491" s="210"/>
      <c r="Z491" s="210"/>
      <c r="AA491" s="210"/>
      <c r="AB491" s="210"/>
      <c r="AC491" s="210"/>
      <c r="AI491" s="210"/>
      <c r="AJ491" s="210"/>
    </row>
    <row r="492" ht="12.75" customHeight="1">
      <c r="C492" s="210"/>
      <c r="D492" s="210"/>
      <c r="E492" s="210"/>
      <c r="F492" s="210"/>
      <c r="G492" s="210"/>
      <c r="H492" s="210"/>
      <c r="I492" s="210"/>
      <c r="J492" s="210"/>
      <c r="K492" s="210"/>
      <c r="L492" s="210"/>
      <c r="M492" s="210"/>
      <c r="N492" s="210"/>
      <c r="O492" s="210"/>
      <c r="P492" s="210"/>
      <c r="Q492" s="210"/>
      <c r="R492" s="210"/>
      <c r="S492" s="210"/>
      <c r="T492" s="210"/>
      <c r="U492" s="210"/>
      <c r="V492" s="210"/>
      <c r="W492" s="210"/>
      <c r="X492" s="210"/>
      <c r="Y492" s="210"/>
      <c r="Z492" s="210"/>
      <c r="AA492" s="210"/>
      <c r="AB492" s="210"/>
      <c r="AC492" s="210"/>
      <c r="AI492" s="210"/>
      <c r="AJ492" s="210"/>
    </row>
    <row r="493" ht="12.75" customHeight="1">
      <c r="C493" s="210"/>
      <c r="D493" s="210"/>
      <c r="E493" s="210"/>
      <c r="F493" s="210"/>
      <c r="G493" s="210"/>
      <c r="H493" s="210"/>
      <c r="I493" s="210"/>
      <c r="J493" s="210"/>
      <c r="K493" s="210"/>
      <c r="L493" s="210"/>
      <c r="M493" s="210"/>
      <c r="N493" s="210"/>
      <c r="O493" s="210"/>
      <c r="P493" s="210"/>
      <c r="Q493" s="210"/>
      <c r="R493" s="210"/>
      <c r="S493" s="210"/>
      <c r="T493" s="210"/>
      <c r="U493" s="210"/>
      <c r="V493" s="210"/>
      <c r="W493" s="210"/>
      <c r="X493" s="210"/>
      <c r="Y493" s="210"/>
      <c r="Z493" s="210"/>
      <c r="AA493" s="210"/>
      <c r="AB493" s="210"/>
      <c r="AC493" s="210"/>
      <c r="AI493" s="210"/>
      <c r="AJ493" s="210"/>
    </row>
    <row r="494" ht="12.75" customHeight="1">
      <c r="C494" s="210"/>
      <c r="D494" s="210"/>
      <c r="E494" s="210"/>
      <c r="F494" s="210"/>
      <c r="G494" s="210"/>
      <c r="H494" s="210"/>
      <c r="I494" s="210"/>
      <c r="J494" s="210"/>
      <c r="K494" s="210"/>
      <c r="L494" s="210"/>
      <c r="M494" s="210"/>
      <c r="N494" s="210"/>
      <c r="O494" s="210"/>
      <c r="P494" s="210"/>
      <c r="Q494" s="210"/>
      <c r="R494" s="210"/>
      <c r="S494" s="210"/>
      <c r="T494" s="210"/>
      <c r="U494" s="210"/>
      <c r="V494" s="210"/>
      <c r="W494" s="210"/>
      <c r="X494" s="210"/>
      <c r="Y494" s="210"/>
      <c r="Z494" s="210"/>
      <c r="AA494" s="210"/>
      <c r="AB494" s="210"/>
      <c r="AC494" s="210"/>
      <c r="AI494" s="210"/>
      <c r="AJ494" s="210"/>
    </row>
    <row r="495" ht="12.75" customHeight="1">
      <c r="C495" s="210"/>
      <c r="D495" s="210"/>
      <c r="E495" s="210"/>
      <c r="F495" s="210"/>
      <c r="G495" s="210"/>
      <c r="H495" s="210"/>
      <c r="I495" s="210"/>
      <c r="J495" s="210"/>
      <c r="K495" s="210"/>
      <c r="L495" s="210"/>
      <c r="M495" s="210"/>
      <c r="N495" s="210"/>
      <c r="O495" s="210"/>
      <c r="P495" s="210"/>
      <c r="Q495" s="210"/>
      <c r="R495" s="210"/>
      <c r="S495" s="210"/>
      <c r="T495" s="210"/>
      <c r="U495" s="210"/>
      <c r="V495" s="210"/>
      <c r="W495" s="210"/>
      <c r="X495" s="210"/>
      <c r="Y495" s="210"/>
      <c r="Z495" s="210"/>
      <c r="AA495" s="210"/>
      <c r="AB495" s="210"/>
      <c r="AC495" s="210"/>
      <c r="AI495" s="210"/>
      <c r="AJ495" s="210"/>
    </row>
    <row r="496" ht="12.75" customHeight="1">
      <c r="C496" s="210"/>
      <c r="D496" s="210"/>
      <c r="E496" s="210"/>
      <c r="F496" s="210"/>
      <c r="G496" s="210"/>
      <c r="H496" s="210"/>
      <c r="I496" s="210"/>
      <c r="J496" s="210"/>
      <c r="K496" s="210"/>
      <c r="L496" s="210"/>
      <c r="M496" s="210"/>
      <c r="N496" s="210"/>
      <c r="O496" s="210"/>
      <c r="P496" s="210"/>
      <c r="Q496" s="210"/>
      <c r="R496" s="210"/>
      <c r="S496" s="210"/>
      <c r="T496" s="210"/>
      <c r="U496" s="210"/>
      <c r="V496" s="210"/>
      <c r="W496" s="210"/>
      <c r="X496" s="210"/>
      <c r="Y496" s="210"/>
      <c r="Z496" s="210"/>
      <c r="AA496" s="210"/>
      <c r="AB496" s="210"/>
      <c r="AC496" s="210"/>
      <c r="AI496" s="210"/>
      <c r="AJ496" s="210"/>
    </row>
    <row r="497" ht="12.75" customHeight="1">
      <c r="C497" s="210"/>
      <c r="D497" s="210"/>
      <c r="E497" s="210"/>
      <c r="F497" s="210"/>
      <c r="G497" s="210"/>
      <c r="H497" s="210"/>
      <c r="I497" s="210"/>
      <c r="J497" s="210"/>
      <c r="K497" s="210"/>
      <c r="L497" s="210"/>
      <c r="M497" s="210"/>
      <c r="N497" s="210"/>
      <c r="O497" s="210"/>
      <c r="P497" s="210"/>
      <c r="Q497" s="210"/>
      <c r="R497" s="210"/>
      <c r="S497" s="210"/>
      <c r="T497" s="210"/>
      <c r="U497" s="210"/>
      <c r="V497" s="210"/>
      <c r="W497" s="210"/>
      <c r="X497" s="210"/>
      <c r="Y497" s="210"/>
      <c r="Z497" s="210"/>
      <c r="AA497" s="210"/>
      <c r="AB497" s="210"/>
      <c r="AC497" s="210"/>
      <c r="AI497" s="210"/>
      <c r="AJ497" s="210"/>
    </row>
    <row r="498" ht="12.75" customHeight="1">
      <c r="C498" s="210"/>
      <c r="D498" s="210"/>
      <c r="E498" s="210"/>
      <c r="F498" s="210"/>
      <c r="G498" s="210"/>
      <c r="H498" s="210"/>
      <c r="I498" s="210"/>
      <c r="J498" s="210"/>
      <c r="K498" s="210"/>
      <c r="L498" s="210"/>
      <c r="M498" s="210"/>
      <c r="N498" s="210"/>
      <c r="O498" s="210"/>
      <c r="P498" s="210"/>
      <c r="Q498" s="210"/>
      <c r="R498" s="210"/>
      <c r="S498" s="210"/>
      <c r="T498" s="210"/>
      <c r="U498" s="210"/>
      <c r="V498" s="210"/>
      <c r="W498" s="210"/>
      <c r="X498" s="210"/>
      <c r="Y498" s="210"/>
      <c r="Z498" s="210"/>
      <c r="AA498" s="210"/>
      <c r="AB498" s="210"/>
      <c r="AC498" s="210"/>
      <c r="AI498" s="210"/>
      <c r="AJ498" s="210"/>
    </row>
    <row r="499" ht="12.75" customHeight="1">
      <c r="C499" s="210"/>
      <c r="D499" s="210"/>
      <c r="E499" s="210"/>
      <c r="F499" s="210"/>
      <c r="G499" s="210"/>
      <c r="H499" s="210"/>
      <c r="I499" s="210"/>
      <c r="J499" s="210"/>
      <c r="K499" s="210"/>
      <c r="L499" s="210"/>
      <c r="M499" s="210"/>
      <c r="N499" s="210"/>
      <c r="O499" s="210"/>
      <c r="P499" s="210"/>
      <c r="Q499" s="210"/>
      <c r="R499" s="210"/>
      <c r="S499" s="210"/>
      <c r="T499" s="210"/>
      <c r="U499" s="210"/>
      <c r="V499" s="210"/>
      <c r="W499" s="210"/>
      <c r="X499" s="210"/>
      <c r="Y499" s="210"/>
      <c r="Z499" s="210"/>
      <c r="AA499" s="210"/>
      <c r="AB499" s="210"/>
      <c r="AC499" s="210"/>
      <c r="AI499" s="210"/>
      <c r="AJ499" s="210"/>
    </row>
    <row r="500" ht="12.75" customHeight="1">
      <c r="C500" s="210"/>
      <c r="D500" s="210"/>
      <c r="E500" s="210"/>
      <c r="F500" s="210"/>
      <c r="G500" s="210"/>
      <c r="H500" s="210"/>
      <c r="I500" s="210"/>
      <c r="J500" s="210"/>
      <c r="K500" s="210"/>
      <c r="L500" s="210"/>
      <c r="M500" s="210"/>
      <c r="N500" s="210"/>
      <c r="O500" s="210"/>
      <c r="P500" s="210"/>
      <c r="Q500" s="210"/>
      <c r="R500" s="210"/>
      <c r="S500" s="210"/>
      <c r="T500" s="210"/>
      <c r="U500" s="210"/>
      <c r="V500" s="210"/>
      <c r="W500" s="210"/>
      <c r="X500" s="210"/>
      <c r="Y500" s="210"/>
      <c r="Z500" s="210"/>
      <c r="AA500" s="210"/>
      <c r="AB500" s="210"/>
      <c r="AC500" s="210"/>
      <c r="AI500" s="210"/>
      <c r="AJ500" s="210"/>
    </row>
    <row r="501" ht="12.75" customHeight="1">
      <c r="C501" s="210"/>
      <c r="D501" s="210"/>
      <c r="E501" s="210"/>
      <c r="F501" s="210"/>
      <c r="G501" s="210"/>
      <c r="H501" s="210"/>
      <c r="I501" s="210"/>
      <c r="J501" s="210"/>
      <c r="K501" s="210"/>
      <c r="L501" s="210"/>
      <c r="M501" s="210"/>
      <c r="N501" s="210"/>
      <c r="O501" s="210"/>
      <c r="P501" s="210"/>
      <c r="Q501" s="210"/>
      <c r="R501" s="210"/>
      <c r="S501" s="210"/>
      <c r="T501" s="210"/>
      <c r="U501" s="210"/>
      <c r="V501" s="210"/>
      <c r="W501" s="210"/>
      <c r="X501" s="210"/>
      <c r="Y501" s="210"/>
      <c r="Z501" s="210"/>
      <c r="AA501" s="210"/>
      <c r="AB501" s="210"/>
      <c r="AC501" s="210"/>
      <c r="AI501" s="210"/>
      <c r="AJ501" s="210"/>
    </row>
    <row r="502" ht="12.75" customHeight="1">
      <c r="C502" s="210"/>
      <c r="D502" s="210"/>
      <c r="E502" s="210"/>
      <c r="F502" s="210"/>
      <c r="G502" s="210"/>
      <c r="H502" s="210"/>
      <c r="I502" s="210"/>
      <c r="J502" s="210"/>
      <c r="K502" s="210"/>
      <c r="L502" s="210"/>
      <c r="M502" s="210"/>
      <c r="N502" s="210"/>
      <c r="O502" s="210"/>
      <c r="P502" s="210"/>
      <c r="Q502" s="210"/>
      <c r="R502" s="210"/>
      <c r="S502" s="210"/>
      <c r="T502" s="210"/>
      <c r="U502" s="210"/>
      <c r="V502" s="210"/>
      <c r="W502" s="210"/>
      <c r="X502" s="210"/>
      <c r="Y502" s="210"/>
      <c r="Z502" s="210"/>
      <c r="AA502" s="210"/>
      <c r="AB502" s="210"/>
      <c r="AC502" s="210"/>
      <c r="AI502" s="210"/>
      <c r="AJ502" s="210"/>
    </row>
    <row r="503" ht="12.75" customHeight="1">
      <c r="C503" s="210"/>
      <c r="D503" s="210"/>
      <c r="E503" s="210"/>
      <c r="F503" s="210"/>
      <c r="G503" s="210"/>
      <c r="H503" s="210"/>
      <c r="I503" s="210"/>
      <c r="J503" s="210"/>
      <c r="K503" s="210"/>
      <c r="L503" s="210"/>
      <c r="M503" s="210"/>
      <c r="N503" s="210"/>
      <c r="O503" s="210"/>
      <c r="P503" s="210"/>
      <c r="Q503" s="210"/>
      <c r="R503" s="210"/>
      <c r="S503" s="210"/>
      <c r="T503" s="210"/>
      <c r="U503" s="210"/>
      <c r="V503" s="210"/>
      <c r="W503" s="210"/>
      <c r="X503" s="210"/>
      <c r="Y503" s="210"/>
      <c r="Z503" s="210"/>
      <c r="AA503" s="210"/>
      <c r="AB503" s="210"/>
      <c r="AC503" s="210"/>
      <c r="AI503" s="210"/>
      <c r="AJ503" s="210"/>
    </row>
    <row r="504" ht="12.75" customHeight="1">
      <c r="C504" s="210"/>
      <c r="D504" s="210"/>
      <c r="E504" s="210"/>
      <c r="F504" s="210"/>
      <c r="G504" s="210"/>
      <c r="H504" s="210"/>
      <c r="I504" s="210"/>
      <c r="J504" s="210"/>
      <c r="K504" s="210"/>
      <c r="L504" s="210"/>
      <c r="M504" s="210"/>
      <c r="N504" s="210"/>
      <c r="O504" s="210"/>
      <c r="P504" s="210"/>
      <c r="Q504" s="210"/>
      <c r="R504" s="210"/>
      <c r="S504" s="210"/>
      <c r="T504" s="210"/>
      <c r="U504" s="210"/>
      <c r="V504" s="210"/>
      <c r="W504" s="210"/>
      <c r="X504" s="210"/>
      <c r="Y504" s="210"/>
      <c r="Z504" s="210"/>
      <c r="AA504" s="210"/>
      <c r="AB504" s="210"/>
      <c r="AC504" s="210"/>
      <c r="AI504" s="210"/>
      <c r="AJ504" s="210"/>
    </row>
    <row r="505" ht="12.75" customHeight="1">
      <c r="C505" s="210"/>
      <c r="D505" s="210"/>
      <c r="E505" s="210"/>
      <c r="F505" s="210"/>
      <c r="G505" s="210"/>
      <c r="H505" s="210"/>
      <c r="I505" s="210"/>
      <c r="J505" s="210"/>
      <c r="K505" s="210"/>
      <c r="L505" s="210"/>
      <c r="M505" s="210"/>
      <c r="N505" s="210"/>
      <c r="O505" s="210"/>
      <c r="P505" s="210"/>
      <c r="Q505" s="210"/>
      <c r="R505" s="210"/>
      <c r="S505" s="210"/>
      <c r="T505" s="210"/>
      <c r="U505" s="210"/>
      <c r="V505" s="210"/>
      <c r="W505" s="210"/>
      <c r="X505" s="210"/>
      <c r="Y505" s="210"/>
      <c r="Z505" s="210"/>
      <c r="AA505" s="210"/>
      <c r="AB505" s="210"/>
      <c r="AC505" s="210"/>
      <c r="AI505" s="210"/>
      <c r="AJ505" s="210"/>
    </row>
    <row r="506" ht="12.75" customHeight="1">
      <c r="C506" s="210"/>
      <c r="D506" s="210"/>
      <c r="E506" s="210"/>
      <c r="F506" s="210"/>
      <c r="G506" s="210"/>
      <c r="H506" s="210"/>
      <c r="I506" s="210"/>
      <c r="J506" s="210"/>
      <c r="K506" s="210"/>
      <c r="L506" s="210"/>
      <c r="M506" s="210"/>
      <c r="N506" s="210"/>
      <c r="O506" s="210"/>
      <c r="P506" s="210"/>
      <c r="Q506" s="210"/>
      <c r="R506" s="210"/>
      <c r="S506" s="210"/>
      <c r="T506" s="210"/>
      <c r="U506" s="210"/>
      <c r="V506" s="210"/>
      <c r="W506" s="210"/>
      <c r="X506" s="210"/>
      <c r="Y506" s="210"/>
      <c r="Z506" s="210"/>
      <c r="AA506" s="210"/>
      <c r="AB506" s="210"/>
      <c r="AC506" s="210"/>
      <c r="AI506" s="210"/>
      <c r="AJ506" s="210"/>
    </row>
    <row r="507" ht="12.75" customHeight="1">
      <c r="C507" s="210"/>
      <c r="D507" s="210"/>
      <c r="E507" s="210"/>
      <c r="F507" s="210"/>
      <c r="G507" s="210"/>
      <c r="H507" s="210"/>
      <c r="I507" s="210"/>
      <c r="J507" s="210"/>
      <c r="K507" s="210"/>
      <c r="L507" s="210"/>
      <c r="M507" s="210"/>
      <c r="N507" s="210"/>
      <c r="O507" s="210"/>
      <c r="P507" s="210"/>
      <c r="Q507" s="210"/>
      <c r="R507" s="210"/>
      <c r="S507" s="210"/>
      <c r="T507" s="210"/>
      <c r="U507" s="210"/>
      <c r="V507" s="210"/>
      <c r="W507" s="210"/>
      <c r="X507" s="210"/>
      <c r="Y507" s="210"/>
      <c r="Z507" s="210"/>
      <c r="AA507" s="210"/>
      <c r="AB507" s="210"/>
      <c r="AC507" s="210"/>
      <c r="AI507" s="210"/>
      <c r="AJ507" s="210"/>
    </row>
    <row r="508" ht="12.75" customHeight="1">
      <c r="C508" s="210"/>
      <c r="D508" s="210"/>
      <c r="E508" s="210"/>
      <c r="F508" s="210"/>
      <c r="G508" s="210"/>
      <c r="H508" s="210"/>
      <c r="I508" s="210"/>
      <c r="J508" s="210"/>
      <c r="K508" s="210"/>
      <c r="L508" s="210"/>
      <c r="M508" s="210"/>
      <c r="N508" s="210"/>
      <c r="O508" s="210"/>
      <c r="P508" s="210"/>
      <c r="Q508" s="210"/>
      <c r="R508" s="210"/>
      <c r="S508" s="210"/>
      <c r="T508" s="210"/>
      <c r="U508" s="210"/>
      <c r="V508" s="210"/>
      <c r="W508" s="210"/>
      <c r="X508" s="210"/>
      <c r="Y508" s="210"/>
      <c r="Z508" s="210"/>
      <c r="AA508" s="210"/>
      <c r="AB508" s="210"/>
      <c r="AC508" s="210"/>
      <c r="AI508" s="210"/>
      <c r="AJ508" s="210"/>
    </row>
    <row r="509" ht="12.75" customHeight="1">
      <c r="C509" s="210"/>
      <c r="D509" s="210"/>
      <c r="E509" s="210"/>
      <c r="F509" s="210"/>
      <c r="G509" s="210"/>
      <c r="H509" s="210"/>
      <c r="I509" s="210"/>
      <c r="J509" s="210"/>
      <c r="K509" s="210"/>
      <c r="L509" s="210"/>
      <c r="M509" s="210"/>
      <c r="N509" s="210"/>
      <c r="O509" s="210"/>
      <c r="P509" s="210"/>
      <c r="Q509" s="210"/>
      <c r="R509" s="210"/>
      <c r="S509" s="210"/>
      <c r="T509" s="210"/>
      <c r="U509" s="210"/>
      <c r="V509" s="210"/>
      <c r="W509" s="210"/>
      <c r="X509" s="210"/>
      <c r="Y509" s="210"/>
      <c r="Z509" s="210"/>
      <c r="AA509" s="210"/>
      <c r="AB509" s="210"/>
      <c r="AC509" s="210"/>
      <c r="AI509" s="210"/>
      <c r="AJ509" s="210"/>
    </row>
    <row r="510" ht="12.75" customHeight="1">
      <c r="C510" s="210"/>
      <c r="D510" s="210"/>
      <c r="E510" s="210"/>
      <c r="F510" s="210"/>
      <c r="G510" s="210"/>
      <c r="H510" s="210"/>
      <c r="I510" s="210"/>
      <c r="J510" s="210"/>
      <c r="K510" s="210"/>
      <c r="L510" s="210"/>
      <c r="M510" s="210"/>
      <c r="N510" s="210"/>
      <c r="O510" s="210"/>
      <c r="P510" s="210"/>
      <c r="Q510" s="210"/>
      <c r="R510" s="210"/>
      <c r="S510" s="210"/>
      <c r="T510" s="210"/>
      <c r="U510" s="210"/>
      <c r="V510" s="210"/>
      <c r="W510" s="210"/>
      <c r="X510" s="210"/>
      <c r="Y510" s="210"/>
      <c r="Z510" s="210"/>
      <c r="AA510" s="210"/>
      <c r="AB510" s="210"/>
      <c r="AC510" s="210"/>
      <c r="AI510" s="210"/>
      <c r="AJ510" s="210"/>
    </row>
    <row r="511" ht="12.75" customHeight="1">
      <c r="C511" s="210"/>
      <c r="D511" s="210"/>
      <c r="E511" s="210"/>
      <c r="F511" s="210"/>
      <c r="G511" s="210"/>
      <c r="H511" s="210"/>
      <c r="I511" s="210"/>
      <c r="J511" s="210"/>
      <c r="K511" s="210"/>
      <c r="L511" s="210"/>
      <c r="M511" s="210"/>
      <c r="N511" s="210"/>
      <c r="O511" s="210"/>
      <c r="P511" s="210"/>
      <c r="Q511" s="210"/>
      <c r="R511" s="210"/>
      <c r="S511" s="210"/>
      <c r="T511" s="210"/>
      <c r="U511" s="210"/>
      <c r="V511" s="210"/>
      <c r="W511" s="210"/>
      <c r="X511" s="210"/>
      <c r="Y511" s="210"/>
      <c r="Z511" s="210"/>
      <c r="AA511" s="210"/>
      <c r="AB511" s="210"/>
      <c r="AC511" s="210"/>
      <c r="AI511" s="210"/>
      <c r="AJ511" s="210"/>
    </row>
    <row r="512" ht="12.75" customHeight="1">
      <c r="C512" s="210"/>
      <c r="D512" s="210"/>
      <c r="E512" s="210"/>
      <c r="F512" s="210"/>
      <c r="G512" s="210"/>
      <c r="H512" s="210"/>
      <c r="I512" s="210"/>
      <c r="J512" s="210"/>
      <c r="K512" s="210"/>
      <c r="L512" s="210"/>
      <c r="M512" s="210"/>
      <c r="N512" s="210"/>
      <c r="O512" s="210"/>
      <c r="P512" s="210"/>
      <c r="Q512" s="210"/>
      <c r="R512" s="210"/>
      <c r="S512" s="210"/>
      <c r="T512" s="210"/>
      <c r="U512" s="210"/>
      <c r="V512" s="210"/>
      <c r="W512" s="210"/>
      <c r="X512" s="210"/>
      <c r="Y512" s="210"/>
      <c r="Z512" s="210"/>
      <c r="AA512" s="210"/>
      <c r="AB512" s="210"/>
      <c r="AC512" s="210"/>
      <c r="AI512" s="210"/>
      <c r="AJ512" s="210"/>
    </row>
    <row r="513" ht="12.75" customHeight="1">
      <c r="C513" s="210"/>
      <c r="D513" s="210"/>
      <c r="E513" s="210"/>
      <c r="F513" s="210"/>
      <c r="G513" s="210"/>
      <c r="H513" s="210"/>
      <c r="I513" s="210"/>
      <c r="J513" s="210"/>
      <c r="K513" s="210"/>
      <c r="L513" s="210"/>
      <c r="M513" s="210"/>
      <c r="N513" s="210"/>
      <c r="O513" s="210"/>
      <c r="P513" s="210"/>
      <c r="Q513" s="210"/>
      <c r="R513" s="210"/>
      <c r="S513" s="210"/>
      <c r="T513" s="210"/>
      <c r="U513" s="210"/>
      <c r="V513" s="210"/>
      <c r="W513" s="210"/>
      <c r="X513" s="210"/>
      <c r="Y513" s="210"/>
      <c r="Z513" s="210"/>
      <c r="AA513" s="210"/>
      <c r="AB513" s="210"/>
      <c r="AC513" s="210"/>
      <c r="AI513" s="210"/>
      <c r="AJ513" s="210"/>
    </row>
    <row r="514" ht="12.75" customHeight="1">
      <c r="C514" s="210"/>
      <c r="D514" s="210"/>
      <c r="E514" s="210"/>
      <c r="F514" s="210"/>
      <c r="G514" s="210"/>
      <c r="H514" s="210"/>
      <c r="I514" s="210"/>
      <c r="J514" s="210"/>
      <c r="K514" s="210"/>
      <c r="L514" s="210"/>
      <c r="M514" s="210"/>
      <c r="N514" s="210"/>
      <c r="O514" s="210"/>
      <c r="P514" s="210"/>
      <c r="Q514" s="210"/>
      <c r="R514" s="210"/>
      <c r="S514" s="210"/>
      <c r="T514" s="210"/>
      <c r="U514" s="210"/>
      <c r="V514" s="210"/>
      <c r="W514" s="210"/>
      <c r="X514" s="210"/>
      <c r="Y514" s="210"/>
      <c r="Z514" s="210"/>
      <c r="AA514" s="210"/>
      <c r="AB514" s="210"/>
      <c r="AC514" s="210"/>
      <c r="AI514" s="210"/>
      <c r="AJ514" s="210"/>
    </row>
    <row r="515" ht="12.75" customHeight="1">
      <c r="C515" s="210"/>
      <c r="D515" s="210"/>
      <c r="E515" s="210"/>
      <c r="F515" s="210"/>
      <c r="G515" s="210"/>
      <c r="H515" s="210"/>
      <c r="I515" s="210"/>
      <c r="J515" s="210"/>
      <c r="K515" s="210"/>
      <c r="L515" s="210"/>
      <c r="M515" s="210"/>
      <c r="N515" s="210"/>
      <c r="O515" s="210"/>
      <c r="P515" s="210"/>
      <c r="Q515" s="210"/>
      <c r="R515" s="210"/>
      <c r="S515" s="210"/>
      <c r="T515" s="210"/>
      <c r="U515" s="210"/>
      <c r="V515" s="210"/>
      <c r="W515" s="210"/>
      <c r="X515" s="210"/>
      <c r="Y515" s="210"/>
      <c r="Z515" s="210"/>
      <c r="AA515" s="210"/>
      <c r="AB515" s="210"/>
      <c r="AC515" s="210"/>
      <c r="AI515" s="210"/>
      <c r="AJ515" s="210"/>
    </row>
    <row r="516" ht="12.75" customHeight="1">
      <c r="C516" s="210"/>
      <c r="D516" s="210"/>
      <c r="E516" s="210"/>
      <c r="F516" s="210"/>
      <c r="G516" s="210"/>
      <c r="H516" s="210"/>
      <c r="I516" s="210"/>
      <c r="J516" s="210"/>
      <c r="K516" s="210"/>
      <c r="L516" s="210"/>
      <c r="M516" s="210"/>
      <c r="N516" s="210"/>
      <c r="O516" s="210"/>
      <c r="P516" s="210"/>
      <c r="Q516" s="210"/>
      <c r="R516" s="210"/>
      <c r="S516" s="210"/>
      <c r="T516" s="210"/>
      <c r="U516" s="210"/>
      <c r="V516" s="210"/>
      <c r="W516" s="210"/>
      <c r="X516" s="210"/>
      <c r="Y516" s="210"/>
      <c r="Z516" s="210"/>
      <c r="AA516" s="210"/>
      <c r="AB516" s="210"/>
      <c r="AC516" s="210"/>
      <c r="AI516" s="210"/>
      <c r="AJ516" s="210"/>
    </row>
    <row r="517" ht="12.75" customHeight="1">
      <c r="C517" s="210"/>
      <c r="D517" s="210"/>
      <c r="E517" s="210"/>
      <c r="F517" s="210"/>
      <c r="G517" s="210"/>
      <c r="H517" s="210"/>
      <c r="I517" s="210"/>
      <c r="J517" s="210"/>
      <c r="K517" s="210"/>
      <c r="L517" s="210"/>
      <c r="M517" s="210"/>
      <c r="N517" s="210"/>
      <c r="O517" s="210"/>
      <c r="P517" s="210"/>
      <c r="Q517" s="210"/>
      <c r="R517" s="210"/>
      <c r="S517" s="210"/>
      <c r="T517" s="210"/>
      <c r="U517" s="210"/>
      <c r="V517" s="210"/>
      <c r="W517" s="210"/>
      <c r="X517" s="210"/>
      <c r="Y517" s="210"/>
      <c r="Z517" s="210"/>
      <c r="AA517" s="210"/>
      <c r="AB517" s="210"/>
      <c r="AC517" s="210"/>
      <c r="AI517" s="210"/>
      <c r="AJ517" s="210"/>
    </row>
    <row r="518" ht="12.75" customHeight="1">
      <c r="C518" s="210"/>
      <c r="D518" s="210"/>
      <c r="E518" s="210"/>
      <c r="F518" s="210"/>
      <c r="G518" s="210"/>
      <c r="H518" s="210"/>
      <c r="I518" s="210"/>
      <c r="J518" s="210"/>
      <c r="K518" s="210"/>
      <c r="L518" s="210"/>
      <c r="M518" s="210"/>
      <c r="N518" s="210"/>
      <c r="O518" s="210"/>
      <c r="P518" s="210"/>
      <c r="Q518" s="210"/>
      <c r="R518" s="210"/>
      <c r="S518" s="210"/>
      <c r="T518" s="210"/>
      <c r="U518" s="210"/>
      <c r="V518" s="210"/>
      <c r="W518" s="210"/>
      <c r="X518" s="210"/>
      <c r="Y518" s="210"/>
      <c r="Z518" s="210"/>
      <c r="AA518" s="210"/>
      <c r="AB518" s="210"/>
      <c r="AC518" s="210"/>
      <c r="AI518" s="210"/>
      <c r="AJ518" s="210"/>
    </row>
    <row r="519" ht="12.75" customHeight="1">
      <c r="C519" s="210"/>
      <c r="D519" s="210"/>
      <c r="E519" s="210"/>
      <c r="F519" s="210"/>
      <c r="G519" s="210"/>
      <c r="H519" s="210"/>
      <c r="I519" s="210"/>
      <c r="J519" s="210"/>
      <c r="K519" s="210"/>
      <c r="L519" s="210"/>
      <c r="M519" s="210"/>
      <c r="N519" s="210"/>
      <c r="O519" s="210"/>
      <c r="P519" s="210"/>
      <c r="Q519" s="210"/>
      <c r="R519" s="210"/>
      <c r="S519" s="210"/>
      <c r="T519" s="210"/>
      <c r="U519" s="210"/>
      <c r="V519" s="210"/>
      <c r="W519" s="210"/>
      <c r="X519" s="210"/>
      <c r="Y519" s="210"/>
      <c r="Z519" s="210"/>
      <c r="AA519" s="210"/>
      <c r="AB519" s="210"/>
      <c r="AC519" s="210"/>
      <c r="AI519" s="210"/>
      <c r="AJ519" s="210"/>
    </row>
    <row r="520" ht="12.75" customHeight="1">
      <c r="C520" s="210"/>
      <c r="D520" s="210"/>
      <c r="E520" s="210"/>
      <c r="F520" s="210"/>
      <c r="G520" s="210"/>
      <c r="H520" s="210"/>
      <c r="I520" s="210"/>
      <c r="J520" s="210"/>
      <c r="K520" s="210"/>
      <c r="L520" s="210"/>
      <c r="M520" s="210"/>
      <c r="N520" s="210"/>
      <c r="O520" s="210"/>
      <c r="P520" s="210"/>
      <c r="Q520" s="210"/>
      <c r="R520" s="210"/>
      <c r="S520" s="210"/>
      <c r="T520" s="210"/>
      <c r="U520" s="210"/>
      <c r="V520" s="210"/>
      <c r="W520" s="210"/>
      <c r="X520" s="210"/>
      <c r="Y520" s="210"/>
      <c r="Z520" s="210"/>
      <c r="AA520" s="210"/>
      <c r="AB520" s="210"/>
      <c r="AC520" s="210"/>
      <c r="AI520" s="210"/>
      <c r="AJ520" s="210"/>
    </row>
    <row r="521" ht="12.75" customHeight="1">
      <c r="C521" s="210"/>
      <c r="D521" s="210"/>
      <c r="E521" s="210"/>
      <c r="F521" s="210"/>
      <c r="G521" s="210"/>
      <c r="H521" s="210"/>
      <c r="I521" s="210"/>
      <c r="J521" s="210"/>
      <c r="K521" s="210"/>
      <c r="L521" s="210"/>
      <c r="M521" s="210"/>
      <c r="N521" s="210"/>
      <c r="O521" s="210"/>
      <c r="P521" s="210"/>
      <c r="Q521" s="210"/>
      <c r="R521" s="210"/>
      <c r="S521" s="210"/>
      <c r="T521" s="210"/>
      <c r="U521" s="210"/>
      <c r="V521" s="210"/>
      <c r="W521" s="210"/>
      <c r="X521" s="210"/>
      <c r="Y521" s="210"/>
      <c r="Z521" s="210"/>
      <c r="AA521" s="210"/>
      <c r="AB521" s="210"/>
      <c r="AC521" s="210"/>
      <c r="AI521" s="210"/>
      <c r="AJ521" s="210"/>
    </row>
    <row r="522" ht="12.75" customHeight="1">
      <c r="C522" s="210"/>
      <c r="D522" s="210"/>
      <c r="E522" s="210"/>
      <c r="F522" s="210"/>
      <c r="G522" s="210"/>
      <c r="H522" s="210"/>
      <c r="I522" s="210"/>
      <c r="J522" s="210"/>
      <c r="K522" s="210"/>
      <c r="L522" s="210"/>
      <c r="M522" s="210"/>
      <c r="N522" s="210"/>
      <c r="O522" s="210"/>
      <c r="P522" s="210"/>
      <c r="Q522" s="210"/>
      <c r="R522" s="210"/>
      <c r="S522" s="210"/>
      <c r="T522" s="210"/>
      <c r="U522" s="210"/>
      <c r="V522" s="210"/>
      <c r="W522" s="210"/>
      <c r="X522" s="210"/>
      <c r="Y522" s="210"/>
      <c r="Z522" s="210"/>
      <c r="AA522" s="210"/>
      <c r="AB522" s="210"/>
      <c r="AC522" s="210"/>
      <c r="AI522" s="210"/>
      <c r="AJ522" s="210"/>
    </row>
    <row r="523" ht="12.75" customHeight="1">
      <c r="C523" s="210"/>
      <c r="D523" s="210"/>
      <c r="E523" s="210"/>
      <c r="F523" s="210"/>
      <c r="G523" s="210"/>
      <c r="H523" s="210"/>
      <c r="I523" s="210"/>
      <c r="J523" s="210"/>
      <c r="K523" s="210"/>
      <c r="L523" s="210"/>
      <c r="M523" s="210"/>
      <c r="N523" s="210"/>
      <c r="O523" s="210"/>
      <c r="P523" s="210"/>
      <c r="Q523" s="210"/>
      <c r="R523" s="210"/>
      <c r="S523" s="210"/>
      <c r="T523" s="210"/>
      <c r="U523" s="210"/>
      <c r="V523" s="210"/>
      <c r="W523" s="210"/>
      <c r="X523" s="210"/>
      <c r="Y523" s="210"/>
      <c r="Z523" s="210"/>
      <c r="AA523" s="210"/>
      <c r="AB523" s="210"/>
      <c r="AC523" s="210"/>
      <c r="AI523" s="210"/>
      <c r="AJ523" s="210"/>
    </row>
    <row r="524" ht="12.75" customHeight="1">
      <c r="C524" s="210"/>
      <c r="D524" s="210"/>
      <c r="E524" s="210"/>
      <c r="F524" s="210"/>
      <c r="G524" s="210"/>
      <c r="H524" s="210"/>
      <c r="I524" s="210"/>
      <c r="J524" s="210"/>
      <c r="K524" s="210"/>
      <c r="L524" s="210"/>
      <c r="M524" s="210"/>
      <c r="N524" s="210"/>
      <c r="O524" s="210"/>
      <c r="P524" s="210"/>
      <c r="Q524" s="210"/>
      <c r="R524" s="210"/>
      <c r="S524" s="210"/>
      <c r="T524" s="210"/>
      <c r="U524" s="210"/>
      <c r="V524" s="210"/>
      <c r="W524" s="210"/>
      <c r="X524" s="210"/>
      <c r="Y524" s="210"/>
      <c r="Z524" s="210"/>
      <c r="AA524" s="210"/>
      <c r="AB524" s="210"/>
      <c r="AC524" s="210"/>
      <c r="AI524" s="210"/>
      <c r="AJ524" s="210"/>
    </row>
    <row r="525" ht="12.75" customHeight="1">
      <c r="C525" s="210"/>
      <c r="D525" s="210"/>
      <c r="E525" s="210"/>
      <c r="F525" s="210"/>
      <c r="G525" s="210"/>
      <c r="H525" s="210"/>
      <c r="I525" s="210"/>
      <c r="J525" s="210"/>
      <c r="K525" s="210"/>
      <c r="L525" s="210"/>
      <c r="M525" s="210"/>
      <c r="N525" s="210"/>
      <c r="O525" s="210"/>
      <c r="P525" s="210"/>
      <c r="Q525" s="210"/>
      <c r="R525" s="210"/>
      <c r="S525" s="210"/>
      <c r="T525" s="210"/>
      <c r="U525" s="210"/>
      <c r="V525" s="210"/>
      <c r="W525" s="210"/>
      <c r="X525" s="210"/>
      <c r="Y525" s="210"/>
      <c r="Z525" s="210"/>
      <c r="AA525" s="210"/>
      <c r="AB525" s="210"/>
      <c r="AC525" s="210"/>
      <c r="AI525" s="210"/>
      <c r="AJ525" s="210"/>
    </row>
    <row r="526" ht="12.75" customHeight="1">
      <c r="C526" s="210"/>
      <c r="D526" s="210"/>
      <c r="E526" s="210"/>
      <c r="F526" s="210"/>
      <c r="G526" s="210"/>
      <c r="H526" s="210"/>
      <c r="I526" s="210"/>
      <c r="J526" s="210"/>
      <c r="K526" s="210"/>
      <c r="L526" s="210"/>
      <c r="M526" s="210"/>
      <c r="N526" s="210"/>
      <c r="O526" s="210"/>
      <c r="P526" s="210"/>
      <c r="Q526" s="210"/>
      <c r="R526" s="210"/>
      <c r="S526" s="210"/>
      <c r="T526" s="210"/>
      <c r="U526" s="210"/>
      <c r="V526" s="210"/>
      <c r="W526" s="210"/>
      <c r="X526" s="210"/>
      <c r="Y526" s="210"/>
      <c r="Z526" s="210"/>
      <c r="AA526" s="210"/>
      <c r="AB526" s="210"/>
      <c r="AC526" s="210"/>
      <c r="AI526" s="210"/>
      <c r="AJ526" s="210"/>
    </row>
    <row r="527" ht="12.75" customHeight="1">
      <c r="C527" s="210"/>
      <c r="D527" s="210"/>
      <c r="E527" s="210"/>
      <c r="F527" s="210"/>
      <c r="G527" s="210"/>
      <c r="H527" s="210"/>
      <c r="I527" s="210"/>
      <c r="J527" s="210"/>
      <c r="K527" s="210"/>
      <c r="L527" s="210"/>
      <c r="M527" s="210"/>
      <c r="N527" s="210"/>
      <c r="O527" s="210"/>
      <c r="P527" s="210"/>
      <c r="Q527" s="210"/>
      <c r="R527" s="210"/>
      <c r="S527" s="210"/>
      <c r="T527" s="210"/>
      <c r="U527" s="210"/>
      <c r="V527" s="210"/>
      <c r="W527" s="210"/>
      <c r="X527" s="210"/>
      <c r="Y527" s="210"/>
      <c r="Z527" s="210"/>
      <c r="AA527" s="210"/>
      <c r="AB527" s="210"/>
      <c r="AC527" s="210"/>
      <c r="AI527" s="210"/>
      <c r="AJ527" s="210"/>
    </row>
    <row r="528" ht="12.75" customHeight="1">
      <c r="C528" s="210"/>
      <c r="D528" s="210"/>
      <c r="E528" s="210"/>
      <c r="F528" s="210"/>
      <c r="G528" s="210"/>
      <c r="H528" s="210"/>
      <c r="I528" s="210"/>
      <c r="J528" s="210"/>
      <c r="K528" s="210"/>
      <c r="L528" s="210"/>
      <c r="M528" s="210"/>
      <c r="N528" s="210"/>
      <c r="O528" s="210"/>
      <c r="P528" s="210"/>
      <c r="Q528" s="210"/>
      <c r="R528" s="210"/>
      <c r="S528" s="210"/>
      <c r="T528" s="210"/>
      <c r="U528" s="210"/>
      <c r="V528" s="210"/>
      <c r="W528" s="210"/>
      <c r="X528" s="210"/>
      <c r="Y528" s="210"/>
      <c r="Z528" s="210"/>
      <c r="AA528" s="210"/>
      <c r="AB528" s="210"/>
      <c r="AC528" s="210"/>
      <c r="AI528" s="210"/>
      <c r="AJ528" s="210"/>
    </row>
    <row r="529" ht="12.75" customHeight="1">
      <c r="C529" s="210"/>
      <c r="D529" s="210"/>
      <c r="E529" s="210"/>
      <c r="F529" s="210"/>
      <c r="G529" s="210"/>
      <c r="H529" s="210"/>
      <c r="I529" s="210"/>
      <c r="J529" s="210"/>
      <c r="K529" s="210"/>
      <c r="L529" s="210"/>
      <c r="M529" s="210"/>
      <c r="N529" s="210"/>
      <c r="O529" s="210"/>
      <c r="P529" s="210"/>
      <c r="Q529" s="210"/>
      <c r="R529" s="210"/>
      <c r="S529" s="210"/>
      <c r="T529" s="210"/>
      <c r="U529" s="210"/>
      <c r="V529" s="210"/>
      <c r="W529" s="210"/>
      <c r="X529" s="210"/>
      <c r="Y529" s="210"/>
      <c r="Z529" s="210"/>
      <c r="AA529" s="210"/>
      <c r="AB529" s="210"/>
      <c r="AC529" s="210"/>
      <c r="AI529" s="210"/>
      <c r="AJ529" s="210"/>
    </row>
    <row r="530" ht="12.75" customHeight="1">
      <c r="C530" s="210"/>
      <c r="D530" s="210"/>
      <c r="E530" s="210"/>
      <c r="F530" s="210"/>
      <c r="G530" s="210"/>
      <c r="H530" s="210"/>
      <c r="I530" s="210"/>
      <c r="J530" s="210"/>
      <c r="K530" s="210"/>
      <c r="L530" s="210"/>
      <c r="M530" s="210"/>
      <c r="N530" s="210"/>
      <c r="O530" s="210"/>
      <c r="P530" s="210"/>
      <c r="Q530" s="210"/>
      <c r="R530" s="210"/>
      <c r="S530" s="210"/>
      <c r="T530" s="210"/>
      <c r="U530" s="210"/>
      <c r="V530" s="210"/>
      <c r="W530" s="210"/>
      <c r="X530" s="210"/>
      <c r="Y530" s="210"/>
      <c r="Z530" s="210"/>
      <c r="AA530" s="210"/>
      <c r="AB530" s="210"/>
      <c r="AC530" s="210"/>
      <c r="AI530" s="210"/>
      <c r="AJ530" s="210"/>
    </row>
    <row r="531" ht="12.75" customHeight="1">
      <c r="C531" s="210"/>
      <c r="D531" s="210"/>
      <c r="E531" s="210"/>
      <c r="F531" s="210"/>
      <c r="G531" s="210"/>
      <c r="H531" s="210"/>
      <c r="I531" s="210"/>
      <c r="J531" s="210"/>
      <c r="K531" s="210"/>
      <c r="L531" s="210"/>
      <c r="M531" s="210"/>
      <c r="N531" s="210"/>
      <c r="O531" s="210"/>
      <c r="P531" s="210"/>
      <c r="Q531" s="210"/>
      <c r="R531" s="210"/>
      <c r="S531" s="210"/>
      <c r="T531" s="210"/>
      <c r="U531" s="210"/>
      <c r="V531" s="210"/>
      <c r="W531" s="210"/>
      <c r="X531" s="210"/>
      <c r="Y531" s="210"/>
      <c r="Z531" s="210"/>
      <c r="AA531" s="210"/>
      <c r="AB531" s="210"/>
      <c r="AC531" s="210"/>
      <c r="AI531" s="210"/>
      <c r="AJ531" s="210"/>
    </row>
    <row r="532" ht="12.75" customHeight="1">
      <c r="C532" s="210"/>
      <c r="D532" s="210"/>
      <c r="E532" s="210"/>
      <c r="F532" s="210"/>
      <c r="G532" s="210"/>
      <c r="H532" s="210"/>
      <c r="I532" s="210"/>
      <c r="J532" s="210"/>
      <c r="K532" s="210"/>
      <c r="L532" s="210"/>
      <c r="M532" s="210"/>
      <c r="N532" s="210"/>
      <c r="O532" s="210"/>
      <c r="P532" s="210"/>
      <c r="Q532" s="210"/>
      <c r="R532" s="210"/>
      <c r="S532" s="210"/>
      <c r="T532" s="210"/>
      <c r="U532" s="210"/>
      <c r="V532" s="210"/>
      <c r="W532" s="210"/>
      <c r="X532" s="210"/>
      <c r="Y532" s="210"/>
      <c r="Z532" s="210"/>
      <c r="AA532" s="210"/>
      <c r="AB532" s="210"/>
      <c r="AC532" s="210"/>
      <c r="AI532" s="210"/>
      <c r="AJ532" s="210"/>
    </row>
    <row r="533" ht="12.75" customHeight="1">
      <c r="C533" s="210"/>
      <c r="D533" s="210"/>
      <c r="E533" s="210"/>
      <c r="F533" s="210"/>
      <c r="G533" s="210"/>
      <c r="H533" s="210"/>
      <c r="I533" s="210"/>
      <c r="J533" s="210"/>
      <c r="K533" s="210"/>
      <c r="L533" s="210"/>
      <c r="M533" s="210"/>
      <c r="N533" s="210"/>
      <c r="O533" s="210"/>
      <c r="P533" s="210"/>
      <c r="Q533" s="210"/>
      <c r="R533" s="210"/>
      <c r="S533" s="210"/>
      <c r="T533" s="210"/>
      <c r="U533" s="210"/>
      <c r="V533" s="210"/>
      <c r="W533" s="210"/>
      <c r="X533" s="210"/>
      <c r="Y533" s="210"/>
      <c r="Z533" s="210"/>
      <c r="AA533" s="210"/>
      <c r="AB533" s="210"/>
      <c r="AC533" s="210"/>
      <c r="AI533" s="210"/>
      <c r="AJ533" s="210"/>
    </row>
    <row r="534" ht="12.75" customHeight="1">
      <c r="C534" s="210"/>
      <c r="D534" s="210"/>
      <c r="E534" s="210"/>
      <c r="F534" s="210"/>
      <c r="G534" s="210"/>
      <c r="H534" s="210"/>
      <c r="I534" s="210"/>
      <c r="J534" s="210"/>
      <c r="K534" s="210"/>
      <c r="L534" s="210"/>
      <c r="M534" s="210"/>
      <c r="N534" s="210"/>
      <c r="O534" s="210"/>
      <c r="P534" s="210"/>
      <c r="Q534" s="210"/>
      <c r="R534" s="210"/>
      <c r="S534" s="210"/>
      <c r="T534" s="210"/>
      <c r="U534" s="210"/>
      <c r="V534" s="210"/>
      <c r="W534" s="210"/>
      <c r="X534" s="210"/>
      <c r="Y534" s="210"/>
      <c r="Z534" s="210"/>
      <c r="AA534" s="210"/>
      <c r="AB534" s="210"/>
      <c r="AC534" s="210"/>
      <c r="AI534" s="210"/>
      <c r="AJ534" s="210"/>
    </row>
    <row r="535" ht="12.75" customHeight="1">
      <c r="C535" s="210"/>
      <c r="D535" s="210"/>
      <c r="E535" s="210"/>
      <c r="F535" s="210"/>
      <c r="G535" s="210"/>
      <c r="H535" s="210"/>
      <c r="I535" s="210"/>
      <c r="J535" s="210"/>
      <c r="K535" s="210"/>
      <c r="L535" s="210"/>
      <c r="M535" s="210"/>
      <c r="N535" s="210"/>
      <c r="O535" s="210"/>
      <c r="P535" s="210"/>
      <c r="Q535" s="210"/>
      <c r="R535" s="210"/>
      <c r="S535" s="210"/>
      <c r="T535" s="210"/>
      <c r="U535" s="210"/>
      <c r="V535" s="210"/>
      <c r="W535" s="210"/>
      <c r="X535" s="210"/>
      <c r="Y535" s="210"/>
      <c r="Z535" s="210"/>
      <c r="AA535" s="210"/>
      <c r="AB535" s="210"/>
      <c r="AC535" s="210"/>
      <c r="AI535" s="210"/>
      <c r="AJ535" s="210"/>
    </row>
    <row r="536" ht="12.75" customHeight="1">
      <c r="C536" s="210"/>
      <c r="D536" s="210"/>
      <c r="E536" s="210"/>
      <c r="F536" s="210"/>
      <c r="G536" s="210"/>
      <c r="H536" s="210"/>
      <c r="I536" s="210"/>
      <c r="J536" s="210"/>
      <c r="K536" s="210"/>
      <c r="L536" s="210"/>
      <c r="M536" s="210"/>
      <c r="N536" s="210"/>
      <c r="O536" s="210"/>
      <c r="P536" s="210"/>
      <c r="Q536" s="210"/>
      <c r="R536" s="210"/>
      <c r="S536" s="210"/>
      <c r="T536" s="210"/>
      <c r="U536" s="210"/>
      <c r="V536" s="210"/>
      <c r="W536" s="210"/>
      <c r="X536" s="210"/>
      <c r="Y536" s="210"/>
      <c r="Z536" s="210"/>
      <c r="AA536" s="210"/>
      <c r="AB536" s="210"/>
      <c r="AC536" s="210"/>
      <c r="AI536" s="210"/>
      <c r="AJ536" s="210"/>
    </row>
    <row r="537" ht="12.75" customHeight="1">
      <c r="C537" s="210"/>
      <c r="D537" s="210"/>
      <c r="E537" s="210"/>
      <c r="F537" s="210"/>
      <c r="G537" s="210"/>
      <c r="H537" s="210"/>
      <c r="I537" s="210"/>
      <c r="J537" s="210"/>
      <c r="K537" s="210"/>
      <c r="L537" s="210"/>
      <c r="M537" s="210"/>
      <c r="N537" s="210"/>
      <c r="O537" s="210"/>
      <c r="P537" s="210"/>
      <c r="Q537" s="210"/>
      <c r="R537" s="210"/>
      <c r="S537" s="210"/>
      <c r="T537" s="210"/>
      <c r="U537" s="210"/>
      <c r="V537" s="210"/>
      <c r="W537" s="210"/>
      <c r="X537" s="210"/>
      <c r="Y537" s="210"/>
      <c r="Z537" s="210"/>
      <c r="AA537" s="210"/>
      <c r="AB537" s="210"/>
      <c r="AC537" s="210"/>
      <c r="AI537" s="210"/>
      <c r="AJ537" s="210"/>
    </row>
    <row r="538" ht="12.75" customHeight="1">
      <c r="C538" s="210"/>
      <c r="D538" s="210"/>
      <c r="E538" s="210"/>
      <c r="F538" s="210"/>
      <c r="G538" s="210"/>
      <c r="H538" s="210"/>
      <c r="I538" s="210"/>
      <c r="J538" s="210"/>
      <c r="K538" s="210"/>
      <c r="L538" s="210"/>
      <c r="M538" s="210"/>
      <c r="N538" s="210"/>
      <c r="O538" s="210"/>
      <c r="P538" s="210"/>
      <c r="Q538" s="210"/>
      <c r="R538" s="210"/>
      <c r="S538" s="210"/>
      <c r="T538" s="210"/>
      <c r="U538" s="210"/>
      <c r="V538" s="210"/>
      <c r="W538" s="210"/>
      <c r="X538" s="210"/>
      <c r="Y538" s="210"/>
      <c r="Z538" s="210"/>
      <c r="AA538" s="210"/>
      <c r="AB538" s="210"/>
      <c r="AC538" s="210"/>
      <c r="AI538" s="210"/>
      <c r="AJ538" s="210"/>
    </row>
    <row r="539" ht="12.75" customHeight="1">
      <c r="C539" s="210"/>
      <c r="D539" s="210"/>
      <c r="E539" s="210"/>
      <c r="F539" s="210"/>
      <c r="G539" s="210"/>
      <c r="H539" s="210"/>
      <c r="I539" s="210"/>
      <c r="J539" s="210"/>
      <c r="K539" s="210"/>
      <c r="L539" s="210"/>
      <c r="M539" s="210"/>
      <c r="N539" s="210"/>
      <c r="O539" s="210"/>
      <c r="P539" s="210"/>
      <c r="Q539" s="210"/>
      <c r="R539" s="210"/>
      <c r="S539" s="210"/>
      <c r="T539" s="210"/>
      <c r="U539" s="210"/>
      <c r="V539" s="210"/>
      <c r="W539" s="210"/>
      <c r="X539" s="210"/>
      <c r="Y539" s="210"/>
      <c r="Z539" s="210"/>
      <c r="AA539" s="210"/>
      <c r="AB539" s="210"/>
      <c r="AC539" s="210"/>
      <c r="AI539" s="210"/>
      <c r="AJ539" s="210"/>
    </row>
    <row r="540" ht="12.75" customHeight="1">
      <c r="C540" s="210"/>
      <c r="D540" s="210"/>
      <c r="E540" s="210"/>
      <c r="F540" s="210"/>
      <c r="G540" s="210"/>
      <c r="H540" s="210"/>
      <c r="I540" s="210"/>
      <c r="J540" s="210"/>
      <c r="K540" s="210"/>
      <c r="L540" s="210"/>
      <c r="M540" s="210"/>
      <c r="N540" s="210"/>
      <c r="O540" s="210"/>
      <c r="P540" s="210"/>
      <c r="Q540" s="210"/>
      <c r="R540" s="210"/>
      <c r="S540" s="210"/>
      <c r="T540" s="210"/>
      <c r="U540" s="210"/>
      <c r="V540" s="210"/>
      <c r="W540" s="210"/>
      <c r="X540" s="210"/>
      <c r="Y540" s="210"/>
      <c r="Z540" s="210"/>
      <c r="AA540" s="210"/>
      <c r="AB540" s="210"/>
      <c r="AC540" s="210"/>
      <c r="AI540" s="210"/>
      <c r="AJ540" s="210"/>
    </row>
    <row r="541" ht="12.75" customHeight="1">
      <c r="C541" s="210"/>
      <c r="D541" s="210"/>
      <c r="E541" s="210"/>
      <c r="F541" s="210"/>
      <c r="G541" s="210"/>
      <c r="H541" s="210"/>
      <c r="I541" s="210"/>
      <c r="J541" s="210"/>
      <c r="K541" s="210"/>
      <c r="L541" s="210"/>
      <c r="M541" s="210"/>
      <c r="N541" s="210"/>
      <c r="O541" s="210"/>
      <c r="P541" s="210"/>
      <c r="Q541" s="210"/>
      <c r="R541" s="210"/>
      <c r="S541" s="210"/>
      <c r="T541" s="210"/>
      <c r="U541" s="210"/>
      <c r="V541" s="210"/>
      <c r="W541" s="210"/>
      <c r="X541" s="210"/>
      <c r="Y541" s="210"/>
      <c r="Z541" s="210"/>
      <c r="AA541" s="210"/>
      <c r="AB541" s="210"/>
      <c r="AC541" s="210"/>
      <c r="AI541" s="210"/>
      <c r="AJ541" s="210"/>
    </row>
    <row r="542" ht="12.75" customHeight="1">
      <c r="C542" s="210"/>
      <c r="D542" s="210"/>
      <c r="E542" s="210"/>
      <c r="F542" s="210"/>
      <c r="G542" s="210"/>
      <c r="H542" s="210"/>
      <c r="I542" s="210"/>
      <c r="J542" s="210"/>
      <c r="K542" s="210"/>
      <c r="L542" s="210"/>
      <c r="M542" s="210"/>
      <c r="N542" s="210"/>
      <c r="O542" s="210"/>
      <c r="P542" s="210"/>
      <c r="Q542" s="210"/>
      <c r="R542" s="210"/>
      <c r="S542" s="210"/>
      <c r="T542" s="210"/>
      <c r="U542" s="210"/>
      <c r="V542" s="210"/>
      <c r="W542" s="210"/>
      <c r="X542" s="210"/>
      <c r="Y542" s="210"/>
      <c r="Z542" s="210"/>
      <c r="AA542" s="210"/>
      <c r="AB542" s="210"/>
      <c r="AC542" s="210"/>
      <c r="AI542" s="210"/>
      <c r="AJ542" s="210"/>
    </row>
    <row r="543" ht="12.75" customHeight="1">
      <c r="C543" s="210"/>
      <c r="D543" s="210"/>
      <c r="E543" s="210"/>
      <c r="F543" s="210"/>
      <c r="G543" s="210"/>
      <c r="H543" s="210"/>
      <c r="I543" s="210"/>
      <c r="J543" s="210"/>
      <c r="K543" s="210"/>
      <c r="L543" s="210"/>
      <c r="M543" s="210"/>
      <c r="N543" s="210"/>
      <c r="O543" s="210"/>
      <c r="P543" s="210"/>
      <c r="Q543" s="210"/>
      <c r="R543" s="210"/>
      <c r="S543" s="210"/>
      <c r="T543" s="210"/>
      <c r="U543" s="210"/>
      <c r="V543" s="210"/>
      <c r="W543" s="210"/>
      <c r="X543" s="210"/>
      <c r="Y543" s="210"/>
      <c r="Z543" s="210"/>
      <c r="AA543" s="210"/>
      <c r="AB543" s="210"/>
      <c r="AC543" s="210"/>
      <c r="AI543" s="210"/>
      <c r="AJ543" s="210"/>
    </row>
    <row r="544" ht="12.75" customHeight="1">
      <c r="C544" s="210"/>
      <c r="D544" s="210"/>
      <c r="E544" s="210"/>
      <c r="F544" s="210"/>
      <c r="G544" s="210"/>
      <c r="H544" s="210"/>
      <c r="I544" s="210"/>
      <c r="J544" s="210"/>
      <c r="K544" s="210"/>
      <c r="L544" s="210"/>
      <c r="M544" s="210"/>
      <c r="N544" s="210"/>
      <c r="O544" s="210"/>
      <c r="P544" s="210"/>
      <c r="Q544" s="210"/>
      <c r="R544" s="210"/>
      <c r="S544" s="210"/>
      <c r="T544" s="210"/>
      <c r="U544" s="210"/>
      <c r="V544" s="210"/>
      <c r="W544" s="210"/>
      <c r="X544" s="210"/>
      <c r="Y544" s="210"/>
      <c r="Z544" s="210"/>
      <c r="AA544" s="210"/>
      <c r="AB544" s="210"/>
      <c r="AC544" s="210"/>
      <c r="AI544" s="210"/>
      <c r="AJ544" s="210"/>
    </row>
    <row r="545" ht="12.75" customHeight="1">
      <c r="C545" s="210"/>
      <c r="D545" s="210"/>
      <c r="E545" s="210"/>
      <c r="F545" s="210"/>
      <c r="G545" s="210"/>
      <c r="H545" s="210"/>
      <c r="I545" s="210"/>
      <c r="J545" s="210"/>
      <c r="K545" s="210"/>
      <c r="L545" s="210"/>
      <c r="M545" s="210"/>
      <c r="N545" s="210"/>
      <c r="O545" s="210"/>
      <c r="P545" s="210"/>
      <c r="Q545" s="210"/>
      <c r="R545" s="210"/>
      <c r="S545" s="210"/>
      <c r="T545" s="210"/>
      <c r="U545" s="210"/>
      <c r="V545" s="210"/>
      <c r="W545" s="210"/>
      <c r="X545" s="210"/>
      <c r="Y545" s="210"/>
      <c r="Z545" s="210"/>
      <c r="AA545" s="210"/>
      <c r="AB545" s="210"/>
      <c r="AC545" s="210"/>
      <c r="AI545" s="210"/>
      <c r="AJ545" s="210"/>
    </row>
    <row r="546" ht="12.75" customHeight="1">
      <c r="C546" s="210"/>
      <c r="D546" s="210"/>
      <c r="E546" s="210"/>
      <c r="F546" s="210"/>
      <c r="G546" s="210"/>
      <c r="H546" s="210"/>
      <c r="I546" s="210"/>
      <c r="J546" s="210"/>
      <c r="K546" s="210"/>
      <c r="L546" s="210"/>
      <c r="M546" s="210"/>
      <c r="N546" s="210"/>
      <c r="O546" s="210"/>
      <c r="P546" s="210"/>
      <c r="Q546" s="210"/>
      <c r="R546" s="210"/>
      <c r="S546" s="210"/>
      <c r="T546" s="210"/>
      <c r="U546" s="210"/>
      <c r="V546" s="210"/>
      <c r="W546" s="210"/>
      <c r="X546" s="210"/>
      <c r="Y546" s="210"/>
      <c r="Z546" s="210"/>
      <c r="AA546" s="210"/>
      <c r="AB546" s="210"/>
      <c r="AC546" s="210"/>
      <c r="AI546" s="210"/>
      <c r="AJ546" s="210"/>
    </row>
    <row r="547" ht="12.75" customHeight="1">
      <c r="C547" s="210"/>
      <c r="D547" s="210"/>
      <c r="E547" s="210"/>
      <c r="F547" s="210"/>
      <c r="G547" s="210"/>
      <c r="H547" s="210"/>
      <c r="I547" s="210"/>
      <c r="J547" s="210"/>
      <c r="K547" s="210"/>
      <c r="L547" s="210"/>
      <c r="M547" s="210"/>
      <c r="N547" s="210"/>
      <c r="O547" s="210"/>
      <c r="P547" s="210"/>
      <c r="Q547" s="210"/>
      <c r="R547" s="210"/>
      <c r="S547" s="210"/>
      <c r="T547" s="210"/>
      <c r="U547" s="210"/>
      <c r="V547" s="210"/>
      <c r="W547" s="210"/>
      <c r="X547" s="210"/>
      <c r="Y547" s="210"/>
      <c r="Z547" s="210"/>
      <c r="AA547" s="210"/>
      <c r="AB547" s="210"/>
      <c r="AC547" s="210"/>
      <c r="AI547" s="210"/>
      <c r="AJ547" s="210"/>
    </row>
    <row r="548" ht="12.75" customHeight="1">
      <c r="C548" s="210"/>
      <c r="D548" s="210"/>
      <c r="E548" s="210"/>
      <c r="F548" s="210"/>
      <c r="G548" s="210"/>
      <c r="H548" s="210"/>
      <c r="I548" s="210"/>
      <c r="J548" s="210"/>
      <c r="K548" s="210"/>
      <c r="L548" s="210"/>
      <c r="M548" s="210"/>
      <c r="N548" s="210"/>
      <c r="O548" s="210"/>
      <c r="P548" s="210"/>
      <c r="Q548" s="210"/>
      <c r="R548" s="210"/>
      <c r="S548" s="210"/>
      <c r="T548" s="210"/>
      <c r="U548" s="210"/>
      <c r="V548" s="210"/>
      <c r="W548" s="210"/>
      <c r="X548" s="210"/>
      <c r="Y548" s="210"/>
      <c r="Z548" s="210"/>
      <c r="AA548" s="210"/>
      <c r="AB548" s="210"/>
      <c r="AC548" s="210"/>
      <c r="AI548" s="210"/>
      <c r="AJ548" s="210"/>
    </row>
    <row r="549" ht="12.75" customHeight="1">
      <c r="C549" s="210"/>
      <c r="D549" s="210"/>
      <c r="E549" s="210"/>
      <c r="F549" s="210"/>
      <c r="G549" s="210"/>
      <c r="H549" s="210"/>
      <c r="I549" s="210"/>
      <c r="J549" s="210"/>
      <c r="K549" s="210"/>
      <c r="L549" s="210"/>
      <c r="M549" s="210"/>
      <c r="N549" s="210"/>
      <c r="O549" s="210"/>
      <c r="P549" s="210"/>
      <c r="Q549" s="210"/>
      <c r="R549" s="210"/>
      <c r="S549" s="210"/>
      <c r="T549" s="210"/>
      <c r="U549" s="210"/>
      <c r="V549" s="210"/>
      <c r="W549" s="210"/>
      <c r="X549" s="210"/>
      <c r="Y549" s="210"/>
      <c r="Z549" s="210"/>
      <c r="AA549" s="210"/>
      <c r="AB549" s="210"/>
      <c r="AC549" s="210"/>
      <c r="AI549" s="210"/>
      <c r="AJ549" s="210"/>
    </row>
    <row r="550" ht="12.75" customHeight="1">
      <c r="C550" s="210"/>
      <c r="D550" s="210"/>
      <c r="E550" s="210"/>
      <c r="F550" s="210"/>
      <c r="G550" s="210"/>
      <c r="H550" s="210"/>
      <c r="I550" s="210"/>
      <c r="J550" s="210"/>
      <c r="K550" s="210"/>
      <c r="L550" s="210"/>
      <c r="M550" s="210"/>
      <c r="N550" s="210"/>
      <c r="O550" s="210"/>
      <c r="P550" s="210"/>
      <c r="Q550" s="210"/>
      <c r="R550" s="210"/>
      <c r="S550" s="210"/>
      <c r="T550" s="210"/>
      <c r="U550" s="210"/>
      <c r="V550" s="210"/>
      <c r="W550" s="210"/>
      <c r="X550" s="210"/>
      <c r="Y550" s="210"/>
      <c r="Z550" s="210"/>
      <c r="AA550" s="210"/>
      <c r="AB550" s="210"/>
      <c r="AC550" s="210"/>
      <c r="AI550" s="210"/>
      <c r="AJ550" s="210"/>
    </row>
    <row r="551" ht="12.75" customHeight="1">
      <c r="C551" s="210"/>
      <c r="D551" s="210"/>
      <c r="E551" s="210"/>
      <c r="F551" s="210"/>
      <c r="G551" s="210"/>
      <c r="H551" s="210"/>
      <c r="I551" s="210"/>
      <c r="J551" s="210"/>
      <c r="K551" s="210"/>
      <c r="L551" s="210"/>
      <c r="M551" s="210"/>
      <c r="N551" s="210"/>
      <c r="O551" s="210"/>
      <c r="P551" s="210"/>
      <c r="Q551" s="210"/>
      <c r="R551" s="210"/>
      <c r="S551" s="210"/>
      <c r="T551" s="210"/>
      <c r="U551" s="210"/>
      <c r="V551" s="210"/>
      <c r="W551" s="210"/>
      <c r="X551" s="210"/>
      <c r="Y551" s="210"/>
      <c r="Z551" s="210"/>
      <c r="AA551" s="210"/>
      <c r="AB551" s="210"/>
      <c r="AC551" s="210"/>
      <c r="AI551" s="210"/>
      <c r="AJ551" s="210"/>
    </row>
    <row r="552" ht="12.75" customHeight="1">
      <c r="C552" s="210"/>
      <c r="D552" s="210"/>
      <c r="E552" s="210"/>
      <c r="F552" s="210"/>
      <c r="G552" s="210"/>
      <c r="H552" s="210"/>
      <c r="I552" s="210"/>
      <c r="J552" s="210"/>
      <c r="K552" s="210"/>
      <c r="L552" s="210"/>
      <c r="M552" s="210"/>
      <c r="N552" s="210"/>
      <c r="O552" s="210"/>
      <c r="P552" s="210"/>
      <c r="Q552" s="210"/>
      <c r="R552" s="210"/>
      <c r="S552" s="210"/>
      <c r="T552" s="210"/>
      <c r="U552" s="210"/>
      <c r="V552" s="210"/>
      <c r="W552" s="210"/>
      <c r="X552" s="210"/>
      <c r="Y552" s="210"/>
      <c r="Z552" s="210"/>
      <c r="AA552" s="210"/>
      <c r="AB552" s="210"/>
      <c r="AC552" s="210"/>
      <c r="AI552" s="210"/>
      <c r="AJ552" s="210"/>
    </row>
    <row r="553" ht="12.75" customHeight="1">
      <c r="C553" s="210"/>
      <c r="D553" s="210"/>
      <c r="E553" s="210"/>
      <c r="F553" s="210"/>
      <c r="G553" s="210"/>
      <c r="H553" s="210"/>
      <c r="I553" s="210"/>
      <c r="J553" s="210"/>
      <c r="K553" s="210"/>
      <c r="L553" s="210"/>
      <c r="M553" s="210"/>
      <c r="N553" s="210"/>
      <c r="O553" s="210"/>
      <c r="P553" s="210"/>
      <c r="Q553" s="210"/>
      <c r="R553" s="210"/>
      <c r="S553" s="210"/>
      <c r="T553" s="210"/>
      <c r="U553" s="210"/>
      <c r="V553" s="210"/>
      <c r="W553" s="210"/>
      <c r="X553" s="210"/>
      <c r="Y553" s="210"/>
      <c r="Z553" s="210"/>
      <c r="AA553" s="210"/>
      <c r="AB553" s="210"/>
      <c r="AC553" s="210"/>
      <c r="AI553" s="210"/>
      <c r="AJ553" s="210"/>
    </row>
    <row r="554" ht="12.75" customHeight="1">
      <c r="C554" s="210"/>
      <c r="D554" s="210"/>
      <c r="E554" s="210"/>
      <c r="F554" s="210"/>
      <c r="G554" s="210"/>
      <c r="H554" s="210"/>
      <c r="I554" s="210"/>
      <c r="J554" s="210"/>
      <c r="K554" s="210"/>
      <c r="L554" s="210"/>
      <c r="M554" s="210"/>
      <c r="N554" s="210"/>
      <c r="O554" s="210"/>
      <c r="P554" s="210"/>
      <c r="Q554" s="210"/>
      <c r="R554" s="210"/>
      <c r="S554" s="210"/>
      <c r="T554" s="210"/>
      <c r="U554" s="210"/>
      <c r="V554" s="210"/>
      <c r="W554" s="210"/>
      <c r="X554" s="210"/>
      <c r="Y554" s="210"/>
      <c r="Z554" s="210"/>
      <c r="AA554" s="210"/>
      <c r="AB554" s="210"/>
      <c r="AC554" s="210"/>
      <c r="AI554" s="210"/>
      <c r="AJ554" s="210"/>
    </row>
    <row r="555" ht="12.75" customHeight="1">
      <c r="C555" s="210"/>
      <c r="D555" s="210"/>
      <c r="E555" s="210"/>
      <c r="F555" s="210"/>
      <c r="G555" s="210"/>
      <c r="H555" s="210"/>
      <c r="I555" s="210"/>
      <c r="J555" s="210"/>
      <c r="K555" s="210"/>
      <c r="L555" s="210"/>
      <c r="M555" s="210"/>
      <c r="N555" s="210"/>
      <c r="O555" s="210"/>
      <c r="P555" s="210"/>
      <c r="Q555" s="210"/>
      <c r="R555" s="210"/>
      <c r="S555" s="210"/>
      <c r="T555" s="210"/>
      <c r="U555" s="210"/>
      <c r="V555" s="210"/>
      <c r="W555" s="210"/>
      <c r="X555" s="210"/>
      <c r="Y555" s="210"/>
      <c r="Z555" s="210"/>
      <c r="AA555" s="210"/>
      <c r="AB555" s="210"/>
      <c r="AC555" s="210"/>
      <c r="AI555" s="210"/>
      <c r="AJ555" s="210"/>
    </row>
    <row r="556" ht="12.75" customHeight="1">
      <c r="C556" s="210"/>
      <c r="D556" s="210"/>
      <c r="E556" s="210"/>
      <c r="F556" s="210"/>
      <c r="G556" s="210"/>
      <c r="H556" s="210"/>
      <c r="I556" s="210"/>
      <c r="J556" s="210"/>
      <c r="K556" s="210"/>
      <c r="L556" s="210"/>
      <c r="M556" s="210"/>
      <c r="N556" s="210"/>
      <c r="O556" s="210"/>
      <c r="P556" s="210"/>
      <c r="Q556" s="210"/>
      <c r="R556" s="210"/>
      <c r="S556" s="210"/>
      <c r="T556" s="210"/>
      <c r="U556" s="210"/>
      <c r="V556" s="210"/>
      <c r="W556" s="210"/>
      <c r="X556" s="210"/>
      <c r="Y556" s="210"/>
      <c r="Z556" s="210"/>
      <c r="AA556" s="210"/>
      <c r="AB556" s="210"/>
      <c r="AC556" s="210"/>
      <c r="AI556" s="210"/>
      <c r="AJ556" s="210"/>
    </row>
    <row r="557" ht="12.75" customHeight="1">
      <c r="C557" s="210"/>
      <c r="D557" s="210"/>
      <c r="E557" s="210"/>
      <c r="F557" s="210"/>
      <c r="G557" s="210"/>
      <c r="H557" s="210"/>
      <c r="I557" s="210"/>
      <c r="J557" s="210"/>
      <c r="K557" s="210"/>
      <c r="L557" s="210"/>
      <c r="M557" s="210"/>
      <c r="N557" s="210"/>
      <c r="O557" s="210"/>
      <c r="P557" s="210"/>
      <c r="Q557" s="210"/>
      <c r="R557" s="210"/>
      <c r="S557" s="210"/>
      <c r="T557" s="210"/>
      <c r="U557" s="210"/>
      <c r="V557" s="210"/>
      <c r="W557" s="210"/>
      <c r="X557" s="210"/>
      <c r="Y557" s="210"/>
      <c r="Z557" s="210"/>
      <c r="AA557" s="210"/>
      <c r="AB557" s="210"/>
      <c r="AC557" s="210"/>
      <c r="AI557" s="210"/>
      <c r="AJ557" s="210"/>
    </row>
    <row r="558" ht="12.75" customHeight="1">
      <c r="C558" s="210"/>
      <c r="D558" s="210"/>
      <c r="E558" s="210"/>
      <c r="F558" s="210"/>
      <c r="G558" s="210"/>
      <c r="H558" s="210"/>
      <c r="I558" s="210"/>
      <c r="J558" s="210"/>
      <c r="K558" s="210"/>
      <c r="L558" s="210"/>
      <c r="M558" s="210"/>
      <c r="N558" s="210"/>
      <c r="O558" s="210"/>
      <c r="P558" s="210"/>
      <c r="Q558" s="210"/>
      <c r="R558" s="210"/>
      <c r="S558" s="210"/>
      <c r="T558" s="210"/>
      <c r="U558" s="210"/>
      <c r="V558" s="210"/>
      <c r="W558" s="210"/>
      <c r="X558" s="210"/>
      <c r="Y558" s="210"/>
      <c r="Z558" s="210"/>
      <c r="AA558" s="210"/>
      <c r="AB558" s="210"/>
      <c r="AC558" s="210"/>
      <c r="AI558" s="210"/>
      <c r="AJ558" s="210"/>
    </row>
    <row r="559" ht="12.75" customHeight="1">
      <c r="C559" s="210"/>
      <c r="D559" s="210"/>
      <c r="E559" s="210"/>
      <c r="F559" s="210"/>
      <c r="G559" s="210"/>
      <c r="H559" s="210"/>
      <c r="I559" s="210"/>
      <c r="J559" s="210"/>
      <c r="K559" s="210"/>
      <c r="L559" s="210"/>
      <c r="M559" s="210"/>
      <c r="N559" s="210"/>
      <c r="O559" s="210"/>
      <c r="P559" s="210"/>
      <c r="Q559" s="210"/>
      <c r="R559" s="210"/>
      <c r="S559" s="210"/>
      <c r="T559" s="210"/>
      <c r="U559" s="210"/>
      <c r="V559" s="210"/>
      <c r="W559" s="210"/>
      <c r="X559" s="210"/>
      <c r="Y559" s="210"/>
      <c r="Z559" s="210"/>
      <c r="AA559" s="210"/>
      <c r="AB559" s="210"/>
      <c r="AC559" s="210"/>
      <c r="AI559" s="210"/>
      <c r="AJ559" s="210"/>
    </row>
    <row r="560" ht="12.75" customHeight="1">
      <c r="C560" s="210"/>
      <c r="D560" s="210"/>
      <c r="E560" s="210"/>
      <c r="F560" s="210"/>
      <c r="G560" s="210"/>
      <c r="H560" s="210"/>
      <c r="I560" s="210"/>
      <c r="J560" s="210"/>
      <c r="K560" s="210"/>
      <c r="L560" s="210"/>
      <c r="M560" s="210"/>
      <c r="N560" s="210"/>
      <c r="O560" s="210"/>
      <c r="P560" s="210"/>
      <c r="Q560" s="210"/>
      <c r="R560" s="210"/>
      <c r="S560" s="210"/>
      <c r="T560" s="210"/>
      <c r="U560" s="210"/>
      <c r="V560" s="210"/>
      <c r="W560" s="210"/>
      <c r="X560" s="210"/>
      <c r="Y560" s="210"/>
      <c r="Z560" s="210"/>
      <c r="AA560" s="210"/>
      <c r="AB560" s="210"/>
      <c r="AC560" s="210"/>
      <c r="AI560" s="210"/>
      <c r="AJ560" s="210"/>
    </row>
    <row r="561" ht="12.75" customHeight="1">
      <c r="C561" s="210"/>
      <c r="D561" s="210"/>
      <c r="E561" s="210"/>
      <c r="F561" s="210"/>
      <c r="G561" s="210"/>
      <c r="H561" s="210"/>
      <c r="I561" s="210"/>
      <c r="J561" s="210"/>
      <c r="K561" s="210"/>
      <c r="L561" s="210"/>
      <c r="M561" s="210"/>
      <c r="N561" s="210"/>
      <c r="O561" s="210"/>
      <c r="P561" s="210"/>
      <c r="Q561" s="210"/>
      <c r="R561" s="210"/>
      <c r="S561" s="210"/>
      <c r="T561" s="210"/>
      <c r="U561" s="210"/>
      <c r="V561" s="210"/>
      <c r="W561" s="210"/>
      <c r="X561" s="210"/>
      <c r="Y561" s="210"/>
      <c r="Z561" s="210"/>
      <c r="AA561" s="210"/>
      <c r="AB561" s="210"/>
      <c r="AC561" s="210"/>
      <c r="AI561" s="210"/>
      <c r="AJ561" s="210"/>
    </row>
    <row r="562" ht="12.75" customHeight="1">
      <c r="C562" s="210"/>
      <c r="D562" s="210"/>
      <c r="E562" s="210"/>
      <c r="F562" s="210"/>
      <c r="G562" s="210"/>
      <c r="H562" s="210"/>
      <c r="I562" s="210"/>
      <c r="J562" s="210"/>
      <c r="K562" s="210"/>
      <c r="L562" s="210"/>
      <c r="M562" s="210"/>
      <c r="N562" s="210"/>
      <c r="O562" s="210"/>
      <c r="P562" s="210"/>
      <c r="Q562" s="210"/>
      <c r="R562" s="210"/>
      <c r="S562" s="210"/>
      <c r="T562" s="210"/>
      <c r="U562" s="210"/>
      <c r="V562" s="210"/>
      <c r="W562" s="210"/>
      <c r="X562" s="210"/>
      <c r="Y562" s="210"/>
      <c r="Z562" s="210"/>
      <c r="AA562" s="210"/>
      <c r="AB562" s="210"/>
      <c r="AC562" s="210"/>
      <c r="AI562" s="210"/>
      <c r="AJ562" s="210"/>
    </row>
    <row r="563" ht="12.75" customHeight="1">
      <c r="C563" s="210"/>
      <c r="D563" s="210"/>
      <c r="E563" s="210"/>
      <c r="F563" s="210"/>
      <c r="G563" s="210"/>
      <c r="H563" s="210"/>
      <c r="I563" s="210"/>
      <c r="J563" s="210"/>
      <c r="K563" s="210"/>
      <c r="L563" s="210"/>
      <c r="M563" s="210"/>
      <c r="N563" s="210"/>
      <c r="O563" s="210"/>
      <c r="P563" s="210"/>
      <c r="Q563" s="210"/>
      <c r="R563" s="210"/>
      <c r="S563" s="210"/>
      <c r="T563" s="210"/>
      <c r="U563" s="210"/>
      <c r="V563" s="210"/>
      <c r="W563" s="210"/>
      <c r="X563" s="210"/>
      <c r="Y563" s="210"/>
      <c r="Z563" s="210"/>
      <c r="AA563" s="210"/>
      <c r="AB563" s="210"/>
      <c r="AC563" s="210"/>
      <c r="AI563" s="210"/>
      <c r="AJ563" s="210"/>
    </row>
    <row r="564" ht="12.75" customHeight="1">
      <c r="C564" s="210"/>
      <c r="D564" s="210"/>
      <c r="E564" s="210"/>
      <c r="F564" s="210"/>
      <c r="G564" s="210"/>
      <c r="H564" s="210"/>
      <c r="I564" s="210"/>
      <c r="J564" s="210"/>
      <c r="K564" s="210"/>
      <c r="L564" s="210"/>
      <c r="M564" s="210"/>
      <c r="N564" s="210"/>
      <c r="O564" s="210"/>
      <c r="P564" s="210"/>
      <c r="Q564" s="210"/>
      <c r="R564" s="210"/>
      <c r="S564" s="210"/>
      <c r="T564" s="210"/>
      <c r="U564" s="210"/>
      <c r="V564" s="210"/>
      <c r="W564" s="210"/>
      <c r="X564" s="210"/>
      <c r="Y564" s="210"/>
      <c r="Z564" s="210"/>
      <c r="AA564" s="210"/>
      <c r="AB564" s="210"/>
      <c r="AC564" s="210"/>
      <c r="AI564" s="210"/>
      <c r="AJ564" s="210"/>
    </row>
    <row r="565" ht="12.75" customHeight="1">
      <c r="C565" s="210"/>
      <c r="D565" s="210"/>
      <c r="E565" s="210"/>
      <c r="F565" s="210"/>
      <c r="G565" s="210"/>
      <c r="H565" s="210"/>
      <c r="I565" s="210"/>
      <c r="J565" s="210"/>
      <c r="K565" s="210"/>
      <c r="L565" s="210"/>
      <c r="M565" s="210"/>
      <c r="N565" s="210"/>
      <c r="O565" s="210"/>
      <c r="P565" s="210"/>
      <c r="Q565" s="210"/>
      <c r="R565" s="210"/>
      <c r="S565" s="210"/>
      <c r="T565" s="210"/>
      <c r="U565" s="210"/>
      <c r="V565" s="210"/>
      <c r="W565" s="210"/>
      <c r="X565" s="210"/>
      <c r="Y565" s="210"/>
      <c r="Z565" s="210"/>
      <c r="AA565" s="210"/>
      <c r="AB565" s="210"/>
      <c r="AC565" s="210"/>
      <c r="AI565" s="210"/>
      <c r="AJ565" s="210"/>
    </row>
    <row r="566" ht="12.75" customHeight="1">
      <c r="C566" s="210"/>
      <c r="D566" s="210"/>
      <c r="E566" s="210"/>
      <c r="F566" s="210"/>
      <c r="G566" s="210"/>
      <c r="H566" s="210"/>
      <c r="I566" s="210"/>
      <c r="J566" s="210"/>
      <c r="K566" s="210"/>
      <c r="L566" s="210"/>
      <c r="M566" s="210"/>
      <c r="N566" s="210"/>
      <c r="O566" s="210"/>
      <c r="P566" s="210"/>
      <c r="Q566" s="210"/>
      <c r="R566" s="210"/>
      <c r="S566" s="210"/>
      <c r="T566" s="210"/>
      <c r="U566" s="210"/>
      <c r="V566" s="210"/>
      <c r="W566" s="210"/>
      <c r="X566" s="210"/>
      <c r="Y566" s="210"/>
      <c r="Z566" s="210"/>
      <c r="AA566" s="210"/>
      <c r="AB566" s="210"/>
      <c r="AC566" s="210"/>
      <c r="AI566" s="210"/>
      <c r="AJ566" s="210"/>
    </row>
    <row r="567" ht="12.75" customHeight="1">
      <c r="C567" s="210"/>
      <c r="D567" s="210"/>
      <c r="E567" s="210"/>
      <c r="F567" s="210"/>
      <c r="G567" s="210"/>
      <c r="H567" s="210"/>
      <c r="I567" s="210"/>
      <c r="J567" s="210"/>
      <c r="K567" s="210"/>
      <c r="L567" s="210"/>
      <c r="M567" s="210"/>
      <c r="N567" s="210"/>
      <c r="O567" s="210"/>
      <c r="P567" s="210"/>
      <c r="Q567" s="210"/>
      <c r="R567" s="210"/>
      <c r="S567" s="210"/>
      <c r="T567" s="210"/>
      <c r="U567" s="210"/>
      <c r="V567" s="210"/>
      <c r="W567" s="210"/>
      <c r="X567" s="210"/>
      <c r="Y567" s="210"/>
      <c r="Z567" s="210"/>
      <c r="AA567" s="210"/>
      <c r="AB567" s="210"/>
      <c r="AC567" s="210"/>
      <c r="AI567" s="210"/>
      <c r="AJ567" s="210"/>
    </row>
    <row r="568" ht="12.75" customHeight="1">
      <c r="C568" s="210"/>
      <c r="D568" s="210"/>
      <c r="E568" s="210"/>
      <c r="F568" s="210"/>
      <c r="G568" s="210"/>
      <c r="H568" s="210"/>
      <c r="I568" s="210"/>
      <c r="J568" s="210"/>
      <c r="K568" s="210"/>
      <c r="L568" s="210"/>
      <c r="M568" s="210"/>
      <c r="N568" s="210"/>
      <c r="O568" s="210"/>
      <c r="P568" s="210"/>
      <c r="Q568" s="210"/>
      <c r="R568" s="210"/>
      <c r="S568" s="210"/>
      <c r="T568" s="210"/>
      <c r="U568" s="210"/>
      <c r="V568" s="210"/>
      <c r="W568" s="210"/>
      <c r="X568" s="210"/>
      <c r="Y568" s="210"/>
      <c r="Z568" s="210"/>
      <c r="AA568" s="210"/>
      <c r="AB568" s="210"/>
      <c r="AC568" s="210"/>
      <c r="AI568" s="210"/>
      <c r="AJ568" s="210"/>
    </row>
    <row r="569" ht="12.75" customHeight="1">
      <c r="C569" s="210"/>
      <c r="D569" s="210"/>
      <c r="E569" s="210"/>
      <c r="F569" s="210"/>
      <c r="G569" s="210"/>
      <c r="H569" s="210"/>
      <c r="I569" s="210"/>
      <c r="J569" s="210"/>
      <c r="K569" s="210"/>
      <c r="L569" s="210"/>
      <c r="M569" s="210"/>
      <c r="N569" s="210"/>
      <c r="O569" s="210"/>
      <c r="P569" s="210"/>
      <c r="Q569" s="210"/>
      <c r="R569" s="210"/>
      <c r="S569" s="210"/>
      <c r="T569" s="210"/>
      <c r="U569" s="210"/>
      <c r="V569" s="210"/>
      <c r="W569" s="210"/>
      <c r="X569" s="210"/>
      <c r="Y569" s="210"/>
      <c r="Z569" s="210"/>
      <c r="AA569" s="210"/>
      <c r="AB569" s="210"/>
      <c r="AC569" s="210"/>
      <c r="AI569" s="210"/>
      <c r="AJ569" s="210"/>
    </row>
    <row r="570" ht="12.75" customHeight="1">
      <c r="C570" s="210"/>
      <c r="D570" s="210"/>
      <c r="E570" s="210"/>
      <c r="F570" s="210"/>
      <c r="G570" s="210"/>
      <c r="H570" s="210"/>
      <c r="I570" s="210"/>
      <c r="J570" s="210"/>
      <c r="K570" s="210"/>
      <c r="L570" s="210"/>
      <c r="M570" s="210"/>
      <c r="N570" s="210"/>
      <c r="O570" s="210"/>
      <c r="P570" s="210"/>
      <c r="Q570" s="210"/>
      <c r="R570" s="210"/>
      <c r="S570" s="210"/>
      <c r="T570" s="210"/>
      <c r="U570" s="210"/>
      <c r="V570" s="210"/>
      <c r="W570" s="210"/>
      <c r="X570" s="210"/>
      <c r="Y570" s="210"/>
      <c r="Z570" s="210"/>
      <c r="AA570" s="210"/>
      <c r="AB570" s="210"/>
      <c r="AC570" s="210"/>
      <c r="AI570" s="210"/>
      <c r="AJ570" s="210"/>
    </row>
    <row r="571" ht="12.75" customHeight="1">
      <c r="C571" s="210"/>
      <c r="D571" s="210"/>
      <c r="E571" s="210"/>
      <c r="F571" s="210"/>
      <c r="G571" s="210"/>
      <c r="H571" s="210"/>
      <c r="I571" s="210"/>
      <c r="J571" s="210"/>
      <c r="K571" s="210"/>
      <c r="L571" s="210"/>
      <c r="M571" s="210"/>
      <c r="N571" s="210"/>
      <c r="O571" s="210"/>
      <c r="P571" s="210"/>
      <c r="Q571" s="210"/>
      <c r="R571" s="210"/>
      <c r="S571" s="210"/>
      <c r="T571" s="210"/>
      <c r="U571" s="210"/>
      <c r="V571" s="210"/>
      <c r="W571" s="210"/>
      <c r="X571" s="210"/>
      <c r="Y571" s="210"/>
      <c r="Z571" s="210"/>
      <c r="AA571" s="210"/>
      <c r="AB571" s="210"/>
      <c r="AC571" s="210"/>
      <c r="AI571" s="210"/>
      <c r="AJ571" s="210"/>
    </row>
    <row r="572" ht="12.75" customHeight="1">
      <c r="C572" s="210"/>
      <c r="D572" s="210"/>
      <c r="E572" s="210"/>
      <c r="F572" s="210"/>
      <c r="G572" s="210"/>
      <c r="H572" s="210"/>
      <c r="I572" s="210"/>
      <c r="J572" s="210"/>
      <c r="K572" s="210"/>
      <c r="L572" s="210"/>
      <c r="M572" s="210"/>
      <c r="N572" s="210"/>
      <c r="O572" s="210"/>
      <c r="P572" s="210"/>
      <c r="Q572" s="210"/>
      <c r="R572" s="210"/>
      <c r="S572" s="210"/>
      <c r="T572" s="210"/>
      <c r="U572" s="210"/>
      <c r="V572" s="210"/>
      <c r="W572" s="210"/>
      <c r="X572" s="210"/>
      <c r="Y572" s="210"/>
      <c r="Z572" s="210"/>
      <c r="AA572" s="210"/>
      <c r="AB572" s="210"/>
      <c r="AC572" s="210"/>
      <c r="AI572" s="210"/>
      <c r="AJ572" s="210"/>
    </row>
    <row r="573" ht="12.75" customHeight="1">
      <c r="C573" s="210"/>
      <c r="D573" s="210"/>
      <c r="E573" s="210"/>
      <c r="F573" s="210"/>
      <c r="G573" s="210"/>
      <c r="H573" s="210"/>
      <c r="I573" s="210"/>
      <c r="J573" s="210"/>
      <c r="K573" s="210"/>
      <c r="L573" s="210"/>
      <c r="M573" s="210"/>
      <c r="N573" s="210"/>
      <c r="O573" s="210"/>
      <c r="P573" s="210"/>
      <c r="Q573" s="210"/>
      <c r="R573" s="210"/>
      <c r="S573" s="210"/>
      <c r="T573" s="210"/>
      <c r="U573" s="210"/>
      <c r="V573" s="210"/>
      <c r="W573" s="210"/>
      <c r="X573" s="210"/>
      <c r="Y573" s="210"/>
      <c r="Z573" s="210"/>
      <c r="AA573" s="210"/>
      <c r="AB573" s="210"/>
      <c r="AC573" s="210"/>
      <c r="AI573" s="210"/>
      <c r="AJ573" s="210"/>
    </row>
    <row r="574" ht="12.75" customHeight="1">
      <c r="C574" s="210"/>
      <c r="D574" s="210"/>
      <c r="E574" s="210"/>
      <c r="F574" s="210"/>
      <c r="G574" s="210"/>
      <c r="H574" s="210"/>
      <c r="I574" s="210"/>
      <c r="J574" s="210"/>
      <c r="K574" s="210"/>
      <c r="L574" s="210"/>
      <c r="M574" s="210"/>
      <c r="N574" s="210"/>
      <c r="O574" s="210"/>
      <c r="P574" s="210"/>
      <c r="Q574" s="210"/>
      <c r="R574" s="210"/>
      <c r="S574" s="210"/>
      <c r="T574" s="210"/>
      <c r="U574" s="210"/>
      <c r="V574" s="210"/>
      <c r="W574" s="210"/>
      <c r="X574" s="210"/>
      <c r="Y574" s="210"/>
      <c r="Z574" s="210"/>
      <c r="AA574" s="210"/>
      <c r="AB574" s="210"/>
      <c r="AC574" s="210"/>
      <c r="AI574" s="210"/>
      <c r="AJ574" s="210"/>
    </row>
    <row r="575" ht="12.75" customHeight="1">
      <c r="C575" s="210"/>
      <c r="D575" s="210"/>
      <c r="E575" s="210"/>
      <c r="F575" s="210"/>
      <c r="G575" s="210"/>
      <c r="H575" s="210"/>
      <c r="I575" s="210"/>
      <c r="J575" s="210"/>
      <c r="K575" s="210"/>
      <c r="L575" s="210"/>
      <c r="M575" s="210"/>
      <c r="N575" s="210"/>
      <c r="O575" s="210"/>
      <c r="P575" s="210"/>
      <c r="Q575" s="210"/>
      <c r="R575" s="210"/>
      <c r="S575" s="210"/>
      <c r="T575" s="210"/>
      <c r="U575" s="210"/>
      <c r="V575" s="210"/>
      <c r="W575" s="210"/>
      <c r="X575" s="210"/>
      <c r="Y575" s="210"/>
      <c r="Z575" s="210"/>
      <c r="AA575" s="210"/>
      <c r="AB575" s="210"/>
      <c r="AC575" s="210"/>
      <c r="AI575" s="210"/>
      <c r="AJ575" s="210"/>
    </row>
    <row r="576" ht="12.75" customHeight="1">
      <c r="C576" s="210"/>
      <c r="D576" s="210"/>
      <c r="E576" s="210"/>
      <c r="F576" s="210"/>
      <c r="G576" s="210"/>
      <c r="H576" s="210"/>
      <c r="I576" s="210"/>
      <c r="J576" s="210"/>
      <c r="K576" s="210"/>
      <c r="L576" s="210"/>
      <c r="M576" s="210"/>
      <c r="N576" s="210"/>
      <c r="O576" s="210"/>
      <c r="P576" s="210"/>
      <c r="Q576" s="210"/>
      <c r="R576" s="210"/>
      <c r="S576" s="210"/>
      <c r="T576" s="210"/>
      <c r="U576" s="210"/>
      <c r="V576" s="210"/>
      <c r="W576" s="210"/>
      <c r="X576" s="210"/>
      <c r="Y576" s="210"/>
      <c r="Z576" s="210"/>
      <c r="AA576" s="210"/>
      <c r="AB576" s="210"/>
      <c r="AC576" s="210"/>
      <c r="AI576" s="210"/>
      <c r="AJ576" s="210"/>
    </row>
    <row r="577" ht="12.75" customHeight="1">
      <c r="C577" s="210"/>
      <c r="D577" s="210"/>
      <c r="E577" s="210"/>
      <c r="F577" s="210"/>
      <c r="G577" s="210"/>
      <c r="H577" s="210"/>
      <c r="I577" s="210"/>
      <c r="J577" s="210"/>
      <c r="K577" s="210"/>
      <c r="L577" s="210"/>
      <c r="M577" s="210"/>
      <c r="N577" s="210"/>
      <c r="O577" s="210"/>
      <c r="P577" s="210"/>
      <c r="Q577" s="210"/>
      <c r="R577" s="210"/>
      <c r="S577" s="210"/>
      <c r="T577" s="210"/>
      <c r="U577" s="210"/>
      <c r="V577" s="210"/>
      <c r="W577" s="210"/>
      <c r="X577" s="210"/>
      <c r="Y577" s="210"/>
      <c r="Z577" s="210"/>
      <c r="AA577" s="210"/>
      <c r="AB577" s="210"/>
      <c r="AC577" s="210"/>
      <c r="AI577" s="210"/>
      <c r="AJ577" s="210"/>
    </row>
    <row r="578" ht="12.75" customHeight="1">
      <c r="C578" s="210"/>
      <c r="D578" s="210"/>
      <c r="E578" s="210"/>
      <c r="F578" s="210"/>
      <c r="G578" s="210"/>
      <c r="H578" s="210"/>
      <c r="I578" s="210"/>
      <c r="J578" s="210"/>
      <c r="K578" s="210"/>
      <c r="L578" s="210"/>
      <c r="M578" s="210"/>
      <c r="N578" s="210"/>
      <c r="O578" s="210"/>
      <c r="P578" s="210"/>
      <c r="Q578" s="210"/>
      <c r="R578" s="210"/>
      <c r="S578" s="210"/>
      <c r="T578" s="210"/>
      <c r="U578" s="210"/>
      <c r="V578" s="210"/>
      <c r="W578" s="210"/>
      <c r="X578" s="210"/>
      <c r="Y578" s="210"/>
      <c r="Z578" s="210"/>
      <c r="AA578" s="210"/>
      <c r="AB578" s="210"/>
      <c r="AC578" s="210"/>
      <c r="AI578" s="210"/>
      <c r="AJ578" s="210"/>
    </row>
    <row r="579" ht="12.75" customHeight="1">
      <c r="C579" s="210"/>
      <c r="D579" s="210"/>
      <c r="E579" s="210"/>
      <c r="F579" s="210"/>
      <c r="G579" s="210"/>
      <c r="H579" s="210"/>
      <c r="I579" s="210"/>
      <c r="J579" s="210"/>
      <c r="K579" s="210"/>
      <c r="L579" s="210"/>
      <c r="M579" s="210"/>
      <c r="N579" s="210"/>
      <c r="O579" s="210"/>
      <c r="P579" s="210"/>
      <c r="Q579" s="210"/>
      <c r="R579" s="210"/>
      <c r="S579" s="210"/>
      <c r="T579" s="210"/>
      <c r="U579" s="210"/>
      <c r="V579" s="210"/>
      <c r="W579" s="210"/>
      <c r="X579" s="210"/>
      <c r="Y579" s="210"/>
      <c r="Z579" s="210"/>
      <c r="AA579" s="210"/>
      <c r="AB579" s="210"/>
      <c r="AC579" s="210"/>
      <c r="AI579" s="210"/>
      <c r="AJ579" s="210"/>
    </row>
    <row r="580" ht="12.75" customHeight="1">
      <c r="C580" s="210"/>
      <c r="D580" s="210"/>
      <c r="E580" s="210"/>
      <c r="F580" s="210"/>
      <c r="G580" s="210"/>
      <c r="H580" s="210"/>
      <c r="I580" s="210"/>
      <c r="J580" s="210"/>
      <c r="K580" s="210"/>
      <c r="L580" s="210"/>
      <c r="M580" s="210"/>
      <c r="N580" s="210"/>
      <c r="O580" s="210"/>
      <c r="P580" s="210"/>
      <c r="Q580" s="210"/>
      <c r="R580" s="210"/>
      <c r="S580" s="210"/>
      <c r="T580" s="210"/>
      <c r="U580" s="210"/>
      <c r="V580" s="210"/>
      <c r="W580" s="210"/>
      <c r="X580" s="210"/>
      <c r="Y580" s="210"/>
      <c r="Z580" s="210"/>
      <c r="AA580" s="210"/>
      <c r="AB580" s="210"/>
      <c r="AC580" s="210"/>
      <c r="AI580" s="210"/>
      <c r="AJ580" s="210"/>
    </row>
    <row r="581" ht="12.75" customHeight="1">
      <c r="C581" s="210"/>
      <c r="D581" s="210"/>
      <c r="E581" s="210"/>
      <c r="F581" s="210"/>
      <c r="G581" s="210"/>
      <c r="H581" s="210"/>
      <c r="I581" s="210"/>
      <c r="J581" s="210"/>
      <c r="K581" s="210"/>
      <c r="L581" s="210"/>
      <c r="M581" s="210"/>
      <c r="N581" s="210"/>
      <c r="O581" s="210"/>
      <c r="P581" s="210"/>
      <c r="Q581" s="210"/>
      <c r="R581" s="210"/>
      <c r="S581" s="210"/>
      <c r="T581" s="210"/>
      <c r="U581" s="210"/>
      <c r="V581" s="210"/>
      <c r="W581" s="210"/>
      <c r="X581" s="210"/>
      <c r="Y581" s="210"/>
      <c r="Z581" s="210"/>
      <c r="AA581" s="210"/>
      <c r="AB581" s="210"/>
      <c r="AC581" s="210"/>
      <c r="AI581" s="210"/>
      <c r="AJ581" s="210"/>
    </row>
    <row r="582" ht="12.75" customHeight="1">
      <c r="C582" s="210"/>
      <c r="D582" s="210"/>
      <c r="E582" s="210"/>
      <c r="F582" s="210"/>
      <c r="G582" s="210"/>
      <c r="H582" s="210"/>
      <c r="I582" s="210"/>
      <c r="J582" s="210"/>
      <c r="K582" s="210"/>
      <c r="L582" s="210"/>
      <c r="M582" s="210"/>
      <c r="N582" s="210"/>
      <c r="O582" s="210"/>
      <c r="P582" s="210"/>
      <c r="Q582" s="210"/>
      <c r="R582" s="210"/>
      <c r="S582" s="210"/>
      <c r="T582" s="210"/>
      <c r="U582" s="210"/>
      <c r="V582" s="210"/>
      <c r="W582" s="210"/>
      <c r="X582" s="210"/>
      <c r="Y582" s="210"/>
      <c r="Z582" s="210"/>
      <c r="AA582" s="210"/>
      <c r="AB582" s="210"/>
      <c r="AC582" s="210"/>
      <c r="AI582" s="210"/>
      <c r="AJ582" s="210"/>
    </row>
    <row r="583" ht="12.75" customHeight="1">
      <c r="C583" s="210"/>
      <c r="D583" s="210"/>
      <c r="E583" s="210"/>
      <c r="F583" s="210"/>
      <c r="G583" s="210"/>
      <c r="H583" s="210"/>
      <c r="I583" s="210"/>
      <c r="J583" s="210"/>
      <c r="K583" s="210"/>
      <c r="L583" s="210"/>
      <c r="M583" s="210"/>
      <c r="N583" s="210"/>
      <c r="O583" s="210"/>
      <c r="P583" s="210"/>
      <c r="Q583" s="210"/>
      <c r="R583" s="210"/>
      <c r="S583" s="210"/>
      <c r="T583" s="210"/>
      <c r="U583" s="210"/>
      <c r="V583" s="210"/>
      <c r="W583" s="210"/>
      <c r="X583" s="210"/>
      <c r="Y583" s="210"/>
      <c r="Z583" s="210"/>
      <c r="AA583" s="210"/>
      <c r="AB583" s="210"/>
      <c r="AC583" s="210"/>
      <c r="AI583" s="210"/>
      <c r="AJ583" s="210"/>
    </row>
    <row r="584" ht="12.75" customHeight="1">
      <c r="C584" s="210"/>
      <c r="D584" s="210"/>
      <c r="E584" s="210"/>
      <c r="F584" s="210"/>
      <c r="G584" s="210"/>
      <c r="H584" s="210"/>
      <c r="I584" s="210"/>
      <c r="J584" s="210"/>
      <c r="K584" s="210"/>
      <c r="L584" s="210"/>
      <c r="M584" s="210"/>
      <c r="N584" s="210"/>
      <c r="O584" s="210"/>
      <c r="P584" s="210"/>
      <c r="Q584" s="210"/>
      <c r="R584" s="210"/>
      <c r="S584" s="210"/>
      <c r="T584" s="210"/>
      <c r="U584" s="210"/>
      <c r="V584" s="210"/>
      <c r="W584" s="210"/>
      <c r="X584" s="210"/>
      <c r="Y584" s="210"/>
      <c r="Z584" s="210"/>
      <c r="AA584" s="210"/>
      <c r="AB584" s="210"/>
      <c r="AC584" s="210"/>
      <c r="AI584" s="210"/>
      <c r="AJ584" s="210"/>
    </row>
    <row r="585" ht="12.75" customHeight="1">
      <c r="C585" s="210"/>
      <c r="D585" s="210"/>
      <c r="E585" s="210"/>
      <c r="F585" s="210"/>
      <c r="G585" s="210"/>
      <c r="H585" s="210"/>
      <c r="I585" s="210"/>
      <c r="J585" s="210"/>
      <c r="K585" s="210"/>
      <c r="L585" s="210"/>
      <c r="M585" s="210"/>
      <c r="N585" s="210"/>
      <c r="O585" s="210"/>
      <c r="P585" s="210"/>
      <c r="Q585" s="210"/>
      <c r="R585" s="210"/>
      <c r="S585" s="210"/>
      <c r="T585" s="210"/>
      <c r="U585" s="210"/>
      <c r="V585" s="210"/>
      <c r="W585" s="210"/>
      <c r="X585" s="210"/>
      <c r="Y585" s="210"/>
      <c r="Z585" s="210"/>
      <c r="AA585" s="210"/>
      <c r="AB585" s="210"/>
      <c r="AC585" s="210"/>
      <c r="AI585" s="210"/>
      <c r="AJ585" s="210"/>
    </row>
    <row r="586" ht="12.75" customHeight="1">
      <c r="C586" s="210"/>
      <c r="D586" s="210"/>
      <c r="E586" s="210"/>
      <c r="F586" s="210"/>
      <c r="G586" s="210"/>
      <c r="H586" s="210"/>
      <c r="I586" s="210"/>
      <c r="J586" s="210"/>
      <c r="K586" s="210"/>
      <c r="L586" s="210"/>
      <c r="M586" s="210"/>
      <c r="N586" s="210"/>
      <c r="O586" s="210"/>
      <c r="P586" s="210"/>
      <c r="Q586" s="210"/>
      <c r="R586" s="210"/>
      <c r="S586" s="210"/>
      <c r="T586" s="210"/>
      <c r="U586" s="210"/>
      <c r="V586" s="210"/>
      <c r="W586" s="210"/>
      <c r="X586" s="210"/>
      <c r="Y586" s="210"/>
      <c r="Z586" s="210"/>
      <c r="AA586" s="210"/>
      <c r="AB586" s="210"/>
      <c r="AC586" s="210"/>
      <c r="AI586" s="210"/>
      <c r="AJ586" s="210"/>
    </row>
    <row r="587" ht="12.75" customHeight="1">
      <c r="C587" s="210"/>
      <c r="D587" s="210"/>
      <c r="E587" s="210"/>
      <c r="F587" s="210"/>
      <c r="G587" s="210"/>
      <c r="H587" s="210"/>
      <c r="I587" s="210"/>
      <c r="J587" s="210"/>
      <c r="K587" s="210"/>
      <c r="L587" s="210"/>
      <c r="M587" s="210"/>
      <c r="N587" s="210"/>
      <c r="O587" s="210"/>
      <c r="P587" s="210"/>
      <c r="Q587" s="210"/>
      <c r="R587" s="210"/>
      <c r="S587" s="210"/>
      <c r="T587" s="210"/>
      <c r="U587" s="210"/>
      <c r="V587" s="210"/>
      <c r="W587" s="210"/>
      <c r="X587" s="210"/>
      <c r="Y587" s="210"/>
      <c r="Z587" s="210"/>
      <c r="AA587" s="210"/>
      <c r="AB587" s="210"/>
      <c r="AC587" s="210"/>
      <c r="AI587" s="210"/>
      <c r="AJ587" s="210"/>
    </row>
    <row r="588" ht="12.75" customHeight="1">
      <c r="C588" s="210"/>
      <c r="D588" s="210"/>
      <c r="E588" s="210"/>
      <c r="F588" s="210"/>
      <c r="G588" s="210"/>
      <c r="H588" s="210"/>
      <c r="I588" s="210"/>
      <c r="J588" s="210"/>
      <c r="K588" s="210"/>
      <c r="L588" s="210"/>
      <c r="M588" s="210"/>
      <c r="N588" s="210"/>
      <c r="O588" s="210"/>
      <c r="P588" s="210"/>
      <c r="Q588" s="210"/>
      <c r="R588" s="210"/>
      <c r="S588" s="210"/>
      <c r="T588" s="210"/>
      <c r="U588" s="210"/>
      <c r="V588" s="210"/>
      <c r="W588" s="210"/>
      <c r="X588" s="210"/>
      <c r="Y588" s="210"/>
      <c r="Z588" s="210"/>
      <c r="AA588" s="210"/>
      <c r="AB588" s="210"/>
      <c r="AC588" s="210"/>
      <c r="AI588" s="210"/>
      <c r="AJ588" s="210"/>
    </row>
    <row r="589" ht="12.75" customHeight="1">
      <c r="C589" s="210"/>
      <c r="D589" s="210"/>
      <c r="E589" s="210"/>
      <c r="F589" s="210"/>
      <c r="G589" s="210"/>
      <c r="H589" s="210"/>
      <c r="I589" s="210"/>
      <c r="J589" s="210"/>
      <c r="K589" s="210"/>
      <c r="L589" s="210"/>
      <c r="M589" s="210"/>
      <c r="N589" s="210"/>
      <c r="O589" s="210"/>
      <c r="P589" s="210"/>
      <c r="Q589" s="210"/>
      <c r="R589" s="210"/>
      <c r="S589" s="210"/>
      <c r="T589" s="210"/>
      <c r="U589" s="210"/>
      <c r="V589" s="210"/>
      <c r="W589" s="210"/>
      <c r="X589" s="210"/>
      <c r="Y589" s="210"/>
      <c r="Z589" s="210"/>
      <c r="AA589" s="210"/>
      <c r="AB589" s="210"/>
      <c r="AC589" s="210"/>
      <c r="AI589" s="210"/>
      <c r="AJ589" s="210"/>
    </row>
    <row r="590" ht="12.75" customHeight="1">
      <c r="C590" s="210"/>
      <c r="D590" s="210"/>
      <c r="E590" s="210"/>
      <c r="F590" s="210"/>
      <c r="G590" s="210"/>
      <c r="H590" s="210"/>
      <c r="I590" s="210"/>
      <c r="J590" s="210"/>
      <c r="K590" s="210"/>
      <c r="L590" s="210"/>
      <c r="M590" s="210"/>
      <c r="N590" s="210"/>
      <c r="O590" s="210"/>
      <c r="P590" s="210"/>
      <c r="Q590" s="210"/>
      <c r="R590" s="210"/>
      <c r="S590" s="210"/>
      <c r="T590" s="210"/>
      <c r="U590" s="210"/>
      <c r="V590" s="210"/>
      <c r="W590" s="210"/>
      <c r="X590" s="210"/>
      <c r="Y590" s="210"/>
      <c r="Z590" s="210"/>
      <c r="AA590" s="210"/>
      <c r="AB590" s="210"/>
      <c r="AC590" s="210"/>
      <c r="AI590" s="210"/>
      <c r="AJ590" s="210"/>
    </row>
    <row r="591" ht="12.75" customHeight="1">
      <c r="C591" s="210"/>
      <c r="D591" s="210"/>
      <c r="E591" s="210"/>
      <c r="F591" s="210"/>
      <c r="G591" s="210"/>
      <c r="H591" s="210"/>
      <c r="I591" s="210"/>
      <c r="J591" s="210"/>
      <c r="K591" s="210"/>
      <c r="L591" s="210"/>
      <c r="M591" s="210"/>
      <c r="N591" s="210"/>
      <c r="O591" s="210"/>
      <c r="P591" s="210"/>
      <c r="Q591" s="210"/>
      <c r="R591" s="210"/>
      <c r="S591" s="210"/>
      <c r="T591" s="210"/>
      <c r="U591" s="210"/>
      <c r="V591" s="210"/>
      <c r="W591" s="210"/>
      <c r="X591" s="210"/>
      <c r="Y591" s="210"/>
      <c r="Z591" s="210"/>
      <c r="AA591" s="210"/>
      <c r="AB591" s="210"/>
      <c r="AC591" s="210"/>
      <c r="AI591" s="210"/>
      <c r="AJ591" s="210"/>
    </row>
    <row r="592" ht="12.75" customHeight="1">
      <c r="C592" s="210"/>
      <c r="D592" s="210"/>
      <c r="E592" s="210"/>
      <c r="F592" s="210"/>
      <c r="G592" s="210"/>
      <c r="H592" s="210"/>
      <c r="I592" s="210"/>
      <c r="J592" s="210"/>
      <c r="K592" s="210"/>
      <c r="L592" s="210"/>
      <c r="M592" s="210"/>
      <c r="N592" s="210"/>
      <c r="O592" s="210"/>
      <c r="P592" s="210"/>
      <c r="Q592" s="210"/>
      <c r="R592" s="210"/>
      <c r="S592" s="210"/>
      <c r="T592" s="210"/>
      <c r="U592" s="210"/>
      <c r="V592" s="210"/>
      <c r="W592" s="210"/>
      <c r="X592" s="210"/>
      <c r="Y592" s="210"/>
      <c r="Z592" s="210"/>
      <c r="AA592" s="210"/>
      <c r="AB592" s="210"/>
      <c r="AC592" s="210"/>
      <c r="AI592" s="210"/>
      <c r="AJ592" s="210"/>
    </row>
    <row r="593" ht="12.75" customHeight="1">
      <c r="C593" s="210"/>
      <c r="D593" s="210"/>
      <c r="E593" s="210"/>
      <c r="F593" s="210"/>
      <c r="G593" s="210"/>
      <c r="H593" s="210"/>
      <c r="I593" s="210"/>
      <c r="J593" s="210"/>
      <c r="K593" s="210"/>
      <c r="L593" s="210"/>
      <c r="M593" s="210"/>
      <c r="N593" s="210"/>
      <c r="O593" s="210"/>
      <c r="P593" s="210"/>
      <c r="Q593" s="210"/>
      <c r="R593" s="210"/>
      <c r="S593" s="210"/>
      <c r="T593" s="210"/>
      <c r="U593" s="210"/>
      <c r="V593" s="210"/>
      <c r="W593" s="210"/>
      <c r="X593" s="210"/>
      <c r="Y593" s="210"/>
      <c r="Z593" s="210"/>
      <c r="AA593" s="210"/>
      <c r="AB593" s="210"/>
      <c r="AC593" s="210"/>
      <c r="AI593" s="210"/>
      <c r="AJ593" s="210"/>
    </row>
    <row r="594" ht="12.75" customHeight="1">
      <c r="C594" s="210"/>
      <c r="D594" s="210"/>
      <c r="E594" s="210"/>
      <c r="F594" s="210"/>
      <c r="G594" s="210"/>
      <c r="H594" s="210"/>
      <c r="I594" s="210"/>
      <c r="J594" s="210"/>
      <c r="K594" s="210"/>
      <c r="L594" s="210"/>
      <c r="M594" s="210"/>
      <c r="N594" s="210"/>
      <c r="O594" s="210"/>
      <c r="P594" s="210"/>
      <c r="Q594" s="210"/>
      <c r="R594" s="210"/>
      <c r="S594" s="210"/>
      <c r="T594" s="210"/>
      <c r="U594" s="210"/>
      <c r="V594" s="210"/>
      <c r="W594" s="210"/>
      <c r="X594" s="210"/>
      <c r="Y594" s="210"/>
      <c r="Z594" s="210"/>
      <c r="AA594" s="210"/>
      <c r="AB594" s="210"/>
      <c r="AC594" s="210"/>
      <c r="AI594" s="210"/>
      <c r="AJ594" s="210"/>
    </row>
    <row r="595" ht="12.75" customHeight="1">
      <c r="C595" s="210"/>
      <c r="D595" s="210"/>
      <c r="E595" s="210"/>
      <c r="F595" s="210"/>
      <c r="G595" s="210"/>
      <c r="H595" s="210"/>
      <c r="I595" s="210"/>
      <c r="J595" s="210"/>
      <c r="K595" s="210"/>
      <c r="L595" s="210"/>
      <c r="M595" s="210"/>
      <c r="N595" s="210"/>
      <c r="O595" s="210"/>
      <c r="P595" s="210"/>
      <c r="Q595" s="210"/>
      <c r="R595" s="210"/>
      <c r="S595" s="210"/>
      <c r="T595" s="210"/>
      <c r="U595" s="210"/>
      <c r="V595" s="210"/>
      <c r="W595" s="210"/>
      <c r="X595" s="210"/>
      <c r="Y595" s="210"/>
      <c r="Z595" s="210"/>
      <c r="AA595" s="210"/>
      <c r="AB595" s="210"/>
      <c r="AC595" s="210"/>
      <c r="AI595" s="210"/>
      <c r="AJ595" s="210"/>
    </row>
    <row r="596" ht="12.75" customHeight="1">
      <c r="C596" s="210"/>
      <c r="D596" s="210"/>
      <c r="E596" s="210"/>
      <c r="F596" s="210"/>
      <c r="G596" s="210"/>
      <c r="H596" s="210"/>
      <c r="I596" s="210"/>
      <c r="J596" s="210"/>
      <c r="K596" s="210"/>
      <c r="L596" s="210"/>
      <c r="M596" s="210"/>
      <c r="N596" s="210"/>
      <c r="O596" s="210"/>
      <c r="P596" s="210"/>
      <c r="Q596" s="210"/>
      <c r="R596" s="210"/>
      <c r="S596" s="210"/>
      <c r="T596" s="210"/>
      <c r="U596" s="210"/>
      <c r="V596" s="210"/>
      <c r="W596" s="210"/>
      <c r="X596" s="210"/>
      <c r="Y596" s="210"/>
      <c r="Z596" s="210"/>
      <c r="AA596" s="210"/>
      <c r="AB596" s="210"/>
      <c r="AC596" s="210"/>
      <c r="AI596" s="210"/>
      <c r="AJ596" s="210"/>
    </row>
    <row r="597" ht="12.75" customHeight="1">
      <c r="C597" s="210"/>
      <c r="D597" s="210"/>
      <c r="E597" s="210"/>
      <c r="F597" s="210"/>
      <c r="G597" s="210"/>
      <c r="H597" s="210"/>
      <c r="I597" s="210"/>
      <c r="J597" s="210"/>
      <c r="K597" s="210"/>
      <c r="L597" s="210"/>
      <c r="M597" s="210"/>
      <c r="N597" s="210"/>
      <c r="O597" s="210"/>
      <c r="P597" s="210"/>
      <c r="Q597" s="210"/>
      <c r="R597" s="210"/>
      <c r="S597" s="210"/>
      <c r="T597" s="210"/>
      <c r="U597" s="210"/>
      <c r="V597" s="210"/>
      <c r="W597" s="210"/>
      <c r="X597" s="210"/>
      <c r="Y597" s="210"/>
      <c r="Z597" s="210"/>
      <c r="AA597" s="210"/>
      <c r="AB597" s="210"/>
      <c r="AC597" s="210"/>
      <c r="AI597" s="210"/>
      <c r="AJ597" s="210"/>
    </row>
    <row r="598" ht="12.75" customHeight="1">
      <c r="C598" s="210"/>
      <c r="D598" s="210"/>
      <c r="E598" s="210"/>
      <c r="F598" s="210"/>
      <c r="G598" s="210"/>
      <c r="H598" s="210"/>
      <c r="I598" s="210"/>
      <c r="J598" s="210"/>
      <c r="K598" s="210"/>
      <c r="L598" s="210"/>
      <c r="M598" s="210"/>
      <c r="N598" s="210"/>
      <c r="O598" s="210"/>
      <c r="P598" s="210"/>
      <c r="Q598" s="210"/>
      <c r="R598" s="210"/>
      <c r="S598" s="210"/>
      <c r="T598" s="210"/>
      <c r="U598" s="210"/>
      <c r="V598" s="210"/>
      <c r="W598" s="210"/>
      <c r="X598" s="210"/>
      <c r="Y598" s="210"/>
      <c r="Z598" s="210"/>
      <c r="AA598" s="210"/>
      <c r="AB598" s="210"/>
      <c r="AC598" s="210"/>
      <c r="AI598" s="210"/>
      <c r="AJ598" s="210"/>
    </row>
    <row r="599" ht="12.75" customHeight="1">
      <c r="C599" s="210"/>
      <c r="D599" s="210"/>
      <c r="E599" s="210"/>
      <c r="F599" s="210"/>
      <c r="G599" s="210"/>
      <c r="H599" s="210"/>
      <c r="I599" s="210"/>
      <c r="J599" s="210"/>
      <c r="K599" s="210"/>
      <c r="L599" s="210"/>
      <c r="M599" s="210"/>
      <c r="N599" s="210"/>
      <c r="O599" s="210"/>
      <c r="P599" s="210"/>
      <c r="Q599" s="210"/>
      <c r="R599" s="210"/>
      <c r="S599" s="210"/>
      <c r="T599" s="210"/>
      <c r="U599" s="210"/>
      <c r="V599" s="210"/>
      <c r="W599" s="210"/>
      <c r="X599" s="210"/>
      <c r="Y599" s="210"/>
      <c r="Z599" s="210"/>
      <c r="AA599" s="210"/>
      <c r="AB599" s="210"/>
      <c r="AC599" s="210"/>
      <c r="AI599" s="210"/>
      <c r="AJ599" s="210"/>
    </row>
    <row r="600" ht="12.75" customHeight="1">
      <c r="C600" s="210"/>
      <c r="D600" s="210"/>
      <c r="E600" s="210"/>
      <c r="F600" s="210"/>
      <c r="G600" s="210"/>
      <c r="H600" s="210"/>
      <c r="I600" s="210"/>
      <c r="J600" s="210"/>
      <c r="K600" s="210"/>
      <c r="L600" s="210"/>
      <c r="M600" s="210"/>
      <c r="N600" s="210"/>
      <c r="O600" s="210"/>
      <c r="P600" s="210"/>
      <c r="Q600" s="210"/>
      <c r="R600" s="210"/>
      <c r="S600" s="210"/>
      <c r="T600" s="210"/>
      <c r="U600" s="210"/>
      <c r="V600" s="210"/>
      <c r="W600" s="210"/>
      <c r="X600" s="210"/>
      <c r="Y600" s="210"/>
      <c r="Z600" s="210"/>
      <c r="AA600" s="210"/>
      <c r="AB600" s="210"/>
      <c r="AC600" s="210"/>
      <c r="AI600" s="210"/>
      <c r="AJ600" s="210"/>
    </row>
    <row r="601" ht="12.75" customHeight="1">
      <c r="C601" s="210"/>
      <c r="D601" s="210"/>
      <c r="E601" s="210"/>
      <c r="F601" s="210"/>
      <c r="G601" s="210"/>
      <c r="H601" s="210"/>
      <c r="I601" s="210"/>
      <c r="J601" s="210"/>
      <c r="K601" s="210"/>
      <c r="L601" s="210"/>
      <c r="M601" s="210"/>
      <c r="N601" s="210"/>
      <c r="O601" s="210"/>
      <c r="P601" s="210"/>
      <c r="Q601" s="210"/>
      <c r="R601" s="210"/>
      <c r="S601" s="210"/>
      <c r="T601" s="210"/>
      <c r="U601" s="210"/>
      <c r="V601" s="210"/>
      <c r="W601" s="210"/>
      <c r="X601" s="210"/>
      <c r="Y601" s="210"/>
      <c r="Z601" s="210"/>
      <c r="AA601" s="210"/>
      <c r="AB601" s="210"/>
      <c r="AC601" s="210"/>
      <c r="AI601" s="210"/>
      <c r="AJ601" s="210"/>
    </row>
    <row r="602" ht="12.75" customHeight="1">
      <c r="C602" s="210"/>
      <c r="D602" s="210"/>
      <c r="E602" s="210"/>
      <c r="F602" s="210"/>
      <c r="G602" s="210"/>
      <c r="H602" s="210"/>
      <c r="I602" s="210"/>
      <c r="J602" s="210"/>
      <c r="K602" s="210"/>
      <c r="L602" s="210"/>
      <c r="M602" s="210"/>
      <c r="N602" s="210"/>
      <c r="O602" s="210"/>
      <c r="P602" s="210"/>
      <c r="Q602" s="210"/>
      <c r="R602" s="210"/>
      <c r="S602" s="210"/>
      <c r="T602" s="210"/>
      <c r="U602" s="210"/>
      <c r="V602" s="210"/>
      <c r="W602" s="210"/>
      <c r="X602" s="210"/>
      <c r="Y602" s="210"/>
      <c r="Z602" s="210"/>
      <c r="AA602" s="210"/>
      <c r="AB602" s="210"/>
      <c r="AC602" s="210"/>
      <c r="AI602" s="210"/>
      <c r="AJ602" s="210"/>
    </row>
    <row r="603" ht="12.75" customHeight="1">
      <c r="C603" s="210"/>
      <c r="D603" s="210"/>
      <c r="E603" s="210"/>
      <c r="F603" s="210"/>
      <c r="G603" s="210"/>
      <c r="H603" s="210"/>
      <c r="I603" s="210"/>
      <c r="J603" s="210"/>
      <c r="K603" s="210"/>
      <c r="L603" s="210"/>
      <c r="M603" s="210"/>
      <c r="N603" s="210"/>
      <c r="O603" s="210"/>
      <c r="P603" s="210"/>
      <c r="Q603" s="210"/>
      <c r="R603" s="210"/>
      <c r="S603" s="210"/>
      <c r="T603" s="210"/>
      <c r="U603" s="210"/>
      <c r="V603" s="210"/>
      <c r="W603" s="210"/>
      <c r="X603" s="210"/>
      <c r="Y603" s="210"/>
      <c r="Z603" s="210"/>
      <c r="AA603" s="210"/>
      <c r="AB603" s="210"/>
      <c r="AC603" s="210"/>
      <c r="AI603" s="210"/>
      <c r="AJ603" s="210"/>
    </row>
    <row r="604" ht="12.75" customHeight="1">
      <c r="C604" s="210"/>
      <c r="D604" s="210"/>
      <c r="E604" s="210"/>
      <c r="F604" s="210"/>
      <c r="G604" s="210"/>
      <c r="H604" s="210"/>
      <c r="I604" s="210"/>
      <c r="J604" s="210"/>
      <c r="K604" s="210"/>
      <c r="L604" s="210"/>
      <c r="M604" s="210"/>
      <c r="N604" s="210"/>
      <c r="O604" s="210"/>
      <c r="P604" s="210"/>
      <c r="Q604" s="210"/>
      <c r="R604" s="210"/>
      <c r="S604" s="210"/>
      <c r="T604" s="210"/>
      <c r="U604" s="210"/>
      <c r="V604" s="210"/>
      <c r="W604" s="210"/>
      <c r="X604" s="210"/>
      <c r="Y604" s="210"/>
      <c r="Z604" s="210"/>
      <c r="AA604" s="210"/>
      <c r="AB604" s="210"/>
      <c r="AC604" s="210"/>
      <c r="AI604" s="210"/>
      <c r="AJ604" s="210"/>
    </row>
    <row r="605" ht="12.75" customHeight="1">
      <c r="C605" s="210"/>
      <c r="D605" s="210"/>
      <c r="E605" s="210"/>
      <c r="F605" s="210"/>
      <c r="G605" s="210"/>
      <c r="H605" s="210"/>
      <c r="I605" s="210"/>
      <c r="J605" s="210"/>
      <c r="K605" s="210"/>
      <c r="L605" s="210"/>
      <c r="M605" s="210"/>
      <c r="N605" s="210"/>
      <c r="O605" s="210"/>
      <c r="P605" s="210"/>
      <c r="Q605" s="210"/>
      <c r="R605" s="210"/>
      <c r="S605" s="210"/>
      <c r="T605" s="210"/>
      <c r="U605" s="210"/>
      <c r="V605" s="210"/>
      <c r="W605" s="210"/>
      <c r="X605" s="210"/>
      <c r="Y605" s="210"/>
      <c r="Z605" s="210"/>
      <c r="AA605" s="210"/>
      <c r="AB605" s="210"/>
      <c r="AC605" s="210"/>
      <c r="AI605" s="210"/>
      <c r="AJ605" s="210"/>
    </row>
    <row r="606" ht="12.75" customHeight="1">
      <c r="C606" s="210"/>
      <c r="D606" s="210"/>
      <c r="E606" s="210"/>
      <c r="F606" s="210"/>
      <c r="G606" s="210"/>
      <c r="H606" s="210"/>
      <c r="I606" s="210"/>
      <c r="J606" s="210"/>
      <c r="K606" s="210"/>
      <c r="L606" s="210"/>
      <c r="M606" s="210"/>
      <c r="N606" s="210"/>
      <c r="O606" s="210"/>
      <c r="P606" s="210"/>
      <c r="Q606" s="210"/>
      <c r="R606" s="210"/>
      <c r="S606" s="210"/>
      <c r="T606" s="210"/>
      <c r="U606" s="210"/>
      <c r="V606" s="210"/>
      <c r="W606" s="210"/>
      <c r="X606" s="210"/>
      <c r="Y606" s="210"/>
      <c r="Z606" s="210"/>
      <c r="AA606" s="210"/>
      <c r="AB606" s="210"/>
      <c r="AC606" s="210"/>
      <c r="AI606" s="210"/>
      <c r="AJ606" s="210"/>
    </row>
    <row r="607" ht="12.75" customHeight="1">
      <c r="C607" s="210"/>
      <c r="D607" s="210"/>
      <c r="E607" s="210"/>
      <c r="F607" s="210"/>
      <c r="G607" s="210"/>
      <c r="H607" s="210"/>
      <c r="I607" s="210"/>
      <c r="J607" s="210"/>
      <c r="K607" s="210"/>
      <c r="L607" s="210"/>
      <c r="M607" s="210"/>
      <c r="N607" s="210"/>
      <c r="O607" s="210"/>
      <c r="P607" s="210"/>
      <c r="Q607" s="210"/>
      <c r="R607" s="210"/>
      <c r="S607" s="210"/>
      <c r="T607" s="210"/>
      <c r="U607" s="210"/>
      <c r="V607" s="210"/>
      <c r="W607" s="210"/>
      <c r="X607" s="210"/>
      <c r="Y607" s="210"/>
      <c r="Z607" s="210"/>
      <c r="AA607" s="210"/>
      <c r="AB607" s="210"/>
      <c r="AC607" s="210"/>
      <c r="AI607" s="210"/>
      <c r="AJ607" s="210"/>
    </row>
    <row r="608" ht="12.75" customHeight="1">
      <c r="C608" s="210"/>
      <c r="D608" s="210"/>
      <c r="E608" s="210"/>
      <c r="F608" s="210"/>
      <c r="G608" s="210"/>
      <c r="H608" s="210"/>
      <c r="I608" s="210"/>
      <c r="J608" s="210"/>
      <c r="K608" s="210"/>
      <c r="L608" s="210"/>
      <c r="M608" s="210"/>
      <c r="N608" s="210"/>
      <c r="O608" s="210"/>
      <c r="P608" s="210"/>
      <c r="Q608" s="210"/>
      <c r="R608" s="210"/>
      <c r="S608" s="210"/>
      <c r="T608" s="210"/>
      <c r="U608" s="210"/>
      <c r="V608" s="210"/>
      <c r="W608" s="210"/>
      <c r="X608" s="210"/>
      <c r="Y608" s="210"/>
      <c r="Z608" s="210"/>
      <c r="AA608" s="210"/>
      <c r="AB608" s="210"/>
      <c r="AC608" s="210"/>
      <c r="AI608" s="210"/>
      <c r="AJ608" s="210"/>
    </row>
    <row r="609" ht="12.75" customHeight="1">
      <c r="C609" s="210"/>
      <c r="D609" s="210"/>
      <c r="E609" s="210"/>
      <c r="F609" s="210"/>
      <c r="G609" s="210"/>
      <c r="H609" s="210"/>
      <c r="I609" s="210"/>
      <c r="J609" s="210"/>
      <c r="K609" s="210"/>
      <c r="L609" s="210"/>
      <c r="M609" s="210"/>
      <c r="N609" s="210"/>
      <c r="O609" s="210"/>
      <c r="P609" s="210"/>
      <c r="Q609" s="210"/>
      <c r="R609" s="210"/>
      <c r="S609" s="210"/>
      <c r="T609" s="210"/>
      <c r="U609" s="210"/>
      <c r="V609" s="210"/>
      <c r="W609" s="210"/>
      <c r="X609" s="210"/>
      <c r="Y609" s="210"/>
      <c r="Z609" s="210"/>
      <c r="AA609" s="210"/>
      <c r="AB609" s="210"/>
      <c r="AC609" s="210"/>
      <c r="AI609" s="210"/>
      <c r="AJ609" s="210"/>
    </row>
    <row r="610" ht="12.75" customHeight="1">
      <c r="C610" s="210"/>
      <c r="D610" s="210"/>
      <c r="E610" s="210"/>
      <c r="F610" s="210"/>
      <c r="G610" s="210"/>
      <c r="H610" s="210"/>
      <c r="I610" s="210"/>
      <c r="J610" s="210"/>
      <c r="K610" s="210"/>
      <c r="L610" s="210"/>
      <c r="M610" s="210"/>
      <c r="N610" s="210"/>
      <c r="O610" s="210"/>
      <c r="P610" s="210"/>
      <c r="Q610" s="210"/>
      <c r="R610" s="210"/>
      <c r="S610" s="210"/>
      <c r="T610" s="210"/>
      <c r="U610" s="210"/>
      <c r="V610" s="210"/>
      <c r="W610" s="210"/>
      <c r="X610" s="210"/>
      <c r="Y610" s="210"/>
      <c r="Z610" s="210"/>
      <c r="AA610" s="210"/>
      <c r="AB610" s="210"/>
      <c r="AC610" s="210"/>
      <c r="AI610" s="210"/>
      <c r="AJ610" s="210"/>
    </row>
    <row r="611" ht="12.75" customHeight="1">
      <c r="C611" s="210"/>
      <c r="D611" s="210"/>
      <c r="E611" s="210"/>
      <c r="F611" s="210"/>
      <c r="G611" s="210"/>
      <c r="H611" s="210"/>
      <c r="I611" s="210"/>
      <c r="J611" s="210"/>
      <c r="K611" s="210"/>
      <c r="L611" s="210"/>
      <c r="M611" s="210"/>
      <c r="N611" s="210"/>
      <c r="O611" s="210"/>
      <c r="P611" s="210"/>
      <c r="Q611" s="210"/>
      <c r="R611" s="210"/>
      <c r="S611" s="210"/>
      <c r="T611" s="210"/>
      <c r="U611" s="210"/>
      <c r="V611" s="210"/>
      <c r="W611" s="210"/>
      <c r="X611" s="210"/>
      <c r="Y611" s="210"/>
      <c r="Z611" s="210"/>
      <c r="AA611" s="210"/>
      <c r="AB611" s="210"/>
      <c r="AC611" s="210"/>
      <c r="AI611" s="210"/>
      <c r="AJ611" s="210"/>
    </row>
    <row r="612" ht="12.75" customHeight="1">
      <c r="C612" s="210"/>
      <c r="D612" s="210"/>
      <c r="E612" s="210"/>
      <c r="F612" s="210"/>
      <c r="G612" s="210"/>
      <c r="H612" s="210"/>
      <c r="I612" s="210"/>
      <c r="J612" s="210"/>
      <c r="K612" s="210"/>
      <c r="L612" s="210"/>
      <c r="M612" s="210"/>
      <c r="N612" s="210"/>
      <c r="O612" s="210"/>
      <c r="P612" s="210"/>
      <c r="Q612" s="210"/>
      <c r="R612" s="210"/>
      <c r="S612" s="210"/>
      <c r="T612" s="210"/>
      <c r="U612" s="210"/>
      <c r="V612" s="210"/>
      <c r="W612" s="210"/>
      <c r="X612" s="210"/>
      <c r="Y612" s="210"/>
      <c r="Z612" s="210"/>
      <c r="AA612" s="210"/>
      <c r="AB612" s="210"/>
      <c r="AC612" s="210"/>
      <c r="AI612" s="210"/>
      <c r="AJ612" s="210"/>
    </row>
    <row r="613" ht="12.75" customHeight="1">
      <c r="C613" s="210"/>
      <c r="D613" s="210"/>
      <c r="E613" s="210"/>
      <c r="F613" s="210"/>
      <c r="G613" s="210"/>
      <c r="H613" s="210"/>
      <c r="I613" s="210"/>
      <c r="J613" s="210"/>
      <c r="K613" s="210"/>
      <c r="L613" s="210"/>
      <c r="M613" s="210"/>
      <c r="N613" s="210"/>
      <c r="O613" s="210"/>
      <c r="P613" s="210"/>
      <c r="Q613" s="210"/>
      <c r="R613" s="210"/>
      <c r="S613" s="210"/>
      <c r="T613" s="210"/>
      <c r="U613" s="210"/>
      <c r="V613" s="210"/>
      <c r="W613" s="210"/>
      <c r="X613" s="210"/>
      <c r="Y613" s="210"/>
      <c r="Z613" s="210"/>
      <c r="AA613" s="210"/>
      <c r="AB613" s="210"/>
      <c r="AC613" s="210"/>
      <c r="AI613" s="210"/>
      <c r="AJ613" s="210"/>
    </row>
    <row r="614" ht="12.75" customHeight="1">
      <c r="C614" s="210"/>
      <c r="D614" s="210"/>
      <c r="E614" s="210"/>
      <c r="F614" s="210"/>
      <c r="G614" s="210"/>
      <c r="H614" s="210"/>
      <c r="I614" s="210"/>
      <c r="J614" s="210"/>
      <c r="K614" s="210"/>
      <c r="L614" s="210"/>
      <c r="M614" s="210"/>
      <c r="N614" s="210"/>
      <c r="O614" s="210"/>
      <c r="P614" s="210"/>
      <c r="Q614" s="210"/>
      <c r="R614" s="210"/>
      <c r="S614" s="210"/>
      <c r="T614" s="210"/>
      <c r="U614" s="210"/>
      <c r="V614" s="210"/>
      <c r="W614" s="210"/>
      <c r="X614" s="210"/>
      <c r="Y614" s="210"/>
      <c r="Z614" s="210"/>
      <c r="AA614" s="210"/>
      <c r="AB614" s="210"/>
      <c r="AC614" s="210"/>
      <c r="AI614" s="210"/>
      <c r="AJ614" s="210"/>
    </row>
    <row r="615" ht="12.75" customHeight="1">
      <c r="C615" s="210"/>
      <c r="D615" s="210"/>
      <c r="E615" s="210"/>
      <c r="F615" s="210"/>
      <c r="G615" s="210"/>
      <c r="H615" s="210"/>
      <c r="I615" s="210"/>
      <c r="J615" s="210"/>
      <c r="K615" s="210"/>
      <c r="L615" s="210"/>
      <c r="M615" s="210"/>
      <c r="N615" s="210"/>
      <c r="O615" s="210"/>
      <c r="P615" s="210"/>
      <c r="Q615" s="210"/>
      <c r="R615" s="210"/>
      <c r="S615" s="210"/>
      <c r="T615" s="210"/>
      <c r="U615" s="210"/>
      <c r="V615" s="210"/>
      <c r="W615" s="210"/>
      <c r="X615" s="210"/>
      <c r="Y615" s="210"/>
      <c r="Z615" s="210"/>
      <c r="AA615" s="210"/>
      <c r="AB615" s="210"/>
      <c r="AC615" s="210"/>
      <c r="AI615" s="210"/>
      <c r="AJ615" s="210"/>
    </row>
    <row r="616" ht="12.75" customHeight="1">
      <c r="C616" s="210"/>
      <c r="D616" s="210"/>
      <c r="E616" s="210"/>
      <c r="F616" s="210"/>
      <c r="G616" s="210"/>
      <c r="H616" s="210"/>
      <c r="I616" s="210"/>
      <c r="J616" s="210"/>
      <c r="K616" s="210"/>
      <c r="L616" s="210"/>
      <c r="M616" s="210"/>
      <c r="N616" s="210"/>
      <c r="O616" s="210"/>
      <c r="P616" s="210"/>
      <c r="Q616" s="210"/>
      <c r="R616" s="210"/>
      <c r="S616" s="210"/>
      <c r="T616" s="210"/>
      <c r="U616" s="210"/>
      <c r="V616" s="210"/>
      <c r="W616" s="210"/>
      <c r="X616" s="210"/>
      <c r="Y616" s="210"/>
      <c r="Z616" s="210"/>
      <c r="AA616" s="210"/>
      <c r="AB616" s="210"/>
      <c r="AC616" s="210"/>
      <c r="AI616" s="210"/>
      <c r="AJ616" s="210"/>
    </row>
    <row r="617" ht="12.75" customHeight="1">
      <c r="C617" s="210"/>
      <c r="D617" s="210"/>
      <c r="E617" s="210"/>
      <c r="F617" s="210"/>
      <c r="G617" s="210"/>
      <c r="H617" s="210"/>
      <c r="I617" s="210"/>
      <c r="J617" s="210"/>
      <c r="K617" s="210"/>
      <c r="L617" s="210"/>
      <c r="M617" s="210"/>
      <c r="N617" s="210"/>
      <c r="O617" s="210"/>
      <c r="P617" s="210"/>
      <c r="Q617" s="210"/>
      <c r="R617" s="210"/>
      <c r="S617" s="210"/>
      <c r="T617" s="210"/>
      <c r="U617" s="210"/>
      <c r="V617" s="210"/>
      <c r="W617" s="210"/>
      <c r="X617" s="210"/>
      <c r="Y617" s="210"/>
      <c r="Z617" s="210"/>
      <c r="AA617" s="210"/>
      <c r="AB617" s="210"/>
      <c r="AC617" s="210"/>
      <c r="AI617" s="210"/>
      <c r="AJ617" s="210"/>
    </row>
    <row r="618" ht="12.75" customHeight="1">
      <c r="C618" s="210"/>
      <c r="D618" s="210"/>
      <c r="E618" s="210"/>
      <c r="F618" s="210"/>
      <c r="G618" s="210"/>
      <c r="H618" s="210"/>
      <c r="I618" s="210"/>
      <c r="J618" s="210"/>
      <c r="K618" s="210"/>
      <c r="L618" s="210"/>
      <c r="M618" s="210"/>
      <c r="N618" s="210"/>
      <c r="O618" s="210"/>
      <c r="P618" s="210"/>
      <c r="Q618" s="210"/>
      <c r="R618" s="210"/>
      <c r="S618" s="210"/>
      <c r="T618" s="210"/>
      <c r="U618" s="210"/>
      <c r="V618" s="210"/>
      <c r="W618" s="210"/>
      <c r="X618" s="210"/>
      <c r="Y618" s="210"/>
      <c r="Z618" s="210"/>
      <c r="AA618" s="210"/>
      <c r="AB618" s="210"/>
      <c r="AC618" s="210"/>
      <c r="AI618" s="210"/>
      <c r="AJ618" s="210"/>
    </row>
    <row r="619" ht="12.75" customHeight="1">
      <c r="C619" s="210"/>
      <c r="D619" s="210"/>
      <c r="E619" s="210"/>
      <c r="F619" s="210"/>
      <c r="G619" s="210"/>
      <c r="H619" s="210"/>
      <c r="I619" s="210"/>
      <c r="J619" s="210"/>
      <c r="K619" s="210"/>
      <c r="L619" s="210"/>
      <c r="M619" s="210"/>
      <c r="N619" s="210"/>
      <c r="O619" s="210"/>
      <c r="P619" s="210"/>
      <c r="Q619" s="210"/>
      <c r="R619" s="210"/>
      <c r="S619" s="210"/>
      <c r="T619" s="210"/>
      <c r="U619" s="210"/>
      <c r="V619" s="210"/>
      <c r="W619" s="210"/>
      <c r="X619" s="210"/>
      <c r="Y619" s="210"/>
      <c r="Z619" s="210"/>
      <c r="AA619" s="210"/>
      <c r="AB619" s="210"/>
      <c r="AC619" s="210"/>
      <c r="AI619" s="210"/>
      <c r="AJ619" s="210"/>
    </row>
    <row r="620" ht="12.75" customHeight="1">
      <c r="C620" s="210"/>
      <c r="D620" s="210"/>
      <c r="E620" s="210"/>
      <c r="F620" s="210"/>
      <c r="G620" s="210"/>
      <c r="H620" s="210"/>
      <c r="I620" s="210"/>
      <c r="J620" s="210"/>
      <c r="K620" s="210"/>
      <c r="L620" s="210"/>
      <c r="M620" s="210"/>
      <c r="N620" s="210"/>
      <c r="O620" s="210"/>
      <c r="P620" s="210"/>
      <c r="Q620" s="210"/>
      <c r="R620" s="210"/>
      <c r="S620" s="210"/>
      <c r="T620" s="210"/>
      <c r="U620" s="210"/>
      <c r="V620" s="210"/>
      <c r="W620" s="210"/>
      <c r="X620" s="210"/>
      <c r="Y620" s="210"/>
      <c r="Z620" s="210"/>
      <c r="AA620" s="210"/>
      <c r="AB620" s="210"/>
      <c r="AC620" s="210"/>
      <c r="AI620" s="210"/>
      <c r="AJ620" s="210"/>
    </row>
    <row r="621" ht="12.75" customHeight="1">
      <c r="C621" s="210"/>
      <c r="D621" s="210"/>
      <c r="E621" s="210"/>
      <c r="F621" s="210"/>
      <c r="G621" s="210"/>
      <c r="H621" s="210"/>
      <c r="I621" s="210"/>
      <c r="J621" s="210"/>
      <c r="K621" s="210"/>
      <c r="L621" s="210"/>
      <c r="M621" s="210"/>
      <c r="N621" s="210"/>
      <c r="O621" s="210"/>
      <c r="P621" s="210"/>
      <c r="Q621" s="210"/>
      <c r="R621" s="210"/>
      <c r="S621" s="210"/>
      <c r="T621" s="210"/>
      <c r="U621" s="210"/>
      <c r="V621" s="210"/>
      <c r="W621" s="210"/>
      <c r="X621" s="210"/>
      <c r="Y621" s="210"/>
      <c r="Z621" s="210"/>
      <c r="AA621" s="210"/>
      <c r="AB621" s="210"/>
      <c r="AC621" s="210"/>
      <c r="AI621" s="210"/>
      <c r="AJ621" s="210"/>
    </row>
    <row r="622" ht="12.75" customHeight="1">
      <c r="C622" s="210"/>
      <c r="D622" s="210"/>
      <c r="E622" s="210"/>
      <c r="F622" s="210"/>
      <c r="G622" s="210"/>
      <c r="H622" s="210"/>
      <c r="I622" s="210"/>
      <c r="J622" s="210"/>
      <c r="K622" s="210"/>
      <c r="L622" s="210"/>
      <c r="M622" s="210"/>
      <c r="N622" s="210"/>
      <c r="O622" s="210"/>
      <c r="P622" s="210"/>
      <c r="Q622" s="210"/>
      <c r="R622" s="210"/>
      <c r="S622" s="210"/>
      <c r="T622" s="210"/>
      <c r="U622" s="210"/>
      <c r="V622" s="210"/>
      <c r="W622" s="210"/>
      <c r="X622" s="210"/>
      <c r="Y622" s="210"/>
      <c r="Z622" s="210"/>
      <c r="AA622" s="210"/>
      <c r="AB622" s="210"/>
      <c r="AC622" s="210"/>
      <c r="AI622" s="210"/>
      <c r="AJ622" s="210"/>
    </row>
    <row r="623" ht="12.75" customHeight="1">
      <c r="C623" s="210"/>
      <c r="D623" s="210"/>
      <c r="E623" s="210"/>
      <c r="F623" s="210"/>
      <c r="G623" s="210"/>
      <c r="H623" s="210"/>
      <c r="I623" s="210"/>
      <c r="J623" s="210"/>
      <c r="K623" s="210"/>
      <c r="L623" s="210"/>
      <c r="M623" s="210"/>
      <c r="N623" s="210"/>
      <c r="O623" s="210"/>
      <c r="P623" s="210"/>
      <c r="Q623" s="210"/>
      <c r="R623" s="210"/>
      <c r="S623" s="210"/>
      <c r="T623" s="210"/>
      <c r="U623" s="210"/>
      <c r="V623" s="210"/>
      <c r="W623" s="210"/>
      <c r="X623" s="210"/>
      <c r="Y623" s="210"/>
      <c r="Z623" s="210"/>
      <c r="AA623" s="210"/>
      <c r="AB623" s="210"/>
      <c r="AC623" s="210"/>
      <c r="AI623" s="210"/>
      <c r="AJ623" s="210"/>
    </row>
    <row r="624" ht="12.75" customHeight="1">
      <c r="C624" s="210"/>
      <c r="D624" s="210"/>
      <c r="E624" s="210"/>
      <c r="F624" s="210"/>
      <c r="G624" s="210"/>
      <c r="H624" s="210"/>
      <c r="I624" s="210"/>
      <c r="J624" s="210"/>
      <c r="K624" s="210"/>
      <c r="L624" s="210"/>
      <c r="M624" s="210"/>
      <c r="N624" s="210"/>
      <c r="O624" s="210"/>
      <c r="P624" s="210"/>
      <c r="Q624" s="210"/>
      <c r="R624" s="210"/>
      <c r="S624" s="210"/>
      <c r="T624" s="210"/>
      <c r="U624" s="210"/>
      <c r="V624" s="210"/>
      <c r="W624" s="210"/>
      <c r="X624" s="210"/>
      <c r="Y624" s="210"/>
      <c r="Z624" s="210"/>
      <c r="AA624" s="210"/>
      <c r="AB624" s="210"/>
      <c r="AC624" s="210"/>
      <c r="AI624" s="210"/>
      <c r="AJ624" s="210"/>
    </row>
    <row r="625" ht="12.75" customHeight="1">
      <c r="C625" s="210"/>
      <c r="D625" s="210"/>
      <c r="E625" s="210"/>
      <c r="F625" s="210"/>
      <c r="G625" s="210"/>
      <c r="H625" s="210"/>
      <c r="I625" s="210"/>
      <c r="J625" s="210"/>
      <c r="K625" s="210"/>
      <c r="L625" s="210"/>
      <c r="M625" s="210"/>
      <c r="N625" s="210"/>
      <c r="O625" s="210"/>
      <c r="P625" s="210"/>
      <c r="Q625" s="210"/>
      <c r="R625" s="210"/>
      <c r="S625" s="210"/>
      <c r="T625" s="210"/>
      <c r="U625" s="210"/>
      <c r="V625" s="210"/>
      <c r="W625" s="210"/>
      <c r="X625" s="210"/>
      <c r="Y625" s="210"/>
      <c r="Z625" s="210"/>
      <c r="AA625" s="210"/>
      <c r="AB625" s="210"/>
      <c r="AC625" s="210"/>
      <c r="AI625" s="210"/>
      <c r="AJ625" s="210"/>
    </row>
    <row r="626" ht="12.75" customHeight="1">
      <c r="C626" s="210"/>
      <c r="D626" s="210"/>
      <c r="E626" s="210"/>
      <c r="F626" s="210"/>
      <c r="G626" s="210"/>
      <c r="H626" s="210"/>
      <c r="I626" s="210"/>
      <c r="J626" s="210"/>
      <c r="K626" s="210"/>
      <c r="L626" s="210"/>
      <c r="M626" s="210"/>
      <c r="N626" s="210"/>
      <c r="O626" s="210"/>
      <c r="P626" s="210"/>
      <c r="Q626" s="210"/>
      <c r="R626" s="210"/>
      <c r="S626" s="210"/>
      <c r="T626" s="210"/>
      <c r="U626" s="210"/>
      <c r="V626" s="210"/>
      <c r="W626" s="210"/>
      <c r="X626" s="210"/>
      <c r="Y626" s="210"/>
      <c r="Z626" s="210"/>
      <c r="AA626" s="210"/>
      <c r="AB626" s="210"/>
      <c r="AC626" s="210"/>
      <c r="AI626" s="210"/>
      <c r="AJ626" s="210"/>
    </row>
    <row r="627" ht="12.75" customHeight="1">
      <c r="C627" s="210"/>
      <c r="D627" s="210"/>
      <c r="E627" s="210"/>
      <c r="F627" s="210"/>
      <c r="G627" s="210"/>
      <c r="H627" s="210"/>
      <c r="I627" s="210"/>
      <c r="J627" s="210"/>
      <c r="K627" s="210"/>
      <c r="L627" s="210"/>
      <c r="M627" s="210"/>
      <c r="N627" s="210"/>
      <c r="O627" s="210"/>
      <c r="P627" s="210"/>
      <c r="Q627" s="210"/>
      <c r="R627" s="210"/>
      <c r="S627" s="210"/>
      <c r="T627" s="210"/>
      <c r="U627" s="210"/>
      <c r="V627" s="210"/>
      <c r="W627" s="210"/>
      <c r="X627" s="210"/>
      <c r="Y627" s="210"/>
      <c r="Z627" s="210"/>
      <c r="AA627" s="210"/>
      <c r="AB627" s="210"/>
      <c r="AC627" s="210"/>
      <c r="AI627" s="210"/>
      <c r="AJ627" s="210"/>
    </row>
    <row r="628" ht="12.75" customHeight="1">
      <c r="C628" s="210"/>
      <c r="D628" s="210"/>
      <c r="E628" s="210"/>
      <c r="F628" s="210"/>
      <c r="G628" s="210"/>
      <c r="H628" s="210"/>
      <c r="I628" s="210"/>
      <c r="J628" s="210"/>
      <c r="K628" s="210"/>
      <c r="L628" s="210"/>
      <c r="M628" s="210"/>
      <c r="N628" s="210"/>
      <c r="O628" s="210"/>
      <c r="P628" s="210"/>
      <c r="Q628" s="210"/>
      <c r="R628" s="210"/>
      <c r="S628" s="210"/>
      <c r="T628" s="210"/>
      <c r="U628" s="210"/>
      <c r="V628" s="210"/>
      <c r="W628" s="210"/>
      <c r="X628" s="210"/>
      <c r="Y628" s="210"/>
      <c r="Z628" s="210"/>
      <c r="AA628" s="210"/>
      <c r="AB628" s="210"/>
      <c r="AC628" s="210"/>
      <c r="AI628" s="210"/>
      <c r="AJ628" s="210"/>
    </row>
    <row r="629" ht="12.75" customHeight="1">
      <c r="C629" s="210"/>
      <c r="D629" s="210"/>
      <c r="E629" s="210"/>
      <c r="F629" s="210"/>
      <c r="G629" s="210"/>
      <c r="H629" s="210"/>
      <c r="I629" s="210"/>
      <c r="J629" s="210"/>
      <c r="K629" s="210"/>
      <c r="L629" s="210"/>
      <c r="M629" s="210"/>
      <c r="N629" s="210"/>
      <c r="O629" s="210"/>
      <c r="P629" s="210"/>
      <c r="Q629" s="210"/>
      <c r="R629" s="210"/>
      <c r="S629" s="210"/>
      <c r="T629" s="210"/>
      <c r="U629" s="210"/>
      <c r="V629" s="210"/>
      <c r="W629" s="210"/>
      <c r="X629" s="210"/>
      <c r="Y629" s="210"/>
      <c r="Z629" s="210"/>
      <c r="AA629" s="210"/>
      <c r="AB629" s="210"/>
      <c r="AC629" s="210"/>
      <c r="AI629" s="210"/>
      <c r="AJ629" s="210"/>
    </row>
    <row r="630" ht="12.75" customHeight="1">
      <c r="C630" s="210"/>
      <c r="D630" s="210"/>
      <c r="E630" s="210"/>
      <c r="F630" s="210"/>
      <c r="G630" s="210"/>
      <c r="H630" s="210"/>
      <c r="I630" s="210"/>
      <c r="J630" s="210"/>
      <c r="K630" s="210"/>
      <c r="L630" s="210"/>
      <c r="M630" s="210"/>
      <c r="N630" s="210"/>
      <c r="O630" s="210"/>
      <c r="P630" s="210"/>
      <c r="Q630" s="210"/>
      <c r="R630" s="210"/>
      <c r="S630" s="210"/>
      <c r="T630" s="210"/>
      <c r="U630" s="210"/>
      <c r="V630" s="210"/>
      <c r="W630" s="210"/>
      <c r="X630" s="210"/>
      <c r="Y630" s="210"/>
      <c r="Z630" s="210"/>
      <c r="AA630" s="210"/>
      <c r="AB630" s="210"/>
      <c r="AC630" s="210"/>
      <c r="AI630" s="210"/>
      <c r="AJ630" s="210"/>
    </row>
    <row r="631" ht="12.75" customHeight="1">
      <c r="C631" s="210"/>
      <c r="D631" s="210"/>
      <c r="E631" s="210"/>
      <c r="F631" s="210"/>
      <c r="G631" s="210"/>
      <c r="H631" s="210"/>
      <c r="I631" s="210"/>
      <c r="J631" s="210"/>
      <c r="K631" s="210"/>
      <c r="L631" s="210"/>
      <c r="M631" s="210"/>
      <c r="N631" s="210"/>
      <c r="O631" s="210"/>
      <c r="P631" s="210"/>
      <c r="Q631" s="210"/>
      <c r="R631" s="210"/>
      <c r="S631" s="210"/>
      <c r="T631" s="210"/>
      <c r="U631" s="210"/>
      <c r="V631" s="210"/>
      <c r="W631" s="210"/>
      <c r="X631" s="210"/>
      <c r="Y631" s="210"/>
      <c r="Z631" s="210"/>
      <c r="AA631" s="210"/>
      <c r="AB631" s="210"/>
      <c r="AC631" s="210"/>
      <c r="AI631" s="210"/>
      <c r="AJ631" s="210"/>
    </row>
    <row r="632" ht="12.75" customHeight="1">
      <c r="C632" s="210"/>
      <c r="D632" s="210"/>
      <c r="E632" s="210"/>
      <c r="F632" s="210"/>
      <c r="G632" s="210"/>
      <c r="H632" s="210"/>
      <c r="I632" s="210"/>
      <c r="J632" s="210"/>
      <c r="K632" s="210"/>
      <c r="L632" s="210"/>
      <c r="M632" s="210"/>
      <c r="N632" s="210"/>
      <c r="O632" s="210"/>
      <c r="P632" s="210"/>
      <c r="Q632" s="210"/>
      <c r="R632" s="210"/>
      <c r="S632" s="210"/>
      <c r="T632" s="210"/>
      <c r="U632" s="210"/>
      <c r="V632" s="210"/>
      <c r="W632" s="210"/>
      <c r="X632" s="210"/>
      <c r="Y632" s="210"/>
      <c r="Z632" s="210"/>
      <c r="AA632" s="210"/>
      <c r="AB632" s="210"/>
      <c r="AC632" s="210"/>
      <c r="AI632" s="210"/>
      <c r="AJ632" s="210"/>
    </row>
    <row r="633" ht="12.75" customHeight="1">
      <c r="C633" s="210"/>
      <c r="D633" s="210"/>
      <c r="E633" s="210"/>
      <c r="F633" s="210"/>
      <c r="G633" s="210"/>
      <c r="H633" s="210"/>
      <c r="I633" s="210"/>
      <c r="J633" s="210"/>
      <c r="K633" s="210"/>
      <c r="L633" s="210"/>
      <c r="M633" s="210"/>
      <c r="N633" s="210"/>
      <c r="O633" s="210"/>
      <c r="P633" s="210"/>
      <c r="Q633" s="210"/>
      <c r="R633" s="210"/>
      <c r="S633" s="210"/>
      <c r="T633" s="210"/>
      <c r="U633" s="210"/>
      <c r="V633" s="210"/>
      <c r="W633" s="210"/>
      <c r="X633" s="210"/>
      <c r="Y633" s="210"/>
      <c r="Z633" s="210"/>
      <c r="AA633" s="210"/>
      <c r="AB633" s="210"/>
      <c r="AC633" s="210"/>
      <c r="AI633" s="210"/>
      <c r="AJ633" s="210"/>
    </row>
    <row r="634" ht="12.75" customHeight="1">
      <c r="C634" s="210"/>
      <c r="D634" s="210"/>
      <c r="E634" s="210"/>
      <c r="F634" s="210"/>
      <c r="G634" s="210"/>
      <c r="H634" s="210"/>
      <c r="I634" s="210"/>
      <c r="J634" s="210"/>
      <c r="K634" s="210"/>
      <c r="L634" s="210"/>
      <c r="M634" s="210"/>
      <c r="N634" s="210"/>
      <c r="O634" s="210"/>
      <c r="P634" s="210"/>
      <c r="Q634" s="210"/>
      <c r="R634" s="210"/>
      <c r="S634" s="210"/>
      <c r="T634" s="210"/>
      <c r="U634" s="210"/>
      <c r="V634" s="210"/>
      <c r="W634" s="210"/>
      <c r="X634" s="210"/>
      <c r="Y634" s="210"/>
      <c r="Z634" s="210"/>
      <c r="AA634" s="210"/>
      <c r="AB634" s="210"/>
      <c r="AC634" s="210"/>
      <c r="AI634" s="210"/>
      <c r="AJ634" s="210"/>
    </row>
    <row r="635" ht="12.75" customHeight="1">
      <c r="C635" s="210"/>
      <c r="D635" s="210"/>
      <c r="E635" s="210"/>
      <c r="F635" s="210"/>
      <c r="G635" s="210"/>
      <c r="H635" s="210"/>
      <c r="I635" s="210"/>
      <c r="J635" s="210"/>
      <c r="K635" s="210"/>
      <c r="L635" s="210"/>
      <c r="M635" s="210"/>
      <c r="N635" s="210"/>
      <c r="O635" s="210"/>
      <c r="P635" s="210"/>
      <c r="Q635" s="210"/>
      <c r="R635" s="210"/>
      <c r="S635" s="210"/>
      <c r="T635" s="210"/>
      <c r="U635" s="210"/>
      <c r="V635" s="210"/>
      <c r="W635" s="210"/>
      <c r="X635" s="210"/>
      <c r="Y635" s="210"/>
      <c r="Z635" s="210"/>
      <c r="AA635" s="210"/>
      <c r="AB635" s="210"/>
      <c r="AC635" s="210"/>
      <c r="AI635" s="210"/>
      <c r="AJ635" s="210"/>
    </row>
    <row r="636" ht="12.75" customHeight="1">
      <c r="C636" s="210"/>
      <c r="D636" s="210"/>
      <c r="E636" s="210"/>
      <c r="F636" s="210"/>
      <c r="G636" s="210"/>
      <c r="H636" s="210"/>
      <c r="I636" s="210"/>
      <c r="J636" s="210"/>
      <c r="K636" s="210"/>
      <c r="L636" s="210"/>
      <c r="M636" s="210"/>
      <c r="N636" s="210"/>
      <c r="O636" s="210"/>
      <c r="P636" s="210"/>
      <c r="Q636" s="210"/>
      <c r="R636" s="210"/>
      <c r="S636" s="210"/>
      <c r="T636" s="210"/>
      <c r="U636" s="210"/>
      <c r="V636" s="210"/>
      <c r="W636" s="210"/>
      <c r="X636" s="210"/>
      <c r="Y636" s="210"/>
      <c r="Z636" s="210"/>
      <c r="AA636" s="210"/>
      <c r="AB636" s="210"/>
      <c r="AC636" s="210"/>
      <c r="AI636" s="210"/>
      <c r="AJ636" s="210"/>
    </row>
    <row r="637" ht="12.75" customHeight="1">
      <c r="C637" s="210"/>
      <c r="D637" s="210"/>
      <c r="E637" s="210"/>
      <c r="F637" s="210"/>
      <c r="G637" s="210"/>
      <c r="H637" s="210"/>
      <c r="I637" s="210"/>
      <c r="J637" s="210"/>
      <c r="K637" s="210"/>
      <c r="L637" s="210"/>
      <c r="M637" s="210"/>
      <c r="N637" s="210"/>
      <c r="O637" s="210"/>
      <c r="P637" s="210"/>
      <c r="Q637" s="210"/>
      <c r="R637" s="210"/>
      <c r="S637" s="210"/>
      <c r="T637" s="210"/>
      <c r="U637" s="210"/>
      <c r="V637" s="210"/>
      <c r="W637" s="210"/>
      <c r="X637" s="210"/>
      <c r="Y637" s="210"/>
      <c r="Z637" s="210"/>
      <c r="AA637" s="210"/>
      <c r="AB637" s="210"/>
      <c r="AC637" s="210"/>
      <c r="AI637" s="210"/>
      <c r="AJ637" s="210"/>
    </row>
    <row r="638" ht="12.75" customHeight="1">
      <c r="C638" s="210"/>
      <c r="D638" s="210"/>
      <c r="E638" s="210"/>
      <c r="F638" s="210"/>
      <c r="G638" s="210"/>
      <c r="H638" s="210"/>
      <c r="I638" s="210"/>
      <c r="J638" s="210"/>
      <c r="K638" s="210"/>
      <c r="L638" s="210"/>
      <c r="M638" s="210"/>
      <c r="N638" s="210"/>
      <c r="O638" s="210"/>
      <c r="P638" s="210"/>
      <c r="Q638" s="210"/>
      <c r="R638" s="210"/>
      <c r="S638" s="210"/>
      <c r="T638" s="210"/>
      <c r="U638" s="210"/>
      <c r="V638" s="210"/>
      <c r="W638" s="210"/>
      <c r="X638" s="210"/>
      <c r="Y638" s="210"/>
      <c r="Z638" s="210"/>
      <c r="AA638" s="210"/>
      <c r="AB638" s="210"/>
      <c r="AC638" s="210"/>
      <c r="AI638" s="210"/>
      <c r="AJ638" s="210"/>
    </row>
    <row r="639" ht="12.75" customHeight="1">
      <c r="C639" s="210"/>
      <c r="D639" s="210"/>
      <c r="E639" s="210"/>
      <c r="F639" s="210"/>
      <c r="G639" s="210"/>
      <c r="H639" s="210"/>
      <c r="I639" s="210"/>
      <c r="J639" s="210"/>
      <c r="K639" s="210"/>
      <c r="L639" s="210"/>
      <c r="M639" s="210"/>
      <c r="N639" s="210"/>
      <c r="O639" s="210"/>
      <c r="P639" s="210"/>
      <c r="Q639" s="210"/>
      <c r="R639" s="210"/>
      <c r="S639" s="210"/>
      <c r="T639" s="210"/>
      <c r="U639" s="210"/>
      <c r="V639" s="210"/>
      <c r="W639" s="210"/>
      <c r="X639" s="210"/>
      <c r="Y639" s="210"/>
      <c r="Z639" s="210"/>
      <c r="AA639" s="210"/>
      <c r="AB639" s="210"/>
      <c r="AC639" s="210"/>
      <c r="AI639" s="210"/>
      <c r="AJ639" s="210"/>
    </row>
    <row r="640" ht="12.75" customHeight="1">
      <c r="C640" s="210"/>
      <c r="D640" s="210"/>
      <c r="E640" s="210"/>
      <c r="F640" s="210"/>
      <c r="G640" s="210"/>
      <c r="H640" s="210"/>
      <c r="I640" s="210"/>
      <c r="J640" s="210"/>
      <c r="K640" s="210"/>
      <c r="L640" s="210"/>
      <c r="M640" s="210"/>
      <c r="N640" s="210"/>
      <c r="O640" s="210"/>
      <c r="P640" s="210"/>
      <c r="Q640" s="210"/>
      <c r="R640" s="210"/>
      <c r="S640" s="210"/>
      <c r="T640" s="210"/>
      <c r="U640" s="210"/>
      <c r="V640" s="210"/>
      <c r="W640" s="210"/>
      <c r="X640" s="210"/>
      <c r="Y640" s="210"/>
      <c r="Z640" s="210"/>
      <c r="AA640" s="210"/>
      <c r="AB640" s="210"/>
      <c r="AC640" s="210"/>
      <c r="AI640" s="210"/>
      <c r="AJ640" s="210"/>
    </row>
    <row r="641" ht="12.75" customHeight="1">
      <c r="C641" s="210"/>
      <c r="D641" s="210"/>
      <c r="E641" s="210"/>
      <c r="F641" s="210"/>
      <c r="G641" s="210"/>
      <c r="H641" s="210"/>
      <c r="I641" s="210"/>
      <c r="J641" s="210"/>
      <c r="K641" s="210"/>
      <c r="L641" s="210"/>
      <c r="M641" s="210"/>
      <c r="N641" s="210"/>
      <c r="O641" s="210"/>
      <c r="P641" s="210"/>
      <c r="Q641" s="210"/>
      <c r="R641" s="210"/>
      <c r="S641" s="210"/>
      <c r="T641" s="210"/>
      <c r="U641" s="210"/>
      <c r="V641" s="210"/>
      <c r="W641" s="210"/>
      <c r="X641" s="210"/>
      <c r="Y641" s="210"/>
      <c r="Z641" s="210"/>
      <c r="AA641" s="210"/>
      <c r="AB641" s="210"/>
      <c r="AC641" s="210"/>
      <c r="AI641" s="210"/>
      <c r="AJ641" s="210"/>
    </row>
    <row r="642" ht="12.75" customHeight="1">
      <c r="C642" s="210"/>
      <c r="D642" s="210"/>
      <c r="E642" s="210"/>
      <c r="F642" s="210"/>
      <c r="G642" s="210"/>
      <c r="H642" s="210"/>
      <c r="I642" s="210"/>
      <c r="J642" s="210"/>
      <c r="K642" s="210"/>
      <c r="L642" s="210"/>
      <c r="M642" s="210"/>
      <c r="N642" s="210"/>
      <c r="O642" s="210"/>
      <c r="P642" s="210"/>
      <c r="Q642" s="210"/>
      <c r="R642" s="210"/>
      <c r="S642" s="210"/>
      <c r="T642" s="210"/>
      <c r="U642" s="210"/>
      <c r="V642" s="210"/>
      <c r="W642" s="210"/>
      <c r="X642" s="210"/>
      <c r="Y642" s="210"/>
      <c r="Z642" s="210"/>
      <c r="AA642" s="210"/>
      <c r="AB642" s="210"/>
      <c r="AC642" s="210"/>
      <c r="AI642" s="210"/>
      <c r="AJ642" s="210"/>
    </row>
    <row r="643" ht="12.75" customHeight="1">
      <c r="C643" s="210"/>
      <c r="D643" s="210"/>
      <c r="E643" s="210"/>
      <c r="F643" s="210"/>
      <c r="G643" s="210"/>
      <c r="H643" s="210"/>
      <c r="I643" s="210"/>
      <c r="J643" s="210"/>
      <c r="K643" s="210"/>
      <c r="L643" s="210"/>
      <c r="M643" s="210"/>
      <c r="N643" s="210"/>
      <c r="O643" s="210"/>
      <c r="P643" s="210"/>
      <c r="Q643" s="210"/>
      <c r="R643" s="210"/>
      <c r="S643" s="210"/>
      <c r="T643" s="210"/>
      <c r="U643" s="210"/>
      <c r="V643" s="210"/>
      <c r="W643" s="210"/>
      <c r="X643" s="210"/>
      <c r="Y643" s="210"/>
      <c r="Z643" s="210"/>
      <c r="AA643" s="210"/>
      <c r="AB643" s="210"/>
      <c r="AC643" s="210"/>
      <c r="AI643" s="210"/>
      <c r="AJ643" s="210"/>
    </row>
    <row r="644" ht="12.75" customHeight="1">
      <c r="C644" s="210"/>
      <c r="D644" s="210"/>
      <c r="E644" s="210"/>
      <c r="F644" s="210"/>
      <c r="G644" s="210"/>
      <c r="H644" s="210"/>
      <c r="I644" s="210"/>
      <c r="J644" s="210"/>
      <c r="K644" s="210"/>
      <c r="L644" s="210"/>
      <c r="M644" s="210"/>
      <c r="N644" s="210"/>
      <c r="O644" s="210"/>
      <c r="P644" s="210"/>
      <c r="Q644" s="210"/>
      <c r="R644" s="210"/>
      <c r="S644" s="210"/>
      <c r="T644" s="210"/>
      <c r="U644" s="210"/>
      <c r="V644" s="210"/>
      <c r="W644" s="210"/>
      <c r="X644" s="210"/>
      <c r="Y644" s="210"/>
      <c r="Z644" s="210"/>
      <c r="AA644" s="210"/>
      <c r="AB644" s="210"/>
      <c r="AC644" s="210"/>
      <c r="AI644" s="210"/>
      <c r="AJ644" s="210"/>
    </row>
    <row r="645" ht="12.75" customHeight="1">
      <c r="C645" s="210"/>
      <c r="D645" s="210"/>
      <c r="E645" s="210"/>
      <c r="F645" s="210"/>
      <c r="G645" s="210"/>
      <c r="H645" s="210"/>
      <c r="I645" s="210"/>
      <c r="J645" s="210"/>
      <c r="K645" s="210"/>
      <c r="L645" s="210"/>
      <c r="M645" s="210"/>
      <c r="N645" s="210"/>
      <c r="O645" s="210"/>
      <c r="P645" s="210"/>
      <c r="Q645" s="210"/>
      <c r="R645" s="210"/>
      <c r="S645" s="210"/>
      <c r="T645" s="210"/>
      <c r="U645" s="210"/>
      <c r="V645" s="210"/>
      <c r="W645" s="210"/>
      <c r="X645" s="210"/>
      <c r="Y645" s="210"/>
      <c r="Z645" s="210"/>
      <c r="AA645" s="210"/>
      <c r="AB645" s="210"/>
      <c r="AC645" s="210"/>
      <c r="AI645" s="210"/>
      <c r="AJ645" s="210"/>
    </row>
    <row r="646" ht="12.75" customHeight="1">
      <c r="C646" s="210"/>
      <c r="D646" s="210"/>
      <c r="E646" s="210"/>
      <c r="F646" s="210"/>
      <c r="G646" s="210"/>
      <c r="H646" s="210"/>
      <c r="I646" s="210"/>
      <c r="J646" s="210"/>
      <c r="K646" s="210"/>
      <c r="L646" s="210"/>
      <c r="M646" s="210"/>
      <c r="N646" s="210"/>
      <c r="O646" s="210"/>
      <c r="P646" s="210"/>
      <c r="Q646" s="210"/>
      <c r="R646" s="210"/>
      <c r="S646" s="210"/>
      <c r="T646" s="210"/>
      <c r="U646" s="210"/>
      <c r="V646" s="210"/>
      <c r="W646" s="210"/>
      <c r="X646" s="210"/>
      <c r="Y646" s="210"/>
      <c r="Z646" s="210"/>
      <c r="AA646" s="210"/>
      <c r="AB646" s="210"/>
      <c r="AC646" s="210"/>
      <c r="AI646" s="210"/>
      <c r="AJ646" s="210"/>
    </row>
    <row r="647" ht="12.75" customHeight="1">
      <c r="C647" s="210"/>
      <c r="D647" s="210"/>
      <c r="E647" s="210"/>
      <c r="F647" s="210"/>
      <c r="G647" s="210"/>
      <c r="H647" s="210"/>
      <c r="I647" s="210"/>
      <c r="J647" s="210"/>
      <c r="K647" s="210"/>
      <c r="L647" s="210"/>
      <c r="M647" s="210"/>
      <c r="N647" s="210"/>
      <c r="O647" s="210"/>
      <c r="P647" s="210"/>
      <c r="Q647" s="210"/>
      <c r="R647" s="210"/>
      <c r="S647" s="210"/>
      <c r="T647" s="210"/>
      <c r="U647" s="210"/>
      <c r="V647" s="210"/>
      <c r="W647" s="210"/>
      <c r="X647" s="210"/>
      <c r="Y647" s="210"/>
      <c r="Z647" s="210"/>
      <c r="AA647" s="210"/>
      <c r="AB647" s="210"/>
      <c r="AC647" s="210"/>
      <c r="AI647" s="210"/>
      <c r="AJ647" s="210"/>
    </row>
    <row r="648" ht="12.75" customHeight="1">
      <c r="C648" s="210"/>
      <c r="D648" s="210"/>
      <c r="E648" s="210"/>
      <c r="F648" s="210"/>
      <c r="G648" s="210"/>
      <c r="H648" s="210"/>
      <c r="I648" s="210"/>
      <c r="J648" s="210"/>
      <c r="K648" s="210"/>
      <c r="L648" s="210"/>
      <c r="M648" s="210"/>
      <c r="N648" s="210"/>
      <c r="O648" s="210"/>
      <c r="P648" s="210"/>
      <c r="Q648" s="210"/>
      <c r="R648" s="210"/>
      <c r="S648" s="210"/>
      <c r="T648" s="210"/>
      <c r="U648" s="210"/>
      <c r="V648" s="210"/>
      <c r="W648" s="210"/>
      <c r="X648" s="210"/>
      <c r="Y648" s="210"/>
      <c r="Z648" s="210"/>
      <c r="AA648" s="210"/>
      <c r="AB648" s="210"/>
      <c r="AC648" s="210"/>
      <c r="AI648" s="210"/>
      <c r="AJ648" s="210"/>
    </row>
    <row r="649" ht="12.75" customHeight="1">
      <c r="C649" s="210"/>
      <c r="D649" s="210"/>
      <c r="E649" s="210"/>
      <c r="F649" s="210"/>
      <c r="G649" s="210"/>
      <c r="H649" s="210"/>
      <c r="I649" s="210"/>
      <c r="J649" s="210"/>
      <c r="K649" s="210"/>
      <c r="L649" s="210"/>
      <c r="M649" s="210"/>
      <c r="N649" s="210"/>
      <c r="O649" s="210"/>
      <c r="P649" s="210"/>
      <c r="Q649" s="210"/>
      <c r="R649" s="210"/>
      <c r="S649" s="210"/>
      <c r="T649" s="210"/>
      <c r="U649" s="210"/>
      <c r="V649" s="210"/>
      <c r="W649" s="210"/>
      <c r="X649" s="210"/>
      <c r="Y649" s="210"/>
      <c r="Z649" s="210"/>
      <c r="AA649" s="210"/>
      <c r="AB649" s="210"/>
      <c r="AC649" s="210"/>
      <c r="AI649" s="210"/>
      <c r="AJ649" s="210"/>
    </row>
    <row r="650" ht="12.75" customHeight="1">
      <c r="C650" s="210"/>
      <c r="D650" s="210"/>
      <c r="E650" s="210"/>
      <c r="F650" s="210"/>
      <c r="G650" s="210"/>
      <c r="H650" s="210"/>
      <c r="I650" s="210"/>
      <c r="J650" s="210"/>
      <c r="K650" s="210"/>
      <c r="L650" s="210"/>
      <c r="M650" s="210"/>
      <c r="N650" s="210"/>
      <c r="O650" s="210"/>
      <c r="P650" s="210"/>
      <c r="Q650" s="210"/>
      <c r="R650" s="210"/>
      <c r="S650" s="210"/>
      <c r="T650" s="210"/>
      <c r="U650" s="210"/>
      <c r="V650" s="210"/>
      <c r="W650" s="210"/>
      <c r="X650" s="210"/>
      <c r="Y650" s="210"/>
      <c r="Z650" s="210"/>
      <c r="AA650" s="210"/>
      <c r="AB650" s="210"/>
      <c r="AC650" s="210"/>
      <c r="AI650" s="210"/>
      <c r="AJ650" s="210"/>
    </row>
    <row r="651" ht="12.75" customHeight="1">
      <c r="C651" s="210"/>
      <c r="D651" s="210"/>
      <c r="E651" s="210"/>
      <c r="F651" s="210"/>
      <c r="G651" s="210"/>
      <c r="H651" s="210"/>
      <c r="I651" s="210"/>
      <c r="J651" s="210"/>
      <c r="K651" s="210"/>
      <c r="L651" s="210"/>
      <c r="M651" s="210"/>
      <c r="N651" s="210"/>
      <c r="O651" s="210"/>
      <c r="P651" s="210"/>
      <c r="Q651" s="210"/>
      <c r="R651" s="210"/>
      <c r="S651" s="210"/>
      <c r="T651" s="210"/>
      <c r="U651" s="210"/>
      <c r="V651" s="210"/>
      <c r="W651" s="210"/>
      <c r="X651" s="210"/>
      <c r="Y651" s="210"/>
      <c r="Z651" s="210"/>
      <c r="AA651" s="210"/>
      <c r="AB651" s="210"/>
      <c r="AC651" s="210"/>
      <c r="AI651" s="210"/>
      <c r="AJ651" s="210"/>
    </row>
    <row r="652" ht="12.75" customHeight="1">
      <c r="C652" s="210"/>
      <c r="D652" s="210"/>
      <c r="E652" s="210"/>
      <c r="F652" s="210"/>
      <c r="G652" s="210"/>
      <c r="H652" s="210"/>
      <c r="I652" s="210"/>
      <c r="J652" s="210"/>
      <c r="K652" s="210"/>
      <c r="L652" s="210"/>
      <c r="M652" s="210"/>
      <c r="N652" s="210"/>
      <c r="O652" s="210"/>
      <c r="P652" s="210"/>
      <c r="Q652" s="210"/>
      <c r="R652" s="210"/>
      <c r="S652" s="210"/>
      <c r="T652" s="210"/>
      <c r="U652" s="210"/>
      <c r="V652" s="210"/>
      <c r="W652" s="210"/>
      <c r="X652" s="210"/>
      <c r="Y652" s="210"/>
      <c r="Z652" s="210"/>
      <c r="AA652" s="210"/>
      <c r="AB652" s="210"/>
      <c r="AC652" s="210"/>
      <c r="AI652" s="210"/>
      <c r="AJ652" s="210"/>
    </row>
    <row r="653" ht="12.75" customHeight="1">
      <c r="C653" s="210"/>
      <c r="D653" s="210"/>
      <c r="E653" s="210"/>
      <c r="F653" s="210"/>
      <c r="G653" s="210"/>
      <c r="H653" s="210"/>
      <c r="I653" s="210"/>
      <c r="J653" s="210"/>
      <c r="K653" s="210"/>
      <c r="L653" s="210"/>
      <c r="M653" s="210"/>
      <c r="N653" s="210"/>
      <c r="O653" s="210"/>
      <c r="P653" s="210"/>
      <c r="Q653" s="210"/>
      <c r="R653" s="210"/>
      <c r="S653" s="210"/>
      <c r="T653" s="210"/>
      <c r="U653" s="210"/>
      <c r="V653" s="210"/>
      <c r="W653" s="210"/>
      <c r="X653" s="210"/>
      <c r="Y653" s="210"/>
      <c r="Z653" s="210"/>
      <c r="AA653" s="210"/>
      <c r="AB653" s="210"/>
      <c r="AC653" s="210"/>
      <c r="AI653" s="210"/>
      <c r="AJ653" s="210"/>
    </row>
    <row r="654" ht="12.75" customHeight="1">
      <c r="C654" s="210"/>
      <c r="D654" s="210"/>
      <c r="E654" s="210"/>
      <c r="F654" s="210"/>
      <c r="G654" s="210"/>
      <c r="H654" s="210"/>
      <c r="I654" s="210"/>
      <c r="J654" s="210"/>
      <c r="K654" s="210"/>
      <c r="L654" s="210"/>
      <c r="M654" s="210"/>
      <c r="N654" s="210"/>
      <c r="O654" s="210"/>
      <c r="P654" s="210"/>
      <c r="Q654" s="210"/>
      <c r="R654" s="210"/>
      <c r="S654" s="210"/>
      <c r="T654" s="210"/>
      <c r="U654" s="210"/>
      <c r="V654" s="210"/>
      <c r="W654" s="210"/>
      <c r="X654" s="210"/>
      <c r="Y654" s="210"/>
      <c r="Z654" s="210"/>
      <c r="AA654" s="210"/>
      <c r="AB654" s="210"/>
      <c r="AC654" s="210"/>
      <c r="AI654" s="210"/>
      <c r="AJ654" s="210"/>
    </row>
    <row r="655" ht="12.75" customHeight="1">
      <c r="C655" s="210"/>
      <c r="D655" s="210"/>
      <c r="E655" s="210"/>
      <c r="F655" s="210"/>
      <c r="G655" s="210"/>
      <c r="H655" s="210"/>
      <c r="I655" s="210"/>
      <c r="J655" s="210"/>
      <c r="K655" s="210"/>
      <c r="L655" s="210"/>
      <c r="M655" s="210"/>
      <c r="N655" s="210"/>
      <c r="O655" s="210"/>
      <c r="P655" s="210"/>
      <c r="Q655" s="210"/>
      <c r="R655" s="210"/>
      <c r="S655" s="210"/>
      <c r="T655" s="210"/>
      <c r="U655" s="210"/>
      <c r="V655" s="210"/>
      <c r="W655" s="210"/>
      <c r="X655" s="210"/>
      <c r="Y655" s="210"/>
      <c r="Z655" s="210"/>
      <c r="AA655" s="210"/>
      <c r="AB655" s="210"/>
      <c r="AC655" s="210"/>
      <c r="AI655" s="210"/>
      <c r="AJ655" s="210"/>
    </row>
    <row r="656" ht="12.75" customHeight="1">
      <c r="C656" s="210"/>
      <c r="D656" s="210"/>
      <c r="E656" s="210"/>
      <c r="F656" s="210"/>
      <c r="G656" s="210"/>
      <c r="H656" s="210"/>
      <c r="I656" s="210"/>
      <c r="J656" s="210"/>
      <c r="K656" s="210"/>
      <c r="L656" s="210"/>
      <c r="M656" s="210"/>
      <c r="N656" s="210"/>
      <c r="O656" s="210"/>
      <c r="P656" s="210"/>
      <c r="Q656" s="210"/>
      <c r="R656" s="210"/>
      <c r="S656" s="210"/>
      <c r="T656" s="210"/>
      <c r="U656" s="210"/>
      <c r="V656" s="210"/>
      <c r="W656" s="210"/>
      <c r="X656" s="210"/>
      <c r="Y656" s="210"/>
      <c r="Z656" s="210"/>
      <c r="AA656" s="210"/>
      <c r="AB656" s="210"/>
      <c r="AC656" s="210"/>
      <c r="AI656" s="210"/>
      <c r="AJ656" s="210"/>
    </row>
    <row r="657" ht="12.75" customHeight="1">
      <c r="C657" s="210"/>
      <c r="D657" s="210"/>
      <c r="E657" s="210"/>
      <c r="F657" s="210"/>
      <c r="G657" s="210"/>
      <c r="H657" s="210"/>
      <c r="I657" s="210"/>
      <c r="J657" s="210"/>
      <c r="K657" s="210"/>
      <c r="L657" s="210"/>
      <c r="M657" s="210"/>
      <c r="N657" s="210"/>
      <c r="O657" s="210"/>
      <c r="P657" s="210"/>
      <c r="Q657" s="210"/>
      <c r="R657" s="210"/>
      <c r="S657" s="210"/>
      <c r="T657" s="210"/>
      <c r="U657" s="210"/>
      <c r="V657" s="210"/>
      <c r="W657" s="210"/>
      <c r="X657" s="210"/>
      <c r="Y657" s="210"/>
      <c r="Z657" s="210"/>
      <c r="AA657" s="210"/>
      <c r="AB657" s="210"/>
      <c r="AC657" s="210"/>
      <c r="AI657" s="210"/>
      <c r="AJ657" s="210"/>
    </row>
    <row r="658" ht="12.75" customHeight="1">
      <c r="C658" s="210"/>
      <c r="D658" s="210"/>
      <c r="E658" s="210"/>
      <c r="F658" s="210"/>
      <c r="G658" s="210"/>
      <c r="H658" s="210"/>
      <c r="I658" s="210"/>
      <c r="J658" s="210"/>
      <c r="K658" s="210"/>
      <c r="L658" s="210"/>
      <c r="M658" s="210"/>
      <c r="N658" s="210"/>
      <c r="O658" s="210"/>
      <c r="P658" s="210"/>
      <c r="Q658" s="210"/>
      <c r="R658" s="210"/>
      <c r="S658" s="210"/>
      <c r="T658" s="210"/>
      <c r="U658" s="210"/>
      <c r="V658" s="210"/>
      <c r="W658" s="210"/>
      <c r="X658" s="210"/>
      <c r="Y658" s="210"/>
      <c r="Z658" s="210"/>
      <c r="AA658" s="210"/>
      <c r="AB658" s="210"/>
      <c r="AC658" s="210"/>
      <c r="AI658" s="210"/>
      <c r="AJ658" s="210"/>
    </row>
    <row r="659" ht="12.75" customHeight="1">
      <c r="C659" s="210"/>
      <c r="D659" s="210"/>
      <c r="E659" s="210"/>
      <c r="F659" s="210"/>
      <c r="G659" s="210"/>
      <c r="H659" s="210"/>
      <c r="I659" s="210"/>
      <c r="J659" s="210"/>
      <c r="K659" s="210"/>
      <c r="L659" s="210"/>
      <c r="M659" s="210"/>
      <c r="N659" s="210"/>
      <c r="O659" s="210"/>
      <c r="P659" s="210"/>
      <c r="Q659" s="210"/>
      <c r="R659" s="210"/>
      <c r="S659" s="210"/>
      <c r="T659" s="210"/>
      <c r="U659" s="210"/>
      <c r="V659" s="210"/>
      <c r="W659" s="210"/>
      <c r="X659" s="210"/>
      <c r="Y659" s="210"/>
      <c r="Z659" s="210"/>
      <c r="AA659" s="210"/>
      <c r="AB659" s="210"/>
      <c r="AC659" s="210"/>
      <c r="AI659" s="210"/>
      <c r="AJ659" s="210"/>
    </row>
    <row r="660" ht="12.75" customHeight="1">
      <c r="C660" s="210"/>
      <c r="D660" s="210"/>
      <c r="E660" s="210"/>
      <c r="F660" s="210"/>
      <c r="G660" s="210"/>
      <c r="H660" s="210"/>
      <c r="I660" s="210"/>
      <c r="J660" s="210"/>
      <c r="K660" s="210"/>
      <c r="L660" s="210"/>
      <c r="M660" s="210"/>
      <c r="N660" s="210"/>
      <c r="O660" s="210"/>
      <c r="P660" s="210"/>
      <c r="Q660" s="210"/>
      <c r="R660" s="210"/>
      <c r="S660" s="210"/>
      <c r="T660" s="210"/>
      <c r="U660" s="210"/>
      <c r="V660" s="210"/>
      <c r="W660" s="210"/>
      <c r="X660" s="210"/>
      <c r="Y660" s="210"/>
      <c r="Z660" s="210"/>
      <c r="AA660" s="210"/>
      <c r="AB660" s="210"/>
      <c r="AC660" s="210"/>
      <c r="AI660" s="210"/>
      <c r="AJ660" s="210"/>
    </row>
    <row r="661" ht="12.75" customHeight="1">
      <c r="C661" s="210"/>
      <c r="D661" s="210"/>
      <c r="E661" s="210"/>
      <c r="F661" s="210"/>
      <c r="G661" s="210"/>
      <c r="H661" s="210"/>
      <c r="I661" s="210"/>
      <c r="J661" s="210"/>
      <c r="K661" s="210"/>
      <c r="L661" s="210"/>
      <c r="M661" s="210"/>
      <c r="N661" s="210"/>
      <c r="O661" s="210"/>
      <c r="P661" s="210"/>
      <c r="Q661" s="210"/>
      <c r="R661" s="210"/>
      <c r="S661" s="210"/>
      <c r="T661" s="210"/>
      <c r="U661" s="210"/>
      <c r="V661" s="210"/>
      <c r="W661" s="210"/>
      <c r="X661" s="210"/>
      <c r="Y661" s="210"/>
      <c r="Z661" s="210"/>
      <c r="AA661" s="210"/>
      <c r="AB661" s="210"/>
      <c r="AC661" s="210"/>
      <c r="AI661" s="210"/>
      <c r="AJ661" s="210"/>
    </row>
    <row r="662" ht="12.75" customHeight="1">
      <c r="C662" s="210"/>
      <c r="D662" s="210"/>
      <c r="E662" s="210"/>
      <c r="F662" s="210"/>
      <c r="G662" s="210"/>
      <c r="H662" s="210"/>
      <c r="I662" s="210"/>
      <c r="J662" s="210"/>
      <c r="K662" s="210"/>
      <c r="L662" s="210"/>
      <c r="M662" s="210"/>
      <c r="N662" s="210"/>
      <c r="O662" s="210"/>
      <c r="P662" s="210"/>
      <c r="Q662" s="210"/>
      <c r="R662" s="210"/>
      <c r="S662" s="210"/>
      <c r="T662" s="210"/>
      <c r="U662" s="210"/>
      <c r="V662" s="210"/>
      <c r="W662" s="210"/>
      <c r="X662" s="210"/>
      <c r="Y662" s="210"/>
      <c r="Z662" s="210"/>
      <c r="AA662" s="210"/>
      <c r="AB662" s="210"/>
      <c r="AC662" s="210"/>
      <c r="AI662" s="210"/>
      <c r="AJ662" s="210"/>
    </row>
    <row r="663" ht="12.75" customHeight="1">
      <c r="C663" s="210"/>
      <c r="D663" s="210"/>
      <c r="E663" s="210"/>
      <c r="F663" s="210"/>
      <c r="G663" s="210"/>
      <c r="H663" s="210"/>
      <c r="I663" s="210"/>
      <c r="J663" s="210"/>
      <c r="K663" s="210"/>
      <c r="L663" s="210"/>
      <c r="M663" s="210"/>
      <c r="N663" s="210"/>
      <c r="O663" s="210"/>
      <c r="P663" s="210"/>
      <c r="Q663" s="210"/>
      <c r="R663" s="210"/>
      <c r="S663" s="210"/>
      <c r="T663" s="210"/>
      <c r="U663" s="210"/>
      <c r="V663" s="210"/>
      <c r="W663" s="210"/>
      <c r="X663" s="210"/>
      <c r="Y663" s="210"/>
      <c r="Z663" s="210"/>
      <c r="AA663" s="210"/>
      <c r="AB663" s="210"/>
      <c r="AC663" s="210"/>
      <c r="AI663" s="210"/>
      <c r="AJ663" s="210"/>
    </row>
    <row r="664" ht="12.75" customHeight="1">
      <c r="C664" s="210"/>
      <c r="D664" s="210"/>
      <c r="E664" s="210"/>
      <c r="F664" s="210"/>
      <c r="G664" s="210"/>
      <c r="H664" s="210"/>
      <c r="I664" s="210"/>
      <c r="J664" s="210"/>
      <c r="K664" s="210"/>
      <c r="L664" s="210"/>
      <c r="M664" s="210"/>
      <c r="N664" s="210"/>
      <c r="O664" s="210"/>
      <c r="P664" s="210"/>
      <c r="Q664" s="210"/>
      <c r="R664" s="210"/>
      <c r="S664" s="210"/>
      <c r="T664" s="210"/>
      <c r="U664" s="210"/>
      <c r="V664" s="210"/>
      <c r="W664" s="210"/>
      <c r="X664" s="210"/>
      <c r="Y664" s="210"/>
      <c r="Z664" s="210"/>
      <c r="AA664" s="210"/>
      <c r="AB664" s="210"/>
      <c r="AC664" s="210"/>
      <c r="AI664" s="210"/>
      <c r="AJ664" s="210"/>
    </row>
    <row r="665" ht="12.75" customHeight="1">
      <c r="C665" s="210"/>
      <c r="D665" s="210"/>
      <c r="E665" s="210"/>
      <c r="F665" s="210"/>
      <c r="G665" s="210"/>
      <c r="H665" s="210"/>
      <c r="I665" s="210"/>
      <c r="J665" s="210"/>
      <c r="K665" s="210"/>
      <c r="L665" s="210"/>
      <c r="M665" s="210"/>
      <c r="N665" s="210"/>
      <c r="O665" s="210"/>
      <c r="P665" s="210"/>
      <c r="Q665" s="210"/>
      <c r="R665" s="210"/>
      <c r="S665" s="210"/>
      <c r="T665" s="210"/>
      <c r="U665" s="210"/>
      <c r="V665" s="210"/>
      <c r="W665" s="210"/>
      <c r="X665" s="210"/>
      <c r="Y665" s="210"/>
      <c r="Z665" s="210"/>
      <c r="AA665" s="210"/>
      <c r="AB665" s="210"/>
      <c r="AC665" s="210"/>
      <c r="AI665" s="210"/>
      <c r="AJ665" s="210"/>
    </row>
    <row r="666" ht="12.75" customHeight="1">
      <c r="C666" s="210"/>
      <c r="D666" s="210"/>
      <c r="E666" s="210"/>
      <c r="F666" s="210"/>
      <c r="G666" s="210"/>
      <c r="H666" s="210"/>
      <c r="I666" s="210"/>
      <c r="J666" s="210"/>
      <c r="K666" s="210"/>
      <c r="L666" s="210"/>
      <c r="M666" s="210"/>
      <c r="N666" s="210"/>
      <c r="O666" s="210"/>
      <c r="P666" s="210"/>
      <c r="Q666" s="210"/>
      <c r="R666" s="210"/>
      <c r="S666" s="210"/>
      <c r="T666" s="210"/>
      <c r="U666" s="210"/>
      <c r="V666" s="210"/>
      <c r="W666" s="210"/>
      <c r="X666" s="210"/>
      <c r="Y666" s="210"/>
      <c r="Z666" s="210"/>
      <c r="AA666" s="210"/>
      <c r="AB666" s="210"/>
      <c r="AC666" s="210"/>
      <c r="AI666" s="210"/>
      <c r="AJ666" s="210"/>
    </row>
    <row r="667" ht="12.75" customHeight="1">
      <c r="C667" s="210"/>
      <c r="D667" s="210"/>
      <c r="E667" s="210"/>
      <c r="F667" s="210"/>
      <c r="G667" s="210"/>
      <c r="H667" s="210"/>
      <c r="I667" s="210"/>
      <c r="J667" s="210"/>
      <c r="K667" s="210"/>
      <c r="L667" s="210"/>
      <c r="M667" s="210"/>
      <c r="N667" s="210"/>
      <c r="O667" s="210"/>
      <c r="P667" s="210"/>
      <c r="Q667" s="210"/>
      <c r="R667" s="210"/>
      <c r="S667" s="210"/>
      <c r="T667" s="210"/>
      <c r="U667" s="210"/>
      <c r="V667" s="210"/>
      <c r="W667" s="210"/>
      <c r="X667" s="210"/>
      <c r="Y667" s="210"/>
      <c r="Z667" s="210"/>
      <c r="AA667" s="210"/>
      <c r="AB667" s="210"/>
      <c r="AC667" s="210"/>
      <c r="AI667" s="210"/>
      <c r="AJ667" s="210"/>
    </row>
    <row r="668" ht="12.75" customHeight="1">
      <c r="C668" s="210"/>
      <c r="D668" s="210"/>
      <c r="E668" s="210"/>
      <c r="F668" s="210"/>
      <c r="G668" s="210"/>
      <c r="H668" s="210"/>
      <c r="I668" s="210"/>
      <c r="J668" s="210"/>
      <c r="K668" s="210"/>
      <c r="L668" s="210"/>
      <c r="M668" s="210"/>
      <c r="N668" s="210"/>
      <c r="O668" s="210"/>
      <c r="P668" s="210"/>
      <c r="Q668" s="210"/>
      <c r="R668" s="210"/>
      <c r="S668" s="210"/>
      <c r="T668" s="210"/>
      <c r="U668" s="210"/>
      <c r="V668" s="210"/>
      <c r="W668" s="210"/>
      <c r="X668" s="210"/>
      <c r="Y668" s="210"/>
      <c r="Z668" s="210"/>
      <c r="AA668" s="210"/>
      <c r="AB668" s="210"/>
      <c r="AC668" s="210"/>
      <c r="AI668" s="210"/>
      <c r="AJ668" s="210"/>
    </row>
    <row r="669" ht="12.75" customHeight="1">
      <c r="C669" s="210"/>
      <c r="D669" s="210"/>
      <c r="E669" s="210"/>
      <c r="F669" s="210"/>
      <c r="G669" s="210"/>
      <c r="H669" s="210"/>
      <c r="I669" s="210"/>
      <c r="J669" s="210"/>
      <c r="K669" s="210"/>
      <c r="L669" s="210"/>
      <c r="M669" s="210"/>
      <c r="N669" s="210"/>
      <c r="O669" s="210"/>
      <c r="P669" s="210"/>
      <c r="Q669" s="210"/>
      <c r="R669" s="210"/>
      <c r="S669" s="210"/>
      <c r="T669" s="210"/>
      <c r="U669" s="210"/>
      <c r="V669" s="210"/>
      <c r="W669" s="210"/>
      <c r="X669" s="210"/>
      <c r="Y669" s="210"/>
      <c r="Z669" s="210"/>
      <c r="AA669" s="210"/>
      <c r="AB669" s="210"/>
      <c r="AC669" s="210"/>
      <c r="AI669" s="210"/>
      <c r="AJ669" s="210"/>
    </row>
    <row r="670" ht="12.75" customHeight="1">
      <c r="C670" s="210"/>
      <c r="D670" s="210"/>
      <c r="E670" s="210"/>
      <c r="F670" s="210"/>
      <c r="G670" s="210"/>
      <c r="H670" s="210"/>
      <c r="I670" s="210"/>
      <c r="J670" s="210"/>
      <c r="K670" s="210"/>
      <c r="L670" s="210"/>
      <c r="M670" s="210"/>
      <c r="N670" s="210"/>
      <c r="O670" s="210"/>
      <c r="P670" s="210"/>
      <c r="Q670" s="210"/>
      <c r="R670" s="210"/>
      <c r="S670" s="210"/>
      <c r="T670" s="210"/>
      <c r="U670" s="210"/>
      <c r="V670" s="210"/>
      <c r="W670" s="210"/>
      <c r="X670" s="210"/>
      <c r="Y670" s="210"/>
      <c r="Z670" s="210"/>
      <c r="AA670" s="210"/>
      <c r="AB670" s="210"/>
      <c r="AC670" s="210"/>
      <c r="AI670" s="210"/>
      <c r="AJ670" s="210"/>
    </row>
    <row r="671" ht="12.75" customHeight="1">
      <c r="C671" s="210"/>
      <c r="D671" s="210"/>
      <c r="E671" s="210"/>
      <c r="F671" s="210"/>
      <c r="G671" s="210"/>
      <c r="H671" s="210"/>
      <c r="I671" s="210"/>
      <c r="J671" s="210"/>
      <c r="K671" s="210"/>
      <c r="L671" s="210"/>
      <c r="M671" s="210"/>
      <c r="N671" s="210"/>
      <c r="O671" s="210"/>
      <c r="P671" s="210"/>
      <c r="Q671" s="210"/>
      <c r="R671" s="210"/>
      <c r="S671" s="210"/>
      <c r="T671" s="210"/>
      <c r="U671" s="210"/>
      <c r="V671" s="210"/>
      <c r="W671" s="210"/>
      <c r="X671" s="210"/>
      <c r="Y671" s="210"/>
      <c r="Z671" s="210"/>
      <c r="AA671" s="210"/>
      <c r="AB671" s="210"/>
      <c r="AC671" s="210"/>
      <c r="AI671" s="210"/>
      <c r="AJ671" s="210"/>
    </row>
    <row r="672" ht="12.75" customHeight="1">
      <c r="C672" s="210"/>
      <c r="D672" s="210"/>
      <c r="E672" s="210"/>
      <c r="F672" s="210"/>
      <c r="G672" s="210"/>
      <c r="H672" s="210"/>
      <c r="I672" s="210"/>
      <c r="J672" s="210"/>
      <c r="K672" s="210"/>
      <c r="L672" s="210"/>
      <c r="M672" s="210"/>
      <c r="N672" s="210"/>
      <c r="O672" s="210"/>
      <c r="P672" s="210"/>
      <c r="Q672" s="210"/>
      <c r="R672" s="210"/>
      <c r="S672" s="210"/>
      <c r="T672" s="210"/>
      <c r="U672" s="210"/>
      <c r="V672" s="210"/>
      <c r="W672" s="210"/>
      <c r="X672" s="210"/>
      <c r="Y672" s="210"/>
      <c r="Z672" s="210"/>
      <c r="AA672" s="210"/>
      <c r="AB672" s="210"/>
      <c r="AC672" s="210"/>
      <c r="AI672" s="210"/>
      <c r="AJ672" s="210"/>
    </row>
    <row r="673" ht="12.75" customHeight="1">
      <c r="C673" s="210"/>
      <c r="D673" s="210"/>
      <c r="E673" s="210"/>
      <c r="F673" s="210"/>
      <c r="G673" s="210"/>
      <c r="H673" s="210"/>
      <c r="I673" s="210"/>
      <c r="J673" s="210"/>
      <c r="K673" s="210"/>
      <c r="L673" s="210"/>
      <c r="M673" s="210"/>
      <c r="N673" s="210"/>
      <c r="O673" s="210"/>
      <c r="P673" s="210"/>
      <c r="Q673" s="210"/>
      <c r="R673" s="210"/>
      <c r="S673" s="210"/>
      <c r="T673" s="210"/>
      <c r="U673" s="210"/>
      <c r="V673" s="210"/>
      <c r="W673" s="210"/>
      <c r="X673" s="210"/>
      <c r="Y673" s="210"/>
      <c r="Z673" s="210"/>
      <c r="AA673" s="210"/>
      <c r="AB673" s="210"/>
      <c r="AC673" s="210"/>
      <c r="AI673" s="210"/>
      <c r="AJ673" s="210"/>
    </row>
    <row r="674" ht="12.75" customHeight="1">
      <c r="C674" s="210"/>
      <c r="D674" s="210"/>
      <c r="E674" s="210"/>
      <c r="F674" s="210"/>
      <c r="G674" s="210"/>
      <c r="H674" s="210"/>
      <c r="I674" s="210"/>
      <c r="J674" s="210"/>
      <c r="K674" s="210"/>
      <c r="L674" s="210"/>
      <c r="M674" s="210"/>
      <c r="N674" s="210"/>
      <c r="O674" s="210"/>
      <c r="P674" s="210"/>
      <c r="Q674" s="210"/>
      <c r="R674" s="210"/>
      <c r="S674" s="210"/>
      <c r="T674" s="210"/>
      <c r="U674" s="210"/>
      <c r="V674" s="210"/>
      <c r="W674" s="210"/>
      <c r="X674" s="210"/>
      <c r="Y674" s="210"/>
      <c r="Z674" s="210"/>
      <c r="AA674" s="210"/>
      <c r="AB674" s="210"/>
      <c r="AC674" s="210"/>
      <c r="AI674" s="210"/>
      <c r="AJ674" s="210"/>
    </row>
    <row r="675" ht="12.75" customHeight="1">
      <c r="C675" s="210"/>
      <c r="D675" s="210"/>
      <c r="E675" s="210"/>
      <c r="F675" s="210"/>
      <c r="G675" s="210"/>
      <c r="H675" s="210"/>
      <c r="I675" s="210"/>
      <c r="J675" s="210"/>
      <c r="K675" s="210"/>
      <c r="L675" s="210"/>
      <c r="M675" s="210"/>
      <c r="N675" s="210"/>
      <c r="O675" s="210"/>
      <c r="P675" s="210"/>
      <c r="Q675" s="210"/>
      <c r="R675" s="210"/>
      <c r="S675" s="210"/>
      <c r="T675" s="210"/>
      <c r="U675" s="210"/>
      <c r="V675" s="210"/>
      <c r="W675" s="210"/>
      <c r="X675" s="210"/>
      <c r="Y675" s="210"/>
      <c r="Z675" s="210"/>
      <c r="AA675" s="210"/>
      <c r="AB675" s="210"/>
      <c r="AC675" s="210"/>
      <c r="AI675" s="210"/>
      <c r="AJ675" s="210"/>
    </row>
    <row r="676" ht="12.75" customHeight="1">
      <c r="C676" s="210"/>
      <c r="D676" s="210"/>
      <c r="E676" s="210"/>
      <c r="F676" s="210"/>
      <c r="G676" s="210"/>
      <c r="H676" s="210"/>
      <c r="I676" s="210"/>
      <c r="J676" s="210"/>
      <c r="K676" s="210"/>
      <c r="L676" s="210"/>
      <c r="M676" s="210"/>
      <c r="N676" s="210"/>
      <c r="O676" s="210"/>
      <c r="P676" s="210"/>
      <c r="Q676" s="210"/>
      <c r="R676" s="210"/>
      <c r="S676" s="210"/>
      <c r="T676" s="210"/>
      <c r="U676" s="210"/>
      <c r="V676" s="210"/>
      <c r="W676" s="210"/>
      <c r="X676" s="210"/>
      <c r="Y676" s="210"/>
      <c r="Z676" s="210"/>
      <c r="AA676" s="210"/>
      <c r="AB676" s="210"/>
      <c r="AC676" s="210"/>
      <c r="AI676" s="210"/>
      <c r="AJ676" s="210"/>
    </row>
    <row r="677" ht="12.75" customHeight="1">
      <c r="C677" s="210"/>
      <c r="D677" s="210"/>
      <c r="E677" s="210"/>
      <c r="F677" s="210"/>
      <c r="G677" s="210"/>
      <c r="H677" s="210"/>
      <c r="I677" s="210"/>
      <c r="J677" s="210"/>
      <c r="K677" s="210"/>
      <c r="L677" s="210"/>
      <c r="M677" s="210"/>
      <c r="N677" s="210"/>
      <c r="O677" s="210"/>
      <c r="P677" s="210"/>
      <c r="Q677" s="210"/>
      <c r="R677" s="210"/>
      <c r="S677" s="210"/>
      <c r="T677" s="210"/>
      <c r="U677" s="210"/>
      <c r="V677" s="210"/>
      <c r="W677" s="210"/>
      <c r="X677" s="210"/>
      <c r="Y677" s="210"/>
      <c r="Z677" s="210"/>
      <c r="AA677" s="210"/>
      <c r="AB677" s="210"/>
      <c r="AC677" s="210"/>
      <c r="AI677" s="210"/>
      <c r="AJ677" s="210"/>
    </row>
    <row r="678" ht="12.75" customHeight="1">
      <c r="C678" s="210"/>
      <c r="D678" s="210"/>
      <c r="E678" s="210"/>
      <c r="F678" s="210"/>
      <c r="G678" s="210"/>
      <c r="H678" s="210"/>
      <c r="I678" s="210"/>
      <c r="J678" s="210"/>
      <c r="K678" s="210"/>
      <c r="L678" s="210"/>
      <c r="M678" s="210"/>
      <c r="N678" s="210"/>
      <c r="O678" s="210"/>
      <c r="P678" s="210"/>
      <c r="Q678" s="210"/>
      <c r="R678" s="210"/>
      <c r="S678" s="210"/>
      <c r="T678" s="210"/>
      <c r="U678" s="210"/>
      <c r="V678" s="210"/>
      <c r="W678" s="210"/>
      <c r="X678" s="210"/>
      <c r="Y678" s="210"/>
      <c r="Z678" s="210"/>
      <c r="AA678" s="210"/>
      <c r="AB678" s="210"/>
      <c r="AC678" s="210"/>
      <c r="AI678" s="210"/>
      <c r="AJ678" s="210"/>
    </row>
    <row r="679" ht="12.75" customHeight="1">
      <c r="C679" s="210"/>
      <c r="D679" s="210"/>
      <c r="E679" s="210"/>
      <c r="F679" s="210"/>
      <c r="G679" s="210"/>
      <c r="H679" s="210"/>
      <c r="I679" s="210"/>
      <c r="J679" s="210"/>
      <c r="K679" s="210"/>
      <c r="L679" s="210"/>
      <c r="M679" s="210"/>
      <c r="N679" s="210"/>
      <c r="O679" s="210"/>
      <c r="P679" s="210"/>
      <c r="Q679" s="210"/>
      <c r="R679" s="210"/>
      <c r="S679" s="210"/>
      <c r="T679" s="210"/>
      <c r="U679" s="210"/>
      <c r="V679" s="210"/>
      <c r="W679" s="210"/>
      <c r="X679" s="210"/>
      <c r="Y679" s="210"/>
      <c r="Z679" s="210"/>
      <c r="AA679" s="210"/>
      <c r="AB679" s="210"/>
      <c r="AC679" s="210"/>
      <c r="AI679" s="210"/>
      <c r="AJ679" s="210"/>
    </row>
    <row r="680" ht="12.75" customHeight="1">
      <c r="C680" s="210"/>
      <c r="D680" s="210"/>
      <c r="E680" s="210"/>
      <c r="F680" s="210"/>
      <c r="G680" s="210"/>
      <c r="H680" s="210"/>
      <c r="I680" s="210"/>
      <c r="J680" s="210"/>
      <c r="K680" s="210"/>
      <c r="L680" s="210"/>
      <c r="M680" s="210"/>
      <c r="N680" s="210"/>
      <c r="O680" s="210"/>
      <c r="P680" s="210"/>
      <c r="Q680" s="210"/>
      <c r="R680" s="210"/>
      <c r="S680" s="210"/>
      <c r="T680" s="210"/>
      <c r="U680" s="210"/>
      <c r="V680" s="210"/>
      <c r="W680" s="210"/>
      <c r="X680" s="210"/>
      <c r="Y680" s="210"/>
      <c r="Z680" s="210"/>
      <c r="AA680" s="210"/>
      <c r="AB680" s="210"/>
      <c r="AC680" s="210"/>
      <c r="AI680" s="210"/>
      <c r="AJ680" s="210"/>
    </row>
    <row r="681" ht="12.75" customHeight="1">
      <c r="C681" s="210"/>
      <c r="D681" s="210"/>
      <c r="E681" s="210"/>
      <c r="F681" s="210"/>
      <c r="G681" s="210"/>
      <c r="H681" s="210"/>
      <c r="I681" s="210"/>
      <c r="J681" s="210"/>
      <c r="K681" s="210"/>
      <c r="L681" s="210"/>
      <c r="M681" s="210"/>
      <c r="N681" s="210"/>
      <c r="O681" s="210"/>
      <c r="P681" s="210"/>
      <c r="Q681" s="210"/>
      <c r="R681" s="210"/>
      <c r="S681" s="210"/>
      <c r="T681" s="210"/>
      <c r="U681" s="210"/>
      <c r="V681" s="210"/>
      <c r="W681" s="210"/>
      <c r="X681" s="210"/>
      <c r="Y681" s="210"/>
      <c r="Z681" s="210"/>
      <c r="AA681" s="210"/>
      <c r="AB681" s="210"/>
      <c r="AC681" s="210"/>
      <c r="AI681" s="210"/>
      <c r="AJ681" s="210"/>
    </row>
    <row r="682" ht="12.75" customHeight="1">
      <c r="C682" s="210"/>
      <c r="D682" s="210"/>
      <c r="E682" s="210"/>
      <c r="F682" s="210"/>
      <c r="G682" s="210"/>
      <c r="H682" s="210"/>
      <c r="I682" s="210"/>
      <c r="J682" s="210"/>
      <c r="K682" s="210"/>
      <c r="L682" s="210"/>
      <c r="M682" s="210"/>
      <c r="N682" s="210"/>
      <c r="O682" s="210"/>
      <c r="P682" s="210"/>
      <c r="Q682" s="210"/>
      <c r="R682" s="210"/>
      <c r="S682" s="210"/>
      <c r="T682" s="210"/>
      <c r="U682" s="210"/>
      <c r="V682" s="210"/>
      <c r="W682" s="210"/>
      <c r="X682" s="210"/>
      <c r="Y682" s="210"/>
      <c r="Z682" s="210"/>
      <c r="AA682" s="210"/>
      <c r="AB682" s="210"/>
      <c r="AC682" s="210"/>
      <c r="AI682" s="210"/>
      <c r="AJ682" s="210"/>
    </row>
    <row r="683" ht="12.75" customHeight="1">
      <c r="C683" s="210"/>
      <c r="D683" s="210"/>
      <c r="E683" s="210"/>
      <c r="F683" s="210"/>
      <c r="G683" s="210"/>
      <c r="H683" s="210"/>
      <c r="I683" s="210"/>
      <c r="J683" s="210"/>
      <c r="K683" s="210"/>
      <c r="L683" s="210"/>
      <c r="M683" s="210"/>
      <c r="N683" s="210"/>
      <c r="O683" s="210"/>
      <c r="P683" s="210"/>
      <c r="Q683" s="210"/>
      <c r="R683" s="210"/>
      <c r="S683" s="210"/>
      <c r="T683" s="210"/>
      <c r="U683" s="210"/>
      <c r="V683" s="210"/>
      <c r="W683" s="210"/>
      <c r="X683" s="210"/>
      <c r="Y683" s="210"/>
      <c r="Z683" s="210"/>
      <c r="AA683" s="210"/>
      <c r="AB683" s="210"/>
      <c r="AC683" s="210"/>
      <c r="AI683" s="210"/>
      <c r="AJ683" s="210"/>
    </row>
    <row r="684" ht="12.75" customHeight="1">
      <c r="C684" s="210"/>
      <c r="D684" s="210"/>
      <c r="E684" s="210"/>
      <c r="F684" s="210"/>
      <c r="G684" s="210"/>
      <c r="H684" s="210"/>
      <c r="I684" s="210"/>
      <c r="J684" s="210"/>
      <c r="K684" s="210"/>
      <c r="L684" s="210"/>
      <c r="M684" s="210"/>
      <c r="N684" s="210"/>
      <c r="O684" s="210"/>
      <c r="P684" s="210"/>
      <c r="Q684" s="210"/>
      <c r="R684" s="210"/>
      <c r="S684" s="210"/>
      <c r="T684" s="210"/>
      <c r="U684" s="210"/>
      <c r="V684" s="210"/>
      <c r="W684" s="210"/>
      <c r="X684" s="210"/>
      <c r="Y684" s="210"/>
      <c r="Z684" s="210"/>
      <c r="AA684" s="210"/>
      <c r="AB684" s="210"/>
      <c r="AC684" s="210"/>
      <c r="AI684" s="210"/>
      <c r="AJ684" s="210"/>
    </row>
    <row r="685" ht="12.75" customHeight="1">
      <c r="C685" s="210"/>
      <c r="D685" s="210"/>
      <c r="E685" s="210"/>
      <c r="F685" s="210"/>
      <c r="G685" s="210"/>
      <c r="H685" s="210"/>
      <c r="I685" s="210"/>
      <c r="J685" s="210"/>
      <c r="K685" s="210"/>
      <c r="L685" s="210"/>
      <c r="M685" s="210"/>
      <c r="N685" s="210"/>
      <c r="O685" s="210"/>
      <c r="P685" s="210"/>
      <c r="Q685" s="210"/>
      <c r="R685" s="210"/>
      <c r="S685" s="210"/>
      <c r="T685" s="210"/>
      <c r="U685" s="210"/>
      <c r="V685" s="210"/>
      <c r="W685" s="210"/>
      <c r="X685" s="210"/>
      <c r="Y685" s="210"/>
      <c r="Z685" s="210"/>
      <c r="AA685" s="210"/>
      <c r="AB685" s="210"/>
      <c r="AC685" s="210"/>
      <c r="AI685" s="210"/>
      <c r="AJ685" s="210"/>
    </row>
    <row r="686" ht="12.75" customHeight="1">
      <c r="C686" s="210"/>
      <c r="D686" s="210"/>
      <c r="E686" s="210"/>
      <c r="F686" s="210"/>
      <c r="G686" s="210"/>
      <c r="H686" s="210"/>
      <c r="I686" s="210"/>
      <c r="J686" s="210"/>
      <c r="K686" s="210"/>
      <c r="L686" s="210"/>
      <c r="M686" s="210"/>
      <c r="N686" s="210"/>
      <c r="O686" s="210"/>
      <c r="P686" s="210"/>
      <c r="Q686" s="210"/>
      <c r="R686" s="210"/>
      <c r="S686" s="210"/>
      <c r="T686" s="210"/>
      <c r="U686" s="210"/>
      <c r="V686" s="210"/>
      <c r="W686" s="210"/>
      <c r="X686" s="210"/>
      <c r="Y686" s="210"/>
      <c r="Z686" s="210"/>
      <c r="AA686" s="210"/>
      <c r="AB686" s="210"/>
      <c r="AC686" s="210"/>
      <c r="AI686" s="210"/>
      <c r="AJ686" s="210"/>
    </row>
    <row r="687" ht="12.75" customHeight="1">
      <c r="C687" s="210"/>
      <c r="D687" s="210"/>
      <c r="E687" s="210"/>
      <c r="F687" s="210"/>
      <c r="G687" s="210"/>
      <c r="H687" s="210"/>
      <c r="I687" s="210"/>
      <c r="J687" s="210"/>
      <c r="K687" s="210"/>
      <c r="L687" s="210"/>
      <c r="M687" s="210"/>
      <c r="N687" s="210"/>
      <c r="O687" s="210"/>
      <c r="P687" s="210"/>
      <c r="Q687" s="210"/>
      <c r="R687" s="210"/>
      <c r="S687" s="210"/>
      <c r="T687" s="210"/>
      <c r="U687" s="210"/>
      <c r="V687" s="210"/>
      <c r="W687" s="210"/>
      <c r="X687" s="210"/>
      <c r="Y687" s="210"/>
      <c r="Z687" s="210"/>
      <c r="AA687" s="210"/>
      <c r="AB687" s="210"/>
      <c r="AC687" s="210"/>
      <c r="AI687" s="210"/>
      <c r="AJ687" s="210"/>
    </row>
    <row r="688" ht="12.75" customHeight="1">
      <c r="C688" s="210"/>
      <c r="D688" s="210"/>
      <c r="E688" s="210"/>
      <c r="F688" s="210"/>
      <c r="G688" s="210"/>
      <c r="H688" s="210"/>
      <c r="I688" s="210"/>
      <c r="J688" s="210"/>
      <c r="K688" s="210"/>
      <c r="L688" s="210"/>
      <c r="M688" s="210"/>
      <c r="N688" s="210"/>
      <c r="O688" s="210"/>
      <c r="P688" s="210"/>
      <c r="Q688" s="210"/>
      <c r="R688" s="210"/>
      <c r="S688" s="210"/>
      <c r="T688" s="210"/>
      <c r="U688" s="210"/>
      <c r="V688" s="210"/>
      <c r="W688" s="210"/>
      <c r="X688" s="210"/>
      <c r="Y688" s="210"/>
      <c r="Z688" s="210"/>
      <c r="AA688" s="210"/>
      <c r="AB688" s="210"/>
      <c r="AC688" s="210"/>
      <c r="AI688" s="210"/>
      <c r="AJ688" s="210"/>
    </row>
    <row r="689" ht="12.75" customHeight="1">
      <c r="C689" s="210"/>
      <c r="D689" s="210"/>
      <c r="E689" s="210"/>
      <c r="F689" s="210"/>
      <c r="G689" s="210"/>
      <c r="H689" s="210"/>
      <c r="I689" s="210"/>
      <c r="J689" s="210"/>
      <c r="K689" s="210"/>
      <c r="L689" s="210"/>
      <c r="M689" s="210"/>
      <c r="N689" s="210"/>
      <c r="O689" s="210"/>
      <c r="P689" s="210"/>
      <c r="Q689" s="210"/>
      <c r="R689" s="210"/>
      <c r="S689" s="210"/>
      <c r="T689" s="210"/>
      <c r="U689" s="210"/>
      <c r="V689" s="210"/>
      <c r="W689" s="210"/>
      <c r="X689" s="210"/>
      <c r="Y689" s="210"/>
      <c r="Z689" s="210"/>
      <c r="AA689" s="210"/>
      <c r="AB689" s="210"/>
      <c r="AC689" s="210"/>
      <c r="AI689" s="210"/>
      <c r="AJ689" s="210"/>
    </row>
    <row r="690" ht="12.75" customHeight="1">
      <c r="C690" s="210"/>
      <c r="D690" s="210"/>
      <c r="E690" s="210"/>
      <c r="F690" s="210"/>
      <c r="G690" s="210"/>
      <c r="H690" s="210"/>
      <c r="I690" s="210"/>
      <c r="J690" s="210"/>
      <c r="K690" s="210"/>
      <c r="L690" s="210"/>
      <c r="M690" s="210"/>
      <c r="N690" s="210"/>
      <c r="O690" s="210"/>
      <c r="P690" s="210"/>
      <c r="Q690" s="210"/>
      <c r="R690" s="210"/>
      <c r="S690" s="210"/>
      <c r="T690" s="210"/>
      <c r="U690" s="210"/>
      <c r="V690" s="210"/>
      <c r="W690" s="210"/>
      <c r="X690" s="210"/>
      <c r="Y690" s="210"/>
      <c r="Z690" s="210"/>
      <c r="AA690" s="210"/>
      <c r="AB690" s="210"/>
      <c r="AC690" s="210"/>
      <c r="AI690" s="210"/>
      <c r="AJ690" s="210"/>
    </row>
    <row r="691" ht="12.75" customHeight="1">
      <c r="C691" s="210"/>
      <c r="D691" s="210"/>
      <c r="E691" s="210"/>
      <c r="F691" s="210"/>
      <c r="G691" s="210"/>
      <c r="H691" s="210"/>
      <c r="I691" s="210"/>
      <c r="J691" s="210"/>
      <c r="K691" s="210"/>
      <c r="L691" s="210"/>
      <c r="M691" s="210"/>
      <c r="N691" s="210"/>
      <c r="O691" s="210"/>
      <c r="P691" s="210"/>
      <c r="Q691" s="210"/>
      <c r="R691" s="210"/>
      <c r="S691" s="210"/>
      <c r="T691" s="210"/>
      <c r="U691" s="210"/>
      <c r="V691" s="210"/>
      <c r="W691" s="210"/>
      <c r="X691" s="210"/>
      <c r="Y691" s="210"/>
      <c r="Z691" s="210"/>
      <c r="AA691" s="210"/>
      <c r="AB691" s="210"/>
      <c r="AC691" s="210"/>
      <c r="AI691" s="210"/>
      <c r="AJ691" s="210"/>
    </row>
    <row r="692" ht="12.75" customHeight="1">
      <c r="C692" s="210"/>
      <c r="D692" s="210"/>
      <c r="E692" s="210"/>
      <c r="F692" s="210"/>
      <c r="G692" s="210"/>
      <c r="H692" s="210"/>
      <c r="I692" s="210"/>
      <c r="J692" s="210"/>
      <c r="K692" s="210"/>
      <c r="L692" s="210"/>
      <c r="M692" s="210"/>
      <c r="N692" s="210"/>
      <c r="O692" s="210"/>
      <c r="P692" s="210"/>
      <c r="Q692" s="210"/>
      <c r="R692" s="210"/>
      <c r="S692" s="210"/>
      <c r="T692" s="210"/>
      <c r="U692" s="210"/>
      <c r="V692" s="210"/>
      <c r="W692" s="210"/>
      <c r="X692" s="210"/>
      <c r="Y692" s="210"/>
      <c r="Z692" s="210"/>
      <c r="AA692" s="210"/>
      <c r="AB692" s="210"/>
      <c r="AC692" s="210"/>
      <c r="AI692" s="210"/>
      <c r="AJ692" s="210"/>
    </row>
    <row r="693" ht="12.75" customHeight="1">
      <c r="C693" s="210"/>
      <c r="D693" s="210"/>
      <c r="E693" s="210"/>
      <c r="F693" s="210"/>
      <c r="G693" s="210"/>
      <c r="H693" s="210"/>
      <c r="I693" s="210"/>
      <c r="J693" s="210"/>
      <c r="K693" s="210"/>
      <c r="L693" s="210"/>
      <c r="M693" s="210"/>
      <c r="N693" s="210"/>
      <c r="O693" s="210"/>
      <c r="P693" s="210"/>
      <c r="Q693" s="210"/>
      <c r="R693" s="210"/>
      <c r="S693" s="210"/>
      <c r="T693" s="210"/>
      <c r="U693" s="210"/>
      <c r="V693" s="210"/>
      <c r="W693" s="210"/>
      <c r="X693" s="210"/>
      <c r="Y693" s="210"/>
      <c r="Z693" s="210"/>
      <c r="AA693" s="210"/>
      <c r="AB693" s="210"/>
      <c r="AC693" s="210"/>
      <c r="AI693" s="210"/>
      <c r="AJ693" s="210"/>
    </row>
    <row r="694" ht="12.75" customHeight="1">
      <c r="C694" s="210"/>
      <c r="D694" s="210"/>
      <c r="E694" s="210"/>
      <c r="F694" s="210"/>
      <c r="G694" s="210"/>
      <c r="H694" s="210"/>
      <c r="I694" s="210"/>
      <c r="J694" s="210"/>
      <c r="K694" s="210"/>
      <c r="L694" s="210"/>
      <c r="M694" s="210"/>
      <c r="N694" s="210"/>
      <c r="O694" s="210"/>
      <c r="P694" s="210"/>
      <c r="Q694" s="210"/>
      <c r="R694" s="210"/>
      <c r="S694" s="210"/>
      <c r="T694" s="210"/>
      <c r="U694" s="210"/>
      <c r="V694" s="210"/>
      <c r="W694" s="210"/>
      <c r="X694" s="210"/>
      <c r="Y694" s="210"/>
      <c r="Z694" s="210"/>
      <c r="AA694" s="210"/>
      <c r="AB694" s="210"/>
      <c r="AC694" s="210"/>
      <c r="AI694" s="210"/>
      <c r="AJ694" s="210"/>
    </row>
    <row r="695" ht="12.75" customHeight="1">
      <c r="C695" s="210"/>
      <c r="D695" s="210"/>
      <c r="E695" s="210"/>
      <c r="F695" s="210"/>
      <c r="G695" s="210"/>
      <c r="H695" s="210"/>
      <c r="I695" s="210"/>
      <c r="J695" s="210"/>
      <c r="K695" s="210"/>
      <c r="L695" s="210"/>
      <c r="M695" s="210"/>
      <c r="N695" s="210"/>
      <c r="O695" s="210"/>
      <c r="P695" s="210"/>
      <c r="Q695" s="210"/>
      <c r="R695" s="210"/>
      <c r="S695" s="210"/>
      <c r="T695" s="210"/>
      <c r="U695" s="210"/>
      <c r="V695" s="210"/>
      <c r="W695" s="210"/>
      <c r="X695" s="210"/>
      <c r="Y695" s="210"/>
      <c r="Z695" s="210"/>
      <c r="AA695" s="210"/>
      <c r="AB695" s="210"/>
      <c r="AC695" s="210"/>
      <c r="AI695" s="210"/>
      <c r="AJ695" s="210"/>
    </row>
    <row r="696" ht="12.75" customHeight="1">
      <c r="C696" s="210"/>
      <c r="D696" s="210"/>
      <c r="E696" s="210"/>
      <c r="F696" s="210"/>
      <c r="G696" s="210"/>
      <c r="H696" s="210"/>
      <c r="I696" s="210"/>
      <c r="J696" s="210"/>
      <c r="K696" s="210"/>
      <c r="L696" s="210"/>
      <c r="M696" s="210"/>
      <c r="N696" s="210"/>
      <c r="O696" s="210"/>
      <c r="P696" s="210"/>
      <c r="Q696" s="210"/>
      <c r="R696" s="210"/>
      <c r="S696" s="210"/>
      <c r="T696" s="210"/>
      <c r="U696" s="210"/>
      <c r="V696" s="210"/>
      <c r="W696" s="210"/>
      <c r="X696" s="210"/>
      <c r="Y696" s="210"/>
      <c r="Z696" s="210"/>
      <c r="AA696" s="210"/>
      <c r="AB696" s="210"/>
      <c r="AC696" s="210"/>
      <c r="AI696" s="210"/>
      <c r="AJ696" s="210"/>
    </row>
    <row r="697" ht="12.75" customHeight="1">
      <c r="C697" s="210"/>
      <c r="D697" s="210"/>
      <c r="E697" s="210"/>
      <c r="F697" s="210"/>
      <c r="G697" s="210"/>
      <c r="H697" s="210"/>
      <c r="I697" s="210"/>
      <c r="J697" s="210"/>
      <c r="K697" s="210"/>
      <c r="L697" s="210"/>
      <c r="M697" s="210"/>
      <c r="N697" s="210"/>
      <c r="O697" s="210"/>
      <c r="P697" s="210"/>
      <c r="Q697" s="210"/>
      <c r="R697" s="210"/>
      <c r="S697" s="210"/>
      <c r="T697" s="210"/>
      <c r="U697" s="210"/>
      <c r="V697" s="210"/>
      <c r="W697" s="210"/>
      <c r="X697" s="210"/>
      <c r="Y697" s="210"/>
      <c r="Z697" s="210"/>
      <c r="AA697" s="210"/>
      <c r="AB697" s="210"/>
      <c r="AC697" s="210"/>
      <c r="AI697" s="210"/>
      <c r="AJ697" s="210"/>
    </row>
    <row r="698" ht="12.75" customHeight="1">
      <c r="C698" s="210"/>
      <c r="D698" s="210"/>
      <c r="E698" s="210"/>
      <c r="F698" s="210"/>
      <c r="G698" s="210"/>
      <c r="H698" s="210"/>
      <c r="I698" s="210"/>
      <c r="J698" s="210"/>
      <c r="K698" s="210"/>
      <c r="L698" s="210"/>
      <c r="M698" s="210"/>
      <c r="N698" s="210"/>
      <c r="O698" s="210"/>
      <c r="P698" s="210"/>
      <c r="Q698" s="210"/>
      <c r="R698" s="210"/>
      <c r="S698" s="210"/>
      <c r="T698" s="210"/>
      <c r="U698" s="210"/>
      <c r="V698" s="210"/>
      <c r="W698" s="210"/>
      <c r="X698" s="210"/>
      <c r="Y698" s="210"/>
      <c r="Z698" s="210"/>
      <c r="AA698" s="210"/>
      <c r="AB698" s="210"/>
      <c r="AC698" s="210"/>
      <c r="AI698" s="210"/>
      <c r="AJ698" s="210"/>
    </row>
    <row r="699" ht="12.75" customHeight="1">
      <c r="C699" s="210"/>
      <c r="D699" s="210"/>
      <c r="E699" s="210"/>
      <c r="F699" s="210"/>
      <c r="G699" s="210"/>
      <c r="H699" s="210"/>
      <c r="I699" s="210"/>
      <c r="J699" s="210"/>
      <c r="K699" s="210"/>
      <c r="L699" s="210"/>
      <c r="M699" s="210"/>
      <c r="N699" s="210"/>
      <c r="O699" s="210"/>
      <c r="P699" s="210"/>
      <c r="Q699" s="210"/>
      <c r="R699" s="210"/>
      <c r="S699" s="210"/>
      <c r="T699" s="210"/>
      <c r="U699" s="210"/>
      <c r="V699" s="210"/>
      <c r="W699" s="210"/>
      <c r="X699" s="210"/>
      <c r="Y699" s="210"/>
      <c r="Z699" s="210"/>
      <c r="AA699" s="210"/>
      <c r="AB699" s="210"/>
      <c r="AC699" s="210"/>
      <c r="AI699" s="210"/>
      <c r="AJ699" s="210"/>
    </row>
    <row r="700" ht="12.75" customHeight="1">
      <c r="C700" s="210"/>
      <c r="D700" s="210"/>
      <c r="E700" s="210"/>
      <c r="F700" s="210"/>
      <c r="G700" s="210"/>
      <c r="H700" s="210"/>
      <c r="I700" s="210"/>
      <c r="J700" s="210"/>
      <c r="K700" s="210"/>
      <c r="L700" s="210"/>
      <c r="M700" s="210"/>
      <c r="N700" s="210"/>
      <c r="O700" s="210"/>
      <c r="P700" s="210"/>
      <c r="Q700" s="210"/>
      <c r="R700" s="210"/>
      <c r="S700" s="210"/>
      <c r="T700" s="210"/>
      <c r="U700" s="210"/>
      <c r="V700" s="210"/>
      <c r="W700" s="210"/>
      <c r="X700" s="210"/>
      <c r="Y700" s="210"/>
      <c r="Z700" s="210"/>
      <c r="AA700" s="210"/>
      <c r="AB700" s="210"/>
      <c r="AC700" s="210"/>
      <c r="AI700" s="210"/>
      <c r="AJ700" s="210"/>
    </row>
    <row r="701" ht="12.75" customHeight="1">
      <c r="C701" s="210"/>
      <c r="D701" s="210"/>
      <c r="E701" s="210"/>
      <c r="F701" s="210"/>
      <c r="G701" s="210"/>
      <c r="H701" s="210"/>
      <c r="I701" s="210"/>
      <c r="J701" s="210"/>
      <c r="K701" s="210"/>
      <c r="L701" s="210"/>
      <c r="M701" s="210"/>
      <c r="N701" s="210"/>
      <c r="O701" s="210"/>
      <c r="P701" s="210"/>
      <c r="Q701" s="210"/>
      <c r="R701" s="210"/>
      <c r="S701" s="210"/>
      <c r="T701" s="210"/>
      <c r="U701" s="210"/>
      <c r="V701" s="210"/>
      <c r="W701" s="210"/>
      <c r="X701" s="210"/>
      <c r="Y701" s="210"/>
      <c r="Z701" s="210"/>
      <c r="AA701" s="210"/>
      <c r="AB701" s="210"/>
      <c r="AC701" s="210"/>
      <c r="AI701" s="210"/>
      <c r="AJ701" s="210"/>
    </row>
    <row r="702" ht="12.75" customHeight="1">
      <c r="C702" s="210"/>
      <c r="D702" s="210"/>
      <c r="E702" s="210"/>
      <c r="F702" s="210"/>
      <c r="G702" s="210"/>
      <c r="H702" s="210"/>
      <c r="I702" s="210"/>
      <c r="J702" s="210"/>
      <c r="K702" s="210"/>
      <c r="L702" s="210"/>
      <c r="M702" s="210"/>
      <c r="N702" s="210"/>
      <c r="O702" s="210"/>
      <c r="P702" s="210"/>
      <c r="Q702" s="210"/>
      <c r="R702" s="210"/>
      <c r="S702" s="210"/>
      <c r="T702" s="210"/>
      <c r="U702" s="210"/>
      <c r="V702" s="210"/>
      <c r="W702" s="210"/>
      <c r="X702" s="210"/>
      <c r="Y702" s="210"/>
      <c r="Z702" s="210"/>
      <c r="AA702" s="210"/>
      <c r="AB702" s="210"/>
      <c r="AC702" s="210"/>
      <c r="AI702" s="210"/>
      <c r="AJ702" s="210"/>
    </row>
    <row r="703" ht="12.75" customHeight="1">
      <c r="C703" s="210"/>
      <c r="D703" s="210"/>
      <c r="E703" s="210"/>
      <c r="F703" s="210"/>
      <c r="G703" s="210"/>
      <c r="H703" s="210"/>
      <c r="I703" s="210"/>
      <c r="J703" s="210"/>
      <c r="K703" s="210"/>
      <c r="L703" s="210"/>
      <c r="M703" s="210"/>
      <c r="N703" s="210"/>
      <c r="O703" s="210"/>
      <c r="P703" s="210"/>
      <c r="Q703" s="210"/>
      <c r="R703" s="210"/>
      <c r="S703" s="210"/>
      <c r="T703" s="210"/>
      <c r="U703" s="210"/>
      <c r="V703" s="210"/>
      <c r="W703" s="210"/>
      <c r="X703" s="210"/>
      <c r="Y703" s="210"/>
      <c r="Z703" s="210"/>
      <c r="AA703" s="210"/>
      <c r="AB703" s="210"/>
      <c r="AC703" s="210"/>
      <c r="AI703" s="210"/>
      <c r="AJ703" s="210"/>
    </row>
    <row r="704" ht="12.75" customHeight="1">
      <c r="C704" s="210"/>
      <c r="D704" s="210"/>
      <c r="E704" s="210"/>
      <c r="F704" s="210"/>
      <c r="G704" s="210"/>
      <c r="H704" s="210"/>
      <c r="I704" s="210"/>
      <c r="J704" s="210"/>
      <c r="K704" s="210"/>
      <c r="L704" s="210"/>
      <c r="M704" s="210"/>
      <c r="N704" s="210"/>
      <c r="O704" s="210"/>
      <c r="P704" s="210"/>
      <c r="Q704" s="210"/>
      <c r="R704" s="210"/>
      <c r="S704" s="210"/>
      <c r="T704" s="210"/>
      <c r="U704" s="210"/>
      <c r="V704" s="210"/>
      <c r="W704" s="210"/>
      <c r="X704" s="210"/>
      <c r="Y704" s="210"/>
      <c r="Z704" s="210"/>
      <c r="AA704" s="210"/>
      <c r="AB704" s="210"/>
      <c r="AC704" s="210"/>
      <c r="AI704" s="210"/>
      <c r="AJ704" s="210"/>
    </row>
    <row r="705" ht="12.75" customHeight="1">
      <c r="C705" s="210"/>
      <c r="D705" s="210"/>
      <c r="E705" s="210"/>
      <c r="F705" s="210"/>
      <c r="G705" s="210"/>
      <c r="H705" s="210"/>
      <c r="I705" s="210"/>
      <c r="J705" s="210"/>
      <c r="K705" s="210"/>
      <c r="L705" s="210"/>
      <c r="M705" s="210"/>
      <c r="N705" s="210"/>
      <c r="O705" s="210"/>
      <c r="P705" s="210"/>
      <c r="Q705" s="210"/>
      <c r="R705" s="210"/>
      <c r="S705" s="210"/>
      <c r="T705" s="210"/>
      <c r="U705" s="210"/>
      <c r="V705" s="210"/>
      <c r="W705" s="210"/>
      <c r="X705" s="210"/>
      <c r="Y705" s="210"/>
      <c r="Z705" s="210"/>
      <c r="AA705" s="210"/>
      <c r="AB705" s="210"/>
      <c r="AC705" s="210"/>
      <c r="AI705" s="210"/>
      <c r="AJ705" s="210"/>
    </row>
    <row r="706" ht="12.75" customHeight="1">
      <c r="C706" s="210"/>
      <c r="D706" s="210"/>
      <c r="E706" s="210"/>
      <c r="F706" s="210"/>
      <c r="G706" s="210"/>
      <c r="H706" s="210"/>
      <c r="I706" s="210"/>
      <c r="J706" s="210"/>
      <c r="K706" s="210"/>
      <c r="L706" s="210"/>
      <c r="M706" s="210"/>
      <c r="N706" s="210"/>
      <c r="O706" s="210"/>
      <c r="P706" s="210"/>
      <c r="Q706" s="210"/>
      <c r="R706" s="210"/>
      <c r="S706" s="210"/>
      <c r="T706" s="210"/>
      <c r="U706" s="210"/>
      <c r="V706" s="210"/>
      <c r="W706" s="210"/>
      <c r="X706" s="210"/>
      <c r="Y706" s="210"/>
      <c r="Z706" s="210"/>
      <c r="AA706" s="210"/>
      <c r="AB706" s="210"/>
      <c r="AC706" s="210"/>
      <c r="AI706" s="210"/>
      <c r="AJ706" s="210"/>
    </row>
    <row r="707" ht="12.75" customHeight="1">
      <c r="C707" s="210"/>
      <c r="D707" s="210"/>
      <c r="E707" s="210"/>
      <c r="F707" s="210"/>
      <c r="G707" s="210"/>
      <c r="H707" s="210"/>
      <c r="I707" s="210"/>
      <c r="J707" s="210"/>
      <c r="K707" s="210"/>
      <c r="L707" s="210"/>
      <c r="M707" s="210"/>
      <c r="N707" s="210"/>
      <c r="O707" s="210"/>
      <c r="P707" s="210"/>
      <c r="Q707" s="210"/>
      <c r="R707" s="210"/>
      <c r="S707" s="210"/>
      <c r="T707" s="210"/>
      <c r="U707" s="210"/>
      <c r="V707" s="210"/>
      <c r="W707" s="210"/>
      <c r="X707" s="210"/>
      <c r="Y707" s="210"/>
      <c r="Z707" s="210"/>
      <c r="AA707" s="210"/>
      <c r="AB707" s="210"/>
      <c r="AC707" s="210"/>
      <c r="AI707" s="210"/>
      <c r="AJ707" s="210"/>
    </row>
    <row r="708" ht="12.75" customHeight="1">
      <c r="C708" s="210"/>
      <c r="D708" s="210"/>
      <c r="E708" s="210"/>
      <c r="F708" s="210"/>
      <c r="G708" s="210"/>
      <c r="H708" s="210"/>
      <c r="I708" s="210"/>
      <c r="J708" s="210"/>
      <c r="K708" s="210"/>
      <c r="L708" s="210"/>
      <c r="M708" s="210"/>
      <c r="N708" s="210"/>
      <c r="O708" s="210"/>
      <c r="P708" s="210"/>
      <c r="Q708" s="210"/>
      <c r="R708" s="210"/>
      <c r="S708" s="210"/>
      <c r="T708" s="210"/>
      <c r="U708" s="210"/>
      <c r="V708" s="210"/>
      <c r="W708" s="210"/>
      <c r="X708" s="210"/>
      <c r="Y708" s="210"/>
      <c r="Z708" s="210"/>
      <c r="AA708" s="210"/>
      <c r="AB708" s="210"/>
      <c r="AC708" s="210"/>
      <c r="AI708" s="210"/>
      <c r="AJ708" s="210"/>
    </row>
    <row r="709" ht="12.75" customHeight="1">
      <c r="C709" s="210"/>
      <c r="D709" s="210"/>
      <c r="E709" s="210"/>
      <c r="F709" s="210"/>
      <c r="G709" s="210"/>
      <c r="H709" s="210"/>
      <c r="I709" s="210"/>
      <c r="J709" s="210"/>
      <c r="K709" s="210"/>
      <c r="L709" s="210"/>
      <c r="M709" s="210"/>
      <c r="N709" s="210"/>
      <c r="O709" s="210"/>
      <c r="P709" s="210"/>
      <c r="Q709" s="210"/>
      <c r="R709" s="210"/>
      <c r="S709" s="210"/>
      <c r="T709" s="210"/>
      <c r="U709" s="210"/>
      <c r="V709" s="210"/>
      <c r="W709" s="210"/>
      <c r="X709" s="210"/>
      <c r="Y709" s="210"/>
      <c r="Z709" s="210"/>
      <c r="AA709" s="210"/>
      <c r="AB709" s="210"/>
      <c r="AC709" s="210"/>
      <c r="AI709" s="210"/>
      <c r="AJ709" s="210"/>
    </row>
    <row r="710" ht="12.75" customHeight="1">
      <c r="C710" s="210"/>
      <c r="D710" s="210"/>
      <c r="E710" s="210"/>
      <c r="F710" s="210"/>
      <c r="G710" s="210"/>
      <c r="H710" s="210"/>
      <c r="I710" s="210"/>
      <c r="J710" s="210"/>
      <c r="K710" s="210"/>
      <c r="L710" s="210"/>
      <c r="M710" s="210"/>
      <c r="N710" s="210"/>
      <c r="O710" s="210"/>
      <c r="P710" s="210"/>
      <c r="Q710" s="210"/>
      <c r="R710" s="210"/>
      <c r="S710" s="210"/>
      <c r="T710" s="210"/>
      <c r="U710" s="210"/>
      <c r="V710" s="210"/>
      <c r="W710" s="210"/>
      <c r="X710" s="210"/>
      <c r="Y710" s="210"/>
      <c r="Z710" s="210"/>
      <c r="AA710" s="210"/>
      <c r="AB710" s="210"/>
      <c r="AC710" s="210"/>
      <c r="AI710" s="210"/>
      <c r="AJ710" s="210"/>
    </row>
    <row r="711" ht="12.75" customHeight="1">
      <c r="C711" s="210"/>
      <c r="D711" s="210"/>
      <c r="E711" s="210"/>
      <c r="F711" s="210"/>
      <c r="G711" s="210"/>
      <c r="H711" s="210"/>
      <c r="I711" s="210"/>
      <c r="J711" s="210"/>
      <c r="K711" s="210"/>
      <c r="L711" s="210"/>
      <c r="M711" s="210"/>
      <c r="N711" s="210"/>
      <c r="O711" s="210"/>
      <c r="P711" s="210"/>
      <c r="Q711" s="210"/>
      <c r="R711" s="210"/>
      <c r="S711" s="210"/>
      <c r="T711" s="210"/>
      <c r="U711" s="210"/>
      <c r="V711" s="210"/>
      <c r="W711" s="210"/>
      <c r="X711" s="210"/>
      <c r="Y711" s="210"/>
      <c r="Z711" s="210"/>
      <c r="AA711" s="210"/>
      <c r="AB711" s="210"/>
      <c r="AC711" s="210"/>
      <c r="AI711" s="210"/>
      <c r="AJ711" s="210"/>
    </row>
    <row r="712" ht="12.75" customHeight="1">
      <c r="C712" s="210"/>
      <c r="D712" s="210"/>
      <c r="E712" s="210"/>
      <c r="F712" s="210"/>
      <c r="G712" s="210"/>
      <c r="H712" s="210"/>
      <c r="I712" s="210"/>
      <c r="J712" s="210"/>
      <c r="K712" s="210"/>
      <c r="L712" s="210"/>
      <c r="M712" s="210"/>
      <c r="N712" s="210"/>
      <c r="O712" s="210"/>
      <c r="P712" s="210"/>
      <c r="Q712" s="210"/>
      <c r="R712" s="210"/>
      <c r="S712" s="210"/>
      <c r="T712" s="210"/>
      <c r="U712" s="210"/>
      <c r="V712" s="210"/>
      <c r="W712" s="210"/>
      <c r="X712" s="210"/>
      <c r="Y712" s="210"/>
      <c r="Z712" s="210"/>
      <c r="AA712" s="210"/>
      <c r="AB712" s="210"/>
      <c r="AC712" s="210"/>
      <c r="AI712" s="210"/>
      <c r="AJ712" s="210"/>
    </row>
    <row r="713" ht="12.75" customHeight="1">
      <c r="C713" s="210"/>
      <c r="D713" s="210"/>
      <c r="E713" s="210"/>
      <c r="F713" s="210"/>
      <c r="G713" s="210"/>
      <c r="H713" s="210"/>
      <c r="I713" s="210"/>
      <c r="J713" s="210"/>
      <c r="K713" s="210"/>
      <c r="L713" s="210"/>
      <c r="M713" s="210"/>
      <c r="N713" s="210"/>
      <c r="O713" s="210"/>
      <c r="P713" s="210"/>
      <c r="Q713" s="210"/>
      <c r="R713" s="210"/>
      <c r="S713" s="210"/>
      <c r="T713" s="210"/>
      <c r="U713" s="210"/>
      <c r="V713" s="210"/>
      <c r="W713" s="210"/>
      <c r="X713" s="210"/>
      <c r="Y713" s="210"/>
      <c r="Z713" s="210"/>
      <c r="AA713" s="210"/>
      <c r="AB713" s="210"/>
      <c r="AC713" s="210"/>
      <c r="AI713" s="210"/>
      <c r="AJ713" s="210"/>
    </row>
    <row r="714" ht="12.75" customHeight="1">
      <c r="C714" s="210"/>
      <c r="D714" s="210"/>
      <c r="E714" s="210"/>
      <c r="F714" s="210"/>
      <c r="G714" s="210"/>
      <c r="H714" s="210"/>
      <c r="I714" s="210"/>
      <c r="J714" s="210"/>
      <c r="K714" s="210"/>
      <c r="L714" s="210"/>
      <c r="M714" s="210"/>
      <c r="N714" s="210"/>
      <c r="O714" s="210"/>
      <c r="P714" s="210"/>
      <c r="Q714" s="210"/>
      <c r="R714" s="210"/>
      <c r="S714" s="210"/>
      <c r="T714" s="210"/>
      <c r="U714" s="210"/>
      <c r="V714" s="210"/>
      <c r="W714" s="210"/>
      <c r="X714" s="210"/>
      <c r="Y714" s="210"/>
      <c r="Z714" s="210"/>
      <c r="AA714" s="210"/>
      <c r="AB714" s="210"/>
      <c r="AC714" s="210"/>
      <c r="AI714" s="210"/>
      <c r="AJ714" s="210"/>
    </row>
    <row r="715" ht="12.75" customHeight="1">
      <c r="C715" s="210"/>
      <c r="D715" s="210"/>
      <c r="E715" s="210"/>
      <c r="F715" s="210"/>
      <c r="G715" s="210"/>
      <c r="H715" s="210"/>
      <c r="I715" s="210"/>
      <c r="J715" s="210"/>
      <c r="K715" s="210"/>
      <c r="L715" s="210"/>
      <c r="M715" s="210"/>
      <c r="N715" s="210"/>
      <c r="O715" s="210"/>
      <c r="P715" s="210"/>
      <c r="Q715" s="210"/>
      <c r="R715" s="210"/>
      <c r="S715" s="210"/>
      <c r="T715" s="210"/>
      <c r="U715" s="210"/>
      <c r="V715" s="210"/>
      <c r="W715" s="210"/>
      <c r="X715" s="210"/>
      <c r="Y715" s="210"/>
      <c r="Z715" s="210"/>
      <c r="AA715" s="210"/>
      <c r="AB715" s="210"/>
      <c r="AC715" s="210"/>
      <c r="AI715" s="210"/>
      <c r="AJ715" s="210"/>
    </row>
    <row r="716" ht="12.75" customHeight="1">
      <c r="C716" s="210"/>
      <c r="D716" s="210"/>
      <c r="E716" s="210"/>
      <c r="F716" s="210"/>
      <c r="G716" s="210"/>
      <c r="H716" s="210"/>
      <c r="I716" s="210"/>
      <c r="J716" s="210"/>
      <c r="K716" s="210"/>
      <c r="L716" s="210"/>
      <c r="M716" s="210"/>
      <c r="N716" s="210"/>
      <c r="O716" s="210"/>
      <c r="P716" s="210"/>
      <c r="Q716" s="210"/>
      <c r="R716" s="210"/>
      <c r="S716" s="210"/>
      <c r="T716" s="210"/>
      <c r="U716" s="210"/>
      <c r="V716" s="210"/>
      <c r="W716" s="210"/>
      <c r="X716" s="210"/>
      <c r="Y716" s="210"/>
      <c r="Z716" s="210"/>
      <c r="AA716" s="210"/>
      <c r="AB716" s="210"/>
      <c r="AC716" s="210"/>
      <c r="AI716" s="210"/>
      <c r="AJ716" s="210"/>
    </row>
    <row r="717" ht="12.75" customHeight="1">
      <c r="C717" s="210"/>
      <c r="D717" s="210"/>
      <c r="E717" s="210"/>
      <c r="F717" s="210"/>
      <c r="G717" s="210"/>
      <c r="H717" s="210"/>
      <c r="I717" s="210"/>
      <c r="J717" s="210"/>
      <c r="K717" s="210"/>
      <c r="L717" s="210"/>
      <c r="M717" s="210"/>
      <c r="N717" s="210"/>
      <c r="O717" s="210"/>
      <c r="P717" s="210"/>
      <c r="Q717" s="210"/>
      <c r="R717" s="210"/>
      <c r="S717" s="210"/>
      <c r="T717" s="210"/>
      <c r="U717" s="210"/>
      <c r="V717" s="210"/>
      <c r="W717" s="210"/>
      <c r="X717" s="210"/>
      <c r="Y717" s="210"/>
      <c r="Z717" s="210"/>
      <c r="AA717" s="210"/>
      <c r="AB717" s="210"/>
      <c r="AC717" s="210"/>
      <c r="AI717" s="210"/>
      <c r="AJ717" s="210"/>
    </row>
    <row r="718" ht="12.75" customHeight="1">
      <c r="C718" s="210"/>
      <c r="D718" s="210"/>
      <c r="E718" s="210"/>
      <c r="F718" s="210"/>
      <c r="G718" s="210"/>
      <c r="H718" s="210"/>
      <c r="I718" s="210"/>
      <c r="J718" s="210"/>
      <c r="K718" s="210"/>
      <c r="L718" s="210"/>
      <c r="M718" s="210"/>
      <c r="N718" s="210"/>
      <c r="O718" s="210"/>
      <c r="P718" s="210"/>
      <c r="Q718" s="210"/>
      <c r="R718" s="210"/>
      <c r="S718" s="210"/>
      <c r="T718" s="210"/>
      <c r="U718" s="210"/>
      <c r="V718" s="210"/>
      <c r="W718" s="210"/>
      <c r="X718" s="210"/>
      <c r="Y718" s="210"/>
      <c r="Z718" s="210"/>
      <c r="AA718" s="210"/>
      <c r="AB718" s="210"/>
      <c r="AC718" s="210"/>
      <c r="AI718" s="210"/>
      <c r="AJ718" s="210"/>
    </row>
    <row r="719" ht="12.75" customHeight="1">
      <c r="C719" s="210"/>
      <c r="D719" s="210"/>
      <c r="E719" s="210"/>
      <c r="F719" s="210"/>
      <c r="G719" s="210"/>
      <c r="H719" s="210"/>
      <c r="I719" s="210"/>
      <c r="J719" s="210"/>
      <c r="K719" s="210"/>
      <c r="L719" s="210"/>
      <c r="M719" s="210"/>
      <c r="N719" s="210"/>
      <c r="O719" s="210"/>
      <c r="P719" s="210"/>
      <c r="Q719" s="210"/>
      <c r="R719" s="210"/>
      <c r="S719" s="210"/>
      <c r="T719" s="210"/>
      <c r="U719" s="210"/>
      <c r="V719" s="210"/>
      <c r="W719" s="210"/>
      <c r="X719" s="210"/>
      <c r="Y719" s="210"/>
      <c r="Z719" s="210"/>
      <c r="AA719" s="210"/>
      <c r="AB719" s="210"/>
      <c r="AC719" s="210"/>
      <c r="AI719" s="210"/>
      <c r="AJ719" s="210"/>
    </row>
    <row r="720" ht="12.75" customHeight="1">
      <c r="C720" s="210"/>
      <c r="D720" s="210"/>
      <c r="E720" s="210"/>
      <c r="F720" s="210"/>
      <c r="G720" s="210"/>
      <c r="H720" s="210"/>
      <c r="I720" s="210"/>
      <c r="J720" s="210"/>
      <c r="K720" s="210"/>
      <c r="L720" s="210"/>
      <c r="M720" s="210"/>
      <c r="N720" s="210"/>
      <c r="O720" s="210"/>
      <c r="P720" s="210"/>
      <c r="Q720" s="210"/>
      <c r="R720" s="210"/>
      <c r="S720" s="210"/>
      <c r="T720" s="210"/>
      <c r="U720" s="210"/>
      <c r="V720" s="210"/>
      <c r="W720" s="210"/>
      <c r="X720" s="210"/>
      <c r="Y720" s="210"/>
      <c r="Z720" s="210"/>
      <c r="AA720" s="210"/>
      <c r="AB720" s="210"/>
      <c r="AC720" s="210"/>
      <c r="AI720" s="210"/>
      <c r="AJ720" s="210"/>
    </row>
    <row r="721" ht="12.75" customHeight="1">
      <c r="C721" s="210"/>
      <c r="D721" s="210"/>
      <c r="E721" s="210"/>
      <c r="F721" s="210"/>
      <c r="G721" s="210"/>
      <c r="H721" s="210"/>
      <c r="I721" s="210"/>
      <c r="J721" s="210"/>
      <c r="K721" s="210"/>
      <c r="L721" s="210"/>
      <c r="M721" s="210"/>
      <c r="N721" s="210"/>
      <c r="O721" s="210"/>
      <c r="P721" s="210"/>
      <c r="Q721" s="210"/>
      <c r="R721" s="210"/>
      <c r="S721" s="210"/>
      <c r="T721" s="210"/>
      <c r="U721" s="210"/>
      <c r="V721" s="210"/>
      <c r="W721" s="210"/>
      <c r="X721" s="210"/>
      <c r="Y721" s="210"/>
      <c r="Z721" s="210"/>
      <c r="AA721" s="210"/>
      <c r="AB721" s="210"/>
      <c r="AC721" s="210"/>
      <c r="AI721" s="210"/>
      <c r="AJ721" s="210"/>
    </row>
    <row r="722" ht="12.75" customHeight="1">
      <c r="C722" s="210"/>
      <c r="D722" s="210"/>
      <c r="E722" s="210"/>
      <c r="F722" s="210"/>
      <c r="G722" s="210"/>
      <c r="H722" s="210"/>
      <c r="I722" s="210"/>
      <c r="J722" s="210"/>
      <c r="K722" s="210"/>
      <c r="L722" s="210"/>
      <c r="M722" s="210"/>
      <c r="N722" s="210"/>
      <c r="O722" s="210"/>
      <c r="P722" s="210"/>
      <c r="Q722" s="210"/>
      <c r="R722" s="210"/>
      <c r="S722" s="210"/>
      <c r="T722" s="210"/>
      <c r="U722" s="210"/>
      <c r="V722" s="210"/>
      <c r="W722" s="210"/>
      <c r="X722" s="210"/>
      <c r="Y722" s="210"/>
      <c r="Z722" s="210"/>
      <c r="AA722" s="210"/>
      <c r="AB722" s="210"/>
      <c r="AC722" s="210"/>
      <c r="AI722" s="210"/>
      <c r="AJ722" s="210"/>
    </row>
    <row r="723" ht="12.75" customHeight="1">
      <c r="C723" s="210"/>
      <c r="D723" s="210"/>
      <c r="E723" s="210"/>
      <c r="F723" s="210"/>
      <c r="G723" s="210"/>
      <c r="H723" s="210"/>
      <c r="I723" s="210"/>
      <c r="J723" s="210"/>
      <c r="K723" s="210"/>
      <c r="L723" s="210"/>
      <c r="M723" s="210"/>
      <c r="N723" s="210"/>
      <c r="O723" s="210"/>
      <c r="P723" s="210"/>
      <c r="Q723" s="210"/>
      <c r="R723" s="210"/>
      <c r="S723" s="210"/>
      <c r="T723" s="210"/>
      <c r="U723" s="210"/>
      <c r="V723" s="210"/>
      <c r="W723" s="210"/>
      <c r="X723" s="210"/>
      <c r="Y723" s="210"/>
      <c r="Z723" s="210"/>
      <c r="AA723" s="210"/>
      <c r="AB723" s="210"/>
      <c r="AC723" s="210"/>
      <c r="AI723" s="210"/>
      <c r="AJ723" s="210"/>
    </row>
    <row r="724" ht="12.75" customHeight="1">
      <c r="C724" s="210"/>
      <c r="D724" s="210"/>
      <c r="E724" s="210"/>
      <c r="F724" s="210"/>
      <c r="G724" s="210"/>
      <c r="H724" s="210"/>
      <c r="I724" s="210"/>
      <c r="J724" s="210"/>
      <c r="K724" s="210"/>
      <c r="L724" s="210"/>
      <c r="M724" s="210"/>
      <c r="N724" s="210"/>
      <c r="O724" s="210"/>
      <c r="P724" s="210"/>
      <c r="Q724" s="210"/>
      <c r="R724" s="210"/>
      <c r="S724" s="210"/>
      <c r="T724" s="210"/>
      <c r="U724" s="210"/>
      <c r="V724" s="210"/>
      <c r="W724" s="210"/>
      <c r="X724" s="210"/>
      <c r="Y724" s="210"/>
      <c r="Z724" s="210"/>
      <c r="AA724" s="210"/>
      <c r="AB724" s="210"/>
      <c r="AC724" s="210"/>
      <c r="AI724" s="210"/>
      <c r="AJ724" s="210"/>
    </row>
    <row r="725" ht="12.75" customHeight="1">
      <c r="C725" s="210"/>
      <c r="D725" s="210"/>
      <c r="E725" s="210"/>
      <c r="F725" s="210"/>
      <c r="G725" s="210"/>
      <c r="H725" s="210"/>
      <c r="I725" s="210"/>
      <c r="J725" s="210"/>
      <c r="K725" s="210"/>
      <c r="L725" s="210"/>
      <c r="M725" s="210"/>
      <c r="N725" s="210"/>
      <c r="O725" s="210"/>
      <c r="P725" s="210"/>
      <c r="Q725" s="210"/>
      <c r="R725" s="210"/>
      <c r="S725" s="210"/>
      <c r="T725" s="210"/>
      <c r="U725" s="210"/>
      <c r="V725" s="210"/>
      <c r="W725" s="210"/>
      <c r="X725" s="210"/>
      <c r="Y725" s="210"/>
      <c r="Z725" s="210"/>
      <c r="AA725" s="210"/>
      <c r="AB725" s="210"/>
      <c r="AC725" s="210"/>
      <c r="AI725" s="210"/>
      <c r="AJ725" s="210"/>
    </row>
    <row r="726" ht="12.75" customHeight="1">
      <c r="C726" s="210"/>
      <c r="D726" s="210"/>
      <c r="E726" s="210"/>
      <c r="F726" s="210"/>
      <c r="G726" s="210"/>
      <c r="H726" s="210"/>
      <c r="I726" s="210"/>
      <c r="J726" s="210"/>
      <c r="K726" s="210"/>
      <c r="L726" s="210"/>
      <c r="M726" s="210"/>
      <c r="N726" s="210"/>
      <c r="O726" s="210"/>
      <c r="P726" s="210"/>
      <c r="Q726" s="210"/>
      <c r="R726" s="210"/>
      <c r="S726" s="210"/>
      <c r="T726" s="210"/>
      <c r="U726" s="210"/>
      <c r="V726" s="210"/>
      <c r="W726" s="210"/>
      <c r="X726" s="210"/>
      <c r="Y726" s="210"/>
      <c r="Z726" s="210"/>
      <c r="AA726" s="210"/>
      <c r="AB726" s="210"/>
      <c r="AC726" s="210"/>
      <c r="AI726" s="210"/>
      <c r="AJ726" s="210"/>
    </row>
    <row r="727" ht="12.75" customHeight="1">
      <c r="C727" s="210"/>
      <c r="D727" s="210"/>
      <c r="E727" s="210"/>
      <c r="F727" s="210"/>
      <c r="G727" s="210"/>
      <c r="H727" s="210"/>
      <c r="I727" s="210"/>
      <c r="J727" s="210"/>
      <c r="K727" s="210"/>
      <c r="L727" s="210"/>
      <c r="M727" s="210"/>
      <c r="N727" s="210"/>
      <c r="O727" s="210"/>
      <c r="P727" s="210"/>
      <c r="Q727" s="210"/>
      <c r="R727" s="210"/>
      <c r="S727" s="210"/>
      <c r="T727" s="210"/>
      <c r="U727" s="210"/>
      <c r="V727" s="210"/>
      <c r="W727" s="210"/>
      <c r="X727" s="210"/>
      <c r="Y727" s="210"/>
      <c r="Z727" s="210"/>
      <c r="AA727" s="210"/>
      <c r="AB727" s="210"/>
      <c r="AC727" s="210"/>
      <c r="AI727" s="210"/>
      <c r="AJ727" s="210"/>
    </row>
    <row r="728" ht="12.75" customHeight="1">
      <c r="C728" s="210"/>
      <c r="D728" s="210"/>
      <c r="E728" s="210"/>
      <c r="F728" s="210"/>
      <c r="G728" s="210"/>
      <c r="H728" s="210"/>
      <c r="I728" s="210"/>
      <c r="J728" s="210"/>
      <c r="K728" s="210"/>
      <c r="L728" s="210"/>
      <c r="M728" s="210"/>
      <c r="N728" s="210"/>
      <c r="O728" s="210"/>
      <c r="P728" s="210"/>
      <c r="Q728" s="210"/>
      <c r="R728" s="210"/>
      <c r="S728" s="210"/>
      <c r="T728" s="210"/>
      <c r="U728" s="210"/>
      <c r="V728" s="210"/>
      <c r="W728" s="210"/>
      <c r="X728" s="210"/>
      <c r="Y728" s="210"/>
      <c r="Z728" s="210"/>
      <c r="AA728" s="210"/>
      <c r="AB728" s="210"/>
      <c r="AC728" s="210"/>
      <c r="AI728" s="210"/>
      <c r="AJ728" s="210"/>
    </row>
    <row r="729" ht="12.75" customHeight="1">
      <c r="C729" s="210"/>
      <c r="D729" s="210"/>
      <c r="E729" s="210"/>
      <c r="F729" s="210"/>
      <c r="G729" s="210"/>
      <c r="H729" s="210"/>
      <c r="I729" s="210"/>
      <c r="J729" s="210"/>
      <c r="K729" s="210"/>
      <c r="L729" s="210"/>
      <c r="M729" s="210"/>
      <c r="N729" s="210"/>
      <c r="O729" s="210"/>
      <c r="P729" s="210"/>
      <c r="Q729" s="210"/>
      <c r="R729" s="210"/>
      <c r="S729" s="210"/>
      <c r="T729" s="210"/>
      <c r="U729" s="210"/>
      <c r="V729" s="210"/>
      <c r="W729" s="210"/>
      <c r="X729" s="210"/>
      <c r="Y729" s="210"/>
      <c r="Z729" s="210"/>
      <c r="AA729" s="210"/>
      <c r="AB729" s="210"/>
      <c r="AC729" s="210"/>
      <c r="AI729" s="210"/>
      <c r="AJ729" s="210"/>
    </row>
    <row r="730" ht="12.75" customHeight="1">
      <c r="C730" s="210"/>
      <c r="D730" s="210"/>
      <c r="E730" s="210"/>
      <c r="F730" s="210"/>
      <c r="G730" s="210"/>
      <c r="H730" s="210"/>
      <c r="I730" s="210"/>
      <c r="J730" s="210"/>
      <c r="K730" s="210"/>
      <c r="L730" s="210"/>
      <c r="M730" s="210"/>
      <c r="N730" s="210"/>
      <c r="O730" s="210"/>
      <c r="P730" s="210"/>
      <c r="Q730" s="210"/>
      <c r="R730" s="210"/>
      <c r="S730" s="210"/>
      <c r="T730" s="210"/>
      <c r="U730" s="210"/>
      <c r="V730" s="210"/>
      <c r="W730" s="210"/>
      <c r="X730" s="210"/>
      <c r="Y730" s="210"/>
      <c r="Z730" s="210"/>
      <c r="AA730" s="210"/>
      <c r="AB730" s="210"/>
      <c r="AC730" s="210"/>
      <c r="AI730" s="210"/>
      <c r="AJ730" s="210"/>
    </row>
    <row r="731" ht="12.75" customHeight="1">
      <c r="C731" s="210"/>
      <c r="D731" s="210"/>
      <c r="E731" s="210"/>
      <c r="F731" s="210"/>
      <c r="G731" s="210"/>
      <c r="H731" s="210"/>
      <c r="I731" s="210"/>
      <c r="J731" s="210"/>
      <c r="K731" s="210"/>
      <c r="L731" s="210"/>
      <c r="M731" s="210"/>
      <c r="N731" s="210"/>
      <c r="O731" s="210"/>
      <c r="P731" s="210"/>
      <c r="Q731" s="210"/>
      <c r="R731" s="210"/>
      <c r="S731" s="210"/>
      <c r="T731" s="210"/>
      <c r="U731" s="210"/>
      <c r="V731" s="210"/>
      <c r="W731" s="210"/>
      <c r="X731" s="210"/>
      <c r="Y731" s="210"/>
      <c r="Z731" s="210"/>
      <c r="AA731" s="210"/>
      <c r="AB731" s="210"/>
      <c r="AC731" s="210"/>
      <c r="AI731" s="210"/>
      <c r="AJ731" s="210"/>
    </row>
    <row r="732" ht="12.75" customHeight="1">
      <c r="C732" s="210"/>
      <c r="D732" s="210"/>
      <c r="E732" s="210"/>
      <c r="F732" s="210"/>
      <c r="G732" s="210"/>
      <c r="H732" s="210"/>
      <c r="I732" s="210"/>
      <c r="J732" s="210"/>
      <c r="K732" s="210"/>
      <c r="L732" s="210"/>
      <c r="M732" s="210"/>
      <c r="N732" s="210"/>
      <c r="O732" s="210"/>
      <c r="P732" s="210"/>
      <c r="Q732" s="210"/>
      <c r="R732" s="210"/>
      <c r="S732" s="210"/>
      <c r="T732" s="210"/>
      <c r="U732" s="210"/>
      <c r="V732" s="210"/>
      <c r="W732" s="210"/>
      <c r="X732" s="210"/>
      <c r="Y732" s="210"/>
      <c r="Z732" s="210"/>
      <c r="AA732" s="210"/>
      <c r="AB732" s="210"/>
      <c r="AC732" s="210"/>
      <c r="AI732" s="210"/>
      <c r="AJ732" s="210"/>
    </row>
    <row r="733" ht="12.75" customHeight="1">
      <c r="C733" s="210"/>
      <c r="D733" s="210"/>
      <c r="E733" s="210"/>
      <c r="F733" s="210"/>
      <c r="G733" s="210"/>
      <c r="H733" s="210"/>
      <c r="I733" s="210"/>
      <c r="J733" s="210"/>
      <c r="K733" s="210"/>
      <c r="L733" s="210"/>
      <c r="M733" s="210"/>
      <c r="N733" s="210"/>
      <c r="O733" s="210"/>
      <c r="P733" s="210"/>
      <c r="Q733" s="210"/>
      <c r="R733" s="210"/>
      <c r="S733" s="210"/>
      <c r="T733" s="210"/>
      <c r="U733" s="210"/>
      <c r="V733" s="210"/>
      <c r="W733" s="210"/>
      <c r="X733" s="210"/>
      <c r="Y733" s="210"/>
      <c r="Z733" s="210"/>
      <c r="AA733" s="210"/>
      <c r="AB733" s="210"/>
      <c r="AC733" s="210"/>
      <c r="AI733" s="210"/>
      <c r="AJ733" s="210"/>
    </row>
    <row r="734" ht="12.75" customHeight="1">
      <c r="C734" s="210"/>
      <c r="D734" s="210"/>
      <c r="E734" s="210"/>
      <c r="F734" s="210"/>
      <c r="G734" s="210"/>
      <c r="H734" s="210"/>
      <c r="I734" s="210"/>
      <c r="J734" s="210"/>
      <c r="K734" s="210"/>
      <c r="L734" s="210"/>
      <c r="M734" s="210"/>
      <c r="N734" s="210"/>
      <c r="O734" s="210"/>
      <c r="P734" s="210"/>
      <c r="Q734" s="210"/>
      <c r="R734" s="210"/>
      <c r="S734" s="210"/>
      <c r="T734" s="210"/>
      <c r="U734" s="210"/>
      <c r="V734" s="210"/>
      <c r="W734" s="210"/>
      <c r="X734" s="210"/>
      <c r="Y734" s="210"/>
      <c r="Z734" s="210"/>
      <c r="AA734" s="210"/>
      <c r="AB734" s="210"/>
      <c r="AC734" s="210"/>
      <c r="AI734" s="210"/>
      <c r="AJ734" s="210"/>
    </row>
    <row r="735" ht="12.75" customHeight="1">
      <c r="C735" s="210"/>
      <c r="D735" s="210"/>
      <c r="E735" s="210"/>
      <c r="F735" s="210"/>
      <c r="G735" s="210"/>
      <c r="H735" s="210"/>
      <c r="I735" s="210"/>
      <c r="J735" s="210"/>
      <c r="K735" s="210"/>
      <c r="L735" s="210"/>
      <c r="M735" s="210"/>
      <c r="N735" s="210"/>
      <c r="O735" s="210"/>
      <c r="P735" s="210"/>
      <c r="Q735" s="210"/>
      <c r="R735" s="210"/>
      <c r="S735" s="210"/>
      <c r="T735" s="210"/>
      <c r="U735" s="210"/>
      <c r="V735" s="210"/>
      <c r="W735" s="210"/>
      <c r="X735" s="210"/>
      <c r="Y735" s="210"/>
      <c r="Z735" s="210"/>
      <c r="AA735" s="210"/>
      <c r="AB735" s="210"/>
      <c r="AC735" s="210"/>
      <c r="AI735" s="210"/>
      <c r="AJ735" s="210"/>
    </row>
    <row r="736" ht="12.75" customHeight="1">
      <c r="C736" s="210"/>
      <c r="D736" s="210"/>
      <c r="E736" s="210"/>
      <c r="F736" s="210"/>
      <c r="G736" s="210"/>
      <c r="H736" s="210"/>
      <c r="I736" s="210"/>
      <c r="J736" s="210"/>
      <c r="K736" s="210"/>
      <c r="L736" s="210"/>
      <c r="M736" s="210"/>
      <c r="N736" s="210"/>
      <c r="O736" s="210"/>
      <c r="P736" s="210"/>
      <c r="Q736" s="210"/>
      <c r="R736" s="210"/>
      <c r="S736" s="210"/>
      <c r="T736" s="210"/>
      <c r="U736" s="210"/>
      <c r="V736" s="210"/>
      <c r="W736" s="210"/>
      <c r="X736" s="210"/>
      <c r="Y736" s="210"/>
      <c r="Z736" s="210"/>
      <c r="AA736" s="210"/>
      <c r="AB736" s="210"/>
      <c r="AC736" s="210"/>
      <c r="AI736" s="210"/>
      <c r="AJ736" s="210"/>
    </row>
    <row r="737" ht="12.75" customHeight="1">
      <c r="C737" s="210"/>
      <c r="D737" s="210"/>
      <c r="E737" s="210"/>
      <c r="F737" s="210"/>
      <c r="G737" s="210"/>
      <c r="H737" s="210"/>
      <c r="I737" s="210"/>
      <c r="J737" s="210"/>
      <c r="K737" s="210"/>
      <c r="L737" s="210"/>
      <c r="M737" s="210"/>
      <c r="N737" s="210"/>
      <c r="O737" s="210"/>
      <c r="P737" s="210"/>
      <c r="Q737" s="210"/>
      <c r="R737" s="210"/>
      <c r="S737" s="210"/>
      <c r="T737" s="210"/>
      <c r="U737" s="210"/>
      <c r="V737" s="210"/>
      <c r="W737" s="210"/>
      <c r="X737" s="210"/>
      <c r="Y737" s="210"/>
      <c r="Z737" s="210"/>
      <c r="AA737" s="210"/>
      <c r="AB737" s="210"/>
      <c r="AC737" s="210"/>
      <c r="AI737" s="210"/>
      <c r="AJ737" s="210"/>
    </row>
    <row r="738" ht="12.75" customHeight="1">
      <c r="C738" s="210"/>
      <c r="D738" s="210"/>
      <c r="E738" s="210"/>
      <c r="F738" s="210"/>
      <c r="G738" s="210"/>
      <c r="H738" s="210"/>
      <c r="I738" s="210"/>
      <c r="J738" s="210"/>
      <c r="K738" s="210"/>
      <c r="L738" s="210"/>
      <c r="M738" s="210"/>
      <c r="N738" s="210"/>
      <c r="O738" s="210"/>
      <c r="P738" s="210"/>
      <c r="Q738" s="210"/>
      <c r="R738" s="210"/>
      <c r="S738" s="210"/>
      <c r="T738" s="210"/>
      <c r="U738" s="210"/>
      <c r="V738" s="210"/>
      <c r="W738" s="210"/>
      <c r="X738" s="210"/>
      <c r="Y738" s="210"/>
      <c r="Z738" s="210"/>
      <c r="AA738" s="210"/>
      <c r="AB738" s="210"/>
      <c r="AC738" s="210"/>
      <c r="AI738" s="210"/>
      <c r="AJ738" s="210"/>
    </row>
    <row r="739" ht="12.75" customHeight="1">
      <c r="C739" s="210"/>
      <c r="D739" s="210"/>
      <c r="E739" s="210"/>
      <c r="F739" s="210"/>
      <c r="G739" s="210"/>
      <c r="H739" s="210"/>
      <c r="I739" s="210"/>
      <c r="J739" s="210"/>
      <c r="K739" s="210"/>
      <c r="L739" s="210"/>
      <c r="M739" s="210"/>
      <c r="N739" s="210"/>
      <c r="O739" s="210"/>
      <c r="P739" s="210"/>
      <c r="Q739" s="210"/>
      <c r="R739" s="210"/>
      <c r="S739" s="210"/>
      <c r="T739" s="210"/>
      <c r="U739" s="210"/>
      <c r="V739" s="210"/>
      <c r="W739" s="210"/>
      <c r="X739" s="210"/>
      <c r="Y739" s="210"/>
      <c r="Z739" s="210"/>
      <c r="AA739" s="210"/>
      <c r="AB739" s="210"/>
      <c r="AC739" s="210"/>
      <c r="AI739" s="210"/>
      <c r="AJ739" s="210"/>
    </row>
    <row r="740" ht="12.75" customHeight="1">
      <c r="C740" s="210"/>
      <c r="D740" s="210"/>
      <c r="E740" s="210"/>
      <c r="F740" s="210"/>
      <c r="G740" s="210"/>
      <c r="H740" s="210"/>
      <c r="I740" s="210"/>
      <c r="J740" s="210"/>
      <c r="K740" s="210"/>
      <c r="L740" s="210"/>
      <c r="M740" s="210"/>
      <c r="N740" s="210"/>
      <c r="O740" s="210"/>
      <c r="P740" s="210"/>
      <c r="Q740" s="210"/>
      <c r="R740" s="210"/>
      <c r="S740" s="210"/>
      <c r="T740" s="210"/>
      <c r="U740" s="210"/>
      <c r="V740" s="210"/>
      <c r="W740" s="210"/>
      <c r="X740" s="210"/>
      <c r="Y740" s="210"/>
      <c r="Z740" s="210"/>
      <c r="AA740" s="210"/>
      <c r="AB740" s="210"/>
      <c r="AC740" s="210"/>
      <c r="AI740" s="210"/>
      <c r="AJ740" s="210"/>
    </row>
    <row r="741" ht="12.75" customHeight="1">
      <c r="C741" s="210"/>
      <c r="D741" s="210"/>
      <c r="E741" s="210"/>
      <c r="F741" s="210"/>
      <c r="G741" s="210"/>
      <c r="H741" s="210"/>
      <c r="I741" s="210"/>
      <c r="J741" s="210"/>
      <c r="K741" s="210"/>
      <c r="L741" s="210"/>
      <c r="M741" s="210"/>
      <c r="N741" s="210"/>
      <c r="O741" s="210"/>
      <c r="P741" s="210"/>
      <c r="Q741" s="210"/>
      <c r="R741" s="210"/>
      <c r="S741" s="210"/>
      <c r="T741" s="210"/>
      <c r="U741" s="210"/>
      <c r="V741" s="210"/>
      <c r="W741" s="210"/>
      <c r="X741" s="210"/>
      <c r="Y741" s="210"/>
      <c r="Z741" s="210"/>
      <c r="AA741" s="210"/>
      <c r="AB741" s="210"/>
      <c r="AC741" s="210"/>
      <c r="AI741" s="210"/>
      <c r="AJ741" s="210"/>
    </row>
    <row r="742" ht="12.75" customHeight="1">
      <c r="C742" s="210"/>
      <c r="D742" s="210"/>
      <c r="E742" s="210"/>
      <c r="F742" s="210"/>
      <c r="G742" s="210"/>
      <c r="H742" s="210"/>
      <c r="I742" s="210"/>
      <c r="J742" s="210"/>
      <c r="K742" s="210"/>
      <c r="L742" s="210"/>
      <c r="M742" s="210"/>
      <c r="N742" s="210"/>
      <c r="O742" s="210"/>
      <c r="P742" s="210"/>
      <c r="Q742" s="210"/>
      <c r="R742" s="210"/>
      <c r="S742" s="210"/>
      <c r="T742" s="210"/>
      <c r="U742" s="210"/>
      <c r="V742" s="210"/>
      <c r="W742" s="210"/>
      <c r="X742" s="210"/>
      <c r="Y742" s="210"/>
      <c r="Z742" s="210"/>
      <c r="AA742" s="210"/>
      <c r="AB742" s="210"/>
      <c r="AC742" s="210"/>
      <c r="AI742" s="210"/>
      <c r="AJ742" s="210"/>
    </row>
    <row r="743" ht="12.75" customHeight="1">
      <c r="C743" s="210"/>
      <c r="D743" s="210"/>
      <c r="E743" s="210"/>
      <c r="F743" s="210"/>
      <c r="G743" s="210"/>
      <c r="H743" s="210"/>
      <c r="I743" s="210"/>
      <c r="J743" s="210"/>
      <c r="K743" s="210"/>
      <c r="L743" s="210"/>
      <c r="M743" s="210"/>
      <c r="N743" s="210"/>
      <c r="O743" s="210"/>
      <c r="P743" s="210"/>
      <c r="Q743" s="210"/>
      <c r="R743" s="210"/>
      <c r="S743" s="210"/>
      <c r="T743" s="210"/>
      <c r="U743" s="210"/>
      <c r="V743" s="210"/>
      <c r="W743" s="210"/>
      <c r="X743" s="210"/>
      <c r="Y743" s="210"/>
      <c r="Z743" s="210"/>
      <c r="AA743" s="210"/>
      <c r="AB743" s="210"/>
      <c r="AC743" s="210"/>
      <c r="AI743" s="210"/>
      <c r="AJ743" s="210"/>
    </row>
    <row r="744" ht="12.75" customHeight="1">
      <c r="C744" s="210"/>
      <c r="D744" s="210"/>
      <c r="E744" s="210"/>
      <c r="F744" s="210"/>
      <c r="G744" s="210"/>
      <c r="H744" s="210"/>
      <c r="I744" s="210"/>
      <c r="J744" s="210"/>
      <c r="K744" s="210"/>
      <c r="L744" s="210"/>
      <c r="M744" s="210"/>
      <c r="N744" s="210"/>
      <c r="O744" s="210"/>
      <c r="P744" s="210"/>
      <c r="Q744" s="210"/>
      <c r="R744" s="210"/>
      <c r="S744" s="210"/>
      <c r="T744" s="210"/>
      <c r="U744" s="210"/>
      <c r="V744" s="210"/>
      <c r="W744" s="210"/>
      <c r="X744" s="210"/>
      <c r="Y744" s="210"/>
      <c r="Z744" s="210"/>
      <c r="AA744" s="210"/>
      <c r="AB744" s="210"/>
      <c r="AC744" s="210"/>
      <c r="AI744" s="210"/>
      <c r="AJ744" s="210"/>
    </row>
    <row r="745" ht="12.75" customHeight="1">
      <c r="C745" s="210"/>
      <c r="D745" s="210"/>
      <c r="E745" s="210"/>
      <c r="F745" s="210"/>
      <c r="G745" s="210"/>
      <c r="H745" s="210"/>
      <c r="I745" s="210"/>
      <c r="J745" s="210"/>
      <c r="K745" s="210"/>
      <c r="L745" s="210"/>
      <c r="M745" s="210"/>
      <c r="N745" s="210"/>
      <c r="O745" s="210"/>
      <c r="P745" s="210"/>
      <c r="Q745" s="210"/>
      <c r="R745" s="210"/>
      <c r="S745" s="210"/>
      <c r="T745" s="210"/>
      <c r="U745" s="210"/>
      <c r="V745" s="210"/>
      <c r="W745" s="210"/>
      <c r="X745" s="210"/>
      <c r="Y745" s="210"/>
      <c r="Z745" s="210"/>
      <c r="AA745" s="210"/>
      <c r="AB745" s="210"/>
      <c r="AC745" s="210"/>
      <c r="AI745" s="210"/>
      <c r="AJ745" s="210"/>
    </row>
    <row r="746" ht="12.75" customHeight="1">
      <c r="C746" s="210"/>
      <c r="D746" s="210"/>
      <c r="E746" s="210"/>
      <c r="F746" s="210"/>
      <c r="G746" s="210"/>
      <c r="H746" s="210"/>
      <c r="I746" s="210"/>
      <c r="J746" s="210"/>
      <c r="K746" s="210"/>
      <c r="L746" s="210"/>
      <c r="M746" s="210"/>
      <c r="N746" s="210"/>
      <c r="O746" s="210"/>
      <c r="P746" s="210"/>
      <c r="Q746" s="210"/>
      <c r="R746" s="210"/>
      <c r="S746" s="210"/>
      <c r="T746" s="210"/>
      <c r="U746" s="210"/>
      <c r="V746" s="210"/>
      <c r="W746" s="210"/>
      <c r="X746" s="210"/>
      <c r="Y746" s="210"/>
      <c r="Z746" s="210"/>
      <c r="AA746" s="210"/>
      <c r="AB746" s="210"/>
      <c r="AC746" s="210"/>
      <c r="AI746" s="210"/>
      <c r="AJ746" s="210"/>
    </row>
    <row r="747" ht="12.75" customHeight="1">
      <c r="C747" s="210"/>
      <c r="D747" s="210"/>
      <c r="E747" s="210"/>
      <c r="F747" s="210"/>
      <c r="G747" s="210"/>
      <c r="H747" s="210"/>
      <c r="I747" s="210"/>
      <c r="J747" s="210"/>
      <c r="K747" s="210"/>
      <c r="L747" s="210"/>
      <c r="M747" s="210"/>
      <c r="N747" s="210"/>
      <c r="O747" s="210"/>
      <c r="P747" s="210"/>
      <c r="Q747" s="210"/>
      <c r="R747" s="210"/>
      <c r="S747" s="210"/>
      <c r="T747" s="210"/>
      <c r="U747" s="210"/>
      <c r="V747" s="210"/>
      <c r="W747" s="210"/>
      <c r="X747" s="210"/>
      <c r="Y747" s="210"/>
      <c r="Z747" s="210"/>
      <c r="AA747" s="210"/>
      <c r="AB747" s="210"/>
      <c r="AC747" s="210"/>
      <c r="AI747" s="210"/>
      <c r="AJ747" s="210"/>
    </row>
    <row r="748" ht="12.75" customHeight="1">
      <c r="C748" s="210"/>
      <c r="D748" s="210"/>
      <c r="E748" s="210"/>
      <c r="F748" s="210"/>
      <c r="G748" s="210"/>
      <c r="H748" s="210"/>
      <c r="I748" s="210"/>
      <c r="J748" s="210"/>
      <c r="K748" s="210"/>
      <c r="L748" s="210"/>
      <c r="M748" s="210"/>
      <c r="N748" s="210"/>
      <c r="O748" s="210"/>
      <c r="P748" s="210"/>
      <c r="Q748" s="210"/>
      <c r="R748" s="210"/>
      <c r="S748" s="210"/>
      <c r="T748" s="210"/>
      <c r="U748" s="210"/>
      <c r="V748" s="210"/>
      <c r="W748" s="210"/>
      <c r="X748" s="210"/>
      <c r="Y748" s="210"/>
      <c r="Z748" s="210"/>
      <c r="AA748" s="210"/>
      <c r="AB748" s="210"/>
      <c r="AC748" s="210"/>
      <c r="AI748" s="210"/>
      <c r="AJ748" s="210"/>
    </row>
    <row r="749" ht="12.75" customHeight="1">
      <c r="C749" s="210"/>
      <c r="D749" s="210"/>
      <c r="E749" s="210"/>
      <c r="F749" s="210"/>
      <c r="G749" s="210"/>
      <c r="H749" s="210"/>
      <c r="I749" s="210"/>
      <c r="J749" s="210"/>
      <c r="K749" s="210"/>
      <c r="L749" s="210"/>
      <c r="M749" s="210"/>
      <c r="N749" s="210"/>
      <c r="O749" s="210"/>
      <c r="P749" s="210"/>
      <c r="Q749" s="210"/>
      <c r="R749" s="210"/>
      <c r="S749" s="210"/>
      <c r="T749" s="210"/>
      <c r="U749" s="210"/>
      <c r="V749" s="210"/>
      <c r="W749" s="210"/>
      <c r="X749" s="210"/>
      <c r="Y749" s="210"/>
      <c r="Z749" s="210"/>
      <c r="AA749" s="210"/>
      <c r="AB749" s="210"/>
      <c r="AC749" s="210"/>
      <c r="AI749" s="210"/>
      <c r="AJ749" s="210"/>
    </row>
    <row r="750" ht="12.75" customHeight="1">
      <c r="C750" s="210"/>
      <c r="D750" s="210"/>
      <c r="E750" s="210"/>
      <c r="F750" s="210"/>
      <c r="G750" s="210"/>
      <c r="H750" s="210"/>
      <c r="I750" s="210"/>
      <c r="J750" s="210"/>
      <c r="K750" s="210"/>
      <c r="L750" s="210"/>
      <c r="M750" s="210"/>
      <c r="N750" s="210"/>
      <c r="O750" s="210"/>
      <c r="P750" s="210"/>
      <c r="Q750" s="210"/>
      <c r="R750" s="210"/>
      <c r="S750" s="210"/>
      <c r="T750" s="210"/>
      <c r="U750" s="210"/>
      <c r="V750" s="210"/>
      <c r="W750" s="210"/>
      <c r="X750" s="210"/>
      <c r="Y750" s="210"/>
      <c r="Z750" s="210"/>
      <c r="AA750" s="210"/>
      <c r="AB750" s="210"/>
      <c r="AC750" s="210"/>
      <c r="AI750" s="210"/>
      <c r="AJ750" s="210"/>
    </row>
    <row r="751" ht="12.75" customHeight="1">
      <c r="C751" s="210"/>
      <c r="D751" s="210"/>
      <c r="E751" s="210"/>
      <c r="F751" s="210"/>
      <c r="G751" s="210"/>
      <c r="H751" s="210"/>
      <c r="I751" s="210"/>
      <c r="J751" s="210"/>
      <c r="K751" s="210"/>
      <c r="L751" s="210"/>
      <c r="M751" s="210"/>
      <c r="N751" s="210"/>
      <c r="O751" s="210"/>
      <c r="P751" s="210"/>
      <c r="Q751" s="210"/>
      <c r="R751" s="210"/>
      <c r="S751" s="210"/>
      <c r="T751" s="210"/>
      <c r="U751" s="210"/>
      <c r="V751" s="210"/>
      <c r="W751" s="210"/>
      <c r="X751" s="210"/>
      <c r="Y751" s="210"/>
      <c r="Z751" s="210"/>
      <c r="AA751" s="210"/>
      <c r="AB751" s="210"/>
      <c r="AC751" s="210"/>
      <c r="AI751" s="210"/>
      <c r="AJ751" s="210"/>
    </row>
    <row r="752" ht="12.75" customHeight="1">
      <c r="C752" s="210"/>
      <c r="D752" s="210"/>
      <c r="E752" s="210"/>
      <c r="F752" s="210"/>
      <c r="G752" s="210"/>
      <c r="H752" s="210"/>
      <c r="I752" s="210"/>
      <c r="J752" s="210"/>
      <c r="K752" s="210"/>
      <c r="L752" s="210"/>
      <c r="M752" s="210"/>
      <c r="N752" s="210"/>
      <c r="O752" s="210"/>
      <c r="P752" s="210"/>
      <c r="Q752" s="210"/>
      <c r="R752" s="210"/>
      <c r="S752" s="210"/>
      <c r="T752" s="210"/>
      <c r="U752" s="210"/>
      <c r="V752" s="210"/>
      <c r="W752" s="210"/>
      <c r="X752" s="210"/>
      <c r="Y752" s="210"/>
      <c r="Z752" s="210"/>
      <c r="AA752" s="210"/>
      <c r="AB752" s="210"/>
      <c r="AC752" s="210"/>
      <c r="AI752" s="210"/>
      <c r="AJ752" s="210"/>
    </row>
    <row r="753" ht="12.75" customHeight="1">
      <c r="C753" s="210"/>
      <c r="D753" s="210"/>
      <c r="E753" s="210"/>
      <c r="F753" s="210"/>
      <c r="G753" s="210"/>
      <c r="H753" s="210"/>
      <c r="I753" s="210"/>
      <c r="J753" s="210"/>
      <c r="K753" s="210"/>
      <c r="L753" s="210"/>
      <c r="M753" s="210"/>
      <c r="N753" s="210"/>
      <c r="O753" s="210"/>
      <c r="P753" s="210"/>
      <c r="Q753" s="210"/>
      <c r="R753" s="210"/>
      <c r="S753" s="210"/>
      <c r="T753" s="210"/>
      <c r="U753" s="210"/>
      <c r="V753" s="210"/>
      <c r="W753" s="210"/>
      <c r="X753" s="210"/>
      <c r="Y753" s="210"/>
      <c r="Z753" s="210"/>
      <c r="AA753" s="210"/>
      <c r="AB753" s="210"/>
      <c r="AC753" s="210"/>
      <c r="AI753" s="210"/>
      <c r="AJ753" s="210"/>
    </row>
    <row r="754" ht="12.75" customHeight="1">
      <c r="C754" s="210"/>
      <c r="D754" s="210"/>
      <c r="E754" s="210"/>
      <c r="F754" s="210"/>
      <c r="G754" s="210"/>
      <c r="H754" s="210"/>
      <c r="I754" s="210"/>
      <c r="J754" s="210"/>
      <c r="K754" s="210"/>
      <c r="L754" s="210"/>
      <c r="M754" s="210"/>
      <c r="N754" s="210"/>
      <c r="O754" s="210"/>
      <c r="P754" s="210"/>
      <c r="Q754" s="210"/>
      <c r="R754" s="210"/>
      <c r="S754" s="210"/>
      <c r="T754" s="210"/>
      <c r="U754" s="210"/>
      <c r="V754" s="210"/>
      <c r="W754" s="210"/>
      <c r="X754" s="210"/>
      <c r="Y754" s="210"/>
      <c r="Z754" s="210"/>
      <c r="AA754" s="210"/>
      <c r="AB754" s="210"/>
      <c r="AC754" s="210"/>
      <c r="AI754" s="210"/>
      <c r="AJ754" s="210"/>
    </row>
    <row r="755" ht="12.75" customHeight="1">
      <c r="C755" s="210"/>
      <c r="D755" s="210"/>
      <c r="E755" s="210"/>
      <c r="F755" s="210"/>
      <c r="G755" s="210"/>
      <c r="H755" s="210"/>
      <c r="I755" s="210"/>
      <c r="J755" s="210"/>
      <c r="K755" s="210"/>
      <c r="L755" s="210"/>
      <c r="M755" s="210"/>
      <c r="N755" s="210"/>
      <c r="O755" s="210"/>
      <c r="P755" s="210"/>
      <c r="Q755" s="210"/>
      <c r="R755" s="210"/>
      <c r="S755" s="210"/>
      <c r="T755" s="210"/>
      <c r="U755" s="210"/>
      <c r="V755" s="210"/>
      <c r="W755" s="210"/>
      <c r="X755" s="210"/>
      <c r="Y755" s="210"/>
      <c r="Z755" s="210"/>
      <c r="AA755" s="210"/>
      <c r="AB755" s="210"/>
      <c r="AC755" s="210"/>
      <c r="AI755" s="210"/>
      <c r="AJ755" s="210"/>
    </row>
    <row r="756" ht="12.75" customHeight="1">
      <c r="C756" s="210"/>
      <c r="D756" s="210"/>
      <c r="E756" s="210"/>
      <c r="F756" s="210"/>
      <c r="G756" s="210"/>
      <c r="H756" s="210"/>
      <c r="I756" s="210"/>
      <c r="J756" s="210"/>
      <c r="K756" s="210"/>
      <c r="L756" s="210"/>
      <c r="M756" s="210"/>
      <c r="N756" s="210"/>
      <c r="O756" s="210"/>
      <c r="P756" s="210"/>
      <c r="Q756" s="210"/>
      <c r="R756" s="210"/>
      <c r="S756" s="210"/>
      <c r="T756" s="210"/>
      <c r="U756" s="210"/>
      <c r="V756" s="210"/>
      <c r="W756" s="210"/>
      <c r="X756" s="210"/>
      <c r="Y756" s="210"/>
      <c r="Z756" s="210"/>
      <c r="AA756" s="210"/>
      <c r="AB756" s="210"/>
      <c r="AC756" s="210"/>
      <c r="AI756" s="210"/>
      <c r="AJ756" s="210"/>
    </row>
    <row r="757" ht="12.75" customHeight="1">
      <c r="C757" s="210"/>
      <c r="D757" s="210"/>
      <c r="E757" s="210"/>
      <c r="F757" s="210"/>
      <c r="G757" s="210"/>
      <c r="H757" s="210"/>
      <c r="I757" s="210"/>
      <c r="J757" s="210"/>
      <c r="K757" s="210"/>
      <c r="L757" s="210"/>
      <c r="M757" s="210"/>
      <c r="N757" s="210"/>
      <c r="O757" s="210"/>
      <c r="P757" s="210"/>
      <c r="Q757" s="210"/>
      <c r="R757" s="210"/>
      <c r="S757" s="210"/>
      <c r="T757" s="210"/>
      <c r="U757" s="210"/>
      <c r="V757" s="210"/>
      <c r="W757" s="210"/>
      <c r="X757" s="210"/>
      <c r="Y757" s="210"/>
      <c r="Z757" s="210"/>
      <c r="AA757" s="210"/>
      <c r="AB757" s="210"/>
      <c r="AC757" s="210"/>
      <c r="AI757" s="210"/>
      <c r="AJ757" s="210"/>
    </row>
    <row r="758" ht="12.75" customHeight="1">
      <c r="C758" s="210"/>
      <c r="D758" s="210"/>
      <c r="E758" s="210"/>
      <c r="F758" s="210"/>
      <c r="G758" s="210"/>
      <c r="H758" s="210"/>
      <c r="I758" s="210"/>
      <c r="J758" s="210"/>
      <c r="K758" s="210"/>
      <c r="L758" s="210"/>
      <c r="M758" s="210"/>
      <c r="N758" s="210"/>
      <c r="O758" s="210"/>
      <c r="P758" s="210"/>
      <c r="Q758" s="210"/>
      <c r="R758" s="210"/>
      <c r="S758" s="210"/>
      <c r="T758" s="210"/>
      <c r="U758" s="210"/>
      <c r="V758" s="210"/>
      <c r="W758" s="210"/>
      <c r="X758" s="210"/>
      <c r="Y758" s="210"/>
      <c r="Z758" s="210"/>
      <c r="AA758" s="210"/>
      <c r="AB758" s="210"/>
      <c r="AC758" s="210"/>
      <c r="AI758" s="210"/>
      <c r="AJ758" s="210"/>
    </row>
    <row r="759" ht="12.75" customHeight="1">
      <c r="C759" s="210"/>
      <c r="D759" s="210"/>
      <c r="E759" s="210"/>
      <c r="F759" s="210"/>
      <c r="G759" s="210"/>
      <c r="H759" s="210"/>
      <c r="I759" s="210"/>
      <c r="J759" s="210"/>
      <c r="K759" s="210"/>
      <c r="L759" s="210"/>
      <c r="M759" s="210"/>
      <c r="N759" s="210"/>
      <c r="O759" s="210"/>
      <c r="P759" s="210"/>
      <c r="Q759" s="210"/>
      <c r="R759" s="210"/>
      <c r="S759" s="210"/>
      <c r="T759" s="210"/>
      <c r="U759" s="210"/>
      <c r="V759" s="210"/>
      <c r="W759" s="210"/>
      <c r="X759" s="210"/>
      <c r="Y759" s="210"/>
      <c r="Z759" s="210"/>
      <c r="AA759" s="210"/>
      <c r="AB759" s="210"/>
      <c r="AC759" s="210"/>
      <c r="AI759" s="210"/>
      <c r="AJ759" s="210"/>
    </row>
    <row r="760" ht="12.75" customHeight="1">
      <c r="C760" s="210"/>
      <c r="D760" s="210"/>
      <c r="E760" s="210"/>
      <c r="F760" s="210"/>
      <c r="G760" s="210"/>
      <c r="H760" s="210"/>
      <c r="I760" s="210"/>
      <c r="J760" s="210"/>
      <c r="K760" s="210"/>
      <c r="L760" s="210"/>
      <c r="M760" s="210"/>
      <c r="N760" s="210"/>
      <c r="O760" s="210"/>
      <c r="P760" s="210"/>
      <c r="Q760" s="210"/>
      <c r="R760" s="210"/>
      <c r="S760" s="210"/>
      <c r="T760" s="210"/>
      <c r="U760" s="210"/>
      <c r="V760" s="210"/>
      <c r="W760" s="210"/>
      <c r="X760" s="210"/>
      <c r="Y760" s="210"/>
      <c r="Z760" s="210"/>
      <c r="AA760" s="210"/>
      <c r="AB760" s="210"/>
      <c r="AC760" s="210"/>
      <c r="AI760" s="210"/>
      <c r="AJ760" s="210"/>
    </row>
    <row r="761" ht="12.75" customHeight="1">
      <c r="C761" s="210"/>
      <c r="D761" s="210"/>
      <c r="E761" s="210"/>
      <c r="F761" s="210"/>
      <c r="G761" s="210"/>
      <c r="H761" s="210"/>
      <c r="I761" s="210"/>
      <c r="J761" s="210"/>
      <c r="K761" s="210"/>
      <c r="L761" s="210"/>
      <c r="M761" s="210"/>
      <c r="N761" s="210"/>
      <c r="O761" s="210"/>
      <c r="P761" s="210"/>
      <c r="Q761" s="210"/>
      <c r="R761" s="210"/>
      <c r="S761" s="210"/>
      <c r="T761" s="210"/>
      <c r="U761" s="210"/>
      <c r="V761" s="210"/>
      <c r="W761" s="210"/>
      <c r="X761" s="210"/>
      <c r="Y761" s="210"/>
      <c r="Z761" s="210"/>
      <c r="AA761" s="210"/>
      <c r="AB761" s="210"/>
      <c r="AC761" s="210"/>
      <c r="AI761" s="210"/>
      <c r="AJ761" s="210"/>
    </row>
    <row r="762" ht="12.75" customHeight="1">
      <c r="C762" s="210"/>
      <c r="D762" s="210"/>
      <c r="E762" s="210"/>
      <c r="F762" s="210"/>
      <c r="G762" s="210"/>
      <c r="H762" s="210"/>
      <c r="I762" s="210"/>
      <c r="J762" s="210"/>
      <c r="K762" s="210"/>
      <c r="L762" s="210"/>
      <c r="M762" s="210"/>
      <c r="N762" s="210"/>
      <c r="O762" s="210"/>
      <c r="P762" s="210"/>
      <c r="Q762" s="210"/>
      <c r="R762" s="210"/>
      <c r="S762" s="210"/>
      <c r="T762" s="210"/>
      <c r="U762" s="210"/>
      <c r="V762" s="210"/>
      <c r="W762" s="210"/>
      <c r="X762" s="210"/>
      <c r="Y762" s="210"/>
      <c r="Z762" s="210"/>
      <c r="AA762" s="210"/>
      <c r="AB762" s="210"/>
      <c r="AC762" s="210"/>
      <c r="AI762" s="210"/>
      <c r="AJ762" s="210"/>
    </row>
    <row r="763" ht="12.75" customHeight="1">
      <c r="C763" s="210"/>
      <c r="D763" s="210"/>
      <c r="E763" s="210"/>
      <c r="F763" s="210"/>
      <c r="G763" s="210"/>
      <c r="H763" s="210"/>
      <c r="I763" s="210"/>
      <c r="J763" s="210"/>
      <c r="K763" s="210"/>
      <c r="L763" s="210"/>
      <c r="M763" s="210"/>
      <c r="N763" s="210"/>
      <c r="O763" s="210"/>
      <c r="P763" s="210"/>
      <c r="Q763" s="210"/>
      <c r="R763" s="210"/>
      <c r="S763" s="210"/>
      <c r="T763" s="210"/>
      <c r="U763" s="210"/>
      <c r="V763" s="210"/>
      <c r="W763" s="210"/>
      <c r="X763" s="210"/>
      <c r="Y763" s="210"/>
      <c r="Z763" s="210"/>
      <c r="AA763" s="210"/>
      <c r="AB763" s="210"/>
      <c r="AC763" s="210"/>
      <c r="AI763" s="210"/>
      <c r="AJ763" s="210"/>
    </row>
    <row r="764" ht="12.75" customHeight="1">
      <c r="C764" s="210"/>
      <c r="D764" s="210"/>
      <c r="E764" s="210"/>
      <c r="F764" s="210"/>
      <c r="G764" s="210"/>
      <c r="H764" s="210"/>
      <c r="I764" s="210"/>
      <c r="J764" s="210"/>
      <c r="K764" s="210"/>
      <c r="L764" s="210"/>
      <c r="M764" s="210"/>
      <c r="N764" s="210"/>
      <c r="O764" s="210"/>
      <c r="P764" s="210"/>
      <c r="Q764" s="210"/>
      <c r="R764" s="210"/>
      <c r="S764" s="210"/>
      <c r="T764" s="210"/>
      <c r="U764" s="210"/>
      <c r="V764" s="210"/>
      <c r="W764" s="210"/>
      <c r="X764" s="210"/>
      <c r="Y764" s="210"/>
      <c r="Z764" s="210"/>
      <c r="AA764" s="210"/>
      <c r="AB764" s="210"/>
      <c r="AC764" s="210"/>
      <c r="AI764" s="210"/>
      <c r="AJ764" s="210"/>
    </row>
    <row r="765" ht="12.75" customHeight="1">
      <c r="C765" s="210"/>
      <c r="D765" s="210"/>
      <c r="E765" s="210"/>
      <c r="F765" s="210"/>
      <c r="G765" s="210"/>
      <c r="H765" s="210"/>
      <c r="I765" s="210"/>
      <c r="J765" s="210"/>
      <c r="K765" s="210"/>
      <c r="L765" s="210"/>
      <c r="M765" s="210"/>
      <c r="N765" s="210"/>
      <c r="O765" s="210"/>
      <c r="P765" s="210"/>
      <c r="Q765" s="210"/>
      <c r="R765" s="210"/>
      <c r="S765" s="210"/>
      <c r="T765" s="210"/>
      <c r="U765" s="210"/>
      <c r="V765" s="210"/>
      <c r="W765" s="210"/>
      <c r="X765" s="210"/>
      <c r="Y765" s="210"/>
      <c r="Z765" s="210"/>
      <c r="AA765" s="210"/>
      <c r="AB765" s="210"/>
      <c r="AC765" s="210"/>
      <c r="AI765" s="210"/>
      <c r="AJ765" s="210"/>
    </row>
    <row r="766" ht="12.75" customHeight="1">
      <c r="C766" s="210"/>
      <c r="D766" s="210"/>
      <c r="E766" s="210"/>
      <c r="F766" s="210"/>
      <c r="G766" s="210"/>
      <c r="H766" s="210"/>
      <c r="I766" s="210"/>
      <c r="J766" s="210"/>
      <c r="K766" s="210"/>
      <c r="L766" s="210"/>
      <c r="M766" s="210"/>
      <c r="N766" s="210"/>
      <c r="O766" s="210"/>
      <c r="P766" s="210"/>
      <c r="Q766" s="210"/>
      <c r="R766" s="210"/>
      <c r="S766" s="210"/>
      <c r="T766" s="210"/>
      <c r="U766" s="210"/>
      <c r="V766" s="210"/>
      <c r="W766" s="210"/>
      <c r="X766" s="210"/>
      <c r="Y766" s="210"/>
      <c r="Z766" s="210"/>
      <c r="AA766" s="210"/>
      <c r="AB766" s="210"/>
      <c r="AC766" s="210"/>
      <c r="AI766" s="210"/>
      <c r="AJ766" s="210"/>
    </row>
    <row r="767" ht="12.75" customHeight="1">
      <c r="C767" s="210"/>
      <c r="D767" s="210"/>
      <c r="E767" s="210"/>
      <c r="F767" s="210"/>
      <c r="G767" s="210"/>
      <c r="H767" s="210"/>
      <c r="I767" s="210"/>
      <c r="J767" s="210"/>
      <c r="K767" s="210"/>
      <c r="L767" s="210"/>
      <c r="M767" s="210"/>
      <c r="N767" s="210"/>
      <c r="O767" s="210"/>
      <c r="P767" s="210"/>
      <c r="Q767" s="210"/>
      <c r="R767" s="210"/>
      <c r="S767" s="210"/>
      <c r="T767" s="210"/>
      <c r="U767" s="210"/>
      <c r="V767" s="210"/>
      <c r="W767" s="210"/>
      <c r="X767" s="210"/>
      <c r="Y767" s="210"/>
      <c r="Z767" s="210"/>
      <c r="AA767" s="210"/>
      <c r="AB767" s="210"/>
      <c r="AC767" s="210"/>
      <c r="AI767" s="210"/>
      <c r="AJ767" s="210"/>
    </row>
    <row r="768" ht="12.75" customHeight="1">
      <c r="C768" s="210"/>
      <c r="D768" s="210"/>
      <c r="E768" s="210"/>
      <c r="F768" s="210"/>
      <c r="G768" s="210"/>
      <c r="H768" s="210"/>
      <c r="I768" s="210"/>
      <c r="J768" s="210"/>
      <c r="K768" s="210"/>
      <c r="L768" s="210"/>
      <c r="M768" s="210"/>
      <c r="N768" s="210"/>
      <c r="O768" s="210"/>
      <c r="P768" s="210"/>
      <c r="Q768" s="210"/>
      <c r="R768" s="210"/>
      <c r="S768" s="210"/>
      <c r="T768" s="210"/>
      <c r="U768" s="210"/>
      <c r="V768" s="210"/>
      <c r="W768" s="210"/>
      <c r="X768" s="210"/>
      <c r="Y768" s="210"/>
      <c r="Z768" s="210"/>
      <c r="AA768" s="210"/>
      <c r="AB768" s="210"/>
      <c r="AC768" s="210"/>
      <c r="AI768" s="210"/>
      <c r="AJ768" s="210"/>
    </row>
    <row r="769" ht="12.75" customHeight="1">
      <c r="C769" s="210"/>
      <c r="D769" s="210"/>
      <c r="E769" s="210"/>
      <c r="F769" s="210"/>
      <c r="G769" s="210"/>
      <c r="H769" s="210"/>
      <c r="I769" s="210"/>
      <c r="J769" s="210"/>
      <c r="K769" s="210"/>
      <c r="L769" s="210"/>
      <c r="M769" s="210"/>
      <c r="N769" s="210"/>
      <c r="O769" s="210"/>
      <c r="P769" s="210"/>
      <c r="Q769" s="210"/>
      <c r="R769" s="210"/>
      <c r="S769" s="210"/>
      <c r="T769" s="210"/>
      <c r="U769" s="210"/>
      <c r="V769" s="210"/>
      <c r="W769" s="210"/>
      <c r="X769" s="210"/>
      <c r="Y769" s="210"/>
      <c r="Z769" s="210"/>
      <c r="AA769" s="210"/>
      <c r="AB769" s="210"/>
      <c r="AC769" s="210"/>
      <c r="AI769" s="210"/>
      <c r="AJ769" s="210"/>
    </row>
    <row r="770" ht="12.75" customHeight="1">
      <c r="C770" s="210"/>
      <c r="D770" s="210"/>
      <c r="E770" s="210"/>
      <c r="F770" s="210"/>
      <c r="G770" s="210"/>
      <c r="H770" s="210"/>
      <c r="I770" s="210"/>
      <c r="J770" s="210"/>
      <c r="K770" s="210"/>
      <c r="L770" s="210"/>
      <c r="M770" s="210"/>
      <c r="N770" s="210"/>
      <c r="O770" s="210"/>
      <c r="P770" s="210"/>
      <c r="Q770" s="210"/>
      <c r="R770" s="210"/>
      <c r="S770" s="210"/>
      <c r="T770" s="210"/>
      <c r="U770" s="210"/>
      <c r="V770" s="210"/>
      <c r="W770" s="210"/>
      <c r="X770" s="210"/>
      <c r="Y770" s="210"/>
      <c r="Z770" s="210"/>
      <c r="AA770" s="210"/>
      <c r="AB770" s="210"/>
      <c r="AC770" s="210"/>
      <c r="AI770" s="210"/>
      <c r="AJ770" s="210"/>
    </row>
    <row r="771" ht="12.75" customHeight="1">
      <c r="C771" s="210"/>
      <c r="D771" s="210"/>
      <c r="E771" s="210"/>
      <c r="F771" s="210"/>
      <c r="G771" s="210"/>
      <c r="H771" s="210"/>
      <c r="I771" s="210"/>
      <c r="J771" s="210"/>
      <c r="K771" s="210"/>
      <c r="L771" s="210"/>
      <c r="M771" s="210"/>
      <c r="N771" s="210"/>
      <c r="O771" s="210"/>
      <c r="P771" s="210"/>
      <c r="Q771" s="210"/>
      <c r="R771" s="210"/>
      <c r="S771" s="210"/>
      <c r="T771" s="210"/>
      <c r="U771" s="210"/>
      <c r="V771" s="210"/>
      <c r="W771" s="210"/>
      <c r="X771" s="210"/>
      <c r="Y771" s="210"/>
      <c r="Z771" s="210"/>
      <c r="AA771" s="210"/>
      <c r="AB771" s="210"/>
      <c r="AC771" s="210"/>
      <c r="AI771" s="210"/>
      <c r="AJ771" s="210"/>
    </row>
    <row r="772" ht="12.75" customHeight="1">
      <c r="C772" s="210"/>
      <c r="D772" s="210"/>
      <c r="E772" s="210"/>
      <c r="F772" s="210"/>
      <c r="G772" s="210"/>
      <c r="H772" s="210"/>
      <c r="I772" s="210"/>
      <c r="J772" s="210"/>
      <c r="K772" s="210"/>
      <c r="L772" s="210"/>
      <c r="M772" s="210"/>
      <c r="N772" s="210"/>
      <c r="O772" s="210"/>
      <c r="P772" s="210"/>
      <c r="Q772" s="210"/>
      <c r="R772" s="210"/>
      <c r="S772" s="210"/>
      <c r="T772" s="210"/>
      <c r="U772" s="210"/>
      <c r="V772" s="210"/>
      <c r="W772" s="210"/>
      <c r="X772" s="210"/>
      <c r="Y772" s="210"/>
      <c r="Z772" s="210"/>
      <c r="AA772" s="210"/>
      <c r="AB772" s="210"/>
      <c r="AC772" s="210"/>
      <c r="AI772" s="210"/>
      <c r="AJ772" s="210"/>
    </row>
    <row r="773" ht="12.75" customHeight="1">
      <c r="C773" s="210"/>
      <c r="D773" s="210"/>
      <c r="E773" s="210"/>
      <c r="F773" s="210"/>
      <c r="G773" s="210"/>
      <c r="H773" s="210"/>
      <c r="I773" s="210"/>
      <c r="J773" s="210"/>
      <c r="K773" s="210"/>
      <c r="L773" s="210"/>
      <c r="M773" s="210"/>
      <c r="N773" s="210"/>
      <c r="O773" s="210"/>
      <c r="P773" s="210"/>
      <c r="Q773" s="210"/>
      <c r="R773" s="210"/>
      <c r="S773" s="210"/>
      <c r="T773" s="210"/>
      <c r="U773" s="210"/>
      <c r="V773" s="210"/>
      <c r="W773" s="210"/>
      <c r="X773" s="210"/>
      <c r="Y773" s="210"/>
      <c r="Z773" s="210"/>
      <c r="AA773" s="210"/>
      <c r="AB773" s="210"/>
      <c r="AC773" s="210"/>
      <c r="AI773" s="210"/>
      <c r="AJ773" s="210"/>
    </row>
    <row r="774" ht="12.75" customHeight="1">
      <c r="C774" s="210"/>
      <c r="D774" s="210"/>
      <c r="E774" s="210"/>
      <c r="F774" s="210"/>
      <c r="G774" s="210"/>
      <c r="H774" s="210"/>
      <c r="I774" s="210"/>
      <c r="J774" s="210"/>
      <c r="K774" s="210"/>
      <c r="L774" s="210"/>
      <c r="M774" s="210"/>
      <c r="N774" s="210"/>
      <c r="O774" s="210"/>
      <c r="P774" s="210"/>
      <c r="Q774" s="210"/>
      <c r="R774" s="210"/>
      <c r="S774" s="210"/>
      <c r="T774" s="210"/>
      <c r="U774" s="210"/>
      <c r="V774" s="210"/>
      <c r="W774" s="210"/>
      <c r="X774" s="210"/>
      <c r="Y774" s="210"/>
      <c r="Z774" s="210"/>
      <c r="AA774" s="210"/>
      <c r="AB774" s="210"/>
      <c r="AC774" s="210"/>
      <c r="AI774" s="210"/>
      <c r="AJ774" s="210"/>
    </row>
    <row r="775" ht="12.75" customHeight="1">
      <c r="C775" s="210"/>
      <c r="D775" s="210"/>
      <c r="E775" s="210"/>
      <c r="F775" s="210"/>
      <c r="G775" s="210"/>
      <c r="H775" s="210"/>
      <c r="I775" s="210"/>
      <c r="J775" s="210"/>
      <c r="K775" s="210"/>
      <c r="L775" s="210"/>
      <c r="M775" s="210"/>
      <c r="N775" s="210"/>
      <c r="O775" s="210"/>
      <c r="P775" s="210"/>
      <c r="Q775" s="210"/>
      <c r="R775" s="210"/>
      <c r="S775" s="210"/>
      <c r="T775" s="210"/>
      <c r="U775" s="210"/>
      <c r="V775" s="210"/>
      <c r="W775" s="210"/>
      <c r="X775" s="210"/>
      <c r="Y775" s="210"/>
      <c r="Z775" s="210"/>
      <c r="AA775" s="210"/>
      <c r="AB775" s="210"/>
      <c r="AC775" s="210"/>
      <c r="AI775" s="210"/>
      <c r="AJ775" s="210"/>
    </row>
    <row r="776" ht="12.75" customHeight="1">
      <c r="C776" s="210"/>
      <c r="D776" s="210"/>
      <c r="E776" s="210"/>
      <c r="F776" s="210"/>
      <c r="G776" s="210"/>
      <c r="H776" s="210"/>
      <c r="I776" s="210"/>
      <c r="J776" s="210"/>
      <c r="K776" s="210"/>
      <c r="L776" s="210"/>
      <c r="M776" s="210"/>
      <c r="N776" s="210"/>
      <c r="O776" s="210"/>
      <c r="P776" s="210"/>
      <c r="Q776" s="210"/>
      <c r="R776" s="210"/>
      <c r="S776" s="210"/>
      <c r="T776" s="210"/>
      <c r="U776" s="210"/>
      <c r="V776" s="210"/>
      <c r="W776" s="210"/>
      <c r="X776" s="210"/>
      <c r="Y776" s="210"/>
      <c r="Z776" s="210"/>
      <c r="AA776" s="210"/>
      <c r="AB776" s="210"/>
      <c r="AC776" s="210"/>
      <c r="AI776" s="210"/>
      <c r="AJ776" s="210"/>
    </row>
    <row r="777" ht="12.75" customHeight="1">
      <c r="C777" s="210"/>
      <c r="D777" s="210"/>
      <c r="E777" s="210"/>
      <c r="F777" s="210"/>
      <c r="G777" s="210"/>
      <c r="H777" s="210"/>
      <c r="I777" s="210"/>
      <c r="J777" s="210"/>
      <c r="K777" s="210"/>
      <c r="L777" s="210"/>
      <c r="M777" s="210"/>
      <c r="N777" s="210"/>
      <c r="O777" s="210"/>
      <c r="P777" s="210"/>
      <c r="Q777" s="210"/>
      <c r="R777" s="210"/>
      <c r="S777" s="210"/>
      <c r="T777" s="210"/>
      <c r="U777" s="210"/>
      <c r="V777" s="210"/>
      <c r="W777" s="210"/>
      <c r="X777" s="210"/>
      <c r="Y777" s="210"/>
      <c r="Z777" s="210"/>
      <c r="AA777" s="210"/>
      <c r="AB777" s="210"/>
      <c r="AC777" s="210"/>
      <c r="AI777" s="210"/>
      <c r="AJ777" s="210"/>
    </row>
    <row r="778" ht="12.75" customHeight="1">
      <c r="C778" s="210"/>
      <c r="D778" s="210"/>
      <c r="E778" s="210"/>
      <c r="F778" s="210"/>
      <c r="G778" s="210"/>
      <c r="H778" s="210"/>
      <c r="I778" s="210"/>
      <c r="J778" s="210"/>
      <c r="K778" s="210"/>
      <c r="L778" s="210"/>
      <c r="M778" s="210"/>
      <c r="N778" s="210"/>
      <c r="O778" s="210"/>
      <c r="P778" s="210"/>
      <c r="Q778" s="210"/>
      <c r="R778" s="210"/>
      <c r="S778" s="210"/>
      <c r="T778" s="210"/>
      <c r="U778" s="210"/>
      <c r="V778" s="210"/>
      <c r="W778" s="210"/>
      <c r="X778" s="210"/>
      <c r="Y778" s="210"/>
      <c r="Z778" s="210"/>
      <c r="AA778" s="210"/>
      <c r="AB778" s="210"/>
      <c r="AC778" s="210"/>
      <c r="AI778" s="210"/>
      <c r="AJ778" s="210"/>
    </row>
    <row r="779" ht="12.75" customHeight="1">
      <c r="C779" s="210"/>
      <c r="D779" s="210"/>
      <c r="E779" s="210"/>
      <c r="F779" s="210"/>
      <c r="G779" s="210"/>
      <c r="H779" s="210"/>
      <c r="I779" s="210"/>
      <c r="J779" s="210"/>
      <c r="K779" s="210"/>
      <c r="L779" s="210"/>
      <c r="M779" s="210"/>
      <c r="N779" s="210"/>
      <c r="O779" s="210"/>
      <c r="P779" s="210"/>
      <c r="Q779" s="210"/>
      <c r="R779" s="210"/>
      <c r="S779" s="210"/>
      <c r="T779" s="210"/>
      <c r="U779" s="210"/>
      <c r="V779" s="210"/>
      <c r="W779" s="210"/>
      <c r="X779" s="210"/>
      <c r="Y779" s="210"/>
      <c r="Z779" s="210"/>
      <c r="AA779" s="210"/>
      <c r="AB779" s="210"/>
      <c r="AC779" s="210"/>
      <c r="AI779" s="210"/>
      <c r="AJ779" s="210"/>
    </row>
    <row r="780" ht="12.75" customHeight="1">
      <c r="C780" s="210"/>
      <c r="D780" s="210"/>
      <c r="E780" s="210"/>
      <c r="F780" s="210"/>
      <c r="G780" s="210"/>
      <c r="H780" s="210"/>
      <c r="I780" s="210"/>
      <c r="J780" s="210"/>
      <c r="K780" s="210"/>
      <c r="L780" s="210"/>
      <c r="M780" s="210"/>
      <c r="N780" s="210"/>
      <c r="O780" s="210"/>
      <c r="P780" s="210"/>
      <c r="Q780" s="210"/>
      <c r="R780" s="210"/>
      <c r="S780" s="210"/>
      <c r="T780" s="210"/>
      <c r="U780" s="210"/>
      <c r="V780" s="210"/>
      <c r="W780" s="210"/>
      <c r="X780" s="210"/>
      <c r="Y780" s="210"/>
      <c r="Z780" s="210"/>
      <c r="AA780" s="210"/>
      <c r="AB780" s="210"/>
      <c r="AC780" s="210"/>
      <c r="AI780" s="210"/>
      <c r="AJ780" s="210"/>
    </row>
    <row r="781" ht="12.75" customHeight="1">
      <c r="C781" s="210"/>
      <c r="D781" s="210"/>
      <c r="E781" s="210"/>
      <c r="F781" s="210"/>
      <c r="G781" s="210"/>
      <c r="H781" s="210"/>
      <c r="I781" s="210"/>
      <c r="J781" s="210"/>
      <c r="K781" s="210"/>
      <c r="L781" s="210"/>
      <c r="M781" s="210"/>
      <c r="N781" s="210"/>
      <c r="O781" s="210"/>
      <c r="P781" s="210"/>
      <c r="Q781" s="210"/>
      <c r="R781" s="210"/>
      <c r="S781" s="210"/>
      <c r="T781" s="210"/>
      <c r="U781" s="210"/>
      <c r="V781" s="210"/>
      <c r="W781" s="210"/>
      <c r="X781" s="210"/>
      <c r="Y781" s="210"/>
      <c r="Z781" s="210"/>
      <c r="AA781" s="210"/>
      <c r="AB781" s="210"/>
      <c r="AC781" s="210"/>
      <c r="AI781" s="210"/>
      <c r="AJ781" s="210"/>
    </row>
    <row r="782" ht="12.75" customHeight="1">
      <c r="C782" s="210"/>
      <c r="D782" s="210"/>
      <c r="E782" s="210"/>
      <c r="F782" s="210"/>
      <c r="G782" s="210"/>
      <c r="H782" s="210"/>
      <c r="I782" s="210"/>
      <c r="J782" s="210"/>
      <c r="K782" s="210"/>
      <c r="L782" s="210"/>
      <c r="M782" s="210"/>
      <c r="N782" s="210"/>
      <c r="O782" s="210"/>
      <c r="P782" s="210"/>
      <c r="Q782" s="210"/>
      <c r="R782" s="210"/>
      <c r="S782" s="210"/>
      <c r="T782" s="210"/>
      <c r="U782" s="210"/>
      <c r="V782" s="210"/>
      <c r="W782" s="210"/>
      <c r="X782" s="210"/>
      <c r="Y782" s="210"/>
      <c r="Z782" s="210"/>
      <c r="AA782" s="210"/>
      <c r="AB782" s="210"/>
      <c r="AC782" s="210"/>
      <c r="AI782" s="210"/>
      <c r="AJ782" s="210"/>
    </row>
    <row r="783" ht="12.75" customHeight="1">
      <c r="C783" s="210"/>
      <c r="D783" s="210"/>
      <c r="E783" s="210"/>
      <c r="F783" s="210"/>
      <c r="G783" s="210"/>
      <c r="H783" s="210"/>
      <c r="I783" s="210"/>
      <c r="J783" s="210"/>
      <c r="K783" s="210"/>
      <c r="L783" s="210"/>
      <c r="M783" s="210"/>
      <c r="N783" s="210"/>
      <c r="O783" s="210"/>
      <c r="P783" s="210"/>
      <c r="Q783" s="210"/>
      <c r="R783" s="210"/>
      <c r="S783" s="210"/>
      <c r="T783" s="210"/>
      <c r="U783" s="210"/>
      <c r="V783" s="210"/>
      <c r="W783" s="210"/>
      <c r="X783" s="210"/>
      <c r="Y783" s="210"/>
      <c r="Z783" s="210"/>
      <c r="AA783" s="210"/>
      <c r="AB783" s="210"/>
      <c r="AC783" s="210"/>
      <c r="AI783" s="210"/>
      <c r="AJ783" s="210"/>
    </row>
    <row r="784" ht="12.75" customHeight="1">
      <c r="C784" s="210"/>
      <c r="D784" s="210"/>
      <c r="E784" s="210"/>
      <c r="F784" s="210"/>
      <c r="G784" s="210"/>
      <c r="H784" s="210"/>
      <c r="I784" s="210"/>
      <c r="J784" s="210"/>
      <c r="K784" s="210"/>
      <c r="L784" s="210"/>
      <c r="M784" s="210"/>
      <c r="N784" s="210"/>
      <c r="O784" s="210"/>
      <c r="P784" s="210"/>
      <c r="Q784" s="210"/>
      <c r="R784" s="210"/>
      <c r="S784" s="210"/>
      <c r="T784" s="210"/>
      <c r="U784" s="210"/>
      <c r="V784" s="210"/>
      <c r="W784" s="210"/>
      <c r="X784" s="210"/>
      <c r="Y784" s="210"/>
      <c r="Z784" s="210"/>
      <c r="AA784" s="210"/>
      <c r="AB784" s="210"/>
      <c r="AC784" s="210"/>
      <c r="AI784" s="210"/>
      <c r="AJ784" s="210"/>
    </row>
    <row r="785" ht="12.75" customHeight="1">
      <c r="C785" s="210"/>
      <c r="D785" s="210"/>
      <c r="E785" s="210"/>
      <c r="F785" s="210"/>
      <c r="G785" s="210"/>
      <c r="H785" s="210"/>
      <c r="I785" s="210"/>
      <c r="J785" s="210"/>
      <c r="K785" s="210"/>
      <c r="L785" s="210"/>
      <c r="M785" s="210"/>
      <c r="N785" s="210"/>
      <c r="O785" s="210"/>
      <c r="P785" s="210"/>
      <c r="Q785" s="210"/>
      <c r="R785" s="210"/>
      <c r="S785" s="210"/>
      <c r="T785" s="210"/>
      <c r="U785" s="210"/>
      <c r="V785" s="210"/>
      <c r="W785" s="210"/>
      <c r="X785" s="210"/>
      <c r="Y785" s="210"/>
      <c r="Z785" s="210"/>
      <c r="AA785" s="210"/>
      <c r="AB785" s="210"/>
      <c r="AC785" s="210"/>
      <c r="AI785" s="210"/>
      <c r="AJ785" s="210"/>
    </row>
    <row r="786" ht="12.75" customHeight="1">
      <c r="C786" s="210"/>
      <c r="D786" s="210"/>
      <c r="E786" s="210"/>
      <c r="F786" s="210"/>
      <c r="G786" s="210"/>
      <c r="H786" s="210"/>
      <c r="I786" s="210"/>
      <c r="J786" s="210"/>
      <c r="K786" s="210"/>
      <c r="L786" s="210"/>
      <c r="M786" s="210"/>
      <c r="N786" s="210"/>
      <c r="O786" s="210"/>
      <c r="P786" s="210"/>
      <c r="Q786" s="210"/>
      <c r="R786" s="210"/>
      <c r="S786" s="210"/>
      <c r="T786" s="210"/>
      <c r="U786" s="210"/>
      <c r="V786" s="210"/>
      <c r="W786" s="210"/>
      <c r="X786" s="210"/>
      <c r="Y786" s="210"/>
      <c r="Z786" s="210"/>
      <c r="AA786" s="210"/>
      <c r="AB786" s="210"/>
      <c r="AC786" s="210"/>
      <c r="AI786" s="210"/>
      <c r="AJ786" s="210"/>
    </row>
    <row r="787" ht="12.75" customHeight="1">
      <c r="C787" s="210"/>
      <c r="D787" s="210"/>
      <c r="E787" s="210"/>
      <c r="F787" s="210"/>
      <c r="G787" s="210"/>
      <c r="H787" s="210"/>
      <c r="I787" s="210"/>
      <c r="J787" s="210"/>
      <c r="K787" s="210"/>
      <c r="L787" s="210"/>
      <c r="M787" s="210"/>
      <c r="N787" s="210"/>
      <c r="O787" s="210"/>
      <c r="P787" s="210"/>
      <c r="Q787" s="210"/>
      <c r="R787" s="210"/>
      <c r="S787" s="210"/>
      <c r="T787" s="210"/>
      <c r="U787" s="210"/>
      <c r="V787" s="210"/>
      <c r="W787" s="210"/>
      <c r="X787" s="210"/>
      <c r="Y787" s="210"/>
      <c r="Z787" s="210"/>
      <c r="AA787" s="210"/>
      <c r="AB787" s="210"/>
      <c r="AC787" s="210"/>
      <c r="AI787" s="210"/>
      <c r="AJ787" s="210"/>
    </row>
    <row r="788" ht="12.75" customHeight="1">
      <c r="C788" s="210"/>
      <c r="D788" s="210"/>
      <c r="E788" s="210"/>
      <c r="F788" s="210"/>
      <c r="G788" s="210"/>
      <c r="H788" s="210"/>
      <c r="I788" s="210"/>
      <c r="J788" s="210"/>
      <c r="K788" s="210"/>
      <c r="L788" s="210"/>
      <c r="M788" s="210"/>
      <c r="N788" s="210"/>
      <c r="O788" s="210"/>
      <c r="P788" s="210"/>
      <c r="Q788" s="210"/>
      <c r="R788" s="210"/>
      <c r="S788" s="210"/>
      <c r="T788" s="210"/>
      <c r="U788" s="210"/>
      <c r="V788" s="210"/>
      <c r="W788" s="210"/>
      <c r="X788" s="210"/>
      <c r="Y788" s="210"/>
      <c r="Z788" s="210"/>
      <c r="AA788" s="210"/>
      <c r="AB788" s="210"/>
      <c r="AC788" s="210"/>
      <c r="AI788" s="210"/>
      <c r="AJ788" s="210"/>
    </row>
    <row r="789" ht="12.75" customHeight="1">
      <c r="C789" s="210"/>
      <c r="D789" s="210"/>
      <c r="E789" s="210"/>
      <c r="F789" s="210"/>
      <c r="G789" s="210"/>
      <c r="H789" s="210"/>
      <c r="I789" s="210"/>
      <c r="J789" s="210"/>
      <c r="K789" s="210"/>
      <c r="L789" s="210"/>
      <c r="M789" s="210"/>
      <c r="N789" s="210"/>
      <c r="O789" s="210"/>
      <c r="P789" s="210"/>
      <c r="Q789" s="210"/>
      <c r="R789" s="210"/>
      <c r="S789" s="210"/>
      <c r="T789" s="210"/>
      <c r="U789" s="210"/>
      <c r="V789" s="210"/>
      <c r="W789" s="210"/>
      <c r="X789" s="210"/>
      <c r="Y789" s="210"/>
      <c r="Z789" s="210"/>
      <c r="AA789" s="210"/>
      <c r="AB789" s="210"/>
      <c r="AC789" s="210"/>
      <c r="AI789" s="210"/>
      <c r="AJ789" s="210"/>
    </row>
    <row r="790" ht="12.75" customHeight="1">
      <c r="C790" s="210"/>
      <c r="D790" s="210"/>
      <c r="E790" s="210"/>
      <c r="F790" s="210"/>
      <c r="G790" s="210"/>
      <c r="H790" s="210"/>
      <c r="I790" s="210"/>
      <c r="J790" s="210"/>
      <c r="K790" s="210"/>
      <c r="L790" s="210"/>
      <c r="M790" s="210"/>
      <c r="N790" s="210"/>
      <c r="O790" s="210"/>
      <c r="P790" s="210"/>
      <c r="Q790" s="210"/>
      <c r="R790" s="210"/>
      <c r="S790" s="210"/>
      <c r="T790" s="210"/>
      <c r="U790" s="210"/>
      <c r="V790" s="210"/>
      <c r="W790" s="210"/>
      <c r="X790" s="210"/>
      <c r="Y790" s="210"/>
      <c r="Z790" s="210"/>
      <c r="AA790" s="210"/>
      <c r="AB790" s="210"/>
      <c r="AC790" s="210"/>
      <c r="AI790" s="210"/>
      <c r="AJ790" s="210"/>
    </row>
    <row r="791" ht="12.75" customHeight="1">
      <c r="C791" s="210"/>
      <c r="D791" s="210"/>
      <c r="E791" s="210"/>
      <c r="F791" s="210"/>
      <c r="G791" s="210"/>
      <c r="H791" s="210"/>
      <c r="I791" s="210"/>
      <c r="J791" s="210"/>
      <c r="K791" s="210"/>
      <c r="L791" s="210"/>
      <c r="M791" s="210"/>
      <c r="N791" s="210"/>
      <c r="O791" s="210"/>
      <c r="P791" s="210"/>
      <c r="Q791" s="210"/>
      <c r="R791" s="210"/>
      <c r="S791" s="210"/>
      <c r="T791" s="210"/>
      <c r="U791" s="210"/>
      <c r="V791" s="210"/>
      <c r="W791" s="210"/>
      <c r="X791" s="210"/>
      <c r="Y791" s="210"/>
      <c r="Z791" s="210"/>
      <c r="AA791" s="210"/>
      <c r="AB791" s="210"/>
      <c r="AC791" s="210"/>
      <c r="AI791" s="210"/>
      <c r="AJ791" s="210"/>
    </row>
    <row r="792" ht="12.75" customHeight="1">
      <c r="C792" s="210"/>
      <c r="D792" s="210"/>
      <c r="E792" s="210"/>
      <c r="F792" s="210"/>
      <c r="G792" s="210"/>
      <c r="H792" s="210"/>
      <c r="I792" s="210"/>
      <c r="J792" s="210"/>
      <c r="K792" s="210"/>
      <c r="L792" s="210"/>
      <c r="M792" s="210"/>
      <c r="N792" s="210"/>
      <c r="O792" s="210"/>
      <c r="P792" s="210"/>
      <c r="Q792" s="210"/>
      <c r="R792" s="210"/>
      <c r="S792" s="210"/>
      <c r="T792" s="210"/>
      <c r="U792" s="210"/>
      <c r="V792" s="210"/>
      <c r="W792" s="210"/>
      <c r="X792" s="210"/>
      <c r="Y792" s="210"/>
      <c r="Z792" s="210"/>
      <c r="AA792" s="210"/>
      <c r="AB792" s="210"/>
      <c r="AC792" s="210"/>
      <c r="AI792" s="210"/>
      <c r="AJ792" s="210"/>
    </row>
    <row r="793" ht="12.75" customHeight="1">
      <c r="C793" s="210"/>
      <c r="D793" s="210"/>
      <c r="E793" s="210"/>
      <c r="F793" s="210"/>
      <c r="G793" s="210"/>
      <c r="H793" s="210"/>
      <c r="I793" s="210"/>
      <c r="J793" s="210"/>
      <c r="K793" s="210"/>
      <c r="L793" s="210"/>
      <c r="M793" s="210"/>
      <c r="N793" s="210"/>
      <c r="O793" s="210"/>
      <c r="P793" s="210"/>
      <c r="Q793" s="210"/>
      <c r="R793" s="210"/>
      <c r="S793" s="210"/>
      <c r="T793" s="210"/>
      <c r="U793" s="210"/>
      <c r="V793" s="210"/>
      <c r="W793" s="210"/>
      <c r="X793" s="210"/>
      <c r="Y793" s="210"/>
      <c r="Z793" s="210"/>
      <c r="AA793" s="210"/>
      <c r="AB793" s="210"/>
      <c r="AC793" s="210"/>
      <c r="AI793" s="210"/>
      <c r="AJ793" s="210"/>
    </row>
    <row r="794" ht="12.75" customHeight="1">
      <c r="C794" s="210"/>
      <c r="D794" s="210"/>
      <c r="E794" s="210"/>
      <c r="F794" s="210"/>
      <c r="G794" s="210"/>
      <c r="H794" s="210"/>
      <c r="I794" s="210"/>
      <c r="J794" s="210"/>
      <c r="K794" s="210"/>
      <c r="L794" s="210"/>
      <c r="M794" s="210"/>
      <c r="N794" s="210"/>
      <c r="O794" s="210"/>
      <c r="P794" s="210"/>
      <c r="Q794" s="210"/>
      <c r="R794" s="210"/>
      <c r="S794" s="210"/>
      <c r="T794" s="210"/>
      <c r="U794" s="210"/>
      <c r="V794" s="210"/>
      <c r="W794" s="210"/>
      <c r="X794" s="210"/>
      <c r="Y794" s="210"/>
      <c r="Z794" s="210"/>
      <c r="AA794" s="210"/>
      <c r="AB794" s="210"/>
      <c r="AC794" s="210"/>
      <c r="AI794" s="210"/>
      <c r="AJ794" s="210"/>
    </row>
    <row r="795" ht="12.75" customHeight="1">
      <c r="C795" s="210"/>
      <c r="D795" s="210"/>
      <c r="E795" s="210"/>
      <c r="F795" s="210"/>
      <c r="G795" s="210"/>
      <c r="H795" s="210"/>
      <c r="I795" s="210"/>
      <c r="J795" s="210"/>
      <c r="K795" s="210"/>
      <c r="L795" s="210"/>
      <c r="M795" s="210"/>
      <c r="N795" s="210"/>
      <c r="O795" s="210"/>
      <c r="P795" s="210"/>
      <c r="Q795" s="210"/>
      <c r="R795" s="210"/>
      <c r="S795" s="210"/>
      <c r="T795" s="210"/>
      <c r="U795" s="210"/>
      <c r="V795" s="210"/>
      <c r="W795" s="210"/>
      <c r="X795" s="210"/>
      <c r="Y795" s="210"/>
      <c r="Z795" s="210"/>
      <c r="AA795" s="210"/>
      <c r="AB795" s="210"/>
      <c r="AC795" s="210"/>
      <c r="AI795" s="210"/>
      <c r="AJ795" s="210"/>
    </row>
    <row r="796" ht="12.75" customHeight="1">
      <c r="C796" s="210"/>
      <c r="D796" s="210"/>
      <c r="E796" s="210"/>
      <c r="F796" s="210"/>
      <c r="G796" s="210"/>
      <c r="H796" s="210"/>
      <c r="I796" s="210"/>
      <c r="J796" s="210"/>
      <c r="K796" s="210"/>
      <c r="L796" s="210"/>
      <c r="M796" s="210"/>
      <c r="N796" s="210"/>
      <c r="O796" s="210"/>
      <c r="P796" s="210"/>
      <c r="Q796" s="210"/>
      <c r="R796" s="210"/>
      <c r="S796" s="210"/>
      <c r="T796" s="210"/>
      <c r="U796" s="210"/>
      <c r="V796" s="210"/>
      <c r="W796" s="210"/>
      <c r="X796" s="210"/>
      <c r="Y796" s="210"/>
      <c r="Z796" s="210"/>
      <c r="AA796" s="210"/>
      <c r="AB796" s="210"/>
      <c r="AC796" s="210"/>
      <c r="AI796" s="210"/>
      <c r="AJ796" s="210"/>
    </row>
    <row r="797" ht="12.75" customHeight="1">
      <c r="C797" s="210"/>
      <c r="D797" s="210"/>
      <c r="E797" s="210"/>
      <c r="F797" s="210"/>
      <c r="G797" s="210"/>
      <c r="H797" s="210"/>
      <c r="I797" s="210"/>
      <c r="J797" s="210"/>
      <c r="K797" s="210"/>
      <c r="L797" s="210"/>
      <c r="M797" s="210"/>
      <c r="N797" s="210"/>
      <c r="O797" s="210"/>
      <c r="P797" s="210"/>
      <c r="Q797" s="210"/>
      <c r="R797" s="210"/>
      <c r="S797" s="210"/>
      <c r="T797" s="210"/>
      <c r="U797" s="210"/>
      <c r="V797" s="210"/>
      <c r="W797" s="210"/>
      <c r="X797" s="210"/>
      <c r="Y797" s="210"/>
      <c r="Z797" s="210"/>
      <c r="AA797" s="210"/>
      <c r="AB797" s="210"/>
      <c r="AC797" s="210"/>
      <c r="AI797" s="210"/>
      <c r="AJ797" s="210"/>
    </row>
    <row r="798" ht="12.75" customHeight="1">
      <c r="C798" s="210"/>
      <c r="D798" s="210"/>
      <c r="E798" s="210"/>
      <c r="F798" s="210"/>
      <c r="G798" s="210"/>
      <c r="H798" s="210"/>
      <c r="I798" s="210"/>
      <c r="J798" s="210"/>
      <c r="K798" s="210"/>
      <c r="L798" s="210"/>
      <c r="M798" s="210"/>
      <c r="N798" s="210"/>
      <c r="O798" s="210"/>
      <c r="P798" s="210"/>
      <c r="Q798" s="210"/>
      <c r="R798" s="210"/>
      <c r="S798" s="210"/>
      <c r="T798" s="210"/>
      <c r="U798" s="210"/>
      <c r="V798" s="210"/>
      <c r="W798" s="210"/>
      <c r="X798" s="210"/>
      <c r="Y798" s="210"/>
      <c r="Z798" s="210"/>
      <c r="AA798" s="210"/>
      <c r="AB798" s="210"/>
      <c r="AC798" s="210"/>
      <c r="AI798" s="210"/>
      <c r="AJ798" s="210"/>
    </row>
    <row r="799" ht="12.75" customHeight="1">
      <c r="C799" s="210"/>
      <c r="D799" s="210"/>
      <c r="E799" s="210"/>
      <c r="F799" s="210"/>
      <c r="G799" s="210"/>
      <c r="H799" s="210"/>
      <c r="I799" s="210"/>
      <c r="J799" s="210"/>
      <c r="K799" s="210"/>
      <c r="L799" s="210"/>
      <c r="M799" s="210"/>
      <c r="N799" s="210"/>
      <c r="O799" s="210"/>
      <c r="P799" s="210"/>
      <c r="Q799" s="210"/>
      <c r="R799" s="210"/>
      <c r="S799" s="210"/>
      <c r="T799" s="210"/>
      <c r="U799" s="210"/>
      <c r="V799" s="210"/>
      <c r="W799" s="210"/>
      <c r="X799" s="210"/>
      <c r="Y799" s="210"/>
      <c r="Z799" s="210"/>
      <c r="AA799" s="210"/>
      <c r="AB799" s="210"/>
      <c r="AC799" s="210"/>
      <c r="AI799" s="210"/>
      <c r="AJ799" s="210"/>
    </row>
    <row r="800" ht="12.75" customHeight="1">
      <c r="C800" s="210"/>
      <c r="D800" s="210"/>
      <c r="E800" s="210"/>
      <c r="F800" s="210"/>
      <c r="G800" s="210"/>
      <c r="H800" s="210"/>
      <c r="I800" s="210"/>
      <c r="J800" s="210"/>
      <c r="K800" s="210"/>
      <c r="L800" s="210"/>
      <c r="M800" s="210"/>
      <c r="N800" s="210"/>
      <c r="O800" s="210"/>
      <c r="P800" s="210"/>
      <c r="Q800" s="210"/>
      <c r="R800" s="210"/>
      <c r="S800" s="210"/>
      <c r="T800" s="210"/>
      <c r="U800" s="210"/>
      <c r="V800" s="210"/>
      <c r="W800" s="210"/>
      <c r="X800" s="210"/>
      <c r="Y800" s="210"/>
      <c r="Z800" s="210"/>
      <c r="AA800" s="210"/>
      <c r="AB800" s="210"/>
      <c r="AC800" s="210"/>
      <c r="AI800" s="210"/>
      <c r="AJ800" s="210"/>
    </row>
    <row r="801" ht="12.75" customHeight="1">
      <c r="C801" s="210"/>
      <c r="D801" s="210"/>
      <c r="E801" s="210"/>
      <c r="F801" s="210"/>
      <c r="G801" s="210"/>
      <c r="H801" s="210"/>
      <c r="I801" s="210"/>
      <c r="J801" s="210"/>
      <c r="K801" s="210"/>
      <c r="L801" s="210"/>
      <c r="M801" s="210"/>
      <c r="N801" s="210"/>
      <c r="O801" s="210"/>
      <c r="P801" s="210"/>
      <c r="Q801" s="210"/>
      <c r="R801" s="210"/>
      <c r="S801" s="210"/>
      <c r="T801" s="210"/>
      <c r="U801" s="210"/>
      <c r="V801" s="210"/>
      <c r="W801" s="210"/>
      <c r="X801" s="210"/>
      <c r="Y801" s="210"/>
      <c r="Z801" s="210"/>
      <c r="AA801" s="210"/>
      <c r="AB801" s="210"/>
      <c r="AC801" s="210"/>
      <c r="AI801" s="210"/>
      <c r="AJ801" s="210"/>
    </row>
    <row r="802" ht="12.75" customHeight="1">
      <c r="C802" s="210"/>
      <c r="D802" s="210"/>
      <c r="E802" s="210"/>
      <c r="F802" s="210"/>
      <c r="G802" s="210"/>
      <c r="H802" s="210"/>
      <c r="I802" s="210"/>
      <c r="J802" s="210"/>
      <c r="K802" s="210"/>
      <c r="L802" s="210"/>
      <c r="M802" s="210"/>
      <c r="N802" s="210"/>
      <c r="O802" s="210"/>
      <c r="P802" s="210"/>
      <c r="Q802" s="210"/>
      <c r="R802" s="210"/>
      <c r="S802" s="210"/>
      <c r="T802" s="210"/>
      <c r="U802" s="210"/>
      <c r="V802" s="210"/>
      <c r="W802" s="210"/>
      <c r="X802" s="210"/>
      <c r="Y802" s="210"/>
      <c r="Z802" s="210"/>
      <c r="AA802" s="210"/>
      <c r="AB802" s="210"/>
      <c r="AC802" s="210"/>
      <c r="AI802" s="210"/>
      <c r="AJ802" s="210"/>
    </row>
    <row r="803" ht="12.75" customHeight="1">
      <c r="C803" s="210"/>
      <c r="D803" s="210"/>
      <c r="E803" s="210"/>
      <c r="F803" s="210"/>
      <c r="G803" s="210"/>
      <c r="H803" s="210"/>
      <c r="I803" s="210"/>
      <c r="J803" s="210"/>
      <c r="K803" s="210"/>
      <c r="L803" s="210"/>
      <c r="M803" s="210"/>
      <c r="N803" s="210"/>
      <c r="O803" s="210"/>
      <c r="P803" s="210"/>
      <c r="Q803" s="210"/>
      <c r="R803" s="210"/>
      <c r="S803" s="210"/>
      <c r="T803" s="210"/>
      <c r="U803" s="210"/>
      <c r="V803" s="210"/>
      <c r="W803" s="210"/>
      <c r="X803" s="210"/>
      <c r="Y803" s="210"/>
      <c r="Z803" s="210"/>
      <c r="AA803" s="210"/>
      <c r="AB803" s="210"/>
      <c r="AC803" s="210"/>
      <c r="AI803" s="210"/>
      <c r="AJ803" s="210"/>
    </row>
    <row r="804" ht="12.75" customHeight="1">
      <c r="C804" s="210"/>
      <c r="D804" s="210"/>
      <c r="E804" s="210"/>
      <c r="F804" s="210"/>
      <c r="G804" s="210"/>
      <c r="H804" s="210"/>
      <c r="I804" s="210"/>
      <c r="J804" s="210"/>
      <c r="K804" s="210"/>
      <c r="L804" s="210"/>
      <c r="M804" s="210"/>
      <c r="N804" s="210"/>
      <c r="O804" s="210"/>
      <c r="P804" s="210"/>
      <c r="Q804" s="210"/>
      <c r="R804" s="210"/>
      <c r="S804" s="210"/>
      <c r="T804" s="210"/>
      <c r="U804" s="210"/>
      <c r="V804" s="210"/>
      <c r="W804" s="210"/>
      <c r="X804" s="210"/>
      <c r="Y804" s="210"/>
      <c r="Z804" s="210"/>
      <c r="AA804" s="210"/>
      <c r="AB804" s="210"/>
      <c r="AC804" s="210"/>
      <c r="AI804" s="210"/>
      <c r="AJ804" s="210"/>
    </row>
    <row r="805" ht="12.75" customHeight="1">
      <c r="C805" s="210"/>
      <c r="D805" s="210"/>
      <c r="E805" s="210"/>
      <c r="F805" s="210"/>
      <c r="G805" s="210"/>
      <c r="H805" s="210"/>
      <c r="I805" s="210"/>
      <c r="J805" s="210"/>
      <c r="K805" s="210"/>
      <c r="L805" s="210"/>
      <c r="M805" s="210"/>
      <c r="N805" s="210"/>
      <c r="O805" s="210"/>
      <c r="P805" s="210"/>
      <c r="Q805" s="210"/>
      <c r="R805" s="210"/>
      <c r="S805" s="210"/>
      <c r="T805" s="210"/>
      <c r="U805" s="210"/>
      <c r="V805" s="210"/>
      <c r="W805" s="210"/>
      <c r="X805" s="210"/>
      <c r="Y805" s="210"/>
      <c r="Z805" s="210"/>
      <c r="AA805" s="210"/>
      <c r="AB805" s="210"/>
      <c r="AC805" s="210"/>
      <c r="AI805" s="210"/>
      <c r="AJ805" s="210"/>
    </row>
    <row r="806" ht="12.75" customHeight="1">
      <c r="C806" s="210"/>
      <c r="D806" s="210"/>
      <c r="E806" s="210"/>
      <c r="F806" s="210"/>
      <c r="G806" s="210"/>
      <c r="H806" s="210"/>
      <c r="I806" s="210"/>
      <c r="J806" s="210"/>
      <c r="K806" s="210"/>
      <c r="L806" s="210"/>
      <c r="M806" s="210"/>
      <c r="N806" s="210"/>
      <c r="O806" s="210"/>
      <c r="P806" s="210"/>
      <c r="Q806" s="210"/>
      <c r="R806" s="210"/>
      <c r="S806" s="210"/>
      <c r="T806" s="210"/>
      <c r="U806" s="210"/>
      <c r="V806" s="210"/>
      <c r="W806" s="210"/>
      <c r="X806" s="210"/>
      <c r="Y806" s="210"/>
      <c r="Z806" s="210"/>
      <c r="AA806" s="210"/>
      <c r="AB806" s="210"/>
      <c r="AC806" s="210"/>
      <c r="AI806" s="210"/>
      <c r="AJ806" s="210"/>
    </row>
    <row r="807" ht="12.75" customHeight="1">
      <c r="C807" s="210"/>
      <c r="D807" s="210"/>
      <c r="E807" s="210"/>
      <c r="F807" s="210"/>
      <c r="G807" s="210"/>
      <c r="H807" s="210"/>
      <c r="I807" s="210"/>
      <c r="J807" s="210"/>
      <c r="K807" s="210"/>
      <c r="L807" s="210"/>
      <c r="M807" s="210"/>
      <c r="N807" s="210"/>
      <c r="O807" s="210"/>
      <c r="P807" s="210"/>
      <c r="Q807" s="210"/>
      <c r="R807" s="210"/>
      <c r="S807" s="210"/>
      <c r="T807" s="210"/>
      <c r="U807" s="210"/>
      <c r="V807" s="210"/>
      <c r="W807" s="210"/>
      <c r="X807" s="210"/>
      <c r="Y807" s="210"/>
      <c r="Z807" s="210"/>
      <c r="AA807" s="210"/>
      <c r="AB807" s="210"/>
      <c r="AC807" s="210"/>
      <c r="AI807" s="210"/>
      <c r="AJ807" s="210"/>
    </row>
    <row r="808" ht="12.75" customHeight="1">
      <c r="C808" s="210"/>
      <c r="D808" s="210"/>
      <c r="E808" s="210"/>
      <c r="F808" s="210"/>
      <c r="G808" s="210"/>
      <c r="H808" s="210"/>
      <c r="I808" s="210"/>
      <c r="J808" s="210"/>
      <c r="K808" s="210"/>
      <c r="L808" s="210"/>
      <c r="M808" s="210"/>
      <c r="N808" s="210"/>
      <c r="O808" s="210"/>
      <c r="P808" s="210"/>
      <c r="Q808" s="210"/>
      <c r="R808" s="210"/>
      <c r="S808" s="210"/>
      <c r="T808" s="210"/>
      <c r="U808" s="210"/>
      <c r="V808" s="210"/>
      <c r="W808" s="210"/>
      <c r="X808" s="210"/>
      <c r="Y808" s="210"/>
      <c r="Z808" s="210"/>
      <c r="AA808" s="210"/>
      <c r="AB808" s="210"/>
      <c r="AC808" s="210"/>
      <c r="AI808" s="210"/>
      <c r="AJ808" s="210"/>
    </row>
    <row r="809" ht="12.75" customHeight="1">
      <c r="C809" s="210"/>
      <c r="D809" s="210"/>
      <c r="E809" s="210"/>
      <c r="F809" s="210"/>
      <c r="G809" s="210"/>
      <c r="H809" s="210"/>
      <c r="I809" s="210"/>
      <c r="J809" s="210"/>
      <c r="K809" s="210"/>
      <c r="L809" s="210"/>
      <c r="M809" s="210"/>
      <c r="N809" s="210"/>
      <c r="O809" s="210"/>
      <c r="P809" s="210"/>
      <c r="Q809" s="210"/>
      <c r="R809" s="210"/>
      <c r="S809" s="210"/>
      <c r="T809" s="210"/>
      <c r="U809" s="210"/>
      <c r="V809" s="210"/>
      <c r="W809" s="210"/>
      <c r="X809" s="210"/>
      <c r="Y809" s="210"/>
      <c r="Z809" s="210"/>
      <c r="AA809" s="210"/>
      <c r="AB809" s="210"/>
      <c r="AC809" s="210"/>
      <c r="AI809" s="210"/>
      <c r="AJ809" s="210"/>
    </row>
    <row r="810" ht="12.75" customHeight="1">
      <c r="C810" s="210"/>
      <c r="D810" s="210"/>
      <c r="E810" s="210"/>
      <c r="F810" s="210"/>
      <c r="G810" s="210"/>
      <c r="H810" s="210"/>
      <c r="I810" s="210"/>
      <c r="J810" s="210"/>
      <c r="K810" s="210"/>
      <c r="L810" s="210"/>
      <c r="M810" s="210"/>
      <c r="N810" s="210"/>
      <c r="O810" s="210"/>
      <c r="P810" s="210"/>
      <c r="Q810" s="210"/>
      <c r="R810" s="210"/>
      <c r="S810" s="210"/>
      <c r="T810" s="210"/>
      <c r="U810" s="210"/>
      <c r="V810" s="210"/>
      <c r="W810" s="210"/>
      <c r="X810" s="210"/>
      <c r="Y810" s="210"/>
      <c r="Z810" s="210"/>
      <c r="AA810" s="210"/>
      <c r="AB810" s="210"/>
      <c r="AC810" s="210"/>
      <c r="AI810" s="210"/>
      <c r="AJ810" s="210"/>
    </row>
    <row r="811" ht="12.75" customHeight="1">
      <c r="C811" s="210"/>
      <c r="D811" s="210"/>
      <c r="E811" s="210"/>
      <c r="F811" s="210"/>
      <c r="G811" s="210"/>
      <c r="H811" s="210"/>
      <c r="I811" s="210"/>
      <c r="J811" s="210"/>
      <c r="K811" s="210"/>
      <c r="L811" s="210"/>
      <c r="M811" s="210"/>
      <c r="N811" s="210"/>
      <c r="O811" s="210"/>
      <c r="P811" s="210"/>
      <c r="Q811" s="210"/>
      <c r="R811" s="210"/>
      <c r="S811" s="210"/>
      <c r="T811" s="210"/>
      <c r="U811" s="210"/>
      <c r="V811" s="210"/>
      <c r="W811" s="210"/>
      <c r="X811" s="210"/>
      <c r="Y811" s="210"/>
      <c r="Z811" s="210"/>
      <c r="AA811" s="210"/>
      <c r="AB811" s="210"/>
      <c r="AC811" s="210"/>
      <c r="AI811" s="210"/>
      <c r="AJ811" s="210"/>
    </row>
    <row r="812" ht="12.75" customHeight="1">
      <c r="C812" s="210"/>
      <c r="D812" s="210"/>
      <c r="E812" s="210"/>
      <c r="F812" s="210"/>
      <c r="G812" s="210"/>
      <c r="H812" s="210"/>
      <c r="I812" s="210"/>
      <c r="J812" s="210"/>
      <c r="K812" s="210"/>
      <c r="L812" s="210"/>
      <c r="M812" s="210"/>
      <c r="N812" s="210"/>
      <c r="O812" s="210"/>
      <c r="P812" s="210"/>
      <c r="Q812" s="210"/>
      <c r="R812" s="210"/>
      <c r="S812" s="210"/>
      <c r="T812" s="210"/>
      <c r="U812" s="210"/>
      <c r="V812" s="210"/>
      <c r="W812" s="210"/>
      <c r="X812" s="210"/>
      <c r="Y812" s="210"/>
      <c r="Z812" s="210"/>
      <c r="AA812" s="210"/>
      <c r="AB812" s="210"/>
      <c r="AC812" s="210"/>
      <c r="AI812" s="210"/>
      <c r="AJ812" s="210"/>
    </row>
    <row r="813" ht="12.75" customHeight="1">
      <c r="C813" s="210"/>
      <c r="D813" s="210"/>
      <c r="E813" s="210"/>
      <c r="F813" s="210"/>
      <c r="G813" s="210"/>
      <c r="H813" s="210"/>
      <c r="I813" s="210"/>
      <c r="J813" s="210"/>
      <c r="K813" s="210"/>
      <c r="L813" s="210"/>
      <c r="M813" s="210"/>
      <c r="N813" s="210"/>
      <c r="O813" s="210"/>
      <c r="P813" s="210"/>
      <c r="Q813" s="210"/>
      <c r="R813" s="210"/>
      <c r="S813" s="210"/>
      <c r="T813" s="210"/>
      <c r="U813" s="210"/>
      <c r="V813" s="210"/>
      <c r="W813" s="210"/>
      <c r="X813" s="210"/>
      <c r="Y813" s="210"/>
      <c r="Z813" s="210"/>
      <c r="AA813" s="210"/>
      <c r="AB813" s="210"/>
      <c r="AC813" s="210"/>
      <c r="AI813" s="210"/>
      <c r="AJ813" s="210"/>
    </row>
    <row r="814" ht="12.75" customHeight="1">
      <c r="C814" s="210"/>
      <c r="D814" s="210"/>
      <c r="E814" s="210"/>
      <c r="F814" s="210"/>
      <c r="G814" s="210"/>
      <c r="H814" s="210"/>
      <c r="I814" s="210"/>
      <c r="J814" s="210"/>
      <c r="K814" s="210"/>
      <c r="L814" s="210"/>
      <c r="M814" s="210"/>
      <c r="N814" s="210"/>
      <c r="O814" s="210"/>
      <c r="P814" s="210"/>
      <c r="Q814" s="210"/>
      <c r="R814" s="210"/>
      <c r="S814" s="210"/>
      <c r="T814" s="210"/>
      <c r="U814" s="210"/>
      <c r="V814" s="210"/>
      <c r="W814" s="210"/>
      <c r="X814" s="210"/>
      <c r="Y814" s="210"/>
      <c r="Z814" s="210"/>
      <c r="AA814" s="210"/>
      <c r="AB814" s="210"/>
      <c r="AC814" s="210"/>
      <c r="AI814" s="210"/>
      <c r="AJ814" s="210"/>
    </row>
    <row r="815" ht="12.75" customHeight="1">
      <c r="C815" s="210"/>
      <c r="D815" s="210"/>
      <c r="E815" s="210"/>
      <c r="F815" s="210"/>
      <c r="G815" s="210"/>
      <c r="H815" s="210"/>
      <c r="I815" s="210"/>
      <c r="J815" s="210"/>
      <c r="K815" s="210"/>
      <c r="L815" s="210"/>
      <c r="M815" s="210"/>
      <c r="N815" s="210"/>
      <c r="O815" s="210"/>
      <c r="P815" s="210"/>
      <c r="Q815" s="210"/>
      <c r="R815" s="210"/>
      <c r="S815" s="210"/>
      <c r="T815" s="210"/>
      <c r="U815" s="210"/>
      <c r="V815" s="210"/>
      <c r="W815" s="210"/>
      <c r="X815" s="210"/>
      <c r="Y815" s="210"/>
      <c r="Z815" s="210"/>
      <c r="AA815" s="210"/>
      <c r="AB815" s="210"/>
      <c r="AC815" s="210"/>
      <c r="AI815" s="210"/>
      <c r="AJ815" s="210"/>
    </row>
    <row r="816" ht="12.75" customHeight="1">
      <c r="C816" s="210"/>
      <c r="D816" s="210"/>
      <c r="E816" s="210"/>
      <c r="F816" s="210"/>
      <c r="G816" s="210"/>
      <c r="H816" s="210"/>
      <c r="I816" s="210"/>
      <c r="J816" s="210"/>
      <c r="K816" s="210"/>
      <c r="L816" s="210"/>
      <c r="M816" s="210"/>
      <c r="N816" s="210"/>
      <c r="O816" s="210"/>
      <c r="P816" s="210"/>
      <c r="Q816" s="210"/>
      <c r="R816" s="210"/>
      <c r="S816" s="210"/>
      <c r="T816" s="210"/>
      <c r="U816" s="210"/>
      <c r="V816" s="210"/>
      <c r="W816" s="210"/>
      <c r="X816" s="210"/>
      <c r="Y816" s="210"/>
      <c r="Z816" s="210"/>
      <c r="AA816" s="210"/>
      <c r="AB816" s="210"/>
      <c r="AC816" s="210"/>
      <c r="AI816" s="210"/>
      <c r="AJ816" s="210"/>
    </row>
    <row r="817" ht="12.75" customHeight="1">
      <c r="C817" s="210"/>
      <c r="D817" s="210"/>
      <c r="E817" s="210"/>
      <c r="F817" s="210"/>
      <c r="G817" s="210"/>
      <c r="H817" s="210"/>
      <c r="I817" s="210"/>
      <c r="J817" s="210"/>
      <c r="K817" s="210"/>
      <c r="L817" s="210"/>
      <c r="M817" s="210"/>
      <c r="N817" s="210"/>
      <c r="O817" s="210"/>
      <c r="P817" s="210"/>
      <c r="Q817" s="210"/>
      <c r="R817" s="210"/>
      <c r="S817" s="210"/>
      <c r="T817" s="210"/>
      <c r="U817" s="210"/>
      <c r="V817" s="210"/>
      <c r="W817" s="210"/>
      <c r="X817" s="210"/>
      <c r="Y817" s="210"/>
      <c r="Z817" s="210"/>
      <c r="AA817" s="210"/>
      <c r="AB817" s="210"/>
      <c r="AC817" s="210"/>
      <c r="AI817" s="210"/>
      <c r="AJ817" s="210"/>
    </row>
    <row r="818" ht="12.75" customHeight="1">
      <c r="C818" s="210"/>
      <c r="D818" s="210"/>
      <c r="E818" s="210"/>
      <c r="F818" s="210"/>
      <c r="G818" s="210"/>
      <c r="H818" s="210"/>
      <c r="I818" s="210"/>
      <c r="J818" s="210"/>
      <c r="K818" s="210"/>
      <c r="L818" s="210"/>
      <c r="M818" s="210"/>
      <c r="N818" s="210"/>
      <c r="O818" s="210"/>
      <c r="P818" s="210"/>
      <c r="Q818" s="210"/>
      <c r="R818" s="210"/>
      <c r="S818" s="210"/>
      <c r="T818" s="210"/>
      <c r="U818" s="210"/>
      <c r="V818" s="210"/>
      <c r="W818" s="210"/>
      <c r="X818" s="210"/>
      <c r="Y818" s="210"/>
      <c r="Z818" s="210"/>
      <c r="AA818" s="210"/>
      <c r="AB818" s="210"/>
      <c r="AC818" s="210"/>
      <c r="AI818" s="210"/>
      <c r="AJ818" s="210"/>
    </row>
    <row r="819" ht="12.75" customHeight="1">
      <c r="C819" s="210"/>
      <c r="D819" s="210"/>
      <c r="E819" s="210"/>
      <c r="F819" s="210"/>
      <c r="G819" s="210"/>
      <c r="H819" s="210"/>
      <c r="I819" s="210"/>
      <c r="J819" s="210"/>
      <c r="K819" s="210"/>
      <c r="L819" s="210"/>
      <c r="M819" s="210"/>
      <c r="N819" s="210"/>
      <c r="O819" s="210"/>
      <c r="P819" s="210"/>
      <c r="Q819" s="210"/>
      <c r="R819" s="210"/>
      <c r="S819" s="210"/>
      <c r="T819" s="210"/>
      <c r="U819" s="210"/>
      <c r="V819" s="210"/>
      <c r="W819" s="210"/>
      <c r="X819" s="210"/>
      <c r="Y819" s="210"/>
      <c r="Z819" s="210"/>
      <c r="AA819" s="210"/>
      <c r="AB819" s="210"/>
      <c r="AC819" s="210"/>
      <c r="AI819" s="210"/>
      <c r="AJ819" s="210"/>
    </row>
    <row r="820" ht="12.75" customHeight="1">
      <c r="C820" s="210"/>
      <c r="D820" s="210"/>
      <c r="E820" s="210"/>
      <c r="F820" s="210"/>
      <c r="G820" s="210"/>
      <c r="H820" s="210"/>
      <c r="I820" s="210"/>
      <c r="J820" s="210"/>
      <c r="K820" s="210"/>
      <c r="L820" s="210"/>
      <c r="M820" s="210"/>
      <c r="N820" s="210"/>
      <c r="O820" s="210"/>
      <c r="P820" s="210"/>
      <c r="Q820" s="210"/>
      <c r="R820" s="210"/>
      <c r="S820" s="210"/>
      <c r="T820" s="210"/>
      <c r="U820" s="210"/>
      <c r="V820" s="210"/>
      <c r="W820" s="210"/>
      <c r="X820" s="210"/>
      <c r="Y820" s="210"/>
      <c r="Z820" s="210"/>
      <c r="AA820" s="210"/>
      <c r="AB820" s="210"/>
      <c r="AC820" s="210"/>
      <c r="AI820" s="210"/>
      <c r="AJ820" s="210"/>
    </row>
    <row r="821" ht="12.75" customHeight="1">
      <c r="C821" s="210"/>
      <c r="D821" s="210"/>
      <c r="E821" s="210"/>
      <c r="F821" s="210"/>
      <c r="G821" s="210"/>
      <c r="H821" s="210"/>
      <c r="I821" s="210"/>
      <c r="J821" s="210"/>
      <c r="K821" s="210"/>
      <c r="L821" s="210"/>
      <c r="M821" s="210"/>
      <c r="N821" s="210"/>
      <c r="O821" s="210"/>
      <c r="P821" s="210"/>
      <c r="Q821" s="210"/>
      <c r="R821" s="210"/>
      <c r="S821" s="210"/>
      <c r="T821" s="210"/>
      <c r="U821" s="210"/>
      <c r="V821" s="210"/>
      <c r="W821" s="210"/>
      <c r="X821" s="210"/>
      <c r="Y821" s="210"/>
      <c r="Z821" s="210"/>
      <c r="AA821" s="210"/>
      <c r="AB821" s="210"/>
      <c r="AC821" s="210"/>
      <c r="AI821" s="210"/>
      <c r="AJ821" s="210"/>
    </row>
    <row r="822" ht="12.75" customHeight="1">
      <c r="C822" s="210"/>
      <c r="D822" s="210"/>
      <c r="E822" s="210"/>
      <c r="F822" s="210"/>
      <c r="G822" s="210"/>
      <c r="H822" s="210"/>
      <c r="I822" s="210"/>
      <c r="J822" s="210"/>
      <c r="K822" s="210"/>
      <c r="L822" s="210"/>
      <c r="M822" s="210"/>
      <c r="N822" s="210"/>
      <c r="O822" s="210"/>
      <c r="P822" s="210"/>
      <c r="Q822" s="210"/>
      <c r="R822" s="210"/>
      <c r="S822" s="210"/>
      <c r="T822" s="210"/>
      <c r="U822" s="210"/>
      <c r="V822" s="210"/>
      <c r="W822" s="210"/>
      <c r="X822" s="210"/>
      <c r="Y822" s="210"/>
      <c r="Z822" s="210"/>
      <c r="AA822" s="210"/>
      <c r="AB822" s="210"/>
      <c r="AC822" s="210"/>
      <c r="AI822" s="210"/>
      <c r="AJ822" s="210"/>
    </row>
    <row r="823" ht="12.75" customHeight="1">
      <c r="C823" s="210"/>
      <c r="D823" s="210"/>
      <c r="E823" s="210"/>
      <c r="F823" s="210"/>
      <c r="G823" s="210"/>
      <c r="H823" s="210"/>
      <c r="I823" s="210"/>
      <c r="J823" s="210"/>
      <c r="K823" s="210"/>
      <c r="L823" s="210"/>
      <c r="M823" s="210"/>
      <c r="N823" s="210"/>
      <c r="O823" s="210"/>
      <c r="P823" s="210"/>
      <c r="Q823" s="210"/>
      <c r="R823" s="210"/>
      <c r="S823" s="210"/>
      <c r="T823" s="210"/>
      <c r="U823" s="210"/>
      <c r="V823" s="210"/>
      <c r="W823" s="210"/>
      <c r="X823" s="210"/>
      <c r="Y823" s="210"/>
      <c r="Z823" s="210"/>
      <c r="AA823" s="210"/>
      <c r="AB823" s="210"/>
      <c r="AC823" s="210"/>
      <c r="AI823" s="210"/>
      <c r="AJ823" s="210"/>
    </row>
    <row r="824" ht="12.75" customHeight="1">
      <c r="C824" s="210"/>
      <c r="D824" s="210"/>
      <c r="E824" s="210"/>
      <c r="F824" s="210"/>
      <c r="G824" s="210"/>
      <c r="H824" s="210"/>
      <c r="I824" s="210"/>
      <c r="J824" s="210"/>
      <c r="K824" s="210"/>
      <c r="L824" s="210"/>
      <c r="M824" s="210"/>
      <c r="N824" s="210"/>
      <c r="O824" s="210"/>
      <c r="P824" s="210"/>
      <c r="Q824" s="210"/>
      <c r="R824" s="210"/>
      <c r="S824" s="210"/>
      <c r="T824" s="210"/>
      <c r="U824" s="210"/>
      <c r="V824" s="210"/>
      <c r="W824" s="210"/>
      <c r="X824" s="210"/>
      <c r="Y824" s="210"/>
      <c r="Z824" s="210"/>
      <c r="AA824" s="210"/>
      <c r="AB824" s="210"/>
      <c r="AC824" s="210"/>
      <c r="AI824" s="210"/>
      <c r="AJ824" s="210"/>
    </row>
    <row r="825" ht="12.75" customHeight="1">
      <c r="C825" s="210"/>
      <c r="D825" s="210"/>
      <c r="E825" s="210"/>
      <c r="F825" s="210"/>
      <c r="G825" s="210"/>
      <c r="H825" s="210"/>
      <c r="I825" s="210"/>
      <c r="J825" s="210"/>
      <c r="K825" s="210"/>
      <c r="L825" s="210"/>
      <c r="M825" s="210"/>
      <c r="N825" s="210"/>
      <c r="O825" s="210"/>
      <c r="P825" s="210"/>
      <c r="Q825" s="210"/>
      <c r="R825" s="210"/>
      <c r="S825" s="210"/>
      <c r="T825" s="210"/>
      <c r="U825" s="210"/>
      <c r="V825" s="210"/>
      <c r="W825" s="210"/>
      <c r="X825" s="210"/>
      <c r="Y825" s="210"/>
      <c r="Z825" s="210"/>
      <c r="AA825" s="210"/>
      <c r="AB825" s="210"/>
      <c r="AC825" s="210"/>
      <c r="AI825" s="210"/>
      <c r="AJ825" s="210"/>
    </row>
    <row r="826" ht="12.75" customHeight="1">
      <c r="C826" s="210"/>
      <c r="D826" s="210"/>
      <c r="E826" s="210"/>
      <c r="F826" s="210"/>
      <c r="G826" s="210"/>
      <c r="H826" s="210"/>
      <c r="I826" s="210"/>
      <c r="J826" s="210"/>
      <c r="K826" s="210"/>
      <c r="L826" s="210"/>
      <c r="M826" s="210"/>
      <c r="N826" s="210"/>
      <c r="O826" s="210"/>
      <c r="P826" s="210"/>
      <c r="Q826" s="210"/>
      <c r="R826" s="210"/>
      <c r="S826" s="210"/>
      <c r="T826" s="210"/>
      <c r="U826" s="210"/>
      <c r="V826" s="210"/>
      <c r="W826" s="210"/>
      <c r="X826" s="210"/>
      <c r="Y826" s="210"/>
      <c r="Z826" s="210"/>
      <c r="AA826" s="210"/>
      <c r="AB826" s="210"/>
      <c r="AC826" s="210"/>
      <c r="AI826" s="210"/>
      <c r="AJ826" s="210"/>
    </row>
    <row r="827" ht="12.75" customHeight="1">
      <c r="C827" s="210"/>
      <c r="D827" s="210"/>
      <c r="E827" s="210"/>
      <c r="F827" s="210"/>
      <c r="G827" s="210"/>
      <c r="H827" s="210"/>
      <c r="I827" s="210"/>
      <c r="J827" s="210"/>
      <c r="K827" s="210"/>
      <c r="L827" s="210"/>
      <c r="M827" s="210"/>
      <c r="N827" s="210"/>
      <c r="O827" s="210"/>
      <c r="P827" s="210"/>
      <c r="Q827" s="210"/>
      <c r="R827" s="210"/>
      <c r="S827" s="210"/>
      <c r="T827" s="210"/>
      <c r="U827" s="210"/>
      <c r="V827" s="210"/>
      <c r="W827" s="210"/>
      <c r="X827" s="210"/>
      <c r="Y827" s="210"/>
      <c r="Z827" s="210"/>
      <c r="AA827" s="210"/>
      <c r="AB827" s="210"/>
      <c r="AC827" s="210"/>
      <c r="AI827" s="210"/>
      <c r="AJ827" s="210"/>
    </row>
    <row r="828" ht="12.75" customHeight="1">
      <c r="C828" s="210"/>
      <c r="D828" s="210"/>
      <c r="E828" s="210"/>
      <c r="F828" s="210"/>
      <c r="G828" s="210"/>
      <c r="H828" s="210"/>
      <c r="I828" s="210"/>
      <c r="J828" s="210"/>
      <c r="K828" s="210"/>
      <c r="L828" s="210"/>
      <c r="M828" s="210"/>
      <c r="N828" s="210"/>
      <c r="O828" s="210"/>
      <c r="P828" s="210"/>
      <c r="Q828" s="210"/>
      <c r="R828" s="210"/>
      <c r="S828" s="210"/>
      <c r="T828" s="210"/>
      <c r="U828" s="210"/>
      <c r="V828" s="210"/>
      <c r="W828" s="210"/>
      <c r="X828" s="210"/>
      <c r="Y828" s="210"/>
      <c r="Z828" s="210"/>
      <c r="AA828" s="210"/>
      <c r="AB828" s="210"/>
      <c r="AC828" s="210"/>
      <c r="AI828" s="210"/>
      <c r="AJ828" s="210"/>
    </row>
    <row r="829" ht="12.75" customHeight="1">
      <c r="C829" s="210"/>
      <c r="D829" s="210"/>
      <c r="E829" s="210"/>
      <c r="F829" s="210"/>
      <c r="G829" s="210"/>
      <c r="H829" s="210"/>
      <c r="I829" s="210"/>
      <c r="J829" s="210"/>
      <c r="K829" s="210"/>
      <c r="L829" s="210"/>
      <c r="M829" s="210"/>
      <c r="N829" s="210"/>
      <c r="O829" s="210"/>
      <c r="P829" s="210"/>
      <c r="Q829" s="210"/>
      <c r="R829" s="210"/>
      <c r="S829" s="210"/>
      <c r="T829" s="210"/>
      <c r="U829" s="210"/>
      <c r="V829" s="210"/>
      <c r="W829" s="210"/>
      <c r="X829" s="210"/>
      <c r="Y829" s="210"/>
      <c r="Z829" s="210"/>
      <c r="AA829" s="210"/>
      <c r="AB829" s="210"/>
      <c r="AC829" s="210"/>
      <c r="AI829" s="210"/>
      <c r="AJ829" s="210"/>
    </row>
    <row r="830" ht="12.75" customHeight="1">
      <c r="C830" s="210"/>
      <c r="D830" s="210"/>
      <c r="E830" s="210"/>
      <c r="F830" s="210"/>
      <c r="G830" s="210"/>
      <c r="H830" s="210"/>
      <c r="I830" s="210"/>
      <c r="J830" s="210"/>
      <c r="K830" s="210"/>
      <c r="L830" s="210"/>
      <c r="M830" s="210"/>
      <c r="N830" s="210"/>
      <c r="O830" s="210"/>
      <c r="P830" s="210"/>
      <c r="Q830" s="210"/>
      <c r="R830" s="210"/>
      <c r="S830" s="210"/>
      <c r="T830" s="210"/>
      <c r="U830" s="210"/>
      <c r="V830" s="210"/>
      <c r="W830" s="210"/>
      <c r="X830" s="210"/>
      <c r="Y830" s="210"/>
      <c r="Z830" s="210"/>
      <c r="AA830" s="210"/>
      <c r="AB830" s="210"/>
      <c r="AC830" s="210"/>
      <c r="AI830" s="210"/>
      <c r="AJ830" s="210"/>
    </row>
    <row r="831" ht="12.75" customHeight="1">
      <c r="C831" s="210"/>
      <c r="D831" s="210"/>
      <c r="E831" s="210"/>
      <c r="F831" s="210"/>
      <c r="G831" s="210"/>
      <c r="H831" s="210"/>
      <c r="I831" s="210"/>
      <c r="J831" s="210"/>
      <c r="K831" s="210"/>
      <c r="L831" s="210"/>
      <c r="M831" s="210"/>
      <c r="N831" s="210"/>
      <c r="O831" s="210"/>
      <c r="P831" s="210"/>
      <c r="Q831" s="210"/>
      <c r="R831" s="210"/>
      <c r="S831" s="210"/>
      <c r="T831" s="210"/>
      <c r="U831" s="210"/>
      <c r="V831" s="210"/>
      <c r="W831" s="210"/>
      <c r="X831" s="210"/>
      <c r="Y831" s="210"/>
      <c r="Z831" s="210"/>
      <c r="AA831" s="210"/>
      <c r="AB831" s="210"/>
      <c r="AC831" s="210"/>
      <c r="AI831" s="210"/>
      <c r="AJ831" s="210"/>
    </row>
    <row r="832" ht="12.75" customHeight="1">
      <c r="C832" s="210"/>
      <c r="D832" s="210"/>
      <c r="E832" s="210"/>
      <c r="F832" s="210"/>
      <c r="G832" s="210"/>
      <c r="H832" s="210"/>
      <c r="I832" s="210"/>
      <c r="J832" s="210"/>
      <c r="K832" s="210"/>
      <c r="L832" s="210"/>
      <c r="M832" s="210"/>
      <c r="N832" s="210"/>
      <c r="O832" s="210"/>
      <c r="P832" s="210"/>
      <c r="Q832" s="210"/>
      <c r="R832" s="210"/>
      <c r="S832" s="210"/>
      <c r="T832" s="210"/>
      <c r="U832" s="210"/>
      <c r="V832" s="210"/>
      <c r="W832" s="210"/>
      <c r="X832" s="210"/>
      <c r="Y832" s="210"/>
      <c r="Z832" s="210"/>
      <c r="AA832" s="210"/>
      <c r="AB832" s="210"/>
      <c r="AC832" s="210"/>
      <c r="AI832" s="210"/>
      <c r="AJ832" s="210"/>
    </row>
    <row r="833" ht="12.75" customHeight="1">
      <c r="C833" s="210"/>
      <c r="D833" s="210"/>
      <c r="E833" s="210"/>
      <c r="F833" s="210"/>
      <c r="G833" s="210"/>
      <c r="H833" s="210"/>
      <c r="I833" s="210"/>
      <c r="J833" s="210"/>
      <c r="K833" s="210"/>
      <c r="L833" s="210"/>
      <c r="M833" s="210"/>
      <c r="N833" s="210"/>
      <c r="O833" s="210"/>
      <c r="P833" s="210"/>
      <c r="Q833" s="210"/>
      <c r="R833" s="210"/>
      <c r="S833" s="210"/>
      <c r="T833" s="210"/>
      <c r="U833" s="210"/>
      <c r="V833" s="210"/>
      <c r="W833" s="210"/>
      <c r="X833" s="210"/>
      <c r="Y833" s="210"/>
      <c r="Z833" s="210"/>
      <c r="AA833" s="210"/>
      <c r="AB833" s="210"/>
      <c r="AC833" s="210"/>
      <c r="AI833" s="210"/>
      <c r="AJ833" s="210"/>
    </row>
    <row r="834" ht="12.75" customHeight="1">
      <c r="C834" s="210"/>
      <c r="D834" s="210"/>
      <c r="E834" s="210"/>
      <c r="F834" s="210"/>
      <c r="G834" s="210"/>
      <c r="H834" s="210"/>
      <c r="I834" s="210"/>
      <c r="J834" s="210"/>
      <c r="K834" s="210"/>
      <c r="L834" s="210"/>
      <c r="M834" s="210"/>
      <c r="N834" s="210"/>
      <c r="O834" s="210"/>
      <c r="P834" s="210"/>
      <c r="Q834" s="210"/>
      <c r="R834" s="210"/>
      <c r="S834" s="210"/>
      <c r="T834" s="210"/>
      <c r="U834" s="210"/>
      <c r="V834" s="210"/>
      <c r="W834" s="210"/>
      <c r="X834" s="210"/>
      <c r="Y834" s="210"/>
      <c r="Z834" s="210"/>
      <c r="AA834" s="210"/>
      <c r="AB834" s="210"/>
      <c r="AC834" s="210"/>
      <c r="AI834" s="210"/>
      <c r="AJ834" s="210"/>
    </row>
    <row r="835" ht="12.75" customHeight="1">
      <c r="C835" s="210"/>
      <c r="D835" s="210"/>
      <c r="E835" s="210"/>
      <c r="F835" s="210"/>
      <c r="G835" s="210"/>
      <c r="H835" s="210"/>
      <c r="I835" s="210"/>
      <c r="J835" s="210"/>
      <c r="K835" s="210"/>
      <c r="L835" s="210"/>
      <c r="M835" s="210"/>
      <c r="N835" s="210"/>
      <c r="O835" s="210"/>
      <c r="P835" s="210"/>
      <c r="Q835" s="210"/>
      <c r="R835" s="210"/>
      <c r="S835" s="210"/>
      <c r="T835" s="210"/>
      <c r="U835" s="210"/>
      <c r="V835" s="210"/>
      <c r="W835" s="210"/>
      <c r="X835" s="210"/>
      <c r="Y835" s="210"/>
      <c r="Z835" s="210"/>
      <c r="AA835" s="210"/>
      <c r="AB835" s="210"/>
      <c r="AC835" s="210"/>
      <c r="AI835" s="210"/>
      <c r="AJ835" s="210"/>
    </row>
    <row r="836" ht="12.75" customHeight="1">
      <c r="C836" s="210"/>
      <c r="D836" s="210"/>
      <c r="E836" s="210"/>
      <c r="F836" s="210"/>
      <c r="G836" s="210"/>
      <c r="H836" s="210"/>
      <c r="I836" s="210"/>
      <c r="J836" s="210"/>
      <c r="K836" s="210"/>
      <c r="L836" s="210"/>
      <c r="M836" s="210"/>
      <c r="N836" s="210"/>
      <c r="O836" s="210"/>
      <c r="P836" s="210"/>
      <c r="Q836" s="210"/>
      <c r="R836" s="210"/>
      <c r="S836" s="210"/>
      <c r="T836" s="210"/>
      <c r="U836" s="210"/>
      <c r="V836" s="210"/>
      <c r="W836" s="210"/>
      <c r="X836" s="210"/>
      <c r="Y836" s="210"/>
      <c r="Z836" s="210"/>
      <c r="AA836" s="210"/>
      <c r="AB836" s="210"/>
      <c r="AC836" s="210"/>
      <c r="AI836" s="210"/>
      <c r="AJ836" s="210"/>
    </row>
    <row r="837" ht="12.75" customHeight="1">
      <c r="C837" s="210"/>
      <c r="D837" s="210"/>
      <c r="E837" s="210"/>
      <c r="F837" s="210"/>
      <c r="G837" s="210"/>
      <c r="H837" s="210"/>
      <c r="I837" s="210"/>
      <c r="J837" s="210"/>
      <c r="K837" s="210"/>
      <c r="L837" s="210"/>
      <c r="M837" s="210"/>
      <c r="N837" s="210"/>
      <c r="O837" s="210"/>
      <c r="P837" s="210"/>
      <c r="Q837" s="210"/>
      <c r="R837" s="210"/>
      <c r="S837" s="210"/>
      <c r="T837" s="210"/>
      <c r="U837" s="210"/>
      <c r="V837" s="210"/>
      <c r="W837" s="210"/>
      <c r="X837" s="210"/>
      <c r="Y837" s="210"/>
      <c r="Z837" s="210"/>
      <c r="AA837" s="210"/>
      <c r="AB837" s="210"/>
      <c r="AC837" s="210"/>
      <c r="AI837" s="210"/>
      <c r="AJ837" s="210"/>
    </row>
    <row r="838" ht="12.75" customHeight="1">
      <c r="C838" s="210"/>
      <c r="D838" s="210"/>
      <c r="E838" s="210"/>
      <c r="F838" s="210"/>
      <c r="G838" s="210"/>
      <c r="H838" s="210"/>
      <c r="I838" s="210"/>
      <c r="J838" s="210"/>
      <c r="K838" s="210"/>
      <c r="L838" s="210"/>
      <c r="M838" s="210"/>
      <c r="N838" s="210"/>
      <c r="O838" s="210"/>
      <c r="P838" s="210"/>
      <c r="Q838" s="210"/>
      <c r="R838" s="210"/>
      <c r="S838" s="210"/>
      <c r="T838" s="210"/>
      <c r="U838" s="210"/>
      <c r="V838" s="210"/>
      <c r="W838" s="210"/>
      <c r="X838" s="210"/>
      <c r="Y838" s="210"/>
      <c r="Z838" s="210"/>
      <c r="AA838" s="210"/>
      <c r="AB838" s="210"/>
      <c r="AC838" s="210"/>
      <c r="AI838" s="210"/>
      <c r="AJ838" s="210"/>
    </row>
    <row r="839" ht="12.75" customHeight="1">
      <c r="C839" s="210"/>
      <c r="D839" s="210"/>
      <c r="E839" s="210"/>
      <c r="F839" s="210"/>
      <c r="G839" s="210"/>
      <c r="H839" s="210"/>
      <c r="I839" s="210"/>
      <c r="J839" s="210"/>
      <c r="K839" s="210"/>
      <c r="L839" s="210"/>
      <c r="M839" s="210"/>
      <c r="N839" s="210"/>
      <c r="O839" s="210"/>
      <c r="P839" s="210"/>
      <c r="Q839" s="210"/>
      <c r="R839" s="210"/>
      <c r="S839" s="210"/>
      <c r="T839" s="210"/>
      <c r="U839" s="210"/>
      <c r="V839" s="210"/>
      <c r="W839" s="210"/>
      <c r="X839" s="210"/>
      <c r="Y839" s="210"/>
      <c r="Z839" s="210"/>
      <c r="AA839" s="210"/>
      <c r="AB839" s="210"/>
      <c r="AC839" s="210"/>
      <c r="AI839" s="210"/>
      <c r="AJ839" s="210"/>
    </row>
    <row r="840" ht="12.75" customHeight="1">
      <c r="C840" s="210"/>
      <c r="D840" s="210"/>
      <c r="E840" s="210"/>
      <c r="F840" s="210"/>
      <c r="G840" s="210"/>
      <c r="H840" s="210"/>
      <c r="I840" s="210"/>
      <c r="J840" s="210"/>
      <c r="K840" s="210"/>
      <c r="L840" s="210"/>
      <c r="M840" s="210"/>
      <c r="N840" s="210"/>
      <c r="O840" s="210"/>
      <c r="P840" s="210"/>
      <c r="Q840" s="210"/>
      <c r="R840" s="210"/>
      <c r="S840" s="210"/>
      <c r="T840" s="210"/>
      <c r="U840" s="210"/>
      <c r="V840" s="210"/>
      <c r="W840" s="210"/>
      <c r="X840" s="210"/>
      <c r="Y840" s="210"/>
      <c r="Z840" s="210"/>
      <c r="AA840" s="210"/>
      <c r="AB840" s="210"/>
      <c r="AC840" s="210"/>
      <c r="AI840" s="210"/>
      <c r="AJ840" s="210"/>
    </row>
    <row r="841" ht="12.75" customHeight="1">
      <c r="C841" s="210"/>
      <c r="D841" s="210"/>
      <c r="E841" s="210"/>
      <c r="F841" s="210"/>
      <c r="G841" s="210"/>
      <c r="H841" s="210"/>
      <c r="I841" s="210"/>
      <c r="J841" s="210"/>
      <c r="K841" s="210"/>
      <c r="L841" s="210"/>
      <c r="M841" s="210"/>
      <c r="N841" s="210"/>
      <c r="O841" s="210"/>
      <c r="P841" s="210"/>
      <c r="Q841" s="210"/>
      <c r="R841" s="210"/>
      <c r="S841" s="210"/>
      <c r="T841" s="210"/>
      <c r="U841" s="210"/>
      <c r="V841" s="210"/>
      <c r="W841" s="210"/>
      <c r="X841" s="210"/>
      <c r="Y841" s="210"/>
      <c r="Z841" s="210"/>
      <c r="AA841" s="210"/>
      <c r="AB841" s="210"/>
      <c r="AC841" s="210"/>
      <c r="AI841" s="210"/>
      <c r="AJ841" s="210"/>
    </row>
    <row r="842" ht="12.75" customHeight="1">
      <c r="C842" s="210"/>
      <c r="D842" s="210"/>
      <c r="E842" s="210"/>
      <c r="F842" s="210"/>
      <c r="G842" s="210"/>
      <c r="H842" s="210"/>
      <c r="I842" s="210"/>
      <c r="J842" s="210"/>
      <c r="K842" s="210"/>
      <c r="L842" s="210"/>
      <c r="M842" s="210"/>
      <c r="N842" s="210"/>
      <c r="O842" s="210"/>
      <c r="P842" s="210"/>
      <c r="Q842" s="210"/>
      <c r="R842" s="210"/>
      <c r="S842" s="210"/>
      <c r="T842" s="210"/>
      <c r="U842" s="210"/>
      <c r="V842" s="210"/>
      <c r="W842" s="210"/>
      <c r="X842" s="210"/>
      <c r="Y842" s="210"/>
      <c r="Z842" s="210"/>
      <c r="AA842" s="210"/>
      <c r="AB842" s="210"/>
      <c r="AC842" s="210"/>
      <c r="AI842" s="210"/>
      <c r="AJ842" s="210"/>
    </row>
    <row r="843" ht="12.75" customHeight="1">
      <c r="C843" s="210"/>
      <c r="D843" s="210"/>
      <c r="E843" s="210"/>
      <c r="F843" s="210"/>
      <c r="G843" s="210"/>
      <c r="H843" s="210"/>
      <c r="I843" s="210"/>
      <c r="J843" s="210"/>
      <c r="K843" s="210"/>
      <c r="L843" s="210"/>
      <c r="M843" s="210"/>
      <c r="N843" s="210"/>
      <c r="O843" s="210"/>
      <c r="P843" s="210"/>
      <c r="Q843" s="210"/>
      <c r="R843" s="210"/>
      <c r="S843" s="210"/>
      <c r="T843" s="210"/>
      <c r="U843" s="210"/>
      <c r="V843" s="210"/>
      <c r="W843" s="210"/>
      <c r="X843" s="210"/>
      <c r="Y843" s="210"/>
      <c r="Z843" s="210"/>
      <c r="AA843" s="210"/>
      <c r="AB843" s="210"/>
      <c r="AC843" s="210"/>
      <c r="AI843" s="210"/>
      <c r="AJ843" s="210"/>
    </row>
    <row r="844" ht="12.75" customHeight="1">
      <c r="C844" s="210"/>
      <c r="D844" s="210"/>
      <c r="E844" s="210"/>
      <c r="F844" s="210"/>
      <c r="G844" s="210"/>
      <c r="H844" s="210"/>
      <c r="I844" s="210"/>
      <c r="J844" s="210"/>
      <c r="K844" s="210"/>
      <c r="L844" s="210"/>
      <c r="M844" s="210"/>
      <c r="N844" s="210"/>
      <c r="O844" s="210"/>
      <c r="P844" s="210"/>
      <c r="Q844" s="210"/>
      <c r="R844" s="210"/>
      <c r="S844" s="210"/>
      <c r="T844" s="210"/>
      <c r="U844" s="210"/>
      <c r="V844" s="210"/>
      <c r="W844" s="210"/>
      <c r="X844" s="210"/>
      <c r="Y844" s="210"/>
      <c r="Z844" s="210"/>
      <c r="AA844" s="210"/>
      <c r="AB844" s="210"/>
      <c r="AC844" s="210"/>
      <c r="AI844" s="210"/>
      <c r="AJ844" s="210"/>
    </row>
    <row r="845" ht="12.75" customHeight="1">
      <c r="C845" s="210"/>
      <c r="D845" s="210"/>
      <c r="E845" s="210"/>
      <c r="F845" s="210"/>
      <c r="G845" s="210"/>
      <c r="H845" s="210"/>
      <c r="I845" s="210"/>
      <c r="J845" s="210"/>
      <c r="K845" s="210"/>
      <c r="L845" s="210"/>
      <c r="M845" s="210"/>
      <c r="N845" s="210"/>
      <c r="O845" s="210"/>
      <c r="P845" s="210"/>
      <c r="Q845" s="210"/>
      <c r="R845" s="210"/>
      <c r="S845" s="210"/>
      <c r="T845" s="210"/>
      <c r="U845" s="210"/>
      <c r="V845" s="210"/>
      <c r="W845" s="210"/>
      <c r="X845" s="210"/>
      <c r="Y845" s="210"/>
      <c r="Z845" s="210"/>
      <c r="AA845" s="210"/>
      <c r="AB845" s="210"/>
      <c r="AC845" s="210"/>
      <c r="AI845" s="210"/>
      <c r="AJ845" s="210"/>
    </row>
    <row r="846" ht="12.75" customHeight="1">
      <c r="C846" s="210"/>
      <c r="D846" s="210"/>
      <c r="E846" s="210"/>
      <c r="F846" s="210"/>
      <c r="G846" s="210"/>
      <c r="H846" s="210"/>
      <c r="I846" s="210"/>
      <c r="J846" s="210"/>
      <c r="K846" s="210"/>
      <c r="L846" s="210"/>
      <c r="M846" s="210"/>
      <c r="N846" s="210"/>
      <c r="O846" s="210"/>
      <c r="P846" s="210"/>
      <c r="Q846" s="210"/>
      <c r="R846" s="210"/>
      <c r="S846" s="210"/>
      <c r="T846" s="210"/>
      <c r="U846" s="210"/>
      <c r="V846" s="210"/>
      <c r="W846" s="210"/>
      <c r="X846" s="210"/>
      <c r="Y846" s="210"/>
      <c r="Z846" s="210"/>
      <c r="AA846" s="210"/>
      <c r="AB846" s="210"/>
      <c r="AC846" s="210"/>
      <c r="AI846" s="210"/>
      <c r="AJ846" s="210"/>
    </row>
    <row r="847" ht="12.75" customHeight="1">
      <c r="C847" s="210"/>
      <c r="D847" s="210"/>
      <c r="E847" s="210"/>
      <c r="F847" s="210"/>
      <c r="G847" s="210"/>
      <c r="H847" s="210"/>
      <c r="I847" s="210"/>
      <c r="J847" s="210"/>
      <c r="K847" s="210"/>
      <c r="L847" s="210"/>
      <c r="M847" s="210"/>
      <c r="N847" s="210"/>
      <c r="O847" s="210"/>
      <c r="P847" s="210"/>
      <c r="Q847" s="210"/>
      <c r="R847" s="210"/>
      <c r="S847" s="210"/>
      <c r="T847" s="210"/>
      <c r="U847" s="210"/>
      <c r="V847" s="210"/>
      <c r="W847" s="210"/>
      <c r="X847" s="210"/>
      <c r="Y847" s="210"/>
      <c r="Z847" s="210"/>
      <c r="AA847" s="210"/>
      <c r="AB847" s="210"/>
      <c r="AC847" s="210"/>
      <c r="AI847" s="210"/>
      <c r="AJ847" s="210"/>
    </row>
    <row r="848" ht="12.75" customHeight="1">
      <c r="C848" s="210"/>
      <c r="D848" s="210"/>
      <c r="E848" s="210"/>
      <c r="F848" s="210"/>
      <c r="G848" s="210"/>
      <c r="H848" s="210"/>
      <c r="I848" s="210"/>
      <c r="J848" s="210"/>
      <c r="K848" s="210"/>
      <c r="L848" s="210"/>
      <c r="M848" s="210"/>
      <c r="N848" s="210"/>
      <c r="O848" s="210"/>
      <c r="P848" s="210"/>
      <c r="Q848" s="210"/>
      <c r="R848" s="210"/>
      <c r="S848" s="210"/>
      <c r="T848" s="210"/>
      <c r="U848" s="210"/>
      <c r="V848" s="210"/>
      <c r="W848" s="210"/>
      <c r="X848" s="210"/>
      <c r="Y848" s="210"/>
      <c r="Z848" s="210"/>
      <c r="AA848" s="210"/>
      <c r="AB848" s="210"/>
      <c r="AC848" s="210"/>
      <c r="AI848" s="210"/>
      <c r="AJ848" s="210"/>
    </row>
    <row r="849" ht="12.75" customHeight="1">
      <c r="C849" s="210"/>
      <c r="D849" s="210"/>
      <c r="E849" s="210"/>
      <c r="F849" s="210"/>
      <c r="G849" s="210"/>
      <c r="H849" s="210"/>
      <c r="I849" s="210"/>
      <c r="J849" s="210"/>
      <c r="K849" s="210"/>
      <c r="L849" s="210"/>
      <c r="M849" s="210"/>
      <c r="N849" s="210"/>
      <c r="O849" s="210"/>
      <c r="P849" s="210"/>
      <c r="Q849" s="210"/>
      <c r="R849" s="210"/>
      <c r="S849" s="210"/>
      <c r="T849" s="210"/>
      <c r="U849" s="210"/>
      <c r="V849" s="210"/>
      <c r="W849" s="210"/>
      <c r="X849" s="210"/>
      <c r="Y849" s="210"/>
      <c r="Z849" s="210"/>
      <c r="AA849" s="210"/>
      <c r="AB849" s="210"/>
      <c r="AC849" s="210"/>
      <c r="AI849" s="210"/>
      <c r="AJ849" s="210"/>
    </row>
    <row r="850" ht="12.75" customHeight="1">
      <c r="C850" s="210"/>
      <c r="D850" s="210"/>
      <c r="E850" s="210"/>
      <c r="F850" s="210"/>
      <c r="G850" s="210"/>
      <c r="H850" s="210"/>
      <c r="I850" s="210"/>
      <c r="J850" s="210"/>
      <c r="K850" s="210"/>
      <c r="L850" s="210"/>
      <c r="M850" s="210"/>
      <c r="N850" s="210"/>
      <c r="O850" s="210"/>
      <c r="P850" s="210"/>
      <c r="Q850" s="210"/>
      <c r="R850" s="210"/>
      <c r="S850" s="210"/>
      <c r="T850" s="210"/>
      <c r="U850" s="210"/>
      <c r="V850" s="210"/>
      <c r="W850" s="210"/>
      <c r="X850" s="210"/>
      <c r="Y850" s="210"/>
      <c r="Z850" s="210"/>
      <c r="AA850" s="210"/>
      <c r="AB850" s="210"/>
      <c r="AC850" s="210"/>
      <c r="AI850" s="210"/>
      <c r="AJ850" s="210"/>
    </row>
    <row r="851" ht="12.75" customHeight="1">
      <c r="C851" s="210"/>
      <c r="D851" s="210"/>
      <c r="E851" s="210"/>
      <c r="F851" s="210"/>
      <c r="G851" s="210"/>
      <c r="H851" s="210"/>
      <c r="I851" s="210"/>
      <c r="J851" s="210"/>
      <c r="K851" s="210"/>
      <c r="L851" s="210"/>
      <c r="M851" s="210"/>
      <c r="N851" s="210"/>
      <c r="O851" s="210"/>
      <c r="P851" s="210"/>
      <c r="Q851" s="210"/>
      <c r="R851" s="210"/>
      <c r="S851" s="210"/>
      <c r="T851" s="210"/>
      <c r="U851" s="210"/>
      <c r="V851" s="210"/>
      <c r="W851" s="210"/>
      <c r="X851" s="210"/>
      <c r="Y851" s="210"/>
      <c r="Z851" s="210"/>
      <c r="AA851" s="210"/>
      <c r="AB851" s="210"/>
      <c r="AC851" s="210"/>
      <c r="AI851" s="210"/>
      <c r="AJ851" s="210"/>
    </row>
    <row r="852" ht="12.75" customHeight="1">
      <c r="C852" s="210"/>
      <c r="D852" s="210"/>
      <c r="E852" s="210"/>
      <c r="F852" s="210"/>
      <c r="G852" s="210"/>
      <c r="H852" s="210"/>
      <c r="I852" s="210"/>
      <c r="J852" s="210"/>
      <c r="K852" s="210"/>
      <c r="L852" s="210"/>
      <c r="M852" s="210"/>
      <c r="N852" s="210"/>
      <c r="O852" s="210"/>
      <c r="P852" s="210"/>
      <c r="Q852" s="210"/>
      <c r="R852" s="210"/>
      <c r="S852" s="210"/>
      <c r="T852" s="210"/>
      <c r="U852" s="210"/>
      <c r="V852" s="210"/>
      <c r="W852" s="210"/>
      <c r="X852" s="210"/>
      <c r="Y852" s="210"/>
      <c r="Z852" s="210"/>
      <c r="AA852" s="210"/>
      <c r="AB852" s="210"/>
      <c r="AC852" s="210"/>
      <c r="AI852" s="210"/>
      <c r="AJ852" s="210"/>
    </row>
    <row r="853" ht="12.75" customHeight="1">
      <c r="C853" s="210"/>
      <c r="D853" s="210"/>
      <c r="E853" s="210"/>
      <c r="F853" s="210"/>
      <c r="G853" s="210"/>
      <c r="H853" s="210"/>
      <c r="I853" s="210"/>
      <c r="J853" s="210"/>
      <c r="K853" s="210"/>
      <c r="L853" s="210"/>
      <c r="M853" s="210"/>
      <c r="N853" s="210"/>
      <c r="O853" s="210"/>
      <c r="P853" s="210"/>
      <c r="Q853" s="210"/>
      <c r="R853" s="210"/>
      <c r="S853" s="210"/>
      <c r="T853" s="210"/>
      <c r="U853" s="210"/>
      <c r="V853" s="210"/>
      <c r="W853" s="210"/>
      <c r="X853" s="210"/>
      <c r="Y853" s="210"/>
      <c r="Z853" s="210"/>
      <c r="AA853" s="210"/>
      <c r="AB853" s="210"/>
      <c r="AC853" s="210"/>
      <c r="AI853" s="210"/>
      <c r="AJ853" s="210"/>
    </row>
    <row r="854" ht="12.75" customHeight="1">
      <c r="C854" s="210"/>
      <c r="D854" s="210"/>
      <c r="E854" s="210"/>
      <c r="F854" s="210"/>
      <c r="G854" s="210"/>
      <c r="H854" s="210"/>
      <c r="I854" s="210"/>
      <c r="J854" s="210"/>
      <c r="K854" s="210"/>
      <c r="L854" s="210"/>
      <c r="M854" s="210"/>
      <c r="N854" s="210"/>
      <c r="O854" s="210"/>
      <c r="P854" s="210"/>
      <c r="Q854" s="210"/>
      <c r="R854" s="210"/>
      <c r="S854" s="210"/>
      <c r="T854" s="210"/>
      <c r="U854" s="210"/>
      <c r="V854" s="210"/>
      <c r="W854" s="210"/>
      <c r="X854" s="210"/>
      <c r="Y854" s="210"/>
      <c r="Z854" s="210"/>
      <c r="AA854" s="210"/>
      <c r="AB854" s="210"/>
      <c r="AC854" s="210"/>
      <c r="AI854" s="210"/>
      <c r="AJ854" s="210"/>
    </row>
    <row r="855" ht="12.75" customHeight="1">
      <c r="C855" s="210"/>
      <c r="D855" s="210"/>
      <c r="E855" s="210"/>
      <c r="F855" s="210"/>
      <c r="G855" s="210"/>
      <c r="H855" s="210"/>
      <c r="I855" s="210"/>
      <c r="J855" s="210"/>
      <c r="K855" s="210"/>
      <c r="L855" s="210"/>
      <c r="M855" s="210"/>
      <c r="N855" s="210"/>
      <c r="O855" s="210"/>
      <c r="P855" s="210"/>
      <c r="Q855" s="210"/>
      <c r="R855" s="210"/>
      <c r="S855" s="210"/>
      <c r="T855" s="210"/>
      <c r="U855" s="210"/>
      <c r="V855" s="210"/>
      <c r="W855" s="210"/>
      <c r="X855" s="210"/>
      <c r="Y855" s="210"/>
      <c r="Z855" s="210"/>
      <c r="AA855" s="210"/>
      <c r="AB855" s="210"/>
      <c r="AC855" s="210"/>
      <c r="AI855" s="210"/>
      <c r="AJ855" s="210"/>
    </row>
    <row r="856" ht="12.75" customHeight="1">
      <c r="C856" s="210"/>
      <c r="D856" s="210"/>
      <c r="E856" s="210"/>
      <c r="F856" s="210"/>
      <c r="G856" s="210"/>
      <c r="H856" s="210"/>
      <c r="I856" s="210"/>
      <c r="J856" s="210"/>
      <c r="K856" s="210"/>
      <c r="L856" s="210"/>
      <c r="M856" s="210"/>
      <c r="N856" s="210"/>
      <c r="O856" s="210"/>
      <c r="P856" s="210"/>
      <c r="Q856" s="210"/>
      <c r="R856" s="210"/>
      <c r="S856" s="210"/>
      <c r="T856" s="210"/>
      <c r="U856" s="210"/>
      <c r="V856" s="210"/>
      <c r="W856" s="210"/>
      <c r="X856" s="210"/>
      <c r="Y856" s="210"/>
      <c r="Z856" s="210"/>
      <c r="AA856" s="210"/>
      <c r="AB856" s="210"/>
      <c r="AC856" s="210"/>
      <c r="AI856" s="210"/>
      <c r="AJ856" s="210"/>
    </row>
    <row r="857" ht="12.75" customHeight="1">
      <c r="C857" s="210"/>
      <c r="D857" s="210"/>
      <c r="E857" s="210"/>
      <c r="F857" s="210"/>
      <c r="G857" s="210"/>
      <c r="H857" s="210"/>
      <c r="I857" s="210"/>
      <c r="J857" s="210"/>
      <c r="K857" s="210"/>
      <c r="L857" s="210"/>
      <c r="M857" s="210"/>
      <c r="N857" s="210"/>
      <c r="O857" s="210"/>
      <c r="P857" s="210"/>
      <c r="Q857" s="210"/>
      <c r="R857" s="210"/>
      <c r="S857" s="210"/>
      <c r="T857" s="210"/>
      <c r="U857" s="210"/>
      <c r="V857" s="210"/>
      <c r="W857" s="210"/>
      <c r="X857" s="210"/>
      <c r="Y857" s="210"/>
      <c r="Z857" s="210"/>
      <c r="AA857" s="210"/>
      <c r="AB857" s="210"/>
      <c r="AC857" s="210"/>
      <c r="AI857" s="210"/>
      <c r="AJ857" s="210"/>
    </row>
    <row r="858" ht="12.75" customHeight="1">
      <c r="C858" s="210"/>
      <c r="D858" s="210"/>
      <c r="E858" s="210"/>
      <c r="F858" s="210"/>
      <c r="G858" s="210"/>
      <c r="H858" s="210"/>
      <c r="I858" s="210"/>
      <c r="J858" s="210"/>
      <c r="K858" s="210"/>
      <c r="L858" s="210"/>
      <c r="M858" s="210"/>
      <c r="N858" s="210"/>
      <c r="O858" s="210"/>
      <c r="P858" s="210"/>
      <c r="Q858" s="210"/>
      <c r="R858" s="210"/>
      <c r="S858" s="210"/>
      <c r="T858" s="210"/>
      <c r="U858" s="210"/>
      <c r="V858" s="210"/>
      <c r="W858" s="210"/>
      <c r="X858" s="210"/>
      <c r="Y858" s="210"/>
      <c r="Z858" s="210"/>
      <c r="AA858" s="210"/>
      <c r="AB858" s="210"/>
      <c r="AC858" s="210"/>
      <c r="AI858" s="210"/>
      <c r="AJ858" s="210"/>
    </row>
    <row r="859" ht="12.75" customHeight="1">
      <c r="C859" s="210"/>
      <c r="D859" s="210"/>
      <c r="E859" s="210"/>
      <c r="F859" s="210"/>
      <c r="G859" s="210"/>
      <c r="H859" s="210"/>
      <c r="I859" s="210"/>
      <c r="J859" s="210"/>
      <c r="K859" s="210"/>
      <c r="L859" s="210"/>
      <c r="M859" s="210"/>
      <c r="N859" s="210"/>
      <c r="O859" s="210"/>
      <c r="P859" s="210"/>
      <c r="Q859" s="210"/>
      <c r="R859" s="210"/>
      <c r="S859" s="210"/>
      <c r="T859" s="210"/>
      <c r="U859" s="210"/>
      <c r="V859" s="210"/>
      <c r="W859" s="210"/>
      <c r="X859" s="210"/>
      <c r="Y859" s="210"/>
      <c r="Z859" s="210"/>
      <c r="AA859" s="210"/>
      <c r="AB859" s="210"/>
      <c r="AC859" s="210"/>
      <c r="AI859" s="210"/>
      <c r="AJ859" s="210"/>
    </row>
    <row r="860" ht="12.75" customHeight="1">
      <c r="C860" s="210"/>
      <c r="D860" s="210"/>
      <c r="E860" s="210"/>
      <c r="F860" s="210"/>
      <c r="G860" s="210"/>
      <c r="H860" s="210"/>
      <c r="I860" s="210"/>
      <c r="J860" s="210"/>
      <c r="K860" s="210"/>
      <c r="L860" s="210"/>
      <c r="M860" s="210"/>
      <c r="N860" s="210"/>
      <c r="O860" s="210"/>
      <c r="P860" s="210"/>
      <c r="Q860" s="210"/>
      <c r="R860" s="210"/>
      <c r="S860" s="210"/>
      <c r="T860" s="210"/>
      <c r="U860" s="210"/>
      <c r="V860" s="210"/>
      <c r="W860" s="210"/>
      <c r="X860" s="210"/>
      <c r="Y860" s="210"/>
      <c r="Z860" s="210"/>
      <c r="AA860" s="210"/>
      <c r="AB860" s="210"/>
      <c r="AC860" s="210"/>
      <c r="AI860" s="210"/>
      <c r="AJ860" s="210"/>
    </row>
    <row r="861" ht="12.75" customHeight="1">
      <c r="C861" s="210"/>
      <c r="D861" s="210"/>
      <c r="E861" s="210"/>
      <c r="F861" s="210"/>
      <c r="G861" s="210"/>
      <c r="H861" s="210"/>
      <c r="I861" s="210"/>
      <c r="J861" s="210"/>
      <c r="K861" s="210"/>
      <c r="L861" s="210"/>
      <c r="M861" s="210"/>
      <c r="N861" s="210"/>
      <c r="O861" s="210"/>
      <c r="P861" s="210"/>
      <c r="Q861" s="210"/>
      <c r="R861" s="210"/>
      <c r="S861" s="210"/>
      <c r="T861" s="210"/>
      <c r="U861" s="210"/>
      <c r="V861" s="210"/>
      <c r="W861" s="210"/>
      <c r="X861" s="210"/>
      <c r="Y861" s="210"/>
      <c r="Z861" s="210"/>
      <c r="AA861" s="210"/>
      <c r="AB861" s="210"/>
      <c r="AC861" s="210"/>
      <c r="AI861" s="210"/>
      <c r="AJ861" s="210"/>
    </row>
    <row r="862" ht="12.75" customHeight="1">
      <c r="C862" s="210"/>
      <c r="D862" s="210"/>
      <c r="E862" s="210"/>
      <c r="F862" s="210"/>
      <c r="G862" s="210"/>
      <c r="H862" s="210"/>
      <c r="I862" s="210"/>
      <c r="J862" s="210"/>
      <c r="K862" s="210"/>
      <c r="L862" s="210"/>
      <c r="M862" s="210"/>
      <c r="N862" s="210"/>
      <c r="O862" s="210"/>
      <c r="P862" s="210"/>
      <c r="Q862" s="210"/>
      <c r="R862" s="210"/>
      <c r="S862" s="210"/>
      <c r="T862" s="210"/>
      <c r="U862" s="210"/>
      <c r="V862" s="210"/>
      <c r="W862" s="210"/>
      <c r="X862" s="210"/>
      <c r="Y862" s="210"/>
      <c r="Z862" s="210"/>
      <c r="AA862" s="210"/>
      <c r="AB862" s="210"/>
      <c r="AC862" s="210"/>
      <c r="AI862" s="210"/>
      <c r="AJ862" s="210"/>
    </row>
    <row r="863" ht="12.75" customHeight="1">
      <c r="C863" s="210"/>
      <c r="D863" s="210"/>
      <c r="E863" s="210"/>
      <c r="F863" s="210"/>
      <c r="G863" s="210"/>
      <c r="H863" s="210"/>
      <c r="I863" s="210"/>
      <c r="J863" s="210"/>
      <c r="K863" s="210"/>
      <c r="L863" s="210"/>
      <c r="M863" s="210"/>
      <c r="N863" s="210"/>
      <c r="O863" s="210"/>
      <c r="P863" s="210"/>
      <c r="Q863" s="210"/>
      <c r="R863" s="210"/>
      <c r="S863" s="210"/>
      <c r="T863" s="210"/>
      <c r="U863" s="210"/>
      <c r="V863" s="210"/>
      <c r="W863" s="210"/>
      <c r="X863" s="210"/>
      <c r="Y863" s="210"/>
      <c r="Z863" s="210"/>
      <c r="AA863" s="210"/>
      <c r="AB863" s="210"/>
      <c r="AC863" s="210"/>
      <c r="AI863" s="210"/>
      <c r="AJ863" s="210"/>
    </row>
    <row r="864" ht="12.75" customHeight="1">
      <c r="C864" s="210"/>
      <c r="D864" s="210"/>
      <c r="E864" s="210"/>
      <c r="F864" s="210"/>
      <c r="G864" s="210"/>
      <c r="H864" s="210"/>
      <c r="I864" s="210"/>
      <c r="J864" s="210"/>
      <c r="K864" s="210"/>
      <c r="L864" s="210"/>
      <c r="M864" s="210"/>
      <c r="N864" s="210"/>
      <c r="O864" s="210"/>
      <c r="P864" s="210"/>
      <c r="Q864" s="210"/>
      <c r="R864" s="210"/>
      <c r="S864" s="210"/>
      <c r="T864" s="210"/>
      <c r="U864" s="210"/>
      <c r="V864" s="210"/>
      <c r="W864" s="210"/>
      <c r="X864" s="210"/>
      <c r="Y864" s="210"/>
      <c r="Z864" s="210"/>
      <c r="AA864" s="210"/>
      <c r="AB864" s="210"/>
      <c r="AC864" s="210"/>
      <c r="AI864" s="210"/>
      <c r="AJ864" s="210"/>
    </row>
    <row r="865" ht="12.75" customHeight="1">
      <c r="C865" s="210"/>
      <c r="D865" s="210"/>
      <c r="E865" s="210"/>
      <c r="F865" s="210"/>
      <c r="G865" s="210"/>
      <c r="H865" s="210"/>
      <c r="I865" s="210"/>
      <c r="J865" s="210"/>
      <c r="K865" s="210"/>
      <c r="L865" s="210"/>
      <c r="M865" s="210"/>
      <c r="N865" s="210"/>
      <c r="O865" s="210"/>
      <c r="P865" s="210"/>
      <c r="Q865" s="210"/>
      <c r="R865" s="210"/>
      <c r="S865" s="210"/>
      <c r="T865" s="210"/>
      <c r="U865" s="210"/>
      <c r="V865" s="210"/>
      <c r="W865" s="210"/>
      <c r="X865" s="210"/>
      <c r="Y865" s="210"/>
      <c r="Z865" s="210"/>
      <c r="AA865" s="210"/>
      <c r="AB865" s="210"/>
      <c r="AC865" s="210"/>
      <c r="AI865" s="210"/>
      <c r="AJ865" s="210"/>
    </row>
    <row r="866" ht="12.75" customHeight="1">
      <c r="C866" s="210"/>
      <c r="D866" s="210"/>
      <c r="E866" s="210"/>
      <c r="F866" s="210"/>
      <c r="G866" s="210"/>
      <c r="H866" s="210"/>
      <c r="I866" s="210"/>
      <c r="J866" s="210"/>
      <c r="K866" s="210"/>
      <c r="L866" s="210"/>
      <c r="M866" s="210"/>
      <c r="N866" s="210"/>
      <c r="O866" s="210"/>
      <c r="P866" s="210"/>
      <c r="Q866" s="210"/>
      <c r="R866" s="210"/>
      <c r="S866" s="210"/>
      <c r="T866" s="210"/>
      <c r="U866" s="210"/>
      <c r="V866" s="210"/>
      <c r="W866" s="210"/>
      <c r="X866" s="210"/>
      <c r="Y866" s="210"/>
      <c r="Z866" s="210"/>
      <c r="AA866" s="210"/>
      <c r="AB866" s="210"/>
      <c r="AC866" s="210"/>
      <c r="AI866" s="210"/>
      <c r="AJ866" s="210"/>
    </row>
    <row r="867" ht="12.75" customHeight="1">
      <c r="C867" s="210"/>
      <c r="D867" s="210"/>
      <c r="E867" s="210"/>
      <c r="F867" s="210"/>
      <c r="G867" s="210"/>
      <c r="H867" s="210"/>
      <c r="I867" s="210"/>
      <c r="J867" s="210"/>
      <c r="K867" s="210"/>
      <c r="L867" s="210"/>
      <c r="M867" s="210"/>
      <c r="N867" s="210"/>
      <c r="O867" s="210"/>
      <c r="P867" s="210"/>
      <c r="Q867" s="210"/>
      <c r="R867" s="210"/>
      <c r="S867" s="210"/>
      <c r="T867" s="210"/>
      <c r="U867" s="210"/>
      <c r="V867" s="210"/>
      <c r="W867" s="210"/>
      <c r="X867" s="210"/>
      <c r="Y867" s="210"/>
      <c r="Z867" s="210"/>
      <c r="AA867" s="210"/>
      <c r="AB867" s="210"/>
      <c r="AC867" s="210"/>
      <c r="AI867" s="210"/>
      <c r="AJ867" s="210"/>
    </row>
    <row r="868" ht="12.75" customHeight="1">
      <c r="C868" s="210"/>
      <c r="D868" s="210"/>
      <c r="E868" s="210"/>
      <c r="F868" s="210"/>
      <c r="G868" s="210"/>
      <c r="H868" s="210"/>
      <c r="I868" s="210"/>
      <c r="J868" s="210"/>
      <c r="K868" s="210"/>
      <c r="L868" s="210"/>
      <c r="M868" s="210"/>
      <c r="N868" s="210"/>
      <c r="O868" s="210"/>
      <c r="P868" s="210"/>
      <c r="Q868" s="210"/>
      <c r="R868" s="210"/>
      <c r="S868" s="210"/>
      <c r="T868" s="210"/>
      <c r="U868" s="210"/>
      <c r="V868" s="210"/>
      <c r="W868" s="210"/>
      <c r="X868" s="210"/>
      <c r="Y868" s="210"/>
      <c r="Z868" s="210"/>
      <c r="AA868" s="210"/>
      <c r="AB868" s="210"/>
      <c r="AC868" s="210"/>
      <c r="AI868" s="210"/>
      <c r="AJ868" s="210"/>
    </row>
    <row r="869" ht="12.75" customHeight="1">
      <c r="C869" s="210"/>
      <c r="D869" s="210"/>
      <c r="E869" s="210"/>
      <c r="F869" s="210"/>
      <c r="G869" s="210"/>
      <c r="H869" s="210"/>
      <c r="I869" s="210"/>
      <c r="J869" s="210"/>
      <c r="K869" s="210"/>
      <c r="L869" s="210"/>
      <c r="M869" s="210"/>
      <c r="N869" s="210"/>
      <c r="O869" s="210"/>
      <c r="P869" s="210"/>
      <c r="Q869" s="210"/>
      <c r="R869" s="210"/>
      <c r="S869" s="210"/>
      <c r="T869" s="210"/>
      <c r="U869" s="210"/>
      <c r="V869" s="210"/>
      <c r="W869" s="210"/>
      <c r="X869" s="210"/>
      <c r="Y869" s="210"/>
      <c r="Z869" s="210"/>
      <c r="AA869" s="210"/>
      <c r="AB869" s="210"/>
      <c r="AC869" s="210"/>
      <c r="AI869" s="210"/>
      <c r="AJ869" s="210"/>
    </row>
    <row r="870" ht="12.75" customHeight="1">
      <c r="C870" s="210"/>
      <c r="D870" s="210"/>
      <c r="E870" s="210"/>
      <c r="F870" s="210"/>
      <c r="G870" s="210"/>
      <c r="H870" s="210"/>
      <c r="I870" s="210"/>
      <c r="J870" s="210"/>
      <c r="K870" s="210"/>
      <c r="L870" s="210"/>
      <c r="M870" s="210"/>
      <c r="N870" s="210"/>
      <c r="O870" s="210"/>
      <c r="P870" s="210"/>
      <c r="Q870" s="210"/>
      <c r="R870" s="210"/>
      <c r="S870" s="210"/>
      <c r="T870" s="210"/>
      <c r="U870" s="210"/>
      <c r="V870" s="210"/>
      <c r="W870" s="210"/>
      <c r="X870" s="210"/>
      <c r="Y870" s="210"/>
      <c r="Z870" s="210"/>
      <c r="AA870" s="210"/>
      <c r="AB870" s="210"/>
      <c r="AC870" s="210"/>
      <c r="AI870" s="210"/>
      <c r="AJ870" s="210"/>
    </row>
    <row r="871" ht="12.75" customHeight="1">
      <c r="C871" s="210"/>
      <c r="D871" s="210"/>
      <c r="E871" s="210"/>
      <c r="F871" s="210"/>
      <c r="G871" s="210"/>
      <c r="H871" s="210"/>
      <c r="I871" s="210"/>
      <c r="J871" s="210"/>
      <c r="K871" s="210"/>
      <c r="L871" s="210"/>
      <c r="M871" s="210"/>
      <c r="N871" s="210"/>
      <c r="O871" s="210"/>
      <c r="P871" s="210"/>
      <c r="Q871" s="210"/>
      <c r="R871" s="210"/>
      <c r="S871" s="210"/>
      <c r="T871" s="210"/>
      <c r="U871" s="210"/>
      <c r="V871" s="210"/>
      <c r="W871" s="210"/>
      <c r="X871" s="210"/>
      <c r="Y871" s="210"/>
      <c r="Z871" s="210"/>
      <c r="AA871" s="210"/>
      <c r="AB871" s="210"/>
      <c r="AC871" s="210"/>
      <c r="AI871" s="210"/>
      <c r="AJ871" s="210"/>
    </row>
    <row r="872" ht="12.75" customHeight="1">
      <c r="C872" s="210"/>
      <c r="D872" s="210"/>
      <c r="E872" s="210"/>
      <c r="F872" s="210"/>
      <c r="G872" s="210"/>
      <c r="H872" s="210"/>
      <c r="I872" s="210"/>
      <c r="J872" s="210"/>
      <c r="K872" s="210"/>
      <c r="L872" s="210"/>
      <c r="M872" s="210"/>
      <c r="N872" s="210"/>
      <c r="O872" s="210"/>
      <c r="P872" s="210"/>
      <c r="Q872" s="210"/>
      <c r="R872" s="210"/>
      <c r="S872" s="210"/>
      <c r="T872" s="210"/>
      <c r="U872" s="210"/>
      <c r="V872" s="210"/>
      <c r="W872" s="210"/>
      <c r="X872" s="210"/>
      <c r="Y872" s="210"/>
      <c r="Z872" s="210"/>
      <c r="AA872" s="210"/>
      <c r="AB872" s="210"/>
      <c r="AC872" s="210"/>
      <c r="AI872" s="210"/>
      <c r="AJ872" s="210"/>
    </row>
    <row r="873" ht="12.75" customHeight="1">
      <c r="C873" s="210"/>
      <c r="D873" s="210"/>
      <c r="E873" s="210"/>
      <c r="F873" s="210"/>
      <c r="G873" s="210"/>
      <c r="H873" s="210"/>
      <c r="I873" s="210"/>
      <c r="J873" s="210"/>
      <c r="K873" s="210"/>
      <c r="L873" s="210"/>
      <c r="M873" s="210"/>
      <c r="N873" s="210"/>
      <c r="O873" s="210"/>
      <c r="P873" s="210"/>
      <c r="Q873" s="210"/>
      <c r="R873" s="210"/>
      <c r="S873" s="210"/>
      <c r="T873" s="210"/>
      <c r="U873" s="210"/>
      <c r="V873" s="210"/>
      <c r="W873" s="210"/>
      <c r="X873" s="210"/>
      <c r="Y873" s="210"/>
      <c r="Z873" s="210"/>
      <c r="AA873" s="210"/>
      <c r="AB873" s="210"/>
      <c r="AC873" s="210"/>
      <c r="AI873" s="210"/>
      <c r="AJ873" s="210"/>
    </row>
    <row r="874" ht="12.75" customHeight="1">
      <c r="C874" s="210"/>
      <c r="D874" s="210"/>
      <c r="E874" s="210"/>
      <c r="F874" s="210"/>
      <c r="G874" s="210"/>
      <c r="H874" s="210"/>
      <c r="I874" s="210"/>
      <c r="J874" s="210"/>
      <c r="K874" s="210"/>
      <c r="L874" s="210"/>
      <c r="M874" s="210"/>
      <c r="N874" s="210"/>
      <c r="O874" s="210"/>
      <c r="P874" s="210"/>
      <c r="Q874" s="210"/>
      <c r="R874" s="210"/>
      <c r="S874" s="210"/>
      <c r="T874" s="210"/>
      <c r="U874" s="210"/>
      <c r="V874" s="210"/>
      <c r="W874" s="210"/>
      <c r="X874" s="210"/>
      <c r="Y874" s="210"/>
      <c r="Z874" s="210"/>
      <c r="AA874" s="210"/>
      <c r="AB874" s="210"/>
      <c r="AC874" s="210"/>
      <c r="AI874" s="210"/>
      <c r="AJ874" s="210"/>
    </row>
    <row r="875" ht="12.75" customHeight="1">
      <c r="C875" s="210"/>
      <c r="D875" s="210"/>
      <c r="E875" s="210"/>
      <c r="F875" s="210"/>
      <c r="G875" s="210"/>
      <c r="H875" s="210"/>
      <c r="I875" s="210"/>
      <c r="J875" s="210"/>
      <c r="K875" s="210"/>
      <c r="L875" s="210"/>
      <c r="M875" s="210"/>
      <c r="N875" s="210"/>
      <c r="O875" s="210"/>
      <c r="P875" s="210"/>
      <c r="Q875" s="210"/>
      <c r="R875" s="210"/>
      <c r="S875" s="210"/>
      <c r="T875" s="210"/>
      <c r="U875" s="210"/>
      <c r="V875" s="210"/>
      <c r="W875" s="210"/>
      <c r="X875" s="210"/>
      <c r="Y875" s="210"/>
      <c r="Z875" s="210"/>
      <c r="AA875" s="210"/>
      <c r="AB875" s="210"/>
      <c r="AC875" s="210"/>
      <c r="AI875" s="210"/>
      <c r="AJ875" s="210"/>
    </row>
    <row r="876" ht="12.75" customHeight="1">
      <c r="C876" s="210"/>
      <c r="D876" s="210"/>
      <c r="E876" s="210"/>
      <c r="F876" s="210"/>
      <c r="G876" s="210"/>
      <c r="H876" s="210"/>
      <c r="I876" s="210"/>
      <c r="J876" s="210"/>
      <c r="K876" s="210"/>
      <c r="L876" s="210"/>
      <c r="M876" s="210"/>
      <c r="N876" s="210"/>
      <c r="O876" s="210"/>
      <c r="P876" s="210"/>
      <c r="Q876" s="210"/>
      <c r="R876" s="210"/>
      <c r="S876" s="210"/>
      <c r="T876" s="210"/>
      <c r="U876" s="210"/>
      <c r="V876" s="210"/>
      <c r="W876" s="210"/>
      <c r="X876" s="210"/>
      <c r="Y876" s="210"/>
      <c r="Z876" s="210"/>
      <c r="AA876" s="210"/>
      <c r="AB876" s="210"/>
      <c r="AC876" s="210"/>
      <c r="AI876" s="210"/>
      <c r="AJ876" s="210"/>
    </row>
    <row r="877" ht="12.75" customHeight="1">
      <c r="C877" s="210"/>
      <c r="D877" s="210"/>
      <c r="E877" s="210"/>
      <c r="F877" s="210"/>
      <c r="G877" s="210"/>
      <c r="H877" s="210"/>
      <c r="I877" s="210"/>
      <c r="J877" s="210"/>
      <c r="K877" s="210"/>
      <c r="L877" s="210"/>
      <c r="M877" s="210"/>
      <c r="N877" s="210"/>
      <c r="O877" s="210"/>
      <c r="P877" s="210"/>
      <c r="Q877" s="210"/>
      <c r="R877" s="210"/>
      <c r="S877" s="210"/>
      <c r="T877" s="210"/>
      <c r="U877" s="210"/>
      <c r="V877" s="210"/>
      <c r="W877" s="210"/>
      <c r="X877" s="210"/>
      <c r="Y877" s="210"/>
      <c r="Z877" s="210"/>
      <c r="AA877" s="210"/>
      <c r="AB877" s="210"/>
      <c r="AC877" s="210"/>
      <c r="AI877" s="210"/>
      <c r="AJ877" s="210"/>
    </row>
    <row r="878" ht="12.75" customHeight="1">
      <c r="C878" s="210"/>
      <c r="D878" s="210"/>
      <c r="E878" s="210"/>
      <c r="F878" s="210"/>
      <c r="G878" s="210"/>
      <c r="H878" s="210"/>
      <c r="I878" s="210"/>
      <c r="J878" s="210"/>
      <c r="K878" s="210"/>
      <c r="L878" s="210"/>
      <c r="M878" s="210"/>
      <c r="N878" s="210"/>
      <c r="O878" s="210"/>
      <c r="P878" s="210"/>
      <c r="Q878" s="210"/>
      <c r="R878" s="210"/>
      <c r="S878" s="210"/>
      <c r="T878" s="210"/>
      <c r="U878" s="210"/>
      <c r="V878" s="210"/>
      <c r="W878" s="210"/>
      <c r="X878" s="210"/>
      <c r="Y878" s="210"/>
      <c r="Z878" s="210"/>
      <c r="AA878" s="210"/>
      <c r="AB878" s="210"/>
      <c r="AC878" s="210"/>
      <c r="AI878" s="210"/>
      <c r="AJ878" s="210"/>
    </row>
    <row r="879" ht="12.75" customHeight="1">
      <c r="C879" s="210"/>
      <c r="D879" s="210"/>
      <c r="E879" s="210"/>
      <c r="F879" s="210"/>
      <c r="G879" s="210"/>
      <c r="H879" s="210"/>
      <c r="I879" s="210"/>
      <c r="J879" s="210"/>
      <c r="K879" s="210"/>
      <c r="L879" s="210"/>
      <c r="M879" s="210"/>
      <c r="N879" s="210"/>
      <c r="O879" s="210"/>
      <c r="P879" s="210"/>
      <c r="Q879" s="210"/>
      <c r="R879" s="210"/>
      <c r="S879" s="210"/>
      <c r="T879" s="210"/>
      <c r="U879" s="210"/>
      <c r="V879" s="210"/>
      <c r="W879" s="210"/>
      <c r="X879" s="210"/>
      <c r="Y879" s="210"/>
      <c r="Z879" s="210"/>
      <c r="AA879" s="210"/>
      <c r="AB879" s="210"/>
      <c r="AC879" s="210"/>
      <c r="AI879" s="210"/>
      <c r="AJ879" s="210"/>
    </row>
    <row r="880" ht="12.75" customHeight="1">
      <c r="C880" s="210"/>
      <c r="D880" s="210"/>
      <c r="E880" s="210"/>
      <c r="F880" s="210"/>
      <c r="G880" s="210"/>
      <c r="H880" s="210"/>
      <c r="I880" s="210"/>
      <c r="J880" s="210"/>
      <c r="K880" s="210"/>
      <c r="L880" s="210"/>
      <c r="M880" s="210"/>
      <c r="N880" s="210"/>
      <c r="O880" s="210"/>
      <c r="P880" s="210"/>
      <c r="Q880" s="210"/>
      <c r="R880" s="210"/>
      <c r="S880" s="210"/>
      <c r="T880" s="210"/>
      <c r="U880" s="210"/>
      <c r="V880" s="210"/>
      <c r="W880" s="210"/>
      <c r="X880" s="210"/>
      <c r="Y880" s="210"/>
      <c r="Z880" s="210"/>
      <c r="AA880" s="210"/>
      <c r="AB880" s="210"/>
      <c r="AC880" s="210"/>
      <c r="AI880" s="210"/>
      <c r="AJ880" s="210"/>
    </row>
    <row r="881" ht="12.75" customHeight="1">
      <c r="C881" s="210"/>
      <c r="D881" s="210"/>
      <c r="E881" s="210"/>
      <c r="F881" s="210"/>
      <c r="G881" s="210"/>
      <c r="H881" s="210"/>
      <c r="I881" s="210"/>
      <c r="J881" s="210"/>
      <c r="K881" s="210"/>
      <c r="L881" s="210"/>
      <c r="M881" s="210"/>
      <c r="N881" s="210"/>
      <c r="O881" s="210"/>
      <c r="P881" s="210"/>
      <c r="Q881" s="210"/>
      <c r="R881" s="210"/>
      <c r="S881" s="210"/>
      <c r="T881" s="210"/>
      <c r="U881" s="210"/>
      <c r="V881" s="210"/>
      <c r="W881" s="210"/>
      <c r="X881" s="210"/>
      <c r="Y881" s="210"/>
      <c r="Z881" s="210"/>
      <c r="AA881" s="210"/>
      <c r="AB881" s="210"/>
      <c r="AC881" s="210"/>
      <c r="AI881" s="210"/>
      <c r="AJ881" s="210"/>
    </row>
    <row r="882" ht="12.75" customHeight="1">
      <c r="C882" s="210"/>
      <c r="D882" s="210"/>
      <c r="E882" s="210"/>
      <c r="F882" s="210"/>
      <c r="G882" s="210"/>
      <c r="H882" s="210"/>
      <c r="I882" s="210"/>
      <c r="J882" s="210"/>
      <c r="K882" s="210"/>
      <c r="L882" s="210"/>
      <c r="M882" s="210"/>
      <c r="N882" s="210"/>
      <c r="O882" s="210"/>
      <c r="P882" s="210"/>
      <c r="Q882" s="210"/>
      <c r="R882" s="210"/>
      <c r="S882" s="210"/>
      <c r="T882" s="210"/>
      <c r="U882" s="210"/>
      <c r="V882" s="210"/>
      <c r="W882" s="210"/>
      <c r="X882" s="210"/>
      <c r="Y882" s="210"/>
      <c r="Z882" s="210"/>
      <c r="AA882" s="210"/>
      <c r="AB882" s="210"/>
      <c r="AC882" s="210"/>
      <c r="AI882" s="210"/>
      <c r="AJ882" s="210"/>
    </row>
    <row r="883" ht="12.75" customHeight="1">
      <c r="C883" s="210"/>
      <c r="D883" s="210"/>
      <c r="E883" s="210"/>
      <c r="F883" s="210"/>
      <c r="G883" s="210"/>
      <c r="H883" s="210"/>
      <c r="I883" s="210"/>
      <c r="J883" s="210"/>
      <c r="K883" s="210"/>
      <c r="L883" s="210"/>
      <c r="M883" s="210"/>
      <c r="N883" s="210"/>
      <c r="O883" s="210"/>
      <c r="P883" s="210"/>
      <c r="Q883" s="210"/>
      <c r="R883" s="210"/>
      <c r="S883" s="210"/>
      <c r="T883" s="210"/>
      <c r="U883" s="210"/>
      <c r="V883" s="210"/>
      <c r="W883" s="210"/>
      <c r="X883" s="210"/>
      <c r="Y883" s="210"/>
      <c r="Z883" s="210"/>
      <c r="AA883" s="210"/>
      <c r="AB883" s="210"/>
      <c r="AC883" s="210"/>
      <c r="AI883" s="210"/>
      <c r="AJ883" s="210"/>
    </row>
    <row r="884" ht="12.75" customHeight="1">
      <c r="C884" s="210"/>
      <c r="D884" s="210"/>
      <c r="E884" s="210"/>
      <c r="F884" s="210"/>
      <c r="G884" s="210"/>
      <c r="H884" s="210"/>
      <c r="I884" s="210"/>
      <c r="J884" s="210"/>
      <c r="K884" s="210"/>
      <c r="L884" s="210"/>
      <c r="M884" s="210"/>
      <c r="N884" s="210"/>
      <c r="O884" s="210"/>
      <c r="P884" s="210"/>
      <c r="Q884" s="210"/>
      <c r="R884" s="210"/>
      <c r="S884" s="210"/>
      <c r="T884" s="210"/>
      <c r="U884" s="210"/>
      <c r="V884" s="210"/>
      <c r="W884" s="210"/>
      <c r="X884" s="210"/>
      <c r="Y884" s="210"/>
      <c r="Z884" s="210"/>
      <c r="AA884" s="210"/>
      <c r="AB884" s="210"/>
      <c r="AC884" s="210"/>
      <c r="AI884" s="210"/>
      <c r="AJ884" s="210"/>
    </row>
    <row r="885" ht="12.75" customHeight="1">
      <c r="C885" s="210"/>
      <c r="D885" s="210"/>
      <c r="E885" s="210"/>
      <c r="F885" s="210"/>
      <c r="G885" s="210"/>
      <c r="H885" s="210"/>
      <c r="I885" s="210"/>
      <c r="J885" s="210"/>
      <c r="K885" s="210"/>
      <c r="L885" s="210"/>
      <c r="M885" s="210"/>
      <c r="N885" s="210"/>
      <c r="O885" s="210"/>
      <c r="P885" s="210"/>
      <c r="Q885" s="210"/>
      <c r="R885" s="210"/>
      <c r="S885" s="210"/>
      <c r="T885" s="210"/>
      <c r="U885" s="210"/>
      <c r="V885" s="210"/>
      <c r="W885" s="210"/>
      <c r="X885" s="210"/>
      <c r="Y885" s="210"/>
      <c r="Z885" s="210"/>
      <c r="AA885" s="210"/>
      <c r="AB885" s="210"/>
      <c r="AC885" s="210"/>
      <c r="AI885" s="210"/>
      <c r="AJ885" s="210"/>
    </row>
    <row r="886" ht="12.75" customHeight="1">
      <c r="C886" s="210"/>
      <c r="D886" s="210"/>
      <c r="E886" s="210"/>
      <c r="F886" s="210"/>
      <c r="G886" s="210"/>
      <c r="H886" s="210"/>
      <c r="I886" s="210"/>
      <c r="J886" s="210"/>
      <c r="K886" s="210"/>
      <c r="L886" s="210"/>
      <c r="M886" s="210"/>
      <c r="N886" s="210"/>
      <c r="O886" s="210"/>
      <c r="P886" s="210"/>
      <c r="Q886" s="210"/>
      <c r="R886" s="210"/>
      <c r="S886" s="210"/>
      <c r="T886" s="210"/>
      <c r="U886" s="210"/>
      <c r="V886" s="210"/>
      <c r="W886" s="210"/>
      <c r="X886" s="210"/>
      <c r="Y886" s="210"/>
      <c r="Z886" s="210"/>
      <c r="AA886" s="210"/>
      <c r="AB886" s="210"/>
      <c r="AC886" s="210"/>
      <c r="AI886" s="210"/>
      <c r="AJ886" s="210"/>
    </row>
    <row r="887" ht="12.75" customHeight="1">
      <c r="C887" s="210"/>
      <c r="D887" s="210"/>
      <c r="E887" s="210"/>
      <c r="F887" s="210"/>
      <c r="G887" s="210"/>
      <c r="H887" s="210"/>
      <c r="I887" s="210"/>
      <c r="J887" s="210"/>
      <c r="K887" s="210"/>
      <c r="L887" s="210"/>
      <c r="M887" s="210"/>
      <c r="N887" s="210"/>
      <c r="O887" s="210"/>
      <c r="P887" s="210"/>
      <c r="Q887" s="210"/>
      <c r="R887" s="210"/>
      <c r="S887" s="210"/>
      <c r="T887" s="210"/>
      <c r="U887" s="210"/>
      <c r="V887" s="210"/>
      <c r="W887" s="210"/>
      <c r="X887" s="210"/>
      <c r="Y887" s="210"/>
      <c r="Z887" s="210"/>
      <c r="AA887" s="210"/>
      <c r="AB887" s="210"/>
      <c r="AC887" s="210"/>
      <c r="AI887" s="210"/>
      <c r="AJ887" s="210"/>
    </row>
    <row r="888" ht="12.75" customHeight="1">
      <c r="C888" s="210"/>
      <c r="D888" s="210"/>
      <c r="E888" s="210"/>
      <c r="F888" s="210"/>
      <c r="G888" s="210"/>
      <c r="H888" s="210"/>
      <c r="I888" s="210"/>
      <c r="J888" s="210"/>
      <c r="K888" s="210"/>
      <c r="L888" s="210"/>
      <c r="M888" s="210"/>
      <c r="N888" s="210"/>
      <c r="O888" s="210"/>
      <c r="P888" s="210"/>
      <c r="Q888" s="210"/>
      <c r="R888" s="210"/>
      <c r="S888" s="210"/>
      <c r="T888" s="210"/>
      <c r="U888" s="210"/>
      <c r="V888" s="210"/>
      <c r="W888" s="210"/>
      <c r="X888" s="210"/>
      <c r="Y888" s="210"/>
      <c r="Z888" s="210"/>
      <c r="AA888" s="210"/>
      <c r="AB888" s="210"/>
      <c r="AC888" s="210"/>
      <c r="AI888" s="210"/>
      <c r="AJ888" s="210"/>
    </row>
    <row r="889" ht="12.75" customHeight="1">
      <c r="C889" s="210"/>
      <c r="D889" s="210"/>
      <c r="E889" s="210"/>
      <c r="F889" s="210"/>
      <c r="G889" s="210"/>
      <c r="H889" s="210"/>
      <c r="I889" s="210"/>
      <c r="J889" s="210"/>
      <c r="K889" s="210"/>
      <c r="L889" s="210"/>
      <c r="M889" s="210"/>
      <c r="N889" s="210"/>
      <c r="O889" s="210"/>
      <c r="P889" s="210"/>
      <c r="Q889" s="210"/>
      <c r="R889" s="210"/>
      <c r="S889" s="210"/>
      <c r="T889" s="210"/>
      <c r="U889" s="210"/>
      <c r="V889" s="210"/>
      <c r="W889" s="210"/>
      <c r="X889" s="210"/>
      <c r="Y889" s="210"/>
      <c r="Z889" s="210"/>
      <c r="AA889" s="210"/>
      <c r="AB889" s="210"/>
      <c r="AC889" s="210"/>
      <c r="AI889" s="210"/>
      <c r="AJ889" s="210"/>
    </row>
    <row r="890" ht="12.75" customHeight="1">
      <c r="C890" s="210"/>
      <c r="D890" s="210"/>
      <c r="E890" s="210"/>
      <c r="F890" s="210"/>
      <c r="G890" s="210"/>
      <c r="H890" s="210"/>
      <c r="I890" s="210"/>
      <c r="J890" s="210"/>
      <c r="K890" s="210"/>
      <c r="L890" s="210"/>
      <c r="M890" s="210"/>
      <c r="N890" s="210"/>
      <c r="O890" s="210"/>
      <c r="P890" s="210"/>
      <c r="Q890" s="210"/>
      <c r="R890" s="210"/>
      <c r="S890" s="210"/>
      <c r="T890" s="210"/>
      <c r="U890" s="210"/>
      <c r="V890" s="210"/>
      <c r="W890" s="210"/>
      <c r="X890" s="210"/>
      <c r="Y890" s="210"/>
      <c r="Z890" s="210"/>
      <c r="AA890" s="210"/>
      <c r="AB890" s="210"/>
      <c r="AC890" s="210"/>
      <c r="AI890" s="210"/>
      <c r="AJ890" s="210"/>
    </row>
    <row r="891" ht="12.75" customHeight="1">
      <c r="C891" s="210"/>
      <c r="D891" s="210"/>
      <c r="E891" s="210"/>
      <c r="F891" s="210"/>
      <c r="G891" s="210"/>
      <c r="H891" s="210"/>
      <c r="I891" s="210"/>
      <c r="J891" s="210"/>
      <c r="K891" s="210"/>
      <c r="L891" s="210"/>
      <c r="M891" s="210"/>
      <c r="N891" s="210"/>
      <c r="O891" s="210"/>
      <c r="P891" s="210"/>
      <c r="Q891" s="210"/>
      <c r="R891" s="210"/>
      <c r="S891" s="210"/>
      <c r="T891" s="210"/>
      <c r="U891" s="210"/>
      <c r="V891" s="210"/>
      <c r="W891" s="210"/>
      <c r="X891" s="210"/>
      <c r="Y891" s="210"/>
      <c r="Z891" s="210"/>
      <c r="AA891" s="210"/>
      <c r="AB891" s="210"/>
      <c r="AC891" s="210"/>
      <c r="AI891" s="210"/>
      <c r="AJ891" s="210"/>
    </row>
    <row r="892" ht="12.75" customHeight="1">
      <c r="C892" s="210"/>
      <c r="D892" s="210"/>
      <c r="E892" s="210"/>
      <c r="F892" s="210"/>
      <c r="G892" s="210"/>
      <c r="H892" s="210"/>
      <c r="I892" s="210"/>
      <c r="J892" s="210"/>
      <c r="K892" s="210"/>
      <c r="L892" s="210"/>
      <c r="M892" s="210"/>
      <c r="N892" s="210"/>
      <c r="O892" s="210"/>
      <c r="P892" s="210"/>
      <c r="Q892" s="210"/>
      <c r="R892" s="210"/>
      <c r="S892" s="210"/>
      <c r="T892" s="210"/>
      <c r="U892" s="210"/>
      <c r="V892" s="210"/>
      <c r="W892" s="210"/>
      <c r="X892" s="210"/>
      <c r="Y892" s="210"/>
      <c r="Z892" s="210"/>
      <c r="AA892" s="210"/>
      <c r="AB892" s="210"/>
      <c r="AC892" s="210"/>
      <c r="AI892" s="210"/>
      <c r="AJ892" s="210"/>
    </row>
    <row r="893" ht="12.75" customHeight="1">
      <c r="C893" s="210"/>
      <c r="D893" s="210"/>
      <c r="E893" s="210"/>
      <c r="F893" s="210"/>
      <c r="G893" s="210"/>
      <c r="H893" s="210"/>
      <c r="I893" s="210"/>
      <c r="J893" s="210"/>
      <c r="K893" s="210"/>
      <c r="L893" s="210"/>
      <c r="M893" s="210"/>
      <c r="N893" s="210"/>
      <c r="O893" s="210"/>
      <c r="P893" s="210"/>
      <c r="Q893" s="210"/>
      <c r="R893" s="210"/>
      <c r="S893" s="210"/>
      <c r="T893" s="210"/>
      <c r="U893" s="210"/>
      <c r="V893" s="210"/>
      <c r="W893" s="210"/>
      <c r="X893" s="210"/>
      <c r="Y893" s="210"/>
      <c r="Z893" s="210"/>
      <c r="AA893" s="210"/>
      <c r="AB893" s="210"/>
      <c r="AC893" s="210"/>
      <c r="AI893" s="210"/>
      <c r="AJ893" s="210"/>
    </row>
    <row r="894" ht="12.75" customHeight="1">
      <c r="C894" s="210"/>
      <c r="D894" s="210"/>
      <c r="E894" s="210"/>
      <c r="F894" s="210"/>
      <c r="G894" s="210"/>
      <c r="H894" s="210"/>
      <c r="I894" s="210"/>
      <c r="J894" s="210"/>
      <c r="K894" s="210"/>
      <c r="L894" s="210"/>
      <c r="M894" s="210"/>
      <c r="N894" s="210"/>
      <c r="O894" s="210"/>
      <c r="P894" s="210"/>
      <c r="Q894" s="210"/>
      <c r="R894" s="210"/>
      <c r="S894" s="210"/>
      <c r="T894" s="210"/>
      <c r="U894" s="210"/>
      <c r="V894" s="210"/>
      <c r="W894" s="210"/>
      <c r="X894" s="210"/>
      <c r="Y894" s="210"/>
      <c r="Z894" s="210"/>
      <c r="AA894" s="210"/>
      <c r="AB894" s="210"/>
      <c r="AC894" s="210"/>
      <c r="AI894" s="210"/>
      <c r="AJ894" s="210"/>
    </row>
    <row r="895" ht="12.75" customHeight="1">
      <c r="C895" s="210"/>
      <c r="D895" s="210"/>
      <c r="E895" s="210"/>
      <c r="F895" s="210"/>
      <c r="G895" s="210"/>
      <c r="H895" s="210"/>
      <c r="I895" s="210"/>
      <c r="J895" s="210"/>
      <c r="K895" s="210"/>
      <c r="L895" s="210"/>
      <c r="M895" s="210"/>
      <c r="N895" s="210"/>
      <c r="O895" s="210"/>
      <c r="P895" s="210"/>
      <c r="Q895" s="210"/>
      <c r="R895" s="210"/>
      <c r="S895" s="210"/>
      <c r="T895" s="210"/>
      <c r="U895" s="210"/>
      <c r="V895" s="210"/>
      <c r="W895" s="210"/>
      <c r="X895" s="210"/>
      <c r="Y895" s="210"/>
      <c r="Z895" s="210"/>
      <c r="AA895" s="210"/>
      <c r="AB895" s="210"/>
      <c r="AC895" s="210"/>
      <c r="AI895" s="210"/>
      <c r="AJ895" s="210"/>
    </row>
    <row r="896" ht="12.75" customHeight="1">
      <c r="C896" s="210"/>
      <c r="D896" s="210"/>
      <c r="E896" s="210"/>
      <c r="F896" s="210"/>
      <c r="G896" s="210"/>
      <c r="H896" s="210"/>
      <c r="I896" s="210"/>
      <c r="J896" s="210"/>
      <c r="K896" s="210"/>
      <c r="L896" s="210"/>
      <c r="M896" s="210"/>
      <c r="N896" s="210"/>
      <c r="O896" s="210"/>
      <c r="P896" s="210"/>
      <c r="Q896" s="210"/>
      <c r="R896" s="210"/>
      <c r="S896" s="210"/>
      <c r="T896" s="210"/>
      <c r="U896" s="210"/>
      <c r="V896" s="210"/>
      <c r="W896" s="210"/>
      <c r="X896" s="210"/>
      <c r="Y896" s="210"/>
      <c r="Z896" s="210"/>
      <c r="AA896" s="210"/>
      <c r="AB896" s="210"/>
      <c r="AC896" s="210"/>
      <c r="AI896" s="210"/>
      <c r="AJ896" s="210"/>
    </row>
    <row r="897" ht="12.75" customHeight="1">
      <c r="C897" s="210"/>
      <c r="D897" s="210"/>
      <c r="E897" s="210"/>
      <c r="F897" s="210"/>
      <c r="G897" s="210"/>
      <c r="H897" s="210"/>
      <c r="I897" s="210"/>
      <c r="J897" s="210"/>
      <c r="K897" s="210"/>
      <c r="L897" s="210"/>
      <c r="M897" s="210"/>
      <c r="N897" s="210"/>
      <c r="O897" s="210"/>
      <c r="P897" s="210"/>
      <c r="Q897" s="210"/>
      <c r="R897" s="210"/>
      <c r="S897" s="210"/>
      <c r="T897" s="210"/>
      <c r="U897" s="210"/>
      <c r="V897" s="210"/>
      <c r="W897" s="210"/>
      <c r="X897" s="210"/>
      <c r="Y897" s="210"/>
      <c r="Z897" s="210"/>
      <c r="AA897" s="210"/>
      <c r="AB897" s="210"/>
      <c r="AC897" s="210"/>
      <c r="AI897" s="210"/>
      <c r="AJ897" s="210"/>
    </row>
    <row r="898" ht="12.75" customHeight="1">
      <c r="C898" s="210"/>
      <c r="D898" s="210"/>
      <c r="E898" s="210"/>
      <c r="F898" s="210"/>
      <c r="G898" s="210"/>
      <c r="H898" s="210"/>
      <c r="I898" s="210"/>
      <c r="J898" s="210"/>
      <c r="K898" s="210"/>
      <c r="L898" s="210"/>
      <c r="M898" s="210"/>
      <c r="N898" s="210"/>
      <c r="O898" s="210"/>
      <c r="P898" s="210"/>
      <c r="Q898" s="210"/>
      <c r="R898" s="210"/>
      <c r="S898" s="210"/>
      <c r="T898" s="210"/>
      <c r="U898" s="210"/>
      <c r="V898" s="210"/>
      <c r="W898" s="210"/>
      <c r="X898" s="210"/>
      <c r="Y898" s="210"/>
      <c r="Z898" s="210"/>
      <c r="AA898" s="210"/>
      <c r="AB898" s="210"/>
      <c r="AC898" s="210"/>
      <c r="AI898" s="210"/>
      <c r="AJ898" s="210"/>
    </row>
    <row r="899" ht="12.75" customHeight="1">
      <c r="C899" s="210"/>
      <c r="D899" s="210"/>
      <c r="E899" s="210"/>
      <c r="F899" s="210"/>
      <c r="G899" s="210"/>
      <c r="H899" s="210"/>
      <c r="I899" s="210"/>
      <c r="J899" s="210"/>
      <c r="K899" s="210"/>
      <c r="L899" s="210"/>
      <c r="M899" s="210"/>
      <c r="N899" s="210"/>
      <c r="O899" s="210"/>
      <c r="P899" s="210"/>
      <c r="Q899" s="210"/>
      <c r="R899" s="210"/>
      <c r="S899" s="210"/>
      <c r="T899" s="210"/>
      <c r="U899" s="210"/>
      <c r="V899" s="210"/>
      <c r="W899" s="210"/>
      <c r="X899" s="210"/>
      <c r="Y899" s="210"/>
      <c r="Z899" s="210"/>
      <c r="AA899" s="210"/>
      <c r="AB899" s="210"/>
      <c r="AC899" s="210"/>
      <c r="AI899" s="210"/>
      <c r="AJ899" s="210"/>
    </row>
    <row r="900" ht="12.75" customHeight="1">
      <c r="C900" s="210"/>
      <c r="D900" s="210"/>
      <c r="E900" s="210"/>
      <c r="F900" s="210"/>
      <c r="G900" s="210"/>
      <c r="H900" s="210"/>
      <c r="I900" s="210"/>
      <c r="J900" s="210"/>
      <c r="K900" s="210"/>
      <c r="L900" s="210"/>
      <c r="M900" s="210"/>
      <c r="N900" s="210"/>
      <c r="O900" s="210"/>
      <c r="P900" s="210"/>
      <c r="Q900" s="210"/>
      <c r="R900" s="210"/>
      <c r="S900" s="210"/>
      <c r="T900" s="210"/>
      <c r="U900" s="210"/>
      <c r="V900" s="210"/>
      <c r="W900" s="210"/>
      <c r="X900" s="210"/>
      <c r="Y900" s="210"/>
      <c r="Z900" s="210"/>
      <c r="AA900" s="210"/>
      <c r="AB900" s="210"/>
      <c r="AC900" s="210"/>
      <c r="AI900" s="210"/>
      <c r="AJ900" s="210"/>
    </row>
    <row r="901" ht="12.75" customHeight="1">
      <c r="C901" s="210"/>
      <c r="D901" s="210"/>
      <c r="E901" s="210"/>
      <c r="F901" s="210"/>
      <c r="G901" s="210"/>
      <c r="H901" s="210"/>
      <c r="I901" s="210"/>
      <c r="J901" s="210"/>
      <c r="K901" s="210"/>
      <c r="L901" s="210"/>
      <c r="M901" s="210"/>
      <c r="N901" s="210"/>
      <c r="O901" s="210"/>
      <c r="P901" s="210"/>
      <c r="Q901" s="210"/>
      <c r="R901" s="210"/>
      <c r="S901" s="210"/>
      <c r="T901" s="210"/>
      <c r="U901" s="210"/>
      <c r="V901" s="210"/>
      <c r="W901" s="210"/>
      <c r="X901" s="210"/>
      <c r="Y901" s="210"/>
      <c r="Z901" s="210"/>
      <c r="AA901" s="210"/>
      <c r="AB901" s="210"/>
      <c r="AC901" s="210"/>
      <c r="AI901" s="210"/>
      <c r="AJ901" s="210"/>
    </row>
    <row r="902" ht="12.75" customHeight="1">
      <c r="C902" s="210"/>
      <c r="D902" s="210"/>
      <c r="E902" s="210"/>
      <c r="F902" s="210"/>
      <c r="G902" s="210"/>
      <c r="H902" s="210"/>
      <c r="I902" s="210"/>
      <c r="J902" s="210"/>
      <c r="K902" s="210"/>
      <c r="L902" s="210"/>
      <c r="M902" s="210"/>
      <c r="N902" s="210"/>
      <c r="O902" s="210"/>
      <c r="P902" s="210"/>
      <c r="Q902" s="210"/>
      <c r="R902" s="210"/>
      <c r="S902" s="210"/>
      <c r="T902" s="210"/>
      <c r="U902" s="210"/>
      <c r="V902" s="210"/>
      <c r="W902" s="210"/>
      <c r="X902" s="210"/>
      <c r="Y902" s="210"/>
      <c r="Z902" s="210"/>
      <c r="AA902" s="210"/>
      <c r="AB902" s="210"/>
      <c r="AC902" s="210"/>
      <c r="AI902" s="210"/>
      <c r="AJ902" s="210"/>
    </row>
    <row r="903" ht="12.75" customHeight="1">
      <c r="C903" s="210"/>
      <c r="D903" s="210"/>
      <c r="E903" s="210"/>
      <c r="F903" s="210"/>
      <c r="G903" s="210"/>
      <c r="H903" s="210"/>
      <c r="I903" s="210"/>
      <c r="J903" s="210"/>
      <c r="K903" s="210"/>
      <c r="L903" s="210"/>
      <c r="M903" s="210"/>
      <c r="N903" s="210"/>
      <c r="O903" s="210"/>
      <c r="P903" s="210"/>
      <c r="Q903" s="210"/>
      <c r="R903" s="210"/>
      <c r="S903" s="210"/>
      <c r="T903" s="210"/>
      <c r="U903" s="210"/>
      <c r="V903" s="210"/>
      <c r="W903" s="210"/>
      <c r="X903" s="210"/>
      <c r="Y903" s="210"/>
      <c r="Z903" s="210"/>
      <c r="AA903" s="210"/>
      <c r="AB903" s="210"/>
      <c r="AC903" s="210"/>
      <c r="AI903" s="210"/>
      <c r="AJ903" s="210"/>
    </row>
    <row r="904" ht="12.75" customHeight="1">
      <c r="C904" s="210"/>
      <c r="D904" s="210"/>
      <c r="E904" s="210"/>
      <c r="F904" s="210"/>
      <c r="G904" s="210"/>
      <c r="H904" s="210"/>
      <c r="I904" s="210"/>
      <c r="J904" s="210"/>
      <c r="K904" s="210"/>
      <c r="L904" s="210"/>
      <c r="M904" s="210"/>
      <c r="N904" s="210"/>
      <c r="O904" s="210"/>
      <c r="P904" s="210"/>
      <c r="Q904" s="210"/>
      <c r="R904" s="210"/>
      <c r="S904" s="210"/>
      <c r="T904" s="210"/>
      <c r="U904" s="210"/>
      <c r="V904" s="210"/>
      <c r="W904" s="210"/>
      <c r="X904" s="210"/>
      <c r="Y904" s="210"/>
      <c r="Z904" s="210"/>
      <c r="AA904" s="210"/>
      <c r="AB904" s="210"/>
      <c r="AC904" s="210"/>
      <c r="AI904" s="210"/>
      <c r="AJ904" s="210"/>
    </row>
    <row r="905" ht="12.75" customHeight="1">
      <c r="C905" s="210"/>
      <c r="D905" s="210"/>
      <c r="E905" s="210"/>
      <c r="F905" s="210"/>
      <c r="G905" s="210"/>
      <c r="H905" s="210"/>
      <c r="I905" s="210"/>
      <c r="J905" s="210"/>
      <c r="K905" s="210"/>
      <c r="L905" s="210"/>
      <c r="M905" s="210"/>
      <c r="N905" s="210"/>
      <c r="O905" s="210"/>
      <c r="P905" s="210"/>
      <c r="Q905" s="210"/>
      <c r="R905" s="210"/>
      <c r="S905" s="210"/>
      <c r="T905" s="210"/>
      <c r="U905" s="210"/>
      <c r="V905" s="210"/>
      <c r="W905" s="210"/>
      <c r="X905" s="210"/>
      <c r="Y905" s="210"/>
      <c r="Z905" s="210"/>
      <c r="AA905" s="210"/>
      <c r="AB905" s="210"/>
      <c r="AC905" s="210"/>
      <c r="AI905" s="210"/>
      <c r="AJ905" s="210"/>
    </row>
    <row r="906" ht="12.75" customHeight="1">
      <c r="C906" s="210"/>
      <c r="D906" s="210"/>
      <c r="E906" s="210"/>
      <c r="F906" s="210"/>
      <c r="G906" s="210"/>
      <c r="H906" s="210"/>
      <c r="I906" s="210"/>
      <c r="J906" s="210"/>
      <c r="K906" s="210"/>
      <c r="L906" s="210"/>
      <c r="M906" s="210"/>
      <c r="N906" s="210"/>
      <c r="O906" s="210"/>
      <c r="P906" s="210"/>
      <c r="Q906" s="210"/>
      <c r="R906" s="210"/>
      <c r="S906" s="210"/>
      <c r="T906" s="210"/>
      <c r="U906" s="210"/>
      <c r="V906" s="210"/>
      <c r="W906" s="210"/>
      <c r="X906" s="210"/>
      <c r="Y906" s="210"/>
      <c r="Z906" s="210"/>
      <c r="AA906" s="210"/>
      <c r="AB906" s="210"/>
      <c r="AC906" s="210"/>
      <c r="AI906" s="210"/>
      <c r="AJ906" s="210"/>
    </row>
    <row r="907" ht="12.75" customHeight="1">
      <c r="C907" s="210"/>
      <c r="D907" s="210"/>
      <c r="E907" s="210"/>
      <c r="F907" s="210"/>
      <c r="G907" s="210"/>
      <c r="H907" s="210"/>
      <c r="I907" s="210"/>
      <c r="J907" s="210"/>
      <c r="K907" s="210"/>
      <c r="L907" s="210"/>
      <c r="M907" s="210"/>
      <c r="N907" s="210"/>
      <c r="O907" s="210"/>
      <c r="P907" s="210"/>
      <c r="Q907" s="210"/>
      <c r="R907" s="210"/>
      <c r="S907" s="210"/>
      <c r="T907" s="210"/>
      <c r="U907" s="210"/>
      <c r="V907" s="210"/>
      <c r="W907" s="210"/>
      <c r="X907" s="210"/>
      <c r="Y907" s="210"/>
      <c r="Z907" s="210"/>
      <c r="AA907" s="210"/>
      <c r="AB907" s="210"/>
      <c r="AC907" s="210"/>
      <c r="AI907" s="210"/>
      <c r="AJ907" s="210"/>
    </row>
    <row r="908" ht="12.75" customHeight="1">
      <c r="C908" s="210"/>
      <c r="D908" s="210"/>
      <c r="E908" s="210"/>
      <c r="F908" s="210"/>
      <c r="G908" s="210"/>
      <c r="H908" s="210"/>
      <c r="I908" s="210"/>
      <c r="J908" s="210"/>
      <c r="K908" s="210"/>
      <c r="L908" s="210"/>
      <c r="M908" s="210"/>
      <c r="N908" s="210"/>
      <c r="O908" s="210"/>
      <c r="P908" s="210"/>
      <c r="Q908" s="210"/>
      <c r="R908" s="210"/>
      <c r="S908" s="210"/>
      <c r="T908" s="210"/>
      <c r="U908" s="210"/>
      <c r="V908" s="210"/>
      <c r="W908" s="210"/>
      <c r="X908" s="210"/>
      <c r="Y908" s="210"/>
      <c r="Z908" s="210"/>
      <c r="AA908" s="210"/>
      <c r="AB908" s="210"/>
      <c r="AC908" s="210"/>
      <c r="AI908" s="210"/>
      <c r="AJ908" s="210"/>
    </row>
    <row r="909" ht="12.75" customHeight="1">
      <c r="C909" s="210"/>
      <c r="D909" s="210"/>
      <c r="E909" s="210"/>
      <c r="F909" s="210"/>
      <c r="G909" s="210"/>
      <c r="H909" s="210"/>
      <c r="I909" s="210"/>
      <c r="J909" s="210"/>
      <c r="K909" s="210"/>
      <c r="L909" s="210"/>
      <c r="M909" s="210"/>
      <c r="N909" s="210"/>
      <c r="O909" s="210"/>
      <c r="P909" s="210"/>
      <c r="Q909" s="210"/>
      <c r="R909" s="210"/>
      <c r="S909" s="210"/>
      <c r="T909" s="210"/>
      <c r="U909" s="210"/>
      <c r="V909" s="210"/>
      <c r="W909" s="210"/>
      <c r="X909" s="210"/>
      <c r="Y909" s="210"/>
      <c r="Z909" s="210"/>
      <c r="AA909" s="210"/>
      <c r="AB909" s="210"/>
      <c r="AC909" s="210"/>
      <c r="AI909" s="210"/>
      <c r="AJ909" s="210"/>
    </row>
    <row r="910" ht="12.75" customHeight="1">
      <c r="C910" s="210"/>
      <c r="D910" s="210"/>
      <c r="E910" s="210"/>
      <c r="F910" s="210"/>
      <c r="G910" s="210"/>
      <c r="H910" s="210"/>
      <c r="I910" s="210"/>
      <c r="J910" s="210"/>
      <c r="K910" s="210"/>
      <c r="L910" s="210"/>
      <c r="M910" s="210"/>
      <c r="N910" s="210"/>
      <c r="O910" s="210"/>
      <c r="P910" s="210"/>
      <c r="Q910" s="210"/>
      <c r="R910" s="210"/>
      <c r="S910" s="210"/>
      <c r="T910" s="210"/>
      <c r="U910" s="210"/>
      <c r="V910" s="210"/>
      <c r="W910" s="210"/>
      <c r="X910" s="210"/>
      <c r="Y910" s="210"/>
      <c r="Z910" s="210"/>
      <c r="AA910" s="210"/>
      <c r="AB910" s="210"/>
      <c r="AC910" s="210"/>
      <c r="AI910" s="210"/>
      <c r="AJ910" s="210"/>
    </row>
    <row r="911" ht="12.75" customHeight="1">
      <c r="C911" s="210"/>
      <c r="D911" s="210"/>
      <c r="E911" s="210"/>
      <c r="F911" s="210"/>
      <c r="G911" s="210"/>
      <c r="H911" s="210"/>
      <c r="I911" s="210"/>
      <c r="J911" s="210"/>
      <c r="K911" s="210"/>
      <c r="L911" s="210"/>
      <c r="M911" s="210"/>
      <c r="N911" s="210"/>
      <c r="O911" s="210"/>
      <c r="P911" s="210"/>
      <c r="Q911" s="210"/>
      <c r="R911" s="210"/>
      <c r="S911" s="210"/>
      <c r="T911" s="210"/>
      <c r="U911" s="210"/>
      <c r="V911" s="210"/>
      <c r="W911" s="210"/>
      <c r="X911" s="210"/>
      <c r="Y911" s="210"/>
      <c r="Z911" s="210"/>
      <c r="AA911" s="210"/>
      <c r="AB911" s="210"/>
      <c r="AC911" s="210"/>
      <c r="AI911" s="210"/>
      <c r="AJ911" s="210"/>
    </row>
    <row r="912" ht="12.75" customHeight="1">
      <c r="C912" s="210"/>
      <c r="D912" s="210"/>
      <c r="E912" s="210"/>
      <c r="F912" s="210"/>
      <c r="G912" s="210"/>
      <c r="H912" s="210"/>
      <c r="I912" s="210"/>
      <c r="J912" s="210"/>
      <c r="K912" s="210"/>
      <c r="L912" s="210"/>
      <c r="M912" s="210"/>
      <c r="N912" s="210"/>
      <c r="O912" s="210"/>
      <c r="P912" s="210"/>
      <c r="Q912" s="210"/>
      <c r="R912" s="210"/>
      <c r="S912" s="210"/>
      <c r="T912" s="210"/>
      <c r="U912" s="210"/>
      <c r="V912" s="210"/>
      <c r="W912" s="210"/>
      <c r="X912" s="210"/>
      <c r="Y912" s="210"/>
      <c r="Z912" s="210"/>
      <c r="AA912" s="210"/>
      <c r="AB912" s="210"/>
      <c r="AC912" s="210"/>
      <c r="AI912" s="210"/>
      <c r="AJ912" s="210"/>
    </row>
    <row r="913" ht="12.75" customHeight="1">
      <c r="C913" s="210"/>
      <c r="D913" s="210"/>
      <c r="E913" s="210"/>
      <c r="F913" s="210"/>
      <c r="G913" s="210"/>
      <c r="H913" s="210"/>
      <c r="I913" s="210"/>
      <c r="J913" s="210"/>
      <c r="K913" s="210"/>
      <c r="L913" s="210"/>
      <c r="M913" s="210"/>
      <c r="N913" s="210"/>
      <c r="O913" s="210"/>
      <c r="P913" s="210"/>
      <c r="Q913" s="210"/>
      <c r="R913" s="210"/>
      <c r="S913" s="210"/>
      <c r="T913" s="210"/>
      <c r="U913" s="210"/>
      <c r="V913" s="210"/>
      <c r="W913" s="210"/>
      <c r="X913" s="210"/>
      <c r="Y913" s="210"/>
      <c r="Z913" s="210"/>
      <c r="AA913" s="210"/>
      <c r="AB913" s="210"/>
      <c r="AC913" s="210"/>
      <c r="AI913" s="210"/>
      <c r="AJ913" s="210"/>
    </row>
    <row r="914" ht="12.75" customHeight="1">
      <c r="C914" s="210"/>
      <c r="D914" s="210"/>
      <c r="E914" s="210"/>
      <c r="F914" s="210"/>
      <c r="G914" s="210"/>
      <c r="H914" s="210"/>
      <c r="I914" s="210"/>
      <c r="J914" s="210"/>
      <c r="K914" s="210"/>
      <c r="L914" s="210"/>
      <c r="M914" s="210"/>
      <c r="N914" s="210"/>
      <c r="O914" s="210"/>
      <c r="P914" s="210"/>
      <c r="Q914" s="210"/>
      <c r="R914" s="210"/>
      <c r="S914" s="210"/>
      <c r="T914" s="210"/>
      <c r="U914" s="210"/>
      <c r="V914" s="210"/>
      <c r="W914" s="210"/>
      <c r="X914" s="210"/>
      <c r="Y914" s="210"/>
      <c r="Z914" s="210"/>
      <c r="AA914" s="210"/>
      <c r="AB914" s="210"/>
      <c r="AC914" s="210"/>
      <c r="AI914" s="210"/>
      <c r="AJ914" s="210"/>
    </row>
    <row r="915" ht="12.75" customHeight="1">
      <c r="C915" s="210"/>
      <c r="D915" s="210"/>
      <c r="E915" s="210"/>
      <c r="F915" s="210"/>
      <c r="G915" s="210"/>
      <c r="H915" s="210"/>
      <c r="I915" s="210"/>
      <c r="J915" s="210"/>
      <c r="K915" s="210"/>
      <c r="L915" s="210"/>
      <c r="M915" s="210"/>
      <c r="N915" s="210"/>
      <c r="O915" s="210"/>
      <c r="P915" s="210"/>
      <c r="Q915" s="210"/>
      <c r="R915" s="210"/>
      <c r="S915" s="210"/>
      <c r="T915" s="210"/>
      <c r="U915" s="210"/>
      <c r="V915" s="210"/>
      <c r="W915" s="210"/>
      <c r="X915" s="210"/>
      <c r="Y915" s="210"/>
      <c r="Z915" s="210"/>
      <c r="AA915" s="210"/>
      <c r="AB915" s="210"/>
      <c r="AC915" s="210"/>
      <c r="AI915" s="210"/>
      <c r="AJ915" s="210"/>
    </row>
    <row r="916" ht="12.75" customHeight="1">
      <c r="C916" s="210"/>
      <c r="D916" s="210"/>
      <c r="E916" s="210"/>
      <c r="F916" s="210"/>
      <c r="G916" s="210"/>
      <c r="H916" s="210"/>
      <c r="I916" s="210"/>
      <c r="J916" s="210"/>
      <c r="K916" s="210"/>
      <c r="L916" s="210"/>
      <c r="M916" s="210"/>
      <c r="N916" s="210"/>
      <c r="O916" s="210"/>
      <c r="P916" s="210"/>
      <c r="Q916" s="210"/>
      <c r="R916" s="210"/>
      <c r="S916" s="210"/>
      <c r="T916" s="210"/>
      <c r="U916" s="210"/>
      <c r="V916" s="210"/>
      <c r="W916" s="210"/>
      <c r="X916" s="210"/>
      <c r="Y916" s="210"/>
      <c r="Z916" s="210"/>
      <c r="AA916" s="210"/>
      <c r="AB916" s="210"/>
      <c r="AC916" s="210"/>
      <c r="AI916" s="210"/>
      <c r="AJ916" s="210"/>
    </row>
    <row r="917" ht="12.75" customHeight="1">
      <c r="C917" s="210"/>
      <c r="D917" s="210"/>
      <c r="E917" s="210"/>
      <c r="F917" s="210"/>
      <c r="G917" s="210"/>
      <c r="H917" s="210"/>
      <c r="I917" s="210"/>
      <c r="J917" s="210"/>
      <c r="K917" s="210"/>
      <c r="L917" s="210"/>
      <c r="M917" s="210"/>
      <c r="N917" s="210"/>
      <c r="O917" s="210"/>
      <c r="P917" s="210"/>
      <c r="Q917" s="210"/>
      <c r="R917" s="210"/>
      <c r="S917" s="210"/>
      <c r="T917" s="210"/>
      <c r="U917" s="210"/>
      <c r="V917" s="210"/>
      <c r="W917" s="210"/>
      <c r="X917" s="210"/>
      <c r="Y917" s="210"/>
      <c r="Z917" s="210"/>
      <c r="AA917" s="210"/>
      <c r="AB917" s="210"/>
      <c r="AC917" s="210"/>
      <c r="AI917" s="210"/>
      <c r="AJ917" s="210"/>
    </row>
    <row r="918" ht="12.75" customHeight="1">
      <c r="C918" s="210"/>
      <c r="D918" s="210"/>
      <c r="E918" s="210"/>
      <c r="F918" s="210"/>
      <c r="G918" s="210"/>
      <c r="H918" s="210"/>
      <c r="I918" s="210"/>
      <c r="J918" s="210"/>
      <c r="K918" s="210"/>
      <c r="L918" s="210"/>
      <c r="M918" s="210"/>
      <c r="N918" s="210"/>
      <c r="O918" s="210"/>
      <c r="P918" s="210"/>
      <c r="Q918" s="210"/>
      <c r="R918" s="210"/>
      <c r="S918" s="210"/>
      <c r="T918" s="210"/>
      <c r="U918" s="210"/>
      <c r="V918" s="210"/>
      <c r="W918" s="210"/>
      <c r="X918" s="210"/>
      <c r="Y918" s="210"/>
      <c r="Z918" s="210"/>
      <c r="AA918" s="210"/>
      <c r="AB918" s="210"/>
      <c r="AC918" s="210"/>
      <c r="AI918" s="210"/>
      <c r="AJ918" s="210"/>
    </row>
    <row r="919" ht="12.75" customHeight="1">
      <c r="C919" s="210"/>
      <c r="D919" s="210"/>
      <c r="E919" s="210"/>
      <c r="F919" s="210"/>
      <c r="G919" s="210"/>
      <c r="H919" s="210"/>
      <c r="I919" s="210"/>
      <c r="J919" s="210"/>
      <c r="K919" s="210"/>
      <c r="L919" s="210"/>
      <c r="M919" s="210"/>
      <c r="N919" s="210"/>
      <c r="O919" s="210"/>
      <c r="P919" s="210"/>
      <c r="Q919" s="210"/>
      <c r="R919" s="210"/>
      <c r="S919" s="210"/>
      <c r="T919" s="210"/>
      <c r="U919" s="210"/>
      <c r="V919" s="210"/>
      <c r="W919" s="210"/>
      <c r="X919" s="210"/>
      <c r="Y919" s="210"/>
      <c r="Z919" s="210"/>
      <c r="AA919" s="210"/>
      <c r="AB919" s="210"/>
      <c r="AC919" s="210"/>
      <c r="AI919" s="210"/>
      <c r="AJ919" s="210"/>
    </row>
    <row r="920" ht="12.75" customHeight="1">
      <c r="C920" s="210"/>
      <c r="D920" s="210"/>
      <c r="E920" s="210"/>
      <c r="F920" s="210"/>
      <c r="G920" s="210"/>
      <c r="H920" s="210"/>
      <c r="I920" s="210"/>
      <c r="J920" s="210"/>
      <c r="K920" s="210"/>
      <c r="L920" s="210"/>
      <c r="M920" s="210"/>
      <c r="N920" s="210"/>
      <c r="O920" s="210"/>
      <c r="P920" s="210"/>
      <c r="Q920" s="210"/>
      <c r="R920" s="210"/>
      <c r="S920" s="210"/>
      <c r="T920" s="210"/>
      <c r="U920" s="210"/>
      <c r="V920" s="210"/>
      <c r="W920" s="210"/>
      <c r="X920" s="210"/>
      <c r="Y920" s="210"/>
      <c r="Z920" s="210"/>
      <c r="AA920" s="210"/>
      <c r="AB920" s="210"/>
      <c r="AC920" s="210"/>
      <c r="AI920" s="210"/>
      <c r="AJ920" s="210"/>
    </row>
    <row r="921" ht="12.75" customHeight="1">
      <c r="C921" s="210"/>
      <c r="D921" s="210"/>
      <c r="E921" s="210"/>
      <c r="F921" s="210"/>
      <c r="G921" s="210"/>
      <c r="H921" s="210"/>
      <c r="I921" s="210"/>
      <c r="J921" s="210"/>
      <c r="K921" s="210"/>
      <c r="L921" s="210"/>
      <c r="M921" s="210"/>
      <c r="N921" s="210"/>
      <c r="O921" s="210"/>
      <c r="P921" s="210"/>
      <c r="Q921" s="210"/>
      <c r="R921" s="210"/>
      <c r="S921" s="210"/>
      <c r="T921" s="210"/>
      <c r="U921" s="210"/>
      <c r="V921" s="210"/>
      <c r="W921" s="210"/>
      <c r="X921" s="210"/>
      <c r="Y921" s="210"/>
      <c r="Z921" s="210"/>
      <c r="AA921" s="210"/>
      <c r="AB921" s="210"/>
      <c r="AC921" s="210"/>
      <c r="AI921" s="210"/>
      <c r="AJ921" s="210"/>
    </row>
    <row r="922" ht="12.75" customHeight="1">
      <c r="C922" s="210"/>
      <c r="D922" s="210"/>
      <c r="E922" s="210"/>
      <c r="F922" s="210"/>
      <c r="G922" s="210"/>
      <c r="H922" s="210"/>
      <c r="I922" s="210"/>
      <c r="J922" s="210"/>
      <c r="K922" s="210"/>
      <c r="L922" s="210"/>
      <c r="M922" s="210"/>
      <c r="N922" s="210"/>
      <c r="O922" s="210"/>
      <c r="P922" s="210"/>
      <c r="Q922" s="210"/>
      <c r="R922" s="210"/>
      <c r="S922" s="210"/>
      <c r="T922" s="210"/>
      <c r="U922" s="210"/>
      <c r="V922" s="210"/>
      <c r="W922" s="210"/>
      <c r="X922" s="210"/>
      <c r="Y922" s="210"/>
      <c r="Z922" s="210"/>
      <c r="AA922" s="210"/>
      <c r="AB922" s="210"/>
      <c r="AC922" s="210"/>
      <c r="AI922" s="210"/>
      <c r="AJ922" s="210"/>
    </row>
    <row r="923" ht="12.75" customHeight="1">
      <c r="C923" s="210"/>
      <c r="D923" s="210"/>
      <c r="E923" s="210"/>
      <c r="F923" s="210"/>
      <c r="G923" s="210"/>
      <c r="H923" s="210"/>
      <c r="I923" s="210"/>
      <c r="J923" s="210"/>
      <c r="K923" s="210"/>
      <c r="L923" s="210"/>
      <c r="M923" s="210"/>
      <c r="N923" s="210"/>
      <c r="O923" s="210"/>
      <c r="P923" s="210"/>
      <c r="Q923" s="210"/>
      <c r="R923" s="210"/>
      <c r="S923" s="210"/>
      <c r="T923" s="210"/>
      <c r="U923" s="210"/>
      <c r="V923" s="210"/>
      <c r="W923" s="210"/>
      <c r="X923" s="210"/>
      <c r="Y923" s="210"/>
      <c r="Z923" s="210"/>
      <c r="AA923" s="210"/>
      <c r="AB923" s="210"/>
      <c r="AC923" s="210"/>
      <c r="AI923" s="210"/>
      <c r="AJ923" s="210"/>
    </row>
    <row r="924" ht="12.75" customHeight="1">
      <c r="C924" s="210"/>
      <c r="D924" s="210"/>
      <c r="E924" s="210"/>
      <c r="F924" s="210"/>
      <c r="G924" s="210"/>
      <c r="H924" s="210"/>
      <c r="I924" s="210"/>
      <c r="J924" s="210"/>
      <c r="K924" s="210"/>
      <c r="L924" s="210"/>
      <c r="M924" s="210"/>
      <c r="N924" s="210"/>
      <c r="O924" s="210"/>
      <c r="P924" s="210"/>
      <c r="Q924" s="210"/>
      <c r="R924" s="210"/>
      <c r="S924" s="210"/>
      <c r="T924" s="210"/>
      <c r="U924" s="210"/>
      <c r="V924" s="210"/>
      <c r="W924" s="210"/>
      <c r="X924" s="210"/>
      <c r="Y924" s="210"/>
      <c r="Z924" s="210"/>
      <c r="AA924" s="210"/>
      <c r="AB924" s="210"/>
      <c r="AC924" s="210"/>
      <c r="AI924" s="210"/>
      <c r="AJ924" s="210"/>
    </row>
    <row r="925" ht="12.75" customHeight="1">
      <c r="C925" s="210"/>
      <c r="D925" s="210"/>
      <c r="E925" s="210"/>
      <c r="F925" s="210"/>
      <c r="G925" s="210"/>
      <c r="H925" s="210"/>
      <c r="I925" s="210"/>
      <c r="J925" s="210"/>
      <c r="K925" s="210"/>
      <c r="L925" s="210"/>
      <c r="M925" s="210"/>
      <c r="N925" s="210"/>
      <c r="O925" s="210"/>
      <c r="P925" s="210"/>
      <c r="Q925" s="210"/>
      <c r="R925" s="210"/>
      <c r="S925" s="210"/>
      <c r="T925" s="210"/>
      <c r="U925" s="210"/>
      <c r="V925" s="210"/>
      <c r="W925" s="210"/>
      <c r="X925" s="210"/>
      <c r="Y925" s="210"/>
      <c r="Z925" s="210"/>
      <c r="AA925" s="210"/>
      <c r="AB925" s="210"/>
      <c r="AC925" s="210"/>
      <c r="AI925" s="210"/>
      <c r="AJ925" s="210"/>
    </row>
    <row r="926" ht="12.75" customHeight="1">
      <c r="C926" s="210"/>
      <c r="D926" s="210"/>
      <c r="E926" s="210"/>
      <c r="F926" s="210"/>
      <c r="G926" s="210"/>
      <c r="H926" s="210"/>
      <c r="I926" s="210"/>
      <c r="J926" s="210"/>
      <c r="K926" s="210"/>
      <c r="L926" s="210"/>
      <c r="M926" s="210"/>
      <c r="N926" s="210"/>
      <c r="O926" s="210"/>
      <c r="P926" s="210"/>
      <c r="Q926" s="210"/>
      <c r="R926" s="210"/>
      <c r="S926" s="210"/>
      <c r="T926" s="210"/>
      <c r="U926" s="210"/>
      <c r="V926" s="210"/>
      <c r="W926" s="210"/>
      <c r="X926" s="210"/>
      <c r="Y926" s="210"/>
      <c r="Z926" s="210"/>
      <c r="AA926" s="210"/>
      <c r="AB926" s="210"/>
      <c r="AC926" s="210"/>
      <c r="AI926" s="210"/>
      <c r="AJ926" s="210"/>
    </row>
    <row r="927" ht="12.75" customHeight="1">
      <c r="C927" s="210"/>
      <c r="D927" s="210"/>
      <c r="E927" s="210"/>
      <c r="F927" s="210"/>
      <c r="G927" s="210"/>
      <c r="H927" s="210"/>
      <c r="I927" s="210"/>
      <c r="J927" s="210"/>
      <c r="K927" s="210"/>
      <c r="L927" s="210"/>
      <c r="M927" s="210"/>
      <c r="N927" s="210"/>
      <c r="O927" s="210"/>
      <c r="P927" s="210"/>
      <c r="Q927" s="210"/>
      <c r="R927" s="210"/>
      <c r="S927" s="210"/>
      <c r="T927" s="210"/>
      <c r="U927" s="210"/>
      <c r="V927" s="210"/>
      <c r="W927" s="210"/>
      <c r="X927" s="210"/>
      <c r="Y927" s="210"/>
      <c r="Z927" s="210"/>
      <c r="AA927" s="210"/>
      <c r="AB927" s="210"/>
      <c r="AC927" s="210"/>
      <c r="AI927" s="210"/>
      <c r="AJ927" s="210"/>
    </row>
    <row r="928" ht="12.75" customHeight="1">
      <c r="C928" s="210"/>
      <c r="D928" s="210"/>
      <c r="E928" s="210"/>
      <c r="F928" s="210"/>
      <c r="G928" s="210"/>
      <c r="H928" s="210"/>
      <c r="I928" s="210"/>
      <c r="J928" s="210"/>
      <c r="K928" s="210"/>
      <c r="L928" s="210"/>
      <c r="M928" s="210"/>
      <c r="N928" s="210"/>
      <c r="O928" s="210"/>
      <c r="P928" s="210"/>
      <c r="Q928" s="210"/>
      <c r="R928" s="210"/>
      <c r="S928" s="210"/>
      <c r="T928" s="210"/>
      <c r="U928" s="210"/>
      <c r="V928" s="210"/>
      <c r="W928" s="210"/>
      <c r="X928" s="210"/>
      <c r="Y928" s="210"/>
      <c r="Z928" s="210"/>
      <c r="AA928" s="210"/>
      <c r="AB928" s="210"/>
      <c r="AC928" s="210"/>
      <c r="AI928" s="210"/>
      <c r="AJ928" s="210"/>
    </row>
    <row r="929" ht="12.75" customHeight="1">
      <c r="C929" s="210"/>
      <c r="D929" s="210"/>
      <c r="E929" s="210"/>
      <c r="F929" s="210"/>
      <c r="G929" s="210"/>
      <c r="H929" s="210"/>
      <c r="I929" s="210"/>
      <c r="J929" s="210"/>
      <c r="K929" s="210"/>
      <c r="L929" s="210"/>
      <c r="M929" s="210"/>
      <c r="N929" s="210"/>
      <c r="O929" s="210"/>
      <c r="P929" s="210"/>
      <c r="Q929" s="210"/>
      <c r="R929" s="210"/>
      <c r="S929" s="210"/>
      <c r="T929" s="210"/>
      <c r="U929" s="210"/>
      <c r="V929" s="210"/>
      <c r="W929" s="210"/>
      <c r="X929" s="210"/>
      <c r="Y929" s="210"/>
      <c r="Z929" s="210"/>
      <c r="AA929" s="210"/>
      <c r="AB929" s="210"/>
      <c r="AC929" s="210"/>
      <c r="AI929" s="210"/>
      <c r="AJ929" s="210"/>
    </row>
    <row r="930" ht="12.75" customHeight="1">
      <c r="C930" s="210"/>
      <c r="D930" s="210"/>
      <c r="E930" s="210"/>
      <c r="F930" s="210"/>
      <c r="G930" s="210"/>
      <c r="H930" s="210"/>
      <c r="I930" s="210"/>
      <c r="J930" s="210"/>
      <c r="K930" s="210"/>
      <c r="L930" s="210"/>
      <c r="M930" s="210"/>
      <c r="N930" s="210"/>
      <c r="O930" s="210"/>
      <c r="P930" s="210"/>
      <c r="Q930" s="210"/>
      <c r="R930" s="210"/>
      <c r="S930" s="210"/>
      <c r="T930" s="210"/>
      <c r="U930" s="210"/>
      <c r="V930" s="210"/>
      <c r="W930" s="210"/>
      <c r="X930" s="210"/>
      <c r="Y930" s="210"/>
      <c r="Z930" s="210"/>
      <c r="AA930" s="210"/>
      <c r="AB930" s="210"/>
      <c r="AC930" s="210"/>
      <c r="AI930" s="210"/>
      <c r="AJ930" s="210"/>
    </row>
    <row r="931" ht="12.75" customHeight="1">
      <c r="C931" s="210"/>
      <c r="D931" s="210"/>
      <c r="E931" s="210"/>
      <c r="F931" s="210"/>
      <c r="G931" s="210"/>
      <c r="H931" s="210"/>
      <c r="I931" s="210"/>
      <c r="J931" s="210"/>
      <c r="K931" s="210"/>
      <c r="L931" s="210"/>
      <c r="M931" s="210"/>
      <c r="N931" s="210"/>
      <c r="O931" s="210"/>
      <c r="P931" s="210"/>
      <c r="Q931" s="210"/>
      <c r="R931" s="210"/>
      <c r="S931" s="210"/>
      <c r="T931" s="210"/>
      <c r="U931" s="210"/>
      <c r="V931" s="210"/>
      <c r="W931" s="210"/>
      <c r="X931" s="210"/>
      <c r="Y931" s="210"/>
      <c r="Z931" s="210"/>
      <c r="AA931" s="210"/>
      <c r="AB931" s="210"/>
      <c r="AC931" s="210"/>
      <c r="AI931" s="210"/>
      <c r="AJ931" s="210"/>
    </row>
    <row r="932" ht="12.75" customHeight="1">
      <c r="C932" s="210"/>
      <c r="D932" s="210"/>
      <c r="E932" s="210"/>
      <c r="F932" s="210"/>
      <c r="G932" s="210"/>
      <c r="H932" s="210"/>
      <c r="I932" s="210"/>
      <c r="J932" s="210"/>
      <c r="K932" s="210"/>
      <c r="L932" s="210"/>
      <c r="M932" s="210"/>
      <c r="N932" s="210"/>
      <c r="O932" s="210"/>
      <c r="P932" s="210"/>
      <c r="Q932" s="210"/>
      <c r="R932" s="210"/>
      <c r="S932" s="210"/>
      <c r="T932" s="210"/>
      <c r="U932" s="210"/>
      <c r="V932" s="210"/>
      <c r="W932" s="210"/>
      <c r="X932" s="210"/>
      <c r="Y932" s="210"/>
      <c r="Z932" s="210"/>
      <c r="AA932" s="210"/>
      <c r="AB932" s="210"/>
      <c r="AC932" s="210"/>
      <c r="AI932" s="210"/>
      <c r="AJ932" s="210"/>
    </row>
    <row r="933" ht="12.75" customHeight="1">
      <c r="C933" s="210"/>
      <c r="D933" s="210"/>
      <c r="E933" s="210"/>
      <c r="F933" s="210"/>
      <c r="G933" s="210"/>
      <c r="H933" s="210"/>
      <c r="I933" s="210"/>
      <c r="J933" s="210"/>
      <c r="K933" s="210"/>
      <c r="L933" s="210"/>
      <c r="M933" s="210"/>
      <c r="N933" s="210"/>
      <c r="O933" s="210"/>
      <c r="P933" s="210"/>
      <c r="Q933" s="210"/>
      <c r="R933" s="210"/>
      <c r="S933" s="210"/>
      <c r="T933" s="210"/>
      <c r="U933" s="210"/>
      <c r="V933" s="210"/>
      <c r="W933" s="210"/>
      <c r="X933" s="210"/>
      <c r="Y933" s="210"/>
      <c r="Z933" s="210"/>
      <c r="AA933" s="210"/>
      <c r="AB933" s="210"/>
      <c r="AC933" s="210"/>
      <c r="AI933" s="210"/>
      <c r="AJ933" s="210"/>
    </row>
    <row r="934" ht="12.75" customHeight="1">
      <c r="C934" s="210"/>
      <c r="D934" s="210"/>
      <c r="E934" s="210"/>
      <c r="F934" s="210"/>
      <c r="G934" s="210"/>
      <c r="H934" s="210"/>
      <c r="I934" s="210"/>
      <c r="J934" s="210"/>
      <c r="K934" s="210"/>
      <c r="L934" s="210"/>
      <c r="M934" s="210"/>
      <c r="N934" s="210"/>
      <c r="O934" s="210"/>
      <c r="P934" s="210"/>
      <c r="Q934" s="210"/>
      <c r="R934" s="210"/>
      <c r="S934" s="210"/>
      <c r="T934" s="210"/>
      <c r="U934" s="210"/>
      <c r="V934" s="210"/>
      <c r="W934" s="210"/>
      <c r="X934" s="210"/>
      <c r="Y934" s="210"/>
      <c r="Z934" s="210"/>
      <c r="AA934" s="210"/>
      <c r="AB934" s="210"/>
      <c r="AC934" s="210"/>
      <c r="AI934" s="210"/>
      <c r="AJ934" s="210"/>
    </row>
    <row r="935" ht="12.75" customHeight="1">
      <c r="C935" s="210"/>
      <c r="D935" s="210"/>
      <c r="E935" s="210"/>
      <c r="F935" s="210"/>
      <c r="G935" s="210"/>
      <c r="H935" s="210"/>
      <c r="I935" s="210"/>
      <c r="J935" s="210"/>
      <c r="K935" s="210"/>
      <c r="L935" s="210"/>
      <c r="M935" s="210"/>
      <c r="N935" s="210"/>
      <c r="O935" s="210"/>
      <c r="P935" s="210"/>
      <c r="Q935" s="210"/>
      <c r="R935" s="210"/>
      <c r="S935" s="210"/>
      <c r="T935" s="210"/>
      <c r="U935" s="210"/>
      <c r="V935" s="210"/>
      <c r="W935" s="210"/>
      <c r="X935" s="210"/>
      <c r="Y935" s="210"/>
      <c r="Z935" s="210"/>
      <c r="AA935" s="210"/>
      <c r="AB935" s="210"/>
      <c r="AC935" s="210"/>
      <c r="AI935" s="210"/>
      <c r="AJ935" s="210"/>
    </row>
    <row r="936" ht="12.75" customHeight="1">
      <c r="C936" s="210"/>
      <c r="D936" s="210"/>
      <c r="E936" s="210"/>
      <c r="F936" s="210"/>
      <c r="G936" s="210"/>
      <c r="H936" s="210"/>
      <c r="I936" s="210"/>
      <c r="J936" s="210"/>
      <c r="K936" s="210"/>
      <c r="L936" s="210"/>
      <c r="M936" s="210"/>
      <c r="N936" s="210"/>
      <c r="O936" s="210"/>
      <c r="P936" s="210"/>
      <c r="Q936" s="210"/>
      <c r="R936" s="210"/>
      <c r="S936" s="210"/>
      <c r="T936" s="210"/>
      <c r="U936" s="210"/>
      <c r="V936" s="210"/>
      <c r="W936" s="210"/>
      <c r="X936" s="210"/>
      <c r="Y936" s="210"/>
      <c r="Z936" s="210"/>
      <c r="AA936" s="210"/>
      <c r="AB936" s="210"/>
      <c r="AC936" s="210"/>
      <c r="AI936" s="210"/>
      <c r="AJ936" s="210"/>
    </row>
    <row r="937" ht="12.75" customHeight="1">
      <c r="C937" s="210"/>
      <c r="D937" s="210"/>
      <c r="E937" s="210"/>
      <c r="F937" s="210"/>
      <c r="G937" s="210"/>
      <c r="H937" s="210"/>
      <c r="I937" s="210"/>
      <c r="J937" s="210"/>
      <c r="K937" s="210"/>
      <c r="L937" s="210"/>
      <c r="M937" s="210"/>
      <c r="N937" s="210"/>
      <c r="O937" s="210"/>
      <c r="P937" s="210"/>
      <c r="Q937" s="210"/>
      <c r="R937" s="210"/>
      <c r="S937" s="210"/>
      <c r="T937" s="210"/>
      <c r="U937" s="210"/>
      <c r="V937" s="210"/>
      <c r="W937" s="210"/>
      <c r="X937" s="210"/>
      <c r="Y937" s="210"/>
      <c r="Z937" s="210"/>
      <c r="AA937" s="210"/>
      <c r="AB937" s="210"/>
      <c r="AC937" s="210"/>
      <c r="AI937" s="210"/>
      <c r="AJ937" s="210"/>
    </row>
    <row r="938" ht="12.75" customHeight="1">
      <c r="C938" s="210"/>
      <c r="D938" s="210"/>
      <c r="E938" s="210"/>
      <c r="F938" s="210"/>
      <c r="G938" s="210"/>
      <c r="H938" s="210"/>
      <c r="I938" s="210"/>
      <c r="J938" s="210"/>
      <c r="K938" s="210"/>
      <c r="L938" s="210"/>
      <c r="M938" s="210"/>
      <c r="N938" s="210"/>
      <c r="O938" s="210"/>
      <c r="P938" s="210"/>
      <c r="Q938" s="210"/>
      <c r="R938" s="210"/>
      <c r="S938" s="210"/>
      <c r="T938" s="210"/>
      <c r="U938" s="210"/>
      <c r="V938" s="210"/>
      <c r="W938" s="210"/>
      <c r="X938" s="210"/>
      <c r="Y938" s="210"/>
      <c r="Z938" s="210"/>
      <c r="AA938" s="210"/>
      <c r="AB938" s="210"/>
      <c r="AC938" s="210"/>
      <c r="AI938" s="210"/>
      <c r="AJ938" s="210"/>
    </row>
    <row r="939" ht="12.75" customHeight="1">
      <c r="C939" s="210"/>
      <c r="D939" s="210"/>
      <c r="E939" s="210"/>
      <c r="F939" s="210"/>
      <c r="G939" s="210"/>
      <c r="H939" s="210"/>
      <c r="I939" s="210"/>
      <c r="J939" s="210"/>
      <c r="K939" s="210"/>
      <c r="L939" s="210"/>
      <c r="M939" s="210"/>
      <c r="N939" s="210"/>
      <c r="O939" s="210"/>
      <c r="P939" s="210"/>
      <c r="Q939" s="210"/>
      <c r="R939" s="210"/>
      <c r="S939" s="210"/>
      <c r="T939" s="210"/>
      <c r="U939" s="210"/>
      <c r="V939" s="210"/>
      <c r="W939" s="210"/>
      <c r="X939" s="210"/>
      <c r="Y939" s="210"/>
      <c r="Z939" s="210"/>
      <c r="AA939" s="210"/>
      <c r="AB939" s="210"/>
      <c r="AC939" s="210"/>
      <c r="AI939" s="210"/>
      <c r="AJ939" s="210"/>
    </row>
    <row r="940" ht="12.75" customHeight="1">
      <c r="C940" s="210"/>
      <c r="D940" s="210"/>
      <c r="E940" s="210"/>
      <c r="F940" s="210"/>
      <c r="G940" s="210"/>
      <c r="H940" s="210"/>
      <c r="I940" s="210"/>
      <c r="J940" s="210"/>
      <c r="K940" s="210"/>
      <c r="L940" s="210"/>
      <c r="M940" s="210"/>
      <c r="N940" s="210"/>
      <c r="O940" s="210"/>
      <c r="P940" s="210"/>
      <c r="Q940" s="210"/>
      <c r="R940" s="210"/>
      <c r="S940" s="210"/>
      <c r="T940" s="210"/>
      <c r="U940" s="210"/>
      <c r="V940" s="210"/>
      <c r="W940" s="210"/>
      <c r="X940" s="210"/>
      <c r="Y940" s="210"/>
      <c r="Z940" s="210"/>
      <c r="AA940" s="210"/>
      <c r="AB940" s="210"/>
      <c r="AC940" s="210"/>
      <c r="AI940" s="210"/>
      <c r="AJ940" s="210"/>
    </row>
    <row r="941" ht="12.75" customHeight="1">
      <c r="C941" s="210"/>
      <c r="D941" s="210"/>
      <c r="E941" s="210"/>
      <c r="F941" s="210"/>
      <c r="G941" s="210"/>
      <c r="H941" s="210"/>
      <c r="I941" s="210"/>
      <c r="J941" s="210"/>
      <c r="K941" s="210"/>
      <c r="L941" s="210"/>
      <c r="M941" s="210"/>
      <c r="N941" s="210"/>
      <c r="O941" s="210"/>
      <c r="P941" s="210"/>
      <c r="Q941" s="210"/>
      <c r="R941" s="210"/>
      <c r="S941" s="210"/>
      <c r="T941" s="210"/>
      <c r="U941" s="210"/>
      <c r="V941" s="210"/>
      <c r="W941" s="210"/>
      <c r="X941" s="210"/>
      <c r="Y941" s="210"/>
      <c r="Z941" s="210"/>
      <c r="AA941" s="210"/>
      <c r="AB941" s="210"/>
      <c r="AC941" s="210"/>
      <c r="AI941" s="210"/>
      <c r="AJ941" s="210"/>
    </row>
    <row r="942" ht="12.75" customHeight="1">
      <c r="C942" s="210"/>
      <c r="D942" s="210"/>
      <c r="E942" s="210"/>
      <c r="F942" s="210"/>
      <c r="G942" s="210"/>
      <c r="H942" s="210"/>
      <c r="I942" s="210"/>
      <c r="J942" s="210"/>
      <c r="K942" s="210"/>
      <c r="L942" s="210"/>
      <c r="M942" s="210"/>
      <c r="N942" s="210"/>
      <c r="O942" s="210"/>
      <c r="P942" s="210"/>
      <c r="Q942" s="210"/>
      <c r="R942" s="210"/>
      <c r="S942" s="210"/>
      <c r="T942" s="210"/>
      <c r="U942" s="210"/>
      <c r="V942" s="210"/>
      <c r="W942" s="210"/>
      <c r="X942" s="210"/>
      <c r="Y942" s="210"/>
      <c r="Z942" s="210"/>
      <c r="AA942" s="210"/>
      <c r="AB942" s="210"/>
      <c r="AC942" s="210"/>
      <c r="AI942" s="210"/>
      <c r="AJ942" s="210"/>
    </row>
    <row r="943" ht="12.75" customHeight="1">
      <c r="C943" s="210"/>
      <c r="D943" s="210"/>
      <c r="E943" s="210"/>
      <c r="F943" s="210"/>
      <c r="G943" s="210"/>
      <c r="H943" s="210"/>
      <c r="I943" s="210"/>
      <c r="J943" s="210"/>
      <c r="K943" s="210"/>
      <c r="L943" s="210"/>
      <c r="M943" s="210"/>
      <c r="N943" s="210"/>
      <c r="O943" s="210"/>
      <c r="P943" s="210"/>
      <c r="Q943" s="210"/>
      <c r="R943" s="210"/>
      <c r="S943" s="210"/>
      <c r="T943" s="210"/>
      <c r="U943" s="210"/>
      <c r="V943" s="210"/>
      <c r="W943" s="210"/>
      <c r="X943" s="210"/>
      <c r="Y943" s="210"/>
      <c r="Z943" s="210"/>
      <c r="AA943" s="210"/>
      <c r="AB943" s="210"/>
      <c r="AC943" s="210"/>
      <c r="AI943" s="210"/>
      <c r="AJ943" s="210"/>
    </row>
    <row r="944" ht="12.75" customHeight="1">
      <c r="C944" s="210"/>
      <c r="D944" s="210"/>
      <c r="E944" s="210"/>
      <c r="F944" s="210"/>
      <c r="G944" s="210"/>
      <c r="H944" s="210"/>
      <c r="I944" s="210"/>
      <c r="J944" s="210"/>
      <c r="K944" s="210"/>
      <c r="L944" s="210"/>
      <c r="M944" s="210"/>
      <c r="N944" s="210"/>
      <c r="O944" s="210"/>
      <c r="P944" s="210"/>
      <c r="Q944" s="210"/>
      <c r="R944" s="210"/>
      <c r="S944" s="210"/>
      <c r="T944" s="210"/>
      <c r="U944" s="210"/>
      <c r="V944" s="210"/>
      <c r="W944" s="210"/>
      <c r="X944" s="210"/>
      <c r="Y944" s="210"/>
      <c r="Z944" s="210"/>
      <c r="AA944" s="210"/>
      <c r="AB944" s="210"/>
      <c r="AC944" s="210"/>
      <c r="AI944" s="210"/>
      <c r="AJ944" s="210"/>
    </row>
    <row r="945" ht="12.75" customHeight="1">
      <c r="C945" s="210"/>
      <c r="D945" s="210"/>
      <c r="E945" s="210"/>
      <c r="F945" s="210"/>
      <c r="G945" s="210"/>
      <c r="H945" s="210"/>
      <c r="I945" s="210"/>
      <c r="J945" s="210"/>
      <c r="K945" s="210"/>
      <c r="L945" s="210"/>
      <c r="M945" s="210"/>
      <c r="N945" s="210"/>
      <c r="O945" s="210"/>
      <c r="P945" s="210"/>
      <c r="Q945" s="210"/>
      <c r="R945" s="210"/>
      <c r="S945" s="210"/>
      <c r="T945" s="210"/>
      <c r="U945" s="210"/>
      <c r="V945" s="210"/>
      <c r="W945" s="210"/>
      <c r="X945" s="210"/>
      <c r="Y945" s="210"/>
      <c r="Z945" s="210"/>
      <c r="AA945" s="210"/>
      <c r="AB945" s="210"/>
      <c r="AC945" s="210"/>
      <c r="AI945" s="210"/>
      <c r="AJ945" s="210"/>
    </row>
    <row r="946" ht="12.75" customHeight="1">
      <c r="C946" s="210"/>
      <c r="D946" s="210"/>
      <c r="E946" s="210"/>
      <c r="F946" s="210"/>
      <c r="G946" s="210"/>
      <c r="H946" s="210"/>
      <c r="I946" s="210"/>
      <c r="J946" s="210"/>
      <c r="K946" s="210"/>
      <c r="L946" s="210"/>
      <c r="M946" s="210"/>
      <c r="N946" s="210"/>
      <c r="O946" s="210"/>
      <c r="P946" s="210"/>
      <c r="Q946" s="210"/>
      <c r="R946" s="210"/>
      <c r="S946" s="210"/>
      <c r="T946" s="210"/>
      <c r="U946" s="210"/>
      <c r="V946" s="210"/>
      <c r="W946" s="210"/>
      <c r="X946" s="210"/>
      <c r="Y946" s="210"/>
      <c r="Z946" s="210"/>
      <c r="AA946" s="210"/>
      <c r="AB946" s="210"/>
      <c r="AC946" s="210"/>
      <c r="AI946" s="210"/>
      <c r="AJ946" s="210"/>
    </row>
    <row r="947" ht="12.75" customHeight="1">
      <c r="C947" s="210"/>
      <c r="D947" s="210"/>
      <c r="E947" s="210"/>
      <c r="F947" s="210"/>
      <c r="G947" s="210"/>
      <c r="H947" s="210"/>
      <c r="I947" s="210"/>
      <c r="J947" s="210"/>
      <c r="K947" s="210"/>
      <c r="L947" s="210"/>
      <c r="M947" s="210"/>
      <c r="N947" s="210"/>
      <c r="O947" s="210"/>
      <c r="P947" s="210"/>
      <c r="Q947" s="210"/>
      <c r="R947" s="210"/>
      <c r="S947" s="210"/>
      <c r="T947" s="210"/>
      <c r="U947" s="210"/>
      <c r="V947" s="210"/>
      <c r="W947" s="210"/>
      <c r="X947" s="210"/>
      <c r="Y947" s="210"/>
      <c r="Z947" s="210"/>
      <c r="AA947" s="210"/>
      <c r="AB947" s="210"/>
      <c r="AC947" s="210"/>
      <c r="AI947" s="210"/>
      <c r="AJ947" s="210"/>
    </row>
    <row r="948" ht="12.75" customHeight="1">
      <c r="C948" s="210"/>
      <c r="D948" s="210"/>
      <c r="E948" s="210"/>
      <c r="F948" s="210"/>
      <c r="G948" s="210"/>
      <c r="H948" s="210"/>
      <c r="I948" s="210"/>
      <c r="J948" s="210"/>
      <c r="K948" s="210"/>
      <c r="L948" s="210"/>
      <c r="M948" s="210"/>
      <c r="N948" s="210"/>
      <c r="O948" s="210"/>
      <c r="P948" s="210"/>
      <c r="Q948" s="210"/>
      <c r="R948" s="210"/>
      <c r="S948" s="210"/>
      <c r="T948" s="210"/>
      <c r="U948" s="210"/>
      <c r="V948" s="210"/>
      <c r="W948" s="210"/>
      <c r="X948" s="210"/>
      <c r="Y948" s="210"/>
      <c r="Z948" s="210"/>
      <c r="AA948" s="210"/>
      <c r="AB948" s="210"/>
      <c r="AC948" s="210"/>
      <c r="AI948" s="210"/>
      <c r="AJ948" s="210"/>
    </row>
    <row r="949" ht="12.75" customHeight="1">
      <c r="C949" s="210"/>
      <c r="D949" s="210"/>
      <c r="E949" s="210"/>
      <c r="F949" s="210"/>
      <c r="G949" s="210"/>
      <c r="H949" s="210"/>
      <c r="I949" s="210"/>
      <c r="J949" s="210"/>
      <c r="K949" s="210"/>
      <c r="L949" s="210"/>
      <c r="M949" s="210"/>
      <c r="N949" s="210"/>
      <c r="O949" s="210"/>
      <c r="P949" s="210"/>
      <c r="Q949" s="210"/>
      <c r="R949" s="210"/>
      <c r="S949" s="210"/>
      <c r="T949" s="210"/>
      <c r="U949" s="210"/>
      <c r="V949" s="210"/>
      <c r="W949" s="210"/>
      <c r="X949" s="210"/>
      <c r="Y949" s="210"/>
      <c r="Z949" s="210"/>
      <c r="AA949" s="210"/>
      <c r="AB949" s="210"/>
      <c r="AC949" s="210"/>
      <c r="AI949" s="210"/>
      <c r="AJ949" s="210"/>
    </row>
    <row r="950" ht="12.75" customHeight="1">
      <c r="C950" s="210"/>
      <c r="D950" s="210"/>
      <c r="E950" s="210"/>
      <c r="F950" s="210"/>
      <c r="G950" s="210"/>
      <c r="H950" s="210"/>
      <c r="I950" s="210"/>
      <c r="J950" s="210"/>
      <c r="K950" s="210"/>
      <c r="L950" s="210"/>
      <c r="M950" s="210"/>
      <c r="N950" s="210"/>
      <c r="O950" s="210"/>
      <c r="P950" s="210"/>
      <c r="Q950" s="210"/>
      <c r="R950" s="210"/>
      <c r="S950" s="210"/>
      <c r="T950" s="210"/>
      <c r="U950" s="210"/>
      <c r="V950" s="210"/>
      <c r="W950" s="210"/>
      <c r="X950" s="210"/>
      <c r="Y950" s="210"/>
      <c r="Z950" s="210"/>
      <c r="AA950" s="210"/>
      <c r="AB950" s="210"/>
      <c r="AC950" s="210"/>
      <c r="AI950" s="210"/>
      <c r="AJ950" s="210"/>
    </row>
    <row r="951" ht="12.75" customHeight="1">
      <c r="C951" s="210"/>
      <c r="D951" s="210"/>
      <c r="E951" s="210"/>
      <c r="F951" s="210"/>
      <c r="G951" s="210"/>
      <c r="H951" s="210"/>
      <c r="I951" s="210"/>
      <c r="J951" s="210"/>
      <c r="K951" s="210"/>
      <c r="L951" s="210"/>
      <c r="M951" s="210"/>
      <c r="N951" s="210"/>
      <c r="O951" s="210"/>
      <c r="P951" s="210"/>
      <c r="Q951" s="210"/>
      <c r="R951" s="210"/>
      <c r="S951" s="210"/>
      <c r="T951" s="210"/>
      <c r="U951" s="210"/>
      <c r="V951" s="210"/>
      <c r="W951" s="210"/>
      <c r="X951" s="210"/>
      <c r="Y951" s="210"/>
      <c r="Z951" s="210"/>
      <c r="AA951" s="210"/>
      <c r="AB951" s="210"/>
      <c r="AC951" s="210"/>
      <c r="AI951" s="210"/>
      <c r="AJ951" s="210"/>
    </row>
    <row r="952" ht="12.75" customHeight="1">
      <c r="C952" s="210"/>
      <c r="D952" s="210"/>
      <c r="E952" s="210"/>
      <c r="F952" s="210"/>
      <c r="G952" s="210"/>
      <c r="H952" s="210"/>
      <c r="I952" s="210"/>
      <c r="J952" s="210"/>
      <c r="K952" s="210"/>
      <c r="L952" s="210"/>
      <c r="M952" s="210"/>
      <c r="N952" s="210"/>
      <c r="O952" s="210"/>
      <c r="P952" s="210"/>
      <c r="Q952" s="210"/>
      <c r="R952" s="210"/>
      <c r="S952" s="210"/>
      <c r="T952" s="210"/>
      <c r="U952" s="210"/>
      <c r="V952" s="210"/>
      <c r="W952" s="210"/>
      <c r="X952" s="210"/>
      <c r="Y952" s="210"/>
      <c r="Z952" s="210"/>
      <c r="AA952" s="210"/>
      <c r="AB952" s="210"/>
      <c r="AC952" s="210"/>
      <c r="AI952" s="210"/>
      <c r="AJ952" s="210"/>
    </row>
    <row r="953" ht="12.75" customHeight="1">
      <c r="C953" s="210"/>
      <c r="D953" s="210"/>
      <c r="E953" s="210"/>
      <c r="F953" s="210"/>
      <c r="G953" s="210"/>
      <c r="H953" s="210"/>
      <c r="I953" s="210"/>
      <c r="J953" s="210"/>
      <c r="K953" s="210"/>
      <c r="L953" s="210"/>
      <c r="M953" s="210"/>
      <c r="N953" s="210"/>
      <c r="O953" s="210"/>
      <c r="P953" s="210"/>
      <c r="Q953" s="210"/>
      <c r="R953" s="210"/>
      <c r="S953" s="210"/>
      <c r="T953" s="210"/>
      <c r="U953" s="210"/>
      <c r="V953" s="210"/>
      <c r="W953" s="210"/>
      <c r="X953" s="210"/>
      <c r="Y953" s="210"/>
      <c r="Z953" s="210"/>
      <c r="AA953" s="210"/>
      <c r="AB953" s="210"/>
      <c r="AC953" s="210"/>
      <c r="AI953" s="210"/>
      <c r="AJ953" s="210"/>
    </row>
    <row r="954" ht="12.75" customHeight="1">
      <c r="C954" s="210"/>
      <c r="D954" s="210"/>
      <c r="E954" s="210"/>
      <c r="F954" s="210"/>
      <c r="G954" s="210"/>
      <c r="H954" s="210"/>
      <c r="I954" s="210"/>
      <c r="J954" s="210"/>
      <c r="K954" s="210"/>
      <c r="L954" s="210"/>
      <c r="M954" s="210"/>
      <c r="N954" s="210"/>
      <c r="O954" s="210"/>
      <c r="P954" s="210"/>
      <c r="Q954" s="210"/>
      <c r="R954" s="210"/>
      <c r="S954" s="210"/>
      <c r="T954" s="210"/>
      <c r="U954" s="210"/>
      <c r="V954" s="210"/>
      <c r="W954" s="210"/>
      <c r="X954" s="210"/>
      <c r="Y954" s="210"/>
      <c r="Z954" s="210"/>
      <c r="AA954" s="210"/>
      <c r="AB954" s="210"/>
      <c r="AC954" s="210"/>
      <c r="AI954" s="210"/>
      <c r="AJ954" s="210"/>
    </row>
    <row r="955" ht="12.75" customHeight="1">
      <c r="C955" s="210"/>
      <c r="D955" s="210"/>
      <c r="E955" s="210"/>
      <c r="F955" s="210"/>
      <c r="G955" s="210"/>
      <c r="H955" s="210"/>
      <c r="I955" s="210"/>
      <c r="J955" s="210"/>
      <c r="K955" s="210"/>
      <c r="L955" s="210"/>
      <c r="M955" s="210"/>
      <c r="N955" s="210"/>
      <c r="O955" s="210"/>
      <c r="P955" s="210"/>
      <c r="Q955" s="210"/>
      <c r="R955" s="210"/>
      <c r="S955" s="210"/>
      <c r="T955" s="210"/>
      <c r="U955" s="210"/>
      <c r="V955" s="210"/>
      <c r="W955" s="210"/>
      <c r="X955" s="210"/>
      <c r="Y955" s="210"/>
      <c r="Z955" s="210"/>
      <c r="AA955" s="210"/>
      <c r="AB955" s="210"/>
      <c r="AC955" s="210"/>
      <c r="AI955" s="210"/>
      <c r="AJ955" s="210"/>
    </row>
    <row r="956" ht="12.75" customHeight="1">
      <c r="C956" s="210"/>
      <c r="D956" s="210"/>
      <c r="E956" s="210"/>
      <c r="F956" s="210"/>
      <c r="G956" s="210"/>
      <c r="H956" s="210"/>
      <c r="I956" s="210"/>
      <c r="J956" s="210"/>
      <c r="K956" s="210"/>
      <c r="L956" s="210"/>
      <c r="M956" s="210"/>
      <c r="N956" s="210"/>
      <c r="O956" s="210"/>
      <c r="P956" s="210"/>
      <c r="Q956" s="210"/>
      <c r="R956" s="210"/>
      <c r="S956" s="210"/>
      <c r="T956" s="210"/>
      <c r="U956" s="210"/>
      <c r="V956" s="210"/>
      <c r="W956" s="210"/>
      <c r="X956" s="210"/>
      <c r="Y956" s="210"/>
      <c r="Z956" s="210"/>
      <c r="AA956" s="210"/>
      <c r="AB956" s="210"/>
      <c r="AC956" s="210"/>
      <c r="AI956" s="210"/>
      <c r="AJ956" s="210"/>
    </row>
    <row r="957" ht="12.75" customHeight="1">
      <c r="C957" s="210"/>
      <c r="D957" s="210"/>
      <c r="E957" s="210"/>
      <c r="F957" s="210"/>
      <c r="G957" s="210"/>
      <c r="H957" s="210"/>
      <c r="I957" s="210"/>
      <c r="J957" s="210"/>
      <c r="K957" s="210"/>
      <c r="L957" s="210"/>
      <c r="M957" s="210"/>
      <c r="N957" s="210"/>
      <c r="O957" s="210"/>
      <c r="P957" s="210"/>
      <c r="Q957" s="210"/>
      <c r="R957" s="210"/>
      <c r="S957" s="210"/>
      <c r="T957" s="210"/>
      <c r="U957" s="210"/>
      <c r="V957" s="210"/>
      <c r="W957" s="210"/>
      <c r="X957" s="210"/>
      <c r="Y957" s="210"/>
      <c r="Z957" s="210"/>
      <c r="AA957" s="210"/>
      <c r="AB957" s="210"/>
      <c r="AC957" s="210"/>
      <c r="AI957" s="210"/>
      <c r="AJ957" s="210"/>
    </row>
    <row r="958" ht="12.75" customHeight="1">
      <c r="C958" s="210"/>
      <c r="D958" s="210"/>
      <c r="E958" s="210"/>
      <c r="F958" s="210"/>
      <c r="G958" s="210"/>
      <c r="H958" s="210"/>
      <c r="I958" s="210"/>
      <c r="J958" s="210"/>
      <c r="K958" s="210"/>
      <c r="L958" s="210"/>
      <c r="M958" s="210"/>
      <c r="N958" s="210"/>
      <c r="O958" s="210"/>
      <c r="P958" s="210"/>
      <c r="Q958" s="210"/>
      <c r="R958" s="210"/>
      <c r="S958" s="210"/>
      <c r="T958" s="210"/>
      <c r="U958" s="210"/>
      <c r="V958" s="210"/>
      <c r="W958" s="210"/>
      <c r="X958" s="210"/>
      <c r="Y958" s="210"/>
      <c r="Z958" s="210"/>
      <c r="AA958" s="210"/>
      <c r="AB958" s="210"/>
      <c r="AC958" s="210"/>
      <c r="AI958" s="210"/>
      <c r="AJ958" s="210"/>
    </row>
    <row r="959" ht="12.75" customHeight="1">
      <c r="C959" s="210"/>
      <c r="D959" s="210"/>
      <c r="E959" s="210"/>
      <c r="F959" s="210"/>
      <c r="G959" s="210"/>
      <c r="H959" s="210"/>
      <c r="I959" s="210"/>
      <c r="J959" s="210"/>
      <c r="K959" s="210"/>
      <c r="L959" s="210"/>
      <c r="M959" s="210"/>
      <c r="N959" s="210"/>
      <c r="O959" s="210"/>
      <c r="P959" s="210"/>
      <c r="Q959" s="210"/>
      <c r="R959" s="210"/>
      <c r="S959" s="210"/>
      <c r="T959" s="210"/>
      <c r="U959" s="210"/>
      <c r="V959" s="210"/>
      <c r="W959" s="210"/>
      <c r="X959" s="210"/>
      <c r="Y959" s="210"/>
      <c r="Z959" s="210"/>
      <c r="AA959" s="210"/>
      <c r="AB959" s="210"/>
      <c r="AC959" s="210"/>
      <c r="AI959" s="210"/>
      <c r="AJ959" s="210"/>
    </row>
    <row r="960" ht="12.75" customHeight="1">
      <c r="C960" s="210"/>
      <c r="D960" s="210"/>
      <c r="E960" s="210"/>
      <c r="F960" s="210"/>
      <c r="G960" s="210"/>
      <c r="H960" s="210"/>
      <c r="I960" s="210"/>
      <c r="J960" s="210"/>
      <c r="K960" s="210"/>
      <c r="L960" s="210"/>
      <c r="M960" s="210"/>
      <c r="N960" s="210"/>
      <c r="O960" s="210"/>
      <c r="P960" s="210"/>
      <c r="Q960" s="210"/>
      <c r="R960" s="210"/>
      <c r="S960" s="210"/>
      <c r="T960" s="210"/>
      <c r="U960" s="210"/>
      <c r="V960" s="210"/>
      <c r="W960" s="210"/>
      <c r="X960" s="210"/>
      <c r="Y960" s="210"/>
      <c r="Z960" s="210"/>
      <c r="AA960" s="210"/>
      <c r="AB960" s="210"/>
      <c r="AC960" s="210"/>
      <c r="AI960" s="210"/>
      <c r="AJ960" s="210"/>
    </row>
    <row r="961" ht="12.75" customHeight="1">
      <c r="C961" s="210"/>
      <c r="D961" s="210"/>
      <c r="E961" s="210"/>
      <c r="F961" s="210"/>
      <c r="G961" s="210"/>
      <c r="H961" s="210"/>
      <c r="I961" s="210"/>
      <c r="J961" s="210"/>
      <c r="K961" s="210"/>
      <c r="L961" s="210"/>
      <c r="M961" s="210"/>
      <c r="N961" s="210"/>
      <c r="O961" s="210"/>
      <c r="P961" s="210"/>
      <c r="Q961" s="210"/>
      <c r="R961" s="210"/>
      <c r="S961" s="210"/>
      <c r="T961" s="210"/>
      <c r="U961" s="210"/>
      <c r="V961" s="210"/>
      <c r="W961" s="210"/>
      <c r="X961" s="210"/>
      <c r="Y961" s="210"/>
      <c r="Z961" s="210"/>
      <c r="AA961" s="210"/>
      <c r="AB961" s="210"/>
      <c r="AC961" s="210"/>
      <c r="AI961" s="210"/>
      <c r="AJ961" s="210"/>
    </row>
    <row r="962" ht="12.75" customHeight="1">
      <c r="C962" s="210"/>
      <c r="D962" s="210"/>
      <c r="E962" s="210"/>
      <c r="F962" s="210"/>
      <c r="G962" s="210"/>
      <c r="H962" s="210"/>
      <c r="I962" s="210"/>
      <c r="J962" s="210"/>
      <c r="K962" s="210"/>
      <c r="L962" s="210"/>
      <c r="M962" s="210"/>
      <c r="N962" s="210"/>
      <c r="O962" s="210"/>
      <c r="P962" s="210"/>
      <c r="Q962" s="210"/>
      <c r="R962" s="210"/>
      <c r="S962" s="210"/>
      <c r="T962" s="210"/>
      <c r="U962" s="210"/>
      <c r="V962" s="210"/>
      <c r="W962" s="210"/>
      <c r="X962" s="210"/>
      <c r="Y962" s="210"/>
      <c r="Z962" s="210"/>
      <c r="AA962" s="210"/>
      <c r="AB962" s="210"/>
      <c r="AC962" s="210"/>
      <c r="AI962" s="210"/>
      <c r="AJ962" s="210"/>
    </row>
    <row r="963" ht="12.75" customHeight="1">
      <c r="C963" s="210"/>
      <c r="D963" s="210"/>
      <c r="E963" s="210"/>
      <c r="F963" s="210"/>
      <c r="G963" s="210"/>
      <c r="H963" s="210"/>
      <c r="I963" s="210"/>
      <c r="J963" s="210"/>
      <c r="K963" s="210"/>
      <c r="L963" s="210"/>
      <c r="M963" s="210"/>
      <c r="N963" s="210"/>
      <c r="O963" s="210"/>
      <c r="P963" s="210"/>
      <c r="Q963" s="210"/>
      <c r="R963" s="210"/>
      <c r="S963" s="210"/>
      <c r="T963" s="210"/>
      <c r="U963" s="210"/>
      <c r="V963" s="210"/>
      <c r="W963" s="210"/>
      <c r="X963" s="210"/>
      <c r="Y963" s="210"/>
      <c r="Z963" s="210"/>
      <c r="AA963" s="210"/>
      <c r="AB963" s="210"/>
      <c r="AC963" s="210"/>
      <c r="AI963" s="210"/>
      <c r="AJ963" s="210"/>
    </row>
    <row r="964" ht="12.75" customHeight="1">
      <c r="C964" s="210"/>
      <c r="D964" s="210"/>
      <c r="E964" s="210"/>
      <c r="F964" s="210"/>
      <c r="G964" s="210"/>
      <c r="H964" s="210"/>
      <c r="I964" s="210"/>
      <c r="J964" s="210"/>
      <c r="K964" s="210"/>
      <c r="L964" s="210"/>
      <c r="M964" s="210"/>
      <c r="N964" s="210"/>
      <c r="O964" s="210"/>
      <c r="P964" s="210"/>
      <c r="Q964" s="210"/>
      <c r="R964" s="210"/>
      <c r="S964" s="210"/>
      <c r="T964" s="210"/>
      <c r="U964" s="210"/>
      <c r="V964" s="210"/>
      <c r="W964" s="210"/>
      <c r="X964" s="210"/>
      <c r="Y964" s="210"/>
      <c r="Z964" s="210"/>
      <c r="AA964" s="210"/>
      <c r="AB964" s="210"/>
      <c r="AC964" s="210"/>
      <c r="AI964" s="210"/>
      <c r="AJ964" s="210"/>
    </row>
    <row r="965" ht="12.75" customHeight="1">
      <c r="C965" s="210"/>
      <c r="D965" s="210"/>
      <c r="E965" s="210"/>
      <c r="F965" s="210"/>
      <c r="G965" s="210"/>
      <c r="H965" s="210"/>
      <c r="I965" s="210"/>
      <c r="J965" s="210"/>
      <c r="K965" s="210"/>
      <c r="L965" s="210"/>
      <c r="M965" s="210"/>
      <c r="N965" s="210"/>
      <c r="O965" s="210"/>
      <c r="P965" s="210"/>
      <c r="Q965" s="210"/>
      <c r="R965" s="210"/>
      <c r="S965" s="210"/>
      <c r="T965" s="210"/>
      <c r="U965" s="210"/>
      <c r="V965" s="210"/>
      <c r="W965" s="210"/>
      <c r="X965" s="210"/>
      <c r="Y965" s="210"/>
      <c r="Z965" s="210"/>
      <c r="AA965" s="210"/>
      <c r="AB965" s="210"/>
      <c r="AC965" s="210"/>
      <c r="AI965" s="210"/>
      <c r="AJ965" s="210"/>
    </row>
    <row r="966" ht="12.75" customHeight="1">
      <c r="C966" s="210"/>
      <c r="D966" s="210"/>
      <c r="E966" s="210"/>
      <c r="F966" s="210"/>
      <c r="G966" s="210"/>
      <c r="H966" s="210"/>
      <c r="I966" s="210"/>
      <c r="J966" s="210"/>
      <c r="K966" s="210"/>
      <c r="L966" s="210"/>
      <c r="M966" s="210"/>
      <c r="N966" s="210"/>
      <c r="O966" s="210"/>
      <c r="P966" s="210"/>
      <c r="Q966" s="210"/>
      <c r="R966" s="210"/>
      <c r="S966" s="210"/>
      <c r="T966" s="210"/>
      <c r="U966" s="210"/>
      <c r="V966" s="210"/>
      <c r="W966" s="210"/>
      <c r="X966" s="210"/>
      <c r="Y966" s="210"/>
      <c r="Z966" s="210"/>
      <c r="AA966" s="210"/>
      <c r="AB966" s="210"/>
      <c r="AC966" s="210"/>
      <c r="AI966" s="210"/>
      <c r="AJ966" s="210"/>
    </row>
    <row r="967" ht="12.75" customHeight="1">
      <c r="C967" s="210"/>
      <c r="D967" s="210"/>
      <c r="E967" s="210"/>
      <c r="F967" s="210"/>
      <c r="G967" s="210"/>
      <c r="H967" s="210"/>
      <c r="I967" s="210"/>
      <c r="J967" s="210"/>
      <c r="K967" s="210"/>
      <c r="L967" s="210"/>
      <c r="M967" s="210"/>
      <c r="N967" s="210"/>
      <c r="O967" s="210"/>
      <c r="P967" s="210"/>
      <c r="Q967" s="210"/>
      <c r="R967" s="210"/>
      <c r="S967" s="210"/>
      <c r="T967" s="210"/>
      <c r="U967" s="210"/>
      <c r="V967" s="210"/>
      <c r="W967" s="210"/>
      <c r="X967" s="210"/>
      <c r="Y967" s="210"/>
      <c r="Z967" s="210"/>
      <c r="AA967" s="210"/>
      <c r="AB967" s="210"/>
      <c r="AC967" s="210"/>
      <c r="AI967" s="210"/>
      <c r="AJ967" s="210"/>
    </row>
    <row r="968" ht="12.75" customHeight="1">
      <c r="C968" s="210"/>
      <c r="D968" s="210"/>
      <c r="E968" s="210"/>
      <c r="F968" s="210"/>
      <c r="G968" s="210"/>
      <c r="H968" s="210"/>
      <c r="I968" s="210"/>
      <c r="J968" s="210"/>
      <c r="K968" s="210"/>
      <c r="L968" s="210"/>
      <c r="M968" s="210"/>
      <c r="N968" s="210"/>
      <c r="O968" s="210"/>
      <c r="P968" s="210"/>
      <c r="Q968" s="210"/>
      <c r="R968" s="210"/>
      <c r="S968" s="210"/>
      <c r="T968" s="210"/>
      <c r="U968" s="210"/>
      <c r="V968" s="210"/>
      <c r="W968" s="210"/>
      <c r="X968" s="210"/>
      <c r="Y968" s="210"/>
      <c r="Z968" s="210"/>
      <c r="AA968" s="210"/>
      <c r="AB968" s="210"/>
      <c r="AC968" s="210"/>
      <c r="AI968" s="210"/>
      <c r="AJ968" s="210"/>
    </row>
    <row r="969" ht="12.75" customHeight="1">
      <c r="C969" s="210"/>
      <c r="D969" s="210"/>
      <c r="E969" s="210"/>
      <c r="F969" s="210"/>
      <c r="G969" s="210"/>
      <c r="H969" s="210"/>
      <c r="I969" s="210"/>
      <c r="J969" s="210"/>
      <c r="K969" s="210"/>
      <c r="L969" s="210"/>
      <c r="M969" s="210"/>
      <c r="N969" s="210"/>
      <c r="O969" s="210"/>
      <c r="P969" s="210"/>
      <c r="Q969" s="210"/>
      <c r="R969" s="210"/>
      <c r="S969" s="210"/>
      <c r="T969" s="210"/>
      <c r="U969" s="210"/>
      <c r="V969" s="210"/>
      <c r="W969" s="210"/>
      <c r="X969" s="210"/>
      <c r="Y969" s="210"/>
      <c r="Z969" s="210"/>
      <c r="AA969" s="210"/>
      <c r="AB969" s="210"/>
      <c r="AC969" s="210"/>
      <c r="AI969" s="210"/>
      <c r="AJ969" s="210"/>
    </row>
    <row r="970" ht="12.75" customHeight="1">
      <c r="C970" s="210"/>
      <c r="D970" s="210"/>
      <c r="E970" s="210"/>
      <c r="F970" s="210"/>
      <c r="G970" s="210"/>
      <c r="H970" s="210"/>
      <c r="I970" s="210"/>
      <c r="J970" s="210"/>
      <c r="K970" s="210"/>
      <c r="L970" s="210"/>
      <c r="M970" s="210"/>
      <c r="N970" s="210"/>
      <c r="O970" s="210"/>
      <c r="P970" s="210"/>
      <c r="Q970" s="210"/>
      <c r="R970" s="210"/>
      <c r="S970" s="210"/>
      <c r="T970" s="210"/>
      <c r="U970" s="210"/>
      <c r="V970" s="210"/>
      <c r="W970" s="210"/>
      <c r="X970" s="210"/>
      <c r="Y970" s="210"/>
      <c r="Z970" s="210"/>
      <c r="AA970" s="210"/>
      <c r="AB970" s="210"/>
      <c r="AC970" s="210"/>
      <c r="AI970" s="210"/>
      <c r="AJ970" s="210"/>
    </row>
    <row r="971" ht="12.75" customHeight="1">
      <c r="C971" s="210"/>
      <c r="D971" s="210"/>
      <c r="E971" s="210"/>
      <c r="F971" s="210"/>
      <c r="G971" s="210"/>
      <c r="H971" s="210"/>
      <c r="I971" s="210"/>
      <c r="J971" s="210"/>
      <c r="K971" s="210"/>
      <c r="L971" s="210"/>
      <c r="M971" s="210"/>
      <c r="N971" s="210"/>
      <c r="O971" s="210"/>
      <c r="P971" s="210"/>
      <c r="Q971" s="210"/>
      <c r="R971" s="210"/>
      <c r="S971" s="210"/>
      <c r="T971" s="210"/>
      <c r="U971" s="210"/>
      <c r="V971" s="210"/>
      <c r="W971" s="210"/>
      <c r="X971" s="210"/>
      <c r="Y971" s="210"/>
      <c r="Z971" s="210"/>
      <c r="AA971" s="210"/>
      <c r="AB971" s="210"/>
      <c r="AC971" s="210"/>
      <c r="AI971" s="210"/>
      <c r="AJ971" s="210"/>
    </row>
    <row r="972" ht="12.75" customHeight="1">
      <c r="C972" s="210"/>
      <c r="D972" s="210"/>
      <c r="E972" s="210"/>
      <c r="F972" s="210"/>
      <c r="G972" s="210"/>
      <c r="H972" s="210"/>
      <c r="I972" s="210"/>
      <c r="J972" s="210"/>
      <c r="K972" s="210"/>
      <c r="L972" s="210"/>
      <c r="M972" s="210"/>
      <c r="N972" s="210"/>
      <c r="O972" s="210"/>
      <c r="P972" s="210"/>
      <c r="Q972" s="210"/>
      <c r="R972" s="210"/>
      <c r="S972" s="210"/>
      <c r="T972" s="210"/>
      <c r="U972" s="210"/>
      <c r="V972" s="210"/>
      <c r="W972" s="210"/>
      <c r="X972" s="210"/>
      <c r="Y972" s="210"/>
      <c r="Z972" s="210"/>
      <c r="AA972" s="210"/>
      <c r="AB972" s="210"/>
      <c r="AC972" s="210"/>
      <c r="AI972" s="210"/>
      <c r="AJ972" s="210"/>
    </row>
    <row r="973" ht="12.75" customHeight="1">
      <c r="C973" s="210"/>
      <c r="D973" s="210"/>
      <c r="E973" s="210"/>
      <c r="F973" s="210"/>
      <c r="G973" s="210"/>
      <c r="H973" s="210"/>
      <c r="I973" s="210"/>
      <c r="J973" s="210"/>
      <c r="K973" s="210"/>
      <c r="L973" s="210"/>
      <c r="M973" s="210"/>
      <c r="N973" s="210"/>
      <c r="O973" s="210"/>
      <c r="P973" s="210"/>
      <c r="Q973" s="210"/>
      <c r="R973" s="210"/>
      <c r="S973" s="210"/>
      <c r="T973" s="210"/>
      <c r="U973" s="210"/>
      <c r="V973" s="210"/>
      <c r="W973" s="210"/>
      <c r="X973" s="210"/>
      <c r="Y973" s="210"/>
      <c r="Z973" s="210"/>
      <c r="AA973" s="210"/>
      <c r="AB973" s="210"/>
      <c r="AC973" s="210"/>
      <c r="AI973" s="210"/>
      <c r="AJ973" s="210"/>
    </row>
    <row r="974" ht="12.75" customHeight="1">
      <c r="C974" s="210"/>
      <c r="D974" s="210"/>
      <c r="E974" s="210"/>
      <c r="F974" s="210"/>
      <c r="G974" s="210"/>
      <c r="H974" s="210"/>
      <c r="I974" s="210"/>
      <c r="J974" s="210"/>
      <c r="K974" s="210"/>
      <c r="L974" s="210"/>
      <c r="M974" s="210"/>
      <c r="N974" s="210"/>
      <c r="O974" s="210"/>
      <c r="P974" s="210"/>
      <c r="Q974" s="210"/>
      <c r="R974" s="210"/>
      <c r="S974" s="210"/>
      <c r="T974" s="210"/>
      <c r="U974" s="210"/>
      <c r="V974" s="210"/>
      <c r="W974" s="210"/>
      <c r="X974" s="210"/>
      <c r="Y974" s="210"/>
      <c r="Z974" s="210"/>
      <c r="AA974" s="210"/>
      <c r="AB974" s="210"/>
      <c r="AC974" s="210"/>
      <c r="AI974" s="210"/>
      <c r="AJ974" s="210"/>
    </row>
    <row r="975" ht="12.75" customHeight="1">
      <c r="C975" s="210"/>
      <c r="D975" s="210"/>
      <c r="E975" s="210"/>
      <c r="F975" s="210"/>
      <c r="G975" s="210"/>
      <c r="H975" s="210"/>
      <c r="I975" s="210"/>
      <c r="J975" s="210"/>
      <c r="K975" s="210"/>
      <c r="L975" s="210"/>
      <c r="M975" s="210"/>
      <c r="N975" s="210"/>
      <c r="O975" s="210"/>
      <c r="P975" s="210"/>
      <c r="Q975" s="210"/>
      <c r="R975" s="210"/>
      <c r="S975" s="210"/>
      <c r="T975" s="210"/>
      <c r="U975" s="210"/>
      <c r="V975" s="210"/>
      <c r="W975" s="210"/>
      <c r="X975" s="210"/>
      <c r="Y975" s="210"/>
      <c r="Z975" s="210"/>
      <c r="AA975" s="210"/>
      <c r="AB975" s="210"/>
      <c r="AC975" s="210"/>
      <c r="AI975" s="210"/>
      <c r="AJ975" s="210"/>
    </row>
    <row r="976" ht="12.75" customHeight="1">
      <c r="C976" s="210"/>
      <c r="D976" s="210"/>
      <c r="E976" s="210"/>
      <c r="F976" s="210"/>
      <c r="G976" s="210"/>
      <c r="H976" s="210"/>
      <c r="I976" s="210"/>
      <c r="J976" s="210"/>
      <c r="K976" s="210"/>
      <c r="L976" s="210"/>
      <c r="M976" s="210"/>
      <c r="N976" s="210"/>
      <c r="O976" s="210"/>
      <c r="P976" s="210"/>
      <c r="Q976" s="210"/>
      <c r="R976" s="210"/>
      <c r="S976" s="210"/>
      <c r="T976" s="210"/>
      <c r="U976" s="210"/>
      <c r="V976" s="210"/>
      <c r="W976" s="210"/>
      <c r="X976" s="210"/>
      <c r="Y976" s="210"/>
      <c r="Z976" s="210"/>
      <c r="AA976" s="210"/>
      <c r="AB976" s="210"/>
      <c r="AC976" s="210"/>
      <c r="AI976" s="210"/>
      <c r="AJ976" s="210"/>
    </row>
    <row r="977" ht="12.75" customHeight="1">
      <c r="C977" s="210"/>
      <c r="D977" s="210"/>
      <c r="E977" s="210"/>
      <c r="F977" s="210"/>
      <c r="G977" s="210"/>
      <c r="H977" s="210"/>
      <c r="I977" s="210"/>
      <c r="J977" s="210"/>
      <c r="K977" s="210"/>
      <c r="L977" s="210"/>
      <c r="M977" s="210"/>
      <c r="N977" s="210"/>
      <c r="O977" s="210"/>
      <c r="P977" s="210"/>
      <c r="Q977" s="210"/>
      <c r="R977" s="210"/>
      <c r="S977" s="210"/>
      <c r="T977" s="210"/>
      <c r="U977" s="210"/>
      <c r="V977" s="210"/>
      <c r="W977" s="210"/>
      <c r="X977" s="210"/>
      <c r="Y977" s="210"/>
      <c r="Z977" s="210"/>
      <c r="AA977" s="210"/>
      <c r="AB977" s="210"/>
      <c r="AC977" s="210"/>
      <c r="AI977" s="210"/>
      <c r="AJ977" s="210"/>
    </row>
    <row r="978" ht="12.75" customHeight="1">
      <c r="C978" s="210"/>
      <c r="D978" s="210"/>
      <c r="E978" s="210"/>
      <c r="F978" s="210"/>
      <c r="G978" s="210"/>
      <c r="H978" s="210"/>
      <c r="I978" s="210"/>
      <c r="J978" s="210"/>
      <c r="K978" s="210"/>
      <c r="L978" s="210"/>
      <c r="M978" s="210"/>
      <c r="N978" s="210"/>
      <c r="O978" s="210"/>
      <c r="P978" s="210"/>
      <c r="Q978" s="210"/>
      <c r="R978" s="210"/>
      <c r="S978" s="210"/>
      <c r="T978" s="210"/>
      <c r="U978" s="210"/>
      <c r="V978" s="210"/>
      <c r="W978" s="210"/>
      <c r="X978" s="210"/>
      <c r="Y978" s="210"/>
      <c r="Z978" s="210"/>
      <c r="AA978" s="210"/>
      <c r="AB978" s="210"/>
      <c r="AC978" s="210"/>
      <c r="AI978" s="210"/>
      <c r="AJ978" s="210"/>
    </row>
    <row r="979" ht="12.75" customHeight="1">
      <c r="C979" s="210"/>
      <c r="D979" s="210"/>
      <c r="E979" s="210"/>
      <c r="F979" s="210"/>
      <c r="G979" s="210"/>
      <c r="H979" s="210"/>
      <c r="I979" s="210"/>
      <c r="J979" s="210"/>
      <c r="K979" s="210"/>
      <c r="L979" s="210"/>
      <c r="M979" s="210"/>
      <c r="N979" s="210"/>
      <c r="O979" s="210"/>
      <c r="P979" s="210"/>
      <c r="Q979" s="210"/>
      <c r="R979" s="210"/>
      <c r="S979" s="210"/>
      <c r="T979" s="210"/>
      <c r="U979" s="210"/>
      <c r="V979" s="210"/>
      <c r="W979" s="210"/>
      <c r="X979" s="210"/>
      <c r="Y979" s="210"/>
      <c r="Z979" s="210"/>
      <c r="AA979" s="210"/>
      <c r="AB979" s="210"/>
      <c r="AC979" s="210"/>
      <c r="AI979" s="210"/>
      <c r="AJ979" s="210"/>
    </row>
    <row r="980" ht="12.75" customHeight="1">
      <c r="C980" s="210"/>
      <c r="D980" s="210"/>
      <c r="E980" s="210"/>
      <c r="F980" s="210"/>
      <c r="G980" s="210"/>
      <c r="H980" s="210"/>
      <c r="I980" s="210"/>
      <c r="J980" s="210"/>
      <c r="K980" s="210"/>
      <c r="L980" s="210"/>
      <c r="M980" s="210"/>
      <c r="N980" s="210"/>
      <c r="O980" s="210"/>
      <c r="P980" s="210"/>
      <c r="Q980" s="210"/>
      <c r="R980" s="210"/>
      <c r="S980" s="210"/>
      <c r="T980" s="210"/>
      <c r="U980" s="210"/>
      <c r="V980" s="210"/>
      <c r="W980" s="210"/>
      <c r="X980" s="210"/>
      <c r="Y980" s="210"/>
      <c r="Z980" s="210"/>
      <c r="AA980" s="210"/>
      <c r="AB980" s="210"/>
      <c r="AC980" s="210"/>
      <c r="AI980" s="210"/>
      <c r="AJ980" s="210"/>
    </row>
    <row r="981" ht="12.75" customHeight="1">
      <c r="C981" s="210"/>
      <c r="D981" s="210"/>
      <c r="E981" s="210"/>
      <c r="F981" s="210"/>
      <c r="G981" s="210"/>
      <c r="H981" s="210"/>
      <c r="I981" s="210"/>
      <c r="J981" s="210"/>
      <c r="K981" s="210"/>
      <c r="L981" s="210"/>
      <c r="M981" s="210"/>
      <c r="N981" s="210"/>
      <c r="O981" s="210"/>
      <c r="P981" s="210"/>
      <c r="Q981" s="210"/>
      <c r="R981" s="210"/>
      <c r="S981" s="210"/>
      <c r="T981" s="210"/>
      <c r="U981" s="210"/>
      <c r="V981" s="210"/>
      <c r="W981" s="210"/>
      <c r="X981" s="210"/>
      <c r="Y981" s="210"/>
      <c r="Z981" s="210"/>
      <c r="AA981" s="210"/>
      <c r="AB981" s="210"/>
      <c r="AC981" s="210"/>
      <c r="AI981" s="210"/>
      <c r="AJ981" s="210"/>
    </row>
    <row r="982" ht="12.75" customHeight="1">
      <c r="C982" s="210"/>
      <c r="D982" s="210"/>
      <c r="E982" s="210"/>
      <c r="F982" s="210"/>
      <c r="G982" s="210"/>
      <c r="H982" s="210"/>
      <c r="I982" s="210"/>
      <c r="J982" s="210"/>
      <c r="K982" s="210"/>
      <c r="L982" s="210"/>
      <c r="M982" s="210"/>
      <c r="N982" s="210"/>
      <c r="O982" s="210"/>
      <c r="P982" s="210"/>
      <c r="Q982" s="210"/>
      <c r="R982" s="210"/>
      <c r="S982" s="210"/>
      <c r="T982" s="210"/>
      <c r="U982" s="210"/>
      <c r="V982" s="210"/>
      <c r="W982" s="210"/>
      <c r="X982" s="210"/>
      <c r="Y982" s="210"/>
      <c r="Z982" s="210"/>
      <c r="AA982" s="210"/>
      <c r="AB982" s="210"/>
      <c r="AC982" s="210"/>
      <c r="AI982" s="210"/>
      <c r="AJ982" s="210"/>
    </row>
    <row r="983" ht="12.75" customHeight="1">
      <c r="C983" s="210"/>
      <c r="D983" s="210"/>
      <c r="E983" s="210"/>
      <c r="F983" s="210"/>
      <c r="G983" s="210"/>
      <c r="H983" s="210"/>
      <c r="I983" s="210"/>
      <c r="J983" s="210"/>
      <c r="K983" s="210"/>
      <c r="L983" s="210"/>
      <c r="M983" s="210"/>
      <c r="N983" s="210"/>
      <c r="O983" s="210"/>
      <c r="P983" s="210"/>
      <c r="Q983" s="210"/>
      <c r="R983" s="210"/>
      <c r="S983" s="210"/>
      <c r="T983" s="210"/>
      <c r="U983" s="210"/>
      <c r="V983" s="210"/>
      <c r="W983" s="210"/>
      <c r="X983" s="210"/>
      <c r="Y983" s="210"/>
      <c r="Z983" s="210"/>
      <c r="AA983" s="210"/>
      <c r="AB983" s="210"/>
      <c r="AC983" s="210"/>
      <c r="AI983" s="210"/>
      <c r="AJ983" s="210"/>
    </row>
    <row r="984" ht="12.75" customHeight="1">
      <c r="C984" s="210"/>
      <c r="D984" s="210"/>
      <c r="E984" s="210"/>
      <c r="F984" s="210"/>
      <c r="G984" s="210"/>
      <c r="H984" s="210"/>
      <c r="I984" s="210"/>
      <c r="J984" s="210"/>
      <c r="K984" s="210"/>
      <c r="L984" s="210"/>
      <c r="M984" s="210"/>
      <c r="N984" s="210"/>
      <c r="O984" s="210"/>
      <c r="P984" s="210"/>
      <c r="Q984" s="210"/>
      <c r="R984" s="210"/>
      <c r="S984" s="210"/>
      <c r="T984" s="210"/>
      <c r="U984" s="210"/>
      <c r="V984" s="210"/>
      <c r="W984" s="210"/>
      <c r="X984" s="210"/>
      <c r="Y984" s="210"/>
      <c r="Z984" s="210"/>
      <c r="AA984" s="210"/>
      <c r="AB984" s="210"/>
      <c r="AC984" s="210"/>
      <c r="AI984" s="210"/>
      <c r="AJ984" s="210"/>
    </row>
    <row r="985" ht="12.75" customHeight="1">
      <c r="C985" s="210"/>
      <c r="D985" s="210"/>
      <c r="E985" s="210"/>
      <c r="F985" s="210"/>
      <c r="G985" s="210"/>
      <c r="H985" s="210"/>
      <c r="I985" s="210"/>
      <c r="J985" s="210"/>
      <c r="K985" s="210"/>
      <c r="L985" s="210"/>
      <c r="M985" s="210"/>
      <c r="N985" s="210"/>
      <c r="O985" s="210"/>
      <c r="P985" s="210"/>
      <c r="Q985" s="210"/>
      <c r="R985" s="210"/>
      <c r="S985" s="210"/>
      <c r="T985" s="210"/>
      <c r="U985" s="210"/>
      <c r="V985" s="210"/>
      <c r="W985" s="210"/>
      <c r="X985" s="210"/>
      <c r="Y985" s="210"/>
      <c r="Z985" s="210"/>
      <c r="AA985" s="210"/>
      <c r="AB985" s="210"/>
      <c r="AC985" s="210"/>
      <c r="AI985" s="210"/>
      <c r="AJ985" s="210"/>
    </row>
    <row r="986" ht="12.75" customHeight="1">
      <c r="C986" s="210"/>
      <c r="D986" s="210"/>
      <c r="E986" s="210"/>
      <c r="F986" s="210"/>
      <c r="G986" s="210"/>
      <c r="H986" s="210"/>
      <c r="I986" s="210"/>
      <c r="J986" s="210"/>
      <c r="K986" s="210"/>
      <c r="L986" s="210"/>
      <c r="M986" s="210"/>
      <c r="N986" s="210"/>
      <c r="O986" s="210"/>
      <c r="P986" s="210"/>
      <c r="Q986" s="210"/>
      <c r="R986" s="210"/>
      <c r="S986" s="210"/>
      <c r="T986" s="210"/>
      <c r="U986" s="210"/>
      <c r="V986" s="210"/>
      <c r="W986" s="210"/>
      <c r="X986" s="210"/>
      <c r="Y986" s="210"/>
      <c r="Z986" s="210"/>
      <c r="AA986" s="210"/>
      <c r="AB986" s="210"/>
      <c r="AC986" s="210"/>
      <c r="AI986" s="210"/>
      <c r="AJ986" s="210"/>
    </row>
    <row r="987" ht="12.75" customHeight="1">
      <c r="C987" s="210"/>
      <c r="D987" s="210"/>
      <c r="E987" s="210"/>
      <c r="F987" s="210"/>
      <c r="G987" s="210"/>
      <c r="H987" s="210"/>
      <c r="I987" s="210"/>
      <c r="J987" s="210"/>
      <c r="K987" s="210"/>
      <c r="L987" s="210"/>
      <c r="M987" s="210"/>
      <c r="N987" s="210"/>
      <c r="O987" s="210"/>
      <c r="P987" s="210"/>
      <c r="Q987" s="210"/>
      <c r="R987" s="210"/>
      <c r="S987" s="210"/>
      <c r="T987" s="210"/>
      <c r="U987" s="210"/>
      <c r="V987" s="210"/>
      <c r="W987" s="210"/>
      <c r="X987" s="210"/>
      <c r="Y987" s="210"/>
      <c r="Z987" s="210"/>
      <c r="AA987" s="210"/>
      <c r="AB987" s="210"/>
      <c r="AC987" s="210"/>
      <c r="AI987" s="210"/>
      <c r="AJ987" s="210"/>
    </row>
    <row r="988" ht="12.75" customHeight="1">
      <c r="C988" s="210"/>
      <c r="D988" s="210"/>
      <c r="E988" s="210"/>
      <c r="F988" s="210"/>
      <c r="G988" s="210"/>
      <c r="H988" s="210"/>
      <c r="I988" s="210"/>
      <c r="J988" s="210"/>
      <c r="K988" s="210"/>
      <c r="L988" s="210"/>
      <c r="M988" s="210"/>
      <c r="N988" s="210"/>
      <c r="O988" s="210"/>
      <c r="P988" s="210"/>
      <c r="Q988" s="210"/>
      <c r="R988" s="210"/>
      <c r="S988" s="210"/>
      <c r="T988" s="210"/>
      <c r="U988" s="210"/>
      <c r="V988" s="210"/>
      <c r="W988" s="210"/>
      <c r="X988" s="210"/>
      <c r="Y988" s="210"/>
      <c r="Z988" s="210"/>
      <c r="AA988" s="210"/>
      <c r="AB988" s="210"/>
      <c r="AC988" s="210"/>
      <c r="AI988" s="210"/>
      <c r="AJ988" s="210"/>
    </row>
    <row r="989" ht="12.75" customHeight="1">
      <c r="C989" s="210"/>
      <c r="D989" s="210"/>
      <c r="E989" s="210"/>
      <c r="F989" s="210"/>
      <c r="G989" s="210"/>
      <c r="H989" s="210"/>
      <c r="I989" s="210"/>
      <c r="J989" s="210"/>
      <c r="K989" s="210"/>
      <c r="L989" s="210"/>
      <c r="M989" s="210"/>
      <c r="N989" s="210"/>
      <c r="O989" s="210"/>
      <c r="P989" s="210"/>
      <c r="Q989" s="210"/>
      <c r="R989" s="210"/>
      <c r="S989" s="210"/>
      <c r="T989" s="210"/>
      <c r="U989" s="210"/>
      <c r="V989" s="210"/>
      <c r="W989" s="210"/>
      <c r="X989" s="210"/>
      <c r="Y989" s="210"/>
      <c r="Z989" s="210"/>
      <c r="AA989" s="210"/>
      <c r="AB989" s="210"/>
      <c r="AC989" s="210"/>
      <c r="AI989" s="210"/>
      <c r="AJ989" s="210"/>
    </row>
    <row r="990" ht="12.75" customHeight="1">
      <c r="C990" s="210"/>
      <c r="D990" s="210"/>
      <c r="E990" s="210"/>
      <c r="F990" s="210"/>
      <c r="G990" s="210"/>
      <c r="H990" s="210"/>
      <c r="I990" s="210"/>
      <c r="J990" s="210"/>
      <c r="K990" s="210"/>
      <c r="L990" s="210"/>
      <c r="M990" s="210"/>
      <c r="N990" s="210"/>
      <c r="O990" s="210"/>
      <c r="P990" s="210"/>
      <c r="Q990" s="210"/>
      <c r="R990" s="210"/>
      <c r="S990" s="210"/>
      <c r="T990" s="210"/>
      <c r="U990" s="210"/>
      <c r="V990" s="210"/>
      <c r="W990" s="210"/>
      <c r="X990" s="210"/>
      <c r="Y990" s="210"/>
      <c r="Z990" s="210"/>
      <c r="AA990" s="210"/>
      <c r="AB990" s="210"/>
      <c r="AC990" s="210"/>
      <c r="AI990" s="210"/>
      <c r="AJ990" s="210"/>
    </row>
    <row r="991" ht="12.75" customHeight="1">
      <c r="C991" s="210"/>
      <c r="D991" s="210"/>
      <c r="E991" s="210"/>
      <c r="F991" s="210"/>
      <c r="G991" s="210"/>
      <c r="H991" s="210"/>
      <c r="I991" s="210"/>
      <c r="J991" s="210"/>
      <c r="K991" s="210"/>
      <c r="L991" s="210"/>
      <c r="M991" s="210"/>
      <c r="N991" s="210"/>
      <c r="O991" s="210"/>
      <c r="P991" s="210"/>
      <c r="Q991" s="210"/>
      <c r="R991" s="210"/>
      <c r="S991" s="210"/>
      <c r="T991" s="210"/>
      <c r="U991" s="210"/>
      <c r="V991" s="210"/>
      <c r="W991" s="210"/>
      <c r="X991" s="210"/>
      <c r="Y991" s="210"/>
      <c r="Z991" s="210"/>
      <c r="AA991" s="210"/>
      <c r="AB991" s="210"/>
      <c r="AC991" s="210"/>
      <c r="AI991" s="210"/>
      <c r="AJ991" s="210"/>
    </row>
    <row r="992" ht="12.75" customHeight="1">
      <c r="C992" s="210"/>
      <c r="D992" s="210"/>
      <c r="E992" s="210"/>
      <c r="F992" s="210"/>
      <c r="G992" s="210"/>
      <c r="H992" s="210"/>
      <c r="I992" s="210"/>
      <c r="J992" s="210"/>
      <c r="K992" s="210"/>
      <c r="L992" s="210"/>
      <c r="M992" s="210"/>
      <c r="N992" s="210"/>
      <c r="O992" s="210"/>
      <c r="P992" s="210"/>
      <c r="Q992" s="210"/>
      <c r="R992" s="210"/>
      <c r="S992" s="210"/>
      <c r="T992" s="210"/>
      <c r="U992" s="210"/>
      <c r="V992" s="210"/>
      <c r="W992" s="210"/>
      <c r="X992" s="210"/>
      <c r="Y992" s="210"/>
      <c r="Z992" s="210"/>
      <c r="AA992" s="210"/>
      <c r="AB992" s="210"/>
      <c r="AC992" s="210"/>
      <c r="AI992" s="210"/>
      <c r="AJ992" s="210"/>
    </row>
    <row r="993" ht="12.75" customHeight="1">
      <c r="C993" s="210"/>
      <c r="D993" s="210"/>
      <c r="E993" s="210"/>
      <c r="F993" s="210"/>
      <c r="G993" s="210"/>
      <c r="H993" s="210"/>
      <c r="I993" s="210"/>
      <c r="J993" s="210"/>
      <c r="K993" s="210"/>
      <c r="L993" s="210"/>
      <c r="M993" s="210"/>
      <c r="N993" s="210"/>
      <c r="O993" s="210"/>
      <c r="P993" s="210"/>
      <c r="Q993" s="210"/>
      <c r="R993" s="210"/>
      <c r="S993" s="210"/>
      <c r="T993" s="210"/>
      <c r="U993" s="210"/>
      <c r="V993" s="210"/>
      <c r="W993" s="210"/>
      <c r="X993" s="210"/>
      <c r="Y993" s="210"/>
      <c r="Z993" s="210"/>
      <c r="AA993" s="210"/>
      <c r="AB993" s="210"/>
      <c r="AC993" s="210"/>
      <c r="AI993" s="210"/>
      <c r="AJ993" s="210"/>
    </row>
    <row r="994" ht="12.75" customHeight="1">
      <c r="C994" s="210"/>
      <c r="D994" s="210"/>
      <c r="E994" s="210"/>
      <c r="F994" s="210"/>
      <c r="G994" s="210"/>
      <c r="H994" s="210"/>
      <c r="I994" s="210"/>
      <c r="J994" s="210"/>
      <c r="K994" s="210"/>
      <c r="L994" s="210"/>
      <c r="M994" s="210"/>
      <c r="N994" s="210"/>
      <c r="O994" s="210"/>
      <c r="P994" s="210"/>
      <c r="Q994" s="210"/>
      <c r="R994" s="210"/>
      <c r="S994" s="210"/>
      <c r="T994" s="210"/>
      <c r="U994" s="210"/>
      <c r="V994" s="210"/>
      <c r="W994" s="210"/>
      <c r="X994" s="210"/>
      <c r="Y994" s="210"/>
      <c r="Z994" s="210"/>
      <c r="AA994" s="210"/>
      <c r="AB994" s="210"/>
      <c r="AC994" s="210"/>
      <c r="AI994" s="210"/>
      <c r="AJ994" s="210"/>
    </row>
    <row r="995" ht="12.75" customHeight="1">
      <c r="C995" s="210"/>
      <c r="D995" s="210"/>
      <c r="E995" s="210"/>
      <c r="F995" s="210"/>
      <c r="G995" s="210"/>
      <c r="H995" s="210"/>
      <c r="I995" s="210"/>
      <c r="J995" s="210"/>
      <c r="K995" s="210"/>
      <c r="L995" s="210"/>
      <c r="M995" s="210"/>
      <c r="N995" s="210"/>
      <c r="O995" s="210"/>
      <c r="P995" s="210"/>
      <c r="Q995" s="210"/>
      <c r="R995" s="210"/>
      <c r="S995" s="210"/>
      <c r="T995" s="210"/>
      <c r="U995" s="210"/>
      <c r="V995" s="210"/>
      <c r="W995" s="210"/>
      <c r="X995" s="210"/>
      <c r="Y995" s="210"/>
      <c r="Z995" s="210"/>
      <c r="AA995" s="210"/>
      <c r="AB995" s="210"/>
      <c r="AC995" s="210"/>
      <c r="AI995" s="210"/>
      <c r="AJ995" s="210"/>
    </row>
    <row r="996" ht="12.75" customHeight="1">
      <c r="C996" s="210"/>
      <c r="D996" s="210"/>
      <c r="E996" s="210"/>
      <c r="F996" s="210"/>
      <c r="G996" s="210"/>
      <c r="H996" s="210"/>
      <c r="I996" s="210"/>
      <c r="J996" s="210"/>
      <c r="K996" s="210"/>
      <c r="L996" s="210"/>
      <c r="M996" s="210"/>
      <c r="N996" s="210"/>
      <c r="O996" s="210"/>
      <c r="P996" s="210"/>
      <c r="Q996" s="210"/>
      <c r="R996" s="210"/>
      <c r="S996" s="210"/>
      <c r="T996" s="210"/>
      <c r="U996" s="210"/>
      <c r="V996" s="210"/>
      <c r="W996" s="210"/>
      <c r="X996" s="210"/>
      <c r="Y996" s="210"/>
      <c r="Z996" s="210"/>
      <c r="AA996" s="210"/>
      <c r="AB996" s="210"/>
      <c r="AC996" s="210"/>
      <c r="AI996" s="210"/>
      <c r="AJ996" s="210"/>
    </row>
    <row r="997" ht="12.75" customHeight="1">
      <c r="C997" s="210"/>
      <c r="D997" s="210"/>
      <c r="E997" s="210"/>
      <c r="F997" s="210"/>
      <c r="G997" s="210"/>
      <c r="H997" s="210"/>
      <c r="I997" s="210"/>
      <c r="J997" s="210"/>
      <c r="K997" s="210"/>
      <c r="L997" s="210"/>
      <c r="M997" s="210"/>
      <c r="N997" s="210"/>
      <c r="O997" s="210"/>
      <c r="P997" s="210"/>
      <c r="Q997" s="210"/>
      <c r="R997" s="210"/>
      <c r="S997" s="210"/>
      <c r="T997" s="210"/>
      <c r="U997" s="210"/>
      <c r="V997" s="210"/>
      <c r="W997" s="210"/>
      <c r="X997" s="210"/>
      <c r="Y997" s="210"/>
      <c r="Z997" s="210"/>
      <c r="AA997" s="210"/>
      <c r="AB997" s="210"/>
      <c r="AC997" s="210"/>
      <c r="AI997" s="210"/>
      <c r="AJ997" s="210"/>
    </row>
    <row r="998" ht="12.75" customHeight="1">
      <c r="C998" s="210"/>
      <c r="D998" s="210"/>
      <c r="E998" s="210"/>
      <c r="F998" s="210"/>
      <c r="G998" s="210"/>
      <c r="H998" s="210"/>
      <c r="I998" s="210"/>
      <c r="J998" s="210"/>
      <c r="K998" s="210"/>
      <c r="L998" s="210"/>
      <c r="M998" s="210"/>
      <c r="N998" s="210"/>
      <c r="O998" s="210"/>
      <c r="P998" s="210"/>
      <c r="Q998" s="210"/>
      <c r="R998" s="210"/>
      <c r="S998" s="210"/>
      <c r="T998" s="210"/>
      <c r="U998" s="210"/>
      <c r="V998" s="210"/>
      <c r="W998" s="210"/>
      <c r="X998" s="210"/>
      <c r="Y998" s="210"/>
      <c r="Z998" s="210"/>
      <c r="AA998" s="210"/>
      <c r="AB998" s="210"/>
      <c r="AC998" s="210"/>
      <c r="AI998" s="210"/>
      <c r="AJ998" s="210"/>
    </row>
    <row r="999" ht="12.75" customHeight="1">
      <c r="C999" s="210"/>
      <c r="D999" s="210"/>
      <c r="E999" s="210"/>
      <c r="F999" s="210"/>
      <c r="G999" s="210"/>
      <c r="H999" s="210"/>
      <c r="I999" s="210"/>
      <c r="J999" s="210"/>
      <c r="K999" s="210"/>
      <c r="L999" s="210"/>
      <c r="M999" s="210"/>
      <c r="N999" s="210"/>
      <c r="O999" s="210"/>
      <c r="P999" s="210"/>
      <c r="Q999" s="210"/>
      <c r="R999" s="210"/>
      <c r="S999" s="210"/>
      <c r="T999" s="210"/>
      <c r="U999" s="210"/>
      <c r="V999" s="210"/>
      <c r="W999" s="210"/>
      <c r="X999" s="210"/>
      <c r="Y999" s="210"/>
      <c r="Z999" s="210"/>
      <c r="AA999" s="210"/>
      <c r="AB999" s="210"/>
      <c r="AC999" s="210"/>
      <c r="AI999" s="210"/>
      <c r="AJ999" s="210"/>
    </row>
    <row r="1000" ht="12.75" customHeight="1">
      <c r="C1000" s="210"/>
      <c r="D1000" s="210"/>
      <c r="E1000" s="210"/>
      <c r="F1000" s="210"/>
      <c r="G1000" s="210"/>
      <c r="H1000" s="210"/>
      <c r="I1000" s="210"/>
      <c r="J1000" s="210"/>
      <c r="K1000" s="210"/>
      <c r="L1000" s="210"/>
      <c r="M1000" s="210"/>
      <c r="N1000" s="210"/>
      <c r="O1000" s="210"/>
      <c r="P1000" s="210"/>
      <c r="Q1000" s="210"/>
      <c r="R1000" s="210"/>
      <c r="S1000" s="210"/>
      <c r="T1000" s="210"/>
      <c r="U1000" s="210"/>
      <c r="V1000" s="210"/>
      <c r="W1000" s="210"/>
      <c r="X1000" s="210"/>
      <c r="Y1000" s="210"/>
      <c r="Z1000" s="210"/>
      <c r="AA1000" s="210"/>
      <c r="AB1000" s="210"/>
      <c r="AC1000" s="210"/>
      <c r="AI1000" s="210"/>
      <c r="AJ1000" s="210"/>
    </row>
  </sheetData>
  <printOptions/>
  <pageMargins bottom="0.75" footer="0.0" header="0.0" left="0.7" right="0.7" top="0.75"/>
  <pageSetup orientation="portrait"/>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86"/>
    <col customWidth="1" min="2" max="23" width="12.14"/>
    <col customWidth="1" min="24" max="29" width="10.57"/>
    <col customWidth="1" min="30" max="30" width="18.14"/>
    <col customWidth="1" min="31" max="31" width="18.43"/>
    <col customWidth="1" min="32" max="32" width="23.43"/>
    <col customWidth="1" min="33" max="33" width="27.29"/>
    <col customWidth="1" min="34" max="34" width="29.0"/>
    <col customWidth="1" min="35" max="36" width="20.86"/>
    <col customWidth="1" min="37" max="38" width="15.14"/>
    <col customWidth="1" min="39" max="39" width="23.43"/>
    <col customWidth="1" min="40" max="40" width="19.43"/>
    <col customWidth="1" min="41" max="41" width="21.0"/>
    <col customWidth="1" min="42" max="42" width="19.43"/>
    <col customWidth="1" min="43" max="43" width="21.0"/>
    <col customWidth="1" min="44" max="44" width="23.43"/>
    <col customWidth="1" min="45" max="45" width="19.43"/>
    <col customWidth="1" min="46" max="46" width="21.0"/>
    <col customWidth="1" min="47" max="60" width="8.71"/>
    <col customWidth="1" min="61" max="61" width="12.86"/>
  </cols>
  <sheetData>
    <row r="1" ht="12.75" customHeight="1">
      <c r="A1" s="207" t="s">
        <v>2</v>
      </c>
      <c r="B1" s="207" t="s">
        <v>1217</v>
      </c>
      <c r="C1" s="208" t="s">
        <v>1219</v>
      </c>
      <c r="D1" s="208" t="s">
        <v>1220</v>
      </c>
      <c r="E1" s="208" t="s">
        <v>1221</v>
      </c>
      <c r="F1" s="208" t="s">
        <v>1222</v>
      </c>
      <c r="G1" s="208" t="s">
        <v>1223</v>
      </c>
      <c r="H1" s="208" t="s">
        <v>1224</v>
      </c>
      <c r="I1" s="208" t="s">
        <v>1225</v>
      </c>
      <c r="J1" s="208" t="s">
        <v>1226</v>
      </c>
      <c r="K1" s="208" t="s">
        <v>1227</v>
      </c>
      <c r="L1" s="208" t="s">
        <v>1228</v>
      </c>
      <c r="M1" s="208" t="s">
        <v>1229</v>
      </c>
      <c r="N1" s="208" t="s">
        <v>1230</v>
      </c>
      <c r="O1" s="208" t="s">
        <v>1231</v>
      </c>
      <c r="P1" s="208" t="s">
        <v>1232</v>
      </c>
      <c r="Q1" s="208" t="s">
        <v>1233</v>
      </c>
      <c r="R1" s="208" t="s">
        <v>1234</v>
      </c>
      <c r="S1" s="208" t="s">
        <v>1235</v>
      </c>
      <c r="T1" s="208" t="s">
        <v>1236</v>
      </c>
      <c r="U1" s="208" t="s">
        <v>1237</v>
      </c>
      <c r="V1" s="208" t="s">
        <v>1238</v>
      </c>
      <c r="W1" s="208" t="s">
        <v>1239</v>
      </c>
      <c r="X1" s="208" t="s">
        <v>1240</v>
      </c>
      <c r="Y1" s="208" t="s">
        <v>1241</v>
      </c>
      <c r="Z1" s="209"/>
      <c r="AA1" s="209"/>
      <c r="AB1" s="209"/>
      <c r="AC1" s="209"/>
      <c r="AD1" s="205" t="s">
        <v>1242</v>
      </c>
      <c r="AE1" s="205" t="s">
        <v>1243</v>
      </c>
      <c r="AF1" s="209" t="s">
        <v>1244</v>
      </c>
      <c r="AG1" s="205" t="s">
        <v>1245</v>
      </c>
      <c r="AH1" s="205" t="s">
        <v>1246</v>
      </c>
      <c r="AI1" s="210"/>
      <c r="AJ1" s="210"/>
      <c r="AK1" s="205" t="s">
        <v>1247</v>
      </c>
      <c r="AL1" s="205" t="s">
        <v>1248</v>
      </c>
      <c r="AM1" s="209" t="s">
        <v>1249</v>
      </c>
      <c r="AN1" s="205" t="s">
        <v>1250</v>
      </c>
      <c r="AO1" s="205" t="s">
        <v>1251</v>
      </c>
      <c r="AP1" s="205" t="s">
        <v>1250</v>
      </c>
      <c r="AQ1" s="205" t="s">
        <v>1251</v>
      </c>
      <c r="AR1" s="209" t="s">
        <v>1252</v>
      </c>
      <c r="AS1" s="205" t="s">
        <v>1250</v>
      </c>
      <c r="AT1" s="205" t="s">
        <v>1251</v>
      </c>
      <c r="BI1" s="199" t="s">
        <v>1253</v>
      </c>
    </row>
    <row r="2" ht="12.75" customHeight="1">
      <c r="A2" s="5">
        <f>companies!A2</f>
        <v>1</v>
      </c>
      <c r="B2" s="200" t="s">
        <v>1254</v>
      </c>
      <c r="C2" s="211">
        <v>4790000.0</v>
      </c>
      <c r="D2" s="211">
        <v>1480000.0</v>
      </c>
      <c r="E2" s="211">
        <v>1480000.0</v>
      </c>
      <c r="F2" s="211"/>
      <c r="G2" s="211"/>
      <c r="H2" s="211"/>
      <c r="I2" s="211"/>
      <c r="J2" s="211"/>
      <c r="K2" s="211"/>
      <c r="L2" s="211"/>
      <c r="M2" s="212"/>
      <c r="N2" s="212"/>
      <c r="O2" s="212"/>
      <c r="P2" s="212"/>
      <c r="Q2" s="212"/>
      <c r="R2" s="211"/>
      <c r="S2" s="212"/>
      <c r="T2" s="212"/>
      <c r="U2" s="212"/>
      <c r="V2" s="212"/>
      <c r="W2" s="211">
        <v>9530000.0</v>
      </c>
      <c r="X2" s="200">
        <v>1480000.0</v>
      </c>
      <c r="Y2" s="200">
        <v>1.58E7</v>
      </c>
      <c r="Z2" s="200"/>
      <c r="AA2" s="200"/>
      <c r="AB2" s="200"/>
      <c r="AC2" s="200"/>
      <c r="AD2" s="213" t="s">
        <v>683</v>
      </c>
      <c r="AE2" s="213" t="s">
        <v>683</v>
      </c>
      <c r="AF2" s="214" t="str">
        <f>Table1[[#This Row],[2019 Scope 1 (MeT Co2)]]</f>
        <v>#ERROR!</v>
      </c>
      <c r="AG2" s="215" t="str">
        <f t="shared" ref="AG2:AG101" si="1">C2-AF2</f>
        <v>#ERROR!</v>
      </c>
      <c r="AH2" s="216" t="str">
        <f t="shared" ref="AH2:AH101" si="2">AG2/C2</f>
        <v>#ERROR!</v>
      </c>
      <c r="AI2" s="210"/>
      <c r="AJ2" s="210"/>
      <c r="AK2" s="213" t="s">
        <v>683</v>
      </c>
      <c r="AL2" s="213" t="s">
        <v>683</v>
      </c>
      <c r="AM2" s="214" t="str">
        <f>Table1[[#This Row],[2019 Scope 2 ]]</f>
        <v>#ERROR!</v>
      </c>
      <c r="AN2" s="215" t="str">
        <f t="shared" ref="AN2:AN101" si="3">D2-AM2</f>
        <v>#ERROR!</v>
      </c>
      <c r="AO2" s="216" t="str">
        <f t="shared" ref="AO2:AO101" si="4">AN2/D2</f>
        <v>#ERROR!</v>
      </c>
      <c r="AP2" s="215" t="str">
        <f t="shared" ref="AP2:AP101" si="5">AM2-E2</f>
        <v>#ERROR!</v>
      </c>
      <c r="AQ2" s="216" t="str">
        <f t="shared" ref="AQ2:AQ101" si="6">AP2/E2</f>
        <v>#ERROR!</v>
      </c>
      <c r="AR2" s="217" t="str">
        <f>Table1[[#This Row],[2019 Scope 3 ]]</f>
        <v>#ERROR!</v>
      </c>
      <c r="AS2" s="218" t="str">
        <f t="shared" ref="AS2:AS101" si="7">W2-AR2</f>
        <v>#ERROR!</v>
      </c>
      <c r="AT2" s="219" t="str">
        <f t="shared" ref="AT2:AT101" si="8">AS2/W2</f>
        <v>#ERROR!</v>
      </c>
      <c r="BI2" s="4">
        <v>285.0</v>
      </c>
    </row>
    <row r="3" ht="12.75" customHeight="1">
      <c r="A3" s="5">
        <f>companies!A3</f>
        <v>2</v>
      </c>
      <c r="B3" s="200" t="s">
        <v>1254</v>
      </c>
      <c r="C3" s="211">
        <v>525000.0</v>
      </c>
      <c r="D3" s="211">
        <v>506000.0</v>
      </c>
      <c r="E3" s="211">
        <v>506000.0</v>
      </c>
      <c r="F3" s="211"/>
      <c r="G3" s="211"/>
      <c r="H3" s="211"/>
      <c r="I3" s="211"/>
      <c r="J3" s="211"/>
      <c r="K3" s="211"/>
      <c r="L3" s="211"/>
      <c r="M3" s="212"/>
      <c r="N3" s="212"/>
      <c r="O3" s="212"/>
      <c r="P3" s="212"/>
      <c r="Q3" s="212"/>
      <c r="R3" s="211"/>
      <c r="S3" s="212"/>
      <c r="T3" s="212"/>
      <c r="U3" s="212"/>
      <c r="V3" s="212"/>
      <c r="W3" s="211">
        <v>1.3678E7</v>
      </c>
      <c r="X3" s="200">
        <v>506000.0</v>
      </c>
      <c r="Y3" s="200">
        <v>1.4709E7</v>
      </c>
      <c r="Z3" s="200"/>
      <c r="AA3" s="200"/>
      <c r="AB3" s="200"/>
      <c r="AC3" s="200"/>
      <c r="AD3" s="213" t="s">
        <v>1255</v>
      </c>
      <c r="AE3" s="213" t="s">
        <v>1256</v>
      </c>
      <c r="AF3" s="214" t="str">
        <f>Table1[[#This Row],[2019 Scope 1 (MeT Co2)]]</f>
        <v>#ERROR!</v>
      </c>
      <c r="AG3" s="215" t="str">
        <f t="shared" si="1"/>
        <v>#ERROR!</v>
      </c>
      <c r="AH3" s="216" t="str">
        <f t="shared" si="2"/>
        <v>#ERROR!</v>
      </c>
      <c r="AI3" s="210"/>
      <c r="AJ3" s="210"/>
      <c r="AK3" s="213" t="s">
        <v>1255</v>
      </c>
      <c r="AL3" s="213" t="s">
        <v>1256</v>
      </c>
      <c r="AM3" s="214" t="str">
        <f>Table1[[#This Row],[2019 Scope 2 ]]</f>
        <v>#ERROR!</v>
      </c>
      <c r="AN3" s="215" t="str">
        <f t="shared" si="3"/>
        <v>#ERROR!</v>
      </c>
      <c r="AO3" s="216" t="str">
        <f t="shared" si="4"/>
        <v>#ERROR!</v>
      </c>
      <c r="AP3" s="215" t="str">
        <f t="shared" si="5"/>
        <v>#ERROR!</v>
      </c>
      <c r="AQ3" s="216" t="str">
        <f t="shared" si="6"/>
        <v>#ERROR!</v>
      </c>
      <c r="AR3" s="217" t="str">
        <f>Table1[[#This Row],[2019 Scope 3 ]]</f>
        <v>#ERROR!</v>
      </c>
      <c r="AS3" s="218" t="str">
        <f t="shared" si="7"/>
        <v>#ERROR!</v>
      </c>
      <c r="AT3" s="219" t="str">
        <f t="shared" si="8"/>
        <v>#ERROR!</v>
      </c>
      <c r="BI3" s="4">
        <v>64.0</v>
      </c>
    </row>
    <row r="4" ht="12.75" customHeight="1">
      <c r="A4" s="5">
        <f>companies!A4</f>
        <v>3</v>
      </c>
      <c r="B4" s="200" t="s">
        <v>1254</v>
      </c>
      <c r="C4" s="211">
        <v>311000.0</v>
      </c>
      <c r="D4" s="211">
        <v>271000.0</v>
      </c>
      <c r="E4" s="211">
        <v>271000.0</v>
      </c>
      <c r="F4" s="211"/>
      <c r="G4" s="211"/>
      <c r="H4" s="211"/>
      <c r="I4" s="211"/>
      <c r="J4" s="211"/>
      <c r="K4" s="211"/>
      <c r="L4" s="211"/>
      <c r="M4" s="212"/>
      <c r="N4" s="212"/>
      <c r="O4" s="212"/>
      <c r="P4" s="212"/>
      <c r="Q4" s="212"/>
      <c r="R4" s="211"/>
      <c r="S4" s="212"/>
      <c r="T4" s="212"/>
      <c r="U4" s="212"/>
      <c r="V4" s="212"/>
      <c r="W4" s="211">
        <v>1048565.0</v>
      </c>
      <c r="X4" s="200">
        <v>271000.0</v>
      </c>
      <c r="Y4" s="200">
        <v>1630565.0</v>
      </c>
      <c r="Z4" s="200"/>
      <c r="AA4" s="200"/>
      <c r="AB4" s="200"/>
      <c r="AC4" s="200"/>
      <c r="AD4" s="213" t="s">
        <v>683</v>
      </c>
      <c r="AE4" s="213" t="s">
        <v>683</v>
      </c>
      <c r="AF4" s="214" t="str">
        <f>Table1[[#This Row],[2019 Scope 1 (MeT Co2)]]</f>
        <v>#ERROR!</v>
      </c>
      <c r="AG4" s="215" t="str">
        <f t="shared" si="1"/>
        <v>#ERROR!</v>
      </c>
      <c r="AH4" s="216" t="str">
        <f t="shared" si="2"/>
        <v>#ERROR!</v>
      </c>
      <c r="AI4" s="210"/>
      <c r="AJ4" s="210"/>
      <c r="AK4" s="213" t="s">
        <v>683</v>
      </c>
      <c r="AL4" s="213" t="s">
        <v>683</v>
      </c>
      <c r="AM4" s="214" t="str">
        <f>Table1[[#This Row],[2019 Scope 2 ]]</f>
        <v>#ERROR!</v>
      </c>
      <c r="AN4" s="215" t="str">
        <f t="shared" si="3"/>
        <v>#ERROR!</v>
      </c>
      <c r="AO4" s="216" t="str">
        <f t="shared" si="4"/>
        <v>#ERROR!</v>
      </c>
      <c r="AP4" s="215" t="str">
        <f t="shared" si="5"/>
        <v>#ERROR!</v>
      </c>
      <c r="AQ4" s="216" t="str">
        <f t="shared" si="6"/>
        <v>#ERROR!</v>
      </c>
      <c r="AR4" s="217" t="str">
        <f>Table1[[#This Row],[2019 Scope 3 ]]</f>
        <v>#ERROR!</v>
      </c>
      <c r="AS4" s="218" t="str">
        <f t="shared" si="7"/>
        <v>#ERROR!</v>
      </c>
      <c r="AT4" s="219" t="str">
        <f t="shared" si="8"/>
        <v>#ERROR!</v>
      </c>
      <c r="BI4" s="4">
        <v>45103.0</v>
      </c>
    </row>
    <row r="5" ht="12.75" customHeight="1">
      <c r="A5" s="5">
        <f>companies!A5</f>
        <v>4</v>
      </c>
      <c r="B5" s="200" t="s">
        <v>1254</v>
      </c>
      <c r="C5" s="211">
        <v>22183.0</v>
      </c>
      <c r="D5" s="211">
        <v>218855.0</v>
      </c>
      <c r="E5" s="211">
        <v>218855.0</v>
      </c>
      <c r="F5" s="211"/>
      <c r="G5" s="211"/>
      <c r="H5" s="211"/>
      <c r="I5" s="211"/>
      <c r="J5" s="211"/>
      <c r="K5" s="211"/>
      <c r="L5" s="211"/>
      <c r="M5" s="212"/>
      <c r="N5" s="212"/>
      <c r="O5" s="212"/>
      <c r="P5" s="212"/>
      <c r="Q5" s="212"/>
      <c r="R5" s="211"/>
      <c r="S5" s="212"/>
      <c r="T5" s="212"/>
      <c r="U5" s="212"/>
      <c r="V5" s="212"/>
      <c r="W5" s="211">
        <v>948756.0</v>
      </c>
      <c r="X5" s="200">
        <v>218855.0</v>
      </c>
      <c r="Y5" s="200">
        <v>1189794.0</v>
      </c>
      <c r="Z5" s="200"/>
      <c r="AA5" s="200"/>
      <c r="AB5" s="200"/>
      <c r="AC5" s="200"/>
      <c r="AD5" s="213" t="s">
        <v>683</v>
      </c>
      <c r="AE5" s="213" t="s">
        <v>683</v>
      </c>
      <c r="AF5" s="214" t="str">
        <f>Table1[[#This Row],[2019 Scope 1 (MeT Co2)]]</f>
        <v>#ERROR!</v>
      </c>
      <c r="AG5" s="215" t="str">
        <f t="shared" si="1"/>
        <v>#ERROR!</v>
      </c>
      <c r="AH5" s="216" t="str">
        <f t="shared" si="2"/>
        <v>#ERROR!</v>
      </c>
      <c r="AI5" s="210"/>
      <c r="AJ5" s="210"/>
      <c r="AK5" s="213" t="s">
        <v>683</v>
      </c>
      <c r="AL5" s="213" t="s">
        <v>683</v>
      </c>
      <c r="AM5" s="214" t="str">
        <f>Table1[[#This Row],[2019 Scope 2 ]]</f>
        <v>#ERROR!</v>
      </c>
      <c r="AN5" s="215" t="str">
        <f t="shared" si="3"/>
        <v>#ERROR!</v>
      </c>
      <c r="AO5" s="216" t="str">
        <f t="shared" si="4"/>
        <v>#ERROR!</v>
      </c>
      <c r="AP5" s="215" t="str">
        <f t="shared" si="5"/>
        <v>#ERROR!</v>
      </c>
      <c r="AQ5" s="216" t="str">
        <f t="shared" si="6"/>
        <v>#ERROR!</v>
      </c>
      <c r="AR5" s="217" t="str">
        <f>Table1[[#This Row],[2019 Scope 3 ]]</f>
        <v>#ERROR!</v>
      </c>
      <c r="AS5" s="218" t="str">
        <f t="shared" si="7"/>
        <v>#ERROR!</v>
      </c>
      <c r="AT5" s="219" t="str">
        <f t="shared" si="8"/>
        <v>#ERROR!</v>
      </c>
      <c r="BI5" s="4">
        <v>21318.0</v>
      </c>
    </row>
    <row r="6" ht="12.75" customHeight="1">
      <c r="A6" s="5">
        <f>companies!A6</f>
        <v>5</v>
      </c>
      <c r="B6" s="200" t="s">
        <v>1254</v>
      </c>
      <c r="C6" s="211">
        <v>12119.0</v>
      </c>
      <c r="D6" s="211">
        <v>47871.0</v>
      </c>
      <c r="E6" s="211">
        <v>47871.0</v>
      </c>
      <c r="F6" s="211"/>
      <c r="G6" s="211"/>
      <c r="H6" s="211"/>
      <c r="I6" s="211"/>
      <c r="J6" s="211"/>
      <c r="K6" s="211"/>
      <c r="L6" s="211"/>
      <c r="M6" s="212"/>
      <c r="N6" s="212"/>
      <c r="O6" s="212"/>
      <c r="P6" s="212"/>
      <c r="Q6" s="212"/>
      <c r="R6" s="211"/>
      <c r="S6" s="212"/>
      <c r="T6" s="212"/>
      <c r="U6" s="212"/>
      <c r="V6" s="212"/>
      <c r="W6" s="211">
        <v>574034.0</v>
      </c>
      <c r="X6" s="200">
        <v>47871.0</v>
      </c>
      <c r="Y6" s="200">
        <v>634024.0</v>
      </c>
      <c r="Z6" s="200"/>
      <c r="AA6" s="200"/>
      <c r="AB6" s="200"/>
      <c r="AC6" s="200"/>
      <c r="AD6" s="213" t="s">
        <v>1257</v>
      </c>
      <c r="AE6" s="213" t="s">
        <v>1258</v>
      </c>
      <c r="AF6" s="214" t="str">
        <f>Table1[[#This Row],[2019 Scope 1 (MeT Co2)]]</f>
        <v>#ERROR!</v>
      </c>
      <c r="AG6" s="215" t="str">
        <f t="shared" si="1"/>
        <v>#ERROR!</v>
      </c>
      <c r="AH6" s="216" t="str">
        <f t="shared" si="2"/>
        <v>#ERROR!</v>
      </c>
      <c r="AI6" s="210"/>
      <c r="AJ6" s="210"/>
      <c r="AK6" s="213" t="s">
        <v>1257</v>
      </c>
      <c r="AL6" s="213" t="s">
        <v>1258</v>
      </c>
      <c r="AM6" s="214" t="str">
        <f>Table1[[#This Row],[2019 Scope 2 ]]</f>
        <v>#ERROR!</v>
      </c>
      <c r="AN6" s="215" t="str">
        <f t="shared" si="3"/>
        <v>#ERROR!</v>
      </c>
      <c r="AO6" s="216" t="str">
        <f t="shared" si="4"/>
        <v>#ERROR!</v>
      </c>
      <c r="AP6" s="215" t="str">
        <f t="shared" si="5"/>
        <v>#ERROR!</v>
      </c>
      <c r="AQ6" s="216" t="str">
        <f t="shared" si="6"/>
        <v>#ERROR!</v>
      </c>
      <c r="AR6" s="217" t="str">
        <f>Table1[[#This Row],[2019 Scope 3 ]]</f>
        <v>#ERROR!</v>
      </c>
      <c r="AS6" s="218" t="str">
        <f t="shared" si="7"/>
        <v>#ERROR!</v>
      </c>
      <c r="AT6" s="219" t="str">
        <f t="shared" si="8"/>
        <v>#ERROR!</v>
      </c>
      <c r="BI6" s="4">
        <v>333.0</v>
      </c>
    </row>
    <row r="7" ht="12.75" customHeight="1">
      <c r="A7" s="5">
        <f>companies!A7</f>
        <v>6</v>
      </c>
      <c r="B7" s="200" t="s">
        <v>1254</v>
      </c>
      <c r="C7" s="211">
        <v>45966.0</v>
      </c>
      <c r="D7" s="211">
        <v>83887.0</v>
      </c>
      <c r="E7" s="211">
        <v>83887.0</v>
      </c>
      <c r="F7" s="211"/>
      <c r="G7" s="211"/>
      <c r="H7" s="211"/>
      <c r="I7" s="211"/>
      <c r="J7" s="211"/>
      <c r="K7" s="211"/>
      <c r="L7" s="211"/>
      <c r="M7" s="212"/>
      <c r="N7" s="212"/>
      <c r="O7" s="212"/>
      <c r="P7" s="212"/>
      <c r="Q7" s="212"/>
      <c r="R7" s="211"/>
      <c r="S7" s="212"/>
      <c r="T7" s="212"/>
      <c r="U7" s="212"/>
      <c r="V7" s="212"/>
      <c r="W7" s="211">
        <v>13264.0</v>
      </c>
      <c r="X7" s="200">
        <v>83887.0</v>
      </c>
      <c r="Y7" s="200">
        <v>143117.0</v>
      </c>
      <c r="Z7" s="200"/>
      <c r="AA7" s="200"/>
      <c r="AB7" s="200"/>
      <c r="AC7" s="200"/>
      <c r="AD7" s="213" t="s">
        <v>683</v>
      </c>
      <c r="AE7" s="213" t="s">
        <v>683</v>
      </c>
      <c r="AF7" s="214" t="str">
        <f>Table1[[#This Row],[2019 Scope 1 (MeT Co2)]]</f>
        <v>#ERROR!</v>
      </c>
      <c r="AG7" s="215" t="str">
        <f t="shared" si="1"/>
        <v>#ERROR!</v>
      </c>
      <c r="AH7" s="216" t="str">
        <f t="shared" si="2"/>
        <v>#ERROR!</v>
      </c>
      <c r="AI7" s="210"/>
      <c r="AJ7" s="210"/>
      <c r="AK7" s="213" t="s">
        <v>683</v>
      </c>
      <c r="AL7" s="213" t="s">
        <v>683</v>
      </c>
      <c r="AM7" s="214" t="str">
        <f>Table1[[#This Row],[2019 Scope 2 ]]</f>
        <v>#ERROR!</v>
      </c>
      <c r="AN7" s="215" t="str">
        <f t="shared" si="3"/>
        <v>#ERROR!</v>
      </c>
      <c r="AO7" s="216" t="str">
        <f t="shared" si="4"/>
        <v>#ERROR!</v>
      </c>
      <c r="AP7" s="215" t="str">
        <f t="shared" si="5"/>
        <v>#ERROR!</v>
      </c>
      <c r="AQ7" s="216" t="str">
        <f t="shared" si="6"/>
        <v>#ERROR!</v>
      </c>
      <c r="AR7" s="217" t="str">
        <f>Table1[[#This Row],[2019 Scope 3 ]]</f>
        <v>#ERROR!</v>
      </c>
      <c r="AS7" s="218" t="str">
        <f t="shared" si="7"/>
        <v>#ERROR!</v>
      </c>
      <c r="AT7" s="219" t="str">
        <f t="shared" si="8"/>
        <v>#ERROR!</v>
      </c>
      <c r="BI7" s="4">
        <v>582.0</v>
      </c>
    </row>
    <row r="8" ht="12.75" customHeight="1">
      <c r="A8" s="5">
        <f>companies!A8</f>
        <v>7</v>
      </c>
      <c r="B8" s="200" t="s">
        <v>1254</v>
      </c>
      <c r="C8" s="211">
        <v>63521.0</v>
      </c>
      <c r="D8" s="211">
        <v>684236.0</v>
      </c>
      <c r="E8" s="211">
        <v>684236.0</v>
      </c>
      <c r="F8" s="211"/>
      <c r="G8" s="211"/>
      <c r="H8" s="211"/>
      <c r="I8" s="211"/>
      <c r="J8" s="211"/>
      <c r="K8" s="211"/>
      <c r="L8" s="211"/>
      <c r="M8" s="212"/>
      <c r="N8" s="212"/>
      <c r="O8" s="212"/>
      <c r="P8" s="212"/>
      <c r="Q8" s="212"/>
      <c r="R8" s="211"/>
      <c r="S8" s="212"/>
      <c r="T8" s="212"/>
      <c r="U8" s="212"/>
      <c r="V8" s="212"/>
      <c r="W8" s="211">
        <v>1.4279467E7</v>
      </c>
      <c r="X8" s="200">
        <v>684236.0</v>
      </c>
      <c r="Y8" s="200">
        <v>1.5027224E7</v>
      </c>
      <c r="Z8" s="200"/>
      <c r="AA8" s="200"/>
      <c r="AB8" s="200"/>
      <c r="AC8" s="200"/>
      <c r="AD8" s="213" t="s">
        <v>683</v>
      </c>
      <c r="AE8" s="213" t="s">
        <v>683</v>
      </c>
      <c r="AF8" s="214" t="str">
        <f>Table1[[#This Row],[2019 Scope 1 (MeT Co2)]]</f>
        <v>#ERROR!</v>
      </c>
      <c r="AG8" s="215" t="str">
        <f t="shared" si="1"/>
        <v>#ERROR!</v>
      </c>
      <c r="AH8" s="216" t="str">
        <f t="shared" si="2"/>
        <v>#ERROR!</v>
      </c>
      <c r="AI8" s="210"/>
      <c r="AJ8" s="210"/>
      <c r="AK8" s="213" t="s">
        <v>683</v>
      </c>
      <c r="AL8" s="213" t="s">
        <v>683</v>
      </c>
      <c r="AM8" s="214" t="str">
        <f>Table1[[#This Row],[2019 Scope 2 ]]</f>
        <v>#ERROR!</v>
      </c>
      <c r="AN8" s="215" t="str">
        <f t="shared" si="3"/>
        <v>#ERROR!</v>
      </c>
      <c r="AO8" s="216" t="str">
        <f t="shared" si="4"/>
        <v>#ERROR!</v>
      </c>
      <c r="AP8" s="215" t="str">
        <f t="shared" si="5"/>
        <v>#ERROR!</v>
      </c>
      <c r="AQ8" s="216" t="str">
        <f t="shared" si="6"/>
        <v>#ERROR!</v>
      </c>
      <c r="AR8" s="217" t="str">
        <f>Table1[[#This Row],[2019 Scope 3 ]]</f>
        <v>#ERROR!</v>
      </c>
      <c r="AS8" s="218" t="str">
        <f t="shared" si="7"/>
        <v>#ERROR!</v>
      </c>
      <c r="AT8" s="219" t="str">
        <f t="shared" si="8"/>
        <v>#ERROR!</v>
      </c>
      <c r="BI8" s="4">
        <v>7616.0</v>
      </c>
    </row>
    <row r="9" ht="12.75" customHeight="1">
      <c r="A9" s="5">
        <f>companies!A9</f>
        <v>8</v>
      </c>
      <c r="B9" s="200" t="s">
        <v>1254</v>
      </c>
      <c r="C9" s="211">
        <v>162139.0</v>
      </c>
      <c r="D9" s="211">
        <v>166706.0</v>
      </c>
      <c r="E9" s="211">
        <v>166706.0</v>
      </c>
      <c r="F9" s="211"/>
      <c r="G9" s="211"/>
      <c r="H9" s="211"/>
      <c r="I9" s="211"/>
      <c r="J9" s="211"/>
      <c r="K9" s="211"/>
      <c r="L9" s="211"/>
      <c r="M9" s="212"/>
      <c r="N9" s="212"/>
      <c r="O9" s="212"/>
      <c r="P9" s="212"/>
      <c r="Q9" s="212"/>
      <c r="R9" s="211"/>
      <c r="S9" s="212"/>
      <c r="T9" s="212"/>
      <c r="U9" s="212"/>
      <c r="V9" s="212"/>
      <c r="W9" s="211">
        <v>5078448.0</v>
      </c>
      <c r="X9" s="200">
        <v>166706.0</v>
      </c>
      <c r="Y9" s="200">
        <v>5407293.0</v>
      </c>
      <c r="Z9" s="200"/>
      <c r="AA9" s="200"/>
      <c r="AB9" s="200"/>
      <c r="AC9" s="200"/>
      <c r="AD9" s="213" t="s">
        <v>683</v>
      </c>
      <c r="AE9" s="213" t="s">
        <v>683</v>
      </c>
      <c r="AF9" s="214" t="str">
        <f>Table1[[#This Row],[2019 Scope 1 (MeT Co2)]]</f>
        <v>#ERROR!</v>
      </c>
      <c r="AG9" s="215" t="str">
        <f t="shared" si="1"/>
        <v>#ERROR!</v>
      </c>
      <c r="AH9" s="216" t="str">
        <f t="shared" si="2"/>
        <v>#ERROR!</v>
      </c>
      <c r="AI9" s="210"/>
      <c r="AJ9" s="210"/>
      <c r="AK9" s="213" t="s">
        <v>683</v>
      </c>
      <c r="AL9" s="213" t="s">
        <v>683</v>
      </c>
      <c r="AM9" s="214" t="str">
        <f>Table1[[#This Row],[2019 Scope 2 ]]</f>
        <v>#ERROR!</v>
      </c>
      <c r="AN9" s="215" t="str">
        <f t="shared" si="3"/>
        <v>#ERROR!</v>
      </c>
      <c r="AO9" s="216" t="str">
        <f t="shared" si="4"/>
        <v>#ERROR!</v>
      </c>
      <c r="AP9" s="215" t="str">
        <f t="shared" si="5"/>
        <v>#ERROR!</v>
      </c>
      <c r="AQ9" s="216" t="str">
        <f t="shared" si="6"/>
        <v>#ERROR!</v>
      </c>
      <c r="AR9" s="217" t="str">
        <f>Table1[[#This Row],[2019 Scope 3 ]]</f>
        <v>#ERROR!</v>
      </c>
      <c r="AS9" s="218" t="str">
        <f t="shared" si="7"/>
        <v>#ERROR!</v>
      </c>
      <c r="AT9" s="219" t="str">
        <f t="shared" si="8"/>
        <v>#ERROR!</v>
      </c>
      <c r="BI9" s="4">
        <v>628.0</v>
      </c>
    </row>
    <row r="10" ht="12.75" customHeight="1">
      <c r="A10" s="5">
        <f>companies!A10</f>
        <v>9</v>
      </c>
      <c r="B10" s="200" t="s">
        <v>1254</v>
      </c>
      <c r="C10" s="211">
        <v>4980000.0</v>
      </c>
      <c r="D10" s="211">
        <v>4710000.0</v>
      </c>
      <c r="E10" s="211">
        <v>4710000.0</v>
      </c>
      <c r="F10" s="211"/>
      <c r="G10" s="211"/>
      <c r="H10" s="211"/>
      <c r="I10" s="211"/>
      <c r="J10" s="211"/>
      <c r="K10" s="211"/>
      <c r="L10" s="211"/>
      <c r="M10" s="212"/>
      <c r="N10" s="212"/>
      <c r="O10" s="212"/>
      <c r="P10" s="212"/>
      <c r="Q10" s="212"/>
      <c r="R10" s="211"/>
      <c r="S10" s="212"/>
      <c r="T10" s="212"/>
      <c r="U10" s="212"/>
      <c r="V10" s="212"/>
      <c r="W10" s="211">
        <v>3.471E7</v>
      </c>
      <c r="X10" s="200">
        <v>4710000.0</v>
      </c>
      <c r="Y10" s="200">
        <v>4.44E7</v>
      </c>
      <c r="Z10" s="213"/>
      <c r="AA10" s="213"/>
      <c r="AB10" s="213"/>
      <c r="AC10" s="213"/>
      <c r="AD10" s="213" t="e">
        <v>#N/A</v>
      </c>
      <c r="AE10" s="213" t="e">
        <v>#N/A</v>
      </c>
      <c r="AF10" s="214" t="str">
        <f>Table1[[#This Row],[2019 Scope 1 (MeT Co2)]]</f>
        <v>#ERROR!</v>
      </c>
      <c r="AG10" s="215" t="str">
        <f t="shared" si="1"/>
        <v>#ERROR!</v>
      </c>
      <c r="AH10" s="216" t="str">
        <f t="shared" si="2"/>
        <v>#ERROR!</v>
      </c>
      <c r="AI10" s="210"/>
      <c r="AJ10" s="210"/>
      <c r="AK10" s="213" t="e">
        <v>#N/A</v>
      </c>
      <c r="AL10" s="213" t="e">
        <v>#N/A</v>
      </c>
      <c r="AM10" s="214" t="str">
        <f>Table1[[#This Row],[2019 Scope 2 ]]</f>
        <v>#ERROR!</v>
      </c>
      <c r="AN10" s="215" t="str">
        <f t="shared" si="3"/>
        <v>#ERROR!</v>
      </c>
      <c r="AO10" s="216" t="str">
        <f t="shared" si="4"/>
        <v>#ERROR!</v>
      </c>
      <c r="AP10" s="215" t="str">
        <f t="shared" si="5"/>
        <v>#ERROR!</v>
      </c>
      <c r="AQ10" s="216" t="str">
        <f t="shared" si="6"/>
        <v>#ERROR!</v>
      </c>
      <c r="AR10" s="217" t="str">
        <f>Table1[[#This Row],[2019 Scope 3 ]]</f>
        <v>#ERROR!</v>
      </c>
      <c r="AS10" s="218" t="str">
        <f t="shared" si="7"/>
        <v>#ERROR!</v>
      </c>
      <c r="AT10" s="219" t="str">
        <f t="shared" si="8"/>
        <v>#ERROR!</v>
      </c>
    </row>
    <row r="11" ht="12.75" customHeight="1">
      <c r="A11" s="5">
        <f>companies!A11</f>
        <v>10</v>
      </c>
      <c r="B11" s="200" t="s">
        <v>1254</v>
      </c>
      <c r="C11" s="211">
        <v>23981.0</v>
      </c>
      <c r="D11" s="211">
        <v>2994.0</v>
      </c>
      <c r="E11" s="211">
        <v>2994.0</v>
      </c>
      <c r="F11" s="211"/>
      <c r="G11" s="211"/>
      <c r="H11" s="211"/>
      <c r="I11" s="211"/>
      <c r="J11" s="211"/>
      <c r="K11" s="211"/>
      <c r="L11" s="211"/>
      <c r="M11" s="212"/>
      <c r="N11" s="212"/>
      <c r="O11" s="212"/>
      <c r="P11" s="212"/>
      <c r="Q11" s="212"/>
      <c r="R11" s="211"/>
      <c r="S11" s="212"/>
      <c r="T11" s="212"/>
      <c r="U11" s="212"/>
      <c r="V11" s="212"/>
      <c r="W11" s="211">
        <v>2341539.0</v>
      </c>
      <c r="X11" s="200">
        <v>2994.0</v>
      </c>
      <c r="Y11" s="200">
        <v>2368514.0</v>
      </c>
      <c r="Z11" s="200"/>
      <c r="AA11" s="200"/>
      <c r="AB11" s="200"/>
      <c r="AC11" s="200"/>
      <c r="AD11" s="213" t="s">
        <v>683</v>
      </c>
      <c r="AE11" s="213" t="s">
        <v>683</v>
      </c>
      <c r="AF11" s="214" t="str">
        <f>Table1[[#This Row],[2019 Scope 1 (MeT Co2)]]</f>
        <v>#ERROR!</v>
      </c>
      <c r="AG11" s="215" t="str">
        <f t="shared" si="1"/>
        <v>#ERROR!</v>
      </c>
      <c r="AH11" s="216" t="str">
        <f t="shared" si="2"/>
        <v>#ERROR!</v>
      </c>
      <c r="AI11" s="210"/>
      <c r="AJ11" s="210"/>
      <c r="AK11" s="213" t="s">
        <v>683</v>
      </c>
      <c r="AL11" s="213" t="s">
        <v>683</v>
      </c>
      <c r="AM11" s="214" t="str">
        <f>Table1[[#This Row],[2019 Scope 2 ]]</f>
        <v>#ERROR!</v>
      </c>
      <c r="AN11" s="215" t="str">
        <f t="shared" si="3"/>
        <v>#ERROR!</v>
      </c>
      <c r="AO11" s="216" t="str">
        <f t="shared" si="4"/>
        <v>#ERROR!</v>
      </c>
      <c r="AP11" s="215" t="str">
        <f t="shared" si="5"/>
        <v>#ERROR!</v>
      </c>
      <c r="AQ11" s="216" t="str">
        <f t="shared" si="6"/>
        <v>#ERROR!</v>
      </c>
      <c r="AR11" s="217" t="str">
        <f>Table1[[#This Row],[2019 Scope 3 ]]</f>
        <v>#ERROR!</v>
      </c>
      <c r="AS11" s="218" t="str">
        <f t="shared" si="7"/>
        <v>#ERROR!</v>
      </c>
      <c r="AT11" s="219" t="str">
        <f t="shared" si="8"/>
        <v>#ERROR!</v>
      </c>
      <c r="BI11" s="4">
        <v>692.0</v>
      </c>
    </row>
    <row r="12" ht="12.75" customHeight="1">
      <c r="A12" s="5">
        <f>companies!A12</f>
        <v>11</v>
      </c>
      <c r="B12" s="200" t="s">
        <v>1254</v>
      </c>
      <c r="C12" s="211" t="s">
        <v>536</v>
      </c>
      <c r="D12" s="211">
        <v>8824.0</v>
      </c>
      <c r="E12" s="211">
        <v>8824.0</v>
      </c>
      <c r="F12" s="211"/>
      <c r="G12" s="211"/>
      <c r="H12" s="211"/>
      <c r="I12" s="211"/>
      <c r="J12" s="211"/>
      <c r="K12" s="211"/>
      <c r="L12" s="211"/>
      <c r="M12" s="212"/>
      <c r="N12" s="212"/>
      <c r="O12" s="212"/>
      <c r="P12" s="212"/>
      <c r="Q12" s="212"/>
      <c r="R12" s="211"/>
      <c r="S12" s="212"/>
      <c r="T12" s="212"/>
      <c r="U12" s="212"/>
      <c r="V12" s="212"/>
      <c r="W12" s="211" t="s">
        <v>536</v>
      </c>
      <c r="X12" s="200">
        <v>8824.0</v>
      </c>
      <c r="Y12" s="200"/>
      <c r="Z12" s="213"/>
      <c r="AA12" s="213"/>
      <c r="AB12" s="213"/>
      <c r="AC12" s="213"/>
      <c r="AD12" s="213" t="s">
        <v>1255</v>
      </c>
      <c r="AE12" s="213" t="s">
        <v>1256</v>
      </c>
      <c r="AF12" s="214" t="str">
        <f>Table1[[#This Row],[2019 Scope 1 (MeT Co2)]]</f>
        <v>#ERROR!</v>
      </c>
      <c r="AG12" s="215" t="str">
        <f t="shared" si="1"/>
        <v>#ERROR!</v>
      </c>
      <c r="AH12" s="216" t="str">
        <f t="shared" si="2"/>
        <v>#ERROR!</v>
      </c>
      <c r="AI12" s="210"/>
      <c r="AJ12" s="210"/>
      <c r="AK12" s="213" t="s">
        <v>1255</v>
      </c>
      <c r="AL12" s="213" t="s">
        <v>1256</v>
      </c>
      <c r="AM12" s="214" t="str">
        <f>Table1[[#This Row],[2019 Scope 2 ]]</f>
        <v>#ERROR!</v>
      </c>
      <c r="AN12" s="215" t="str">
        <f t="shared" si="3"/>
        <v>#ERROR!</v>
      </c>
      <c r="AO12" s="216" t="str">
        <f t="shared" si="4"/>
        <v>#ERROR!</v>
      </c>
      <c r="AP12" s="215" t="str">
        <f t="shared" si="5"/>
        <v>#ERROR!</v>
      </c>
      <c r="AQ12" s="216" t="str">
        <f t="shared" si="6"/>
        <v>#ERROR!</v>
      </c>
      <c r="AR12" s="217" t="str">
        <f>Table1[[#This Row],[2019 Scope 3 ]]</f>
        <v>#ERROR!</v>
      </c>
      <c r="AS12" s="218" t="str">
        <f t="shared" si="7"/>
        <v>#ERROR!</v>
      </c>
      <c r="AT12" s="219" t="str">
        <f t="shared" si="8"/>
        <v>#ERROR!</v>
      </c>
      <c r="BI12" s="4">
        <v>699.0</v>
      </c>
    </row>
    <row r="13" ht="12.75" customHeight="1">
      <c r="A13" s="5">
        <f>companies!A13</f>
        <v>12</v>
      </c>
      <c r="B13" s="200" t="s">
        <v>1254</v>
      </c>
      <c r="C13" s="211">
        <v>615347.0</v>
      </c>
      <c r="D13" s="211">
        <v>1796960.0</v>
      </c>
      <c r="E13" s="211">
        <v>1796960.0</v>
      </c>
      <c r="F13" s="211"/>
      <c r="G13" s="211"/>
      <c r="H13" s="211"/>
      <c r="I13" s="211"/>
      <c r="J13" s="211"/>
      <c r="K13" s="211"/>
      <c r="L13" s="211"/>
      <c r="M13" s="212"/>
      <c r="N13" s="212"/>
      <c r="O13" s="212"/>
      <c r="P13" s="212"/>
      <c r="Q13" s="212"/>
      <c r="R13" s="211"/>
      <c r="S13" s="212"/>
      <c r="T13" s="212"/>
      <c r="U13" s="212"/>
      <c r="V13" s="212"/>
      <c r="W13" s="211" t="s">
        <v>536</v>
      </c>
      <c r="X13" s="200">
        <v>1796960.0</v>
      </c>
      <c r="Y13" s="200"/>
      <c r="Z13" s="213"/>
      <c r="AA13" s="213"/>
      <c r="AB13" s="213"/>
      <c r="AC13" s="213"/>
      <c r="AD13" s="213" t="s">
        <v>1255</v>
      </c>
      <c r="AE13" s="213" t="s">
        <v>1256</v>
      </c>
      <c r="AF13" s="214" t="str">
        <f>Table1[[#This Row],[2019 Scope 1 (MeT Co2)]]</f>
        <v>#ERROR!</v>
      </c>
      <c r="AG13" s="215" t="str">
        <f t="shared" si="1"/>
        <v>#ERROR!</v>
      </c>
      <c r="AH13" s="216" t="str">
        <f t="shared" si="2"/>
        <v>#ERROR!</v>
      </c>
      <c r="AI13" s="210"/>
      <c r="AJ13" s="210"/>
      <c r="AK13" s="213" t="s">
        <v>1255</v>
      </c>
      <c r="AL13" s="213" t="s">
        <v>1256</v>
      </c>
      <c r="AM13" s="214" t="str">
        <f>Table1[[#This Row],[2019 Scope 2 ]]</f>
        <v>#ERROR!</v>
      </c>
      <c r="AN13" s="215" t="str">
        <f t="shared" si="3"/>
        <v>#ERROR!</v>
      </c>
      <c r="AO13" s="216" t="str">
        <f t="shared" si="4"/>
        <v>#ERROR!</v>
      </c>
      <c r="AP13" s="215" t="str">
        <f t="shared" si="5"/>
        <v>#ERROR!</v>
      </c>
      <c r="AQ13" s="216" t="str">
        <f t="shared" si="6"/>
        <v>#ERROR!</v>
      </c>
      <c r="AR13" s="217" t="str">
        <f>Table1[[#This Row],[2019 Scope 3 ]]</f>
        <v>#ERROR!</v>
      </c>
      <c r="AS13" s="218" t="str">
        <f t="shared" si="7"/>
        <v>#ERROR!</v>
      </c>
      <c r="AT13" s="219" t="str">
        <f t="shared" si="8"/>
        <v>#ERROR!</v>
      </c>
      <c r="BI13" s="4">
        <v>706.0</v>
      </c>
    </row>
    <row r="14" ht="12.75" customHeight="1">
      <c r="A14" s="5">
        <f>companies!A14</f>
        <v>13</v>
      </c>
      <c r="B14" s="200" t="s">
        <v>1254</v>
      </c>
      <c r="C14" s="211">
        <v>160184.0</v>
      </c>
      <c r="D14" s="211">
        <v>159848.0</v>
      </c>
      <c r="E14" s="211">
        <v>159848.0</v>
      </c>
      <c r="F14" s="211"/>
      <c r="G14" s="211"/>
      <c r="H14" s="211"/>
      <c r="I14" s="211"/>
      <c r="J14" s="211"/>
      <c r="K14" s="211"/>
      <c r="L14" s="211"/>
      <c r="M14" s="212"/>
      <c r="N14" s="212"/>
      <c r="O14" s="212"/>
      <c r="P14" s="212"/>
      <c r="Q14" s="212"/>
      <c r="R14" s="211"/>
      <c r="S14" s="212"/>
      <c r="T14" s="212"/>
      <c r="U14" s="212"/>
      <c r="V14" s="212"/>
      <c r="W14" s="211">
        <v>2856502.0</v>
      </c>
      <c r="X14" s="200">
        <v>159848.0</v>
      </c>
      <c r="Y14" s="200">
        <v>3176534.0</v>
      </c>
      <c r="Z14" s="200"/>
      <c r="AA14" s="200"/>
      <c r="AB14" s="200"/>
      <c r="AC14" s="200"/>
      <c r="AD14" s="213" t="s">
        <v>683</v>
      </c>
      <c r="AE14" s="213" t="s">
        <v>683</v>
      </c>
      <c r="AF14" s="214" t="str">
        <f>Table1[[#This Row],[2019 Scope 1 (MeT Co2)]]</f>
        <v>#ERROR!</v>
      </c>
      <c r="AG14" s="215" t="str">
        <f t="shared" si="1"/>
        <v>#ERROR!</v>
      </c>
      <c r="AH14" s="216" t="str">
        <f t="shared" si="2"/>
        <v>#ERROR!</v>
      </c>
      <c r="AI14" s="210"/>
      <c r="AJ14" s="210"/>
      <c r="AK14" s="213" t="s">
        <v>683</v>
      </c>
      <c r="AL14" s="213" t="s">
        <v>683</v>
      </c>
      <c r="AM14" s="214" t="str">
        <f>Table1[[#This Row],[2019 Scope 2 ]]</f>
        <v>#ERROR!</v>
      </c>
      <c r="AN14" s="215" t="str">
        <f t="shared" si="3"/>
        <v>#ERROR!</v>
      </c>
      <c r="AO14" s="216" t="str">
        <f t="shared" si="4"/>
        <v>#ERROR!</v>
      </c>
      <c r="AP14" s="215" t="str">
        <f t="shared" si="5"/>
        <v>#ERROR!</v>
      </c>
      <c r="AQ14" s="216" t="str">
        <f t="shared" si="6"/>
        <v>#ERROR!</v>
      </c>
      <c r="AR14" s="217" t="str">
        <f>Table1[[#This Row],[2019 Scope 3 ]]</f>
        <v>#ERROR!</v>
      </c>
      <c r="AS14" s="218" t="str">
        <f t="shared" si="7"/>
        <v>#ERROR!</v>
      </c>
      <c r="AT14" s="219" t="str">
        <f t="shared" si="8"/>
        <v>#ERROR!</v>
      </c>
      <c r="BI14" s="4">
        <v>716.0</v>
      </c>
    </row>
    <row r="15" ht="12.75" customHeight="1">
      <c r="A15" s="5">
        <f>companies!A15</f>
        <v>14</v>
      </c>
      <c r="B15" s="200" t="s">
        <v>1254</v>
      </c>
      <c r="C15" s="211">
        <v>54590.0</v>
      </c>
      <c r="D15" s="211">
        <v>8730.0</v>
      </c>
      <c r="E15" s="211">
        <v>8730.0</v>
      </c>
      <c r="F15" s="211"/>
      <c r="G15" s="211"/>
      <c r="H15" s="211"/>
      <c r="I15" s="211"/>
      <c r="J15" s="211"/>
      <c r="K15" s="211"/>
      <c r="L15" s="211"/>
      <c r="M15" s="212"/>
      <c r="N15" s="212"/>
      <c r="O15" s="212"/>
      <c r="P15" s="212"/>
      <c r="Q15" s="212"/>
      <c r="R15" s="211"/>
      <c r="S15" s="212"/>
      <c r="T15" s="212"/>
      <c r="U15" s="212"/>
      <c r="V15" s="212"/>
      <c r="W15" s="211">
        <v>2.46E7</v>
      </c>
      <c r="X15" s="200">
        <v>8730.0</v>
      </c>
      <c r="Y15" s="200">
        <v>2.466332E7</v>
      </c>
      <c r="Z15" s="200"/>
      <c r="AA15" s="200"/>
      <c r="AB15" s="200"/>
      <c r="AC15" s="200"/>
      <c r="AD15" s="213" t="s">
        <v>683</v>
      </c>
      <c r="AE15" s="213" t="s">
        <v>683</v>
      </c>
      <c r="AF15" s="214" t="str">
        <f>Table1[[#This Row],[2019 Scope 1 (MeT Co2)]]</f>
        <v>#ERROR!</v>
      </c>
      <c r="AG15" s="215" t="str">
        <f t="shared" si="1"/>
        <v>#ERROR!</v>
      </c>
      <c r="AH15" s="216" t="str">
        <f t="shared" si="2"/>
        <v>#ERROR!</v>
      </c>
      <c r="AI15" s="210"/>
      <c r="AJ15" s="210"/>
      <c r="AK15" s="213" t="s">
        <v>683</v>
      </c>
      <c r="AL15" s="213" t="s">
        <v>683</v>
      </c>
      <c r="AM15" s="214" t="str">
        <f>Table1[[#This Row],[2019 Scope 2 ]]</f>
        <v>#ERROR!</v>
      </c>
      <c r="AN15" s="215" t="str">
        <f t="shared" si="3"/>
        <v>#ERROR!</v>
      </c>
      <c r="AO15" s="216" t="str">
        <f t="shared" si="4"/>
        <v>#ERROR!</v>
      </c>
      <c r="AP15" s="215" t="str">
        <f t="shared" si="5"/>
        <v>#ERROR!</v>
      </c>
      <c r="AQ15" s="216" t="str">
        <f t="shared" si="6"/>
        <v>#ERROR!</v>
      </c>
      <c r="AR15" s="217" t="str">
        <f>Table1[[#This Row],[2019 Scope 3 ]]</f>
        <v>#ERROR!</v>
      </c>
      <c r="AS15" s="218" t="str">
        <f t="shared" si="7"/>
        <v>#ERROR!</v>
      </c>
      <c r="AT15" s="219" t="str">
        <f t="shared" si="8"/>
        <v>#ERROR!</v>
      </c>
      <c r="BI15" s="4">
        <v>865.0</v>
      </c>
    </row>
    <row r="16" ht="12.75" customHeight="1">
      <c r="A16" s="5">
        <f>companies!A16</f>
        <v>15</v>
      </c>
      <c r="B16" s="200" t="s">
        <v>1254</v>
      </c>
      <c r="C16" s="211">
        <v>1020000.0</v>
      </c>
      <c r="D16" s="211">
        <v>6660000.0</v>
      </c>
      <c r="E16" s="211">
        <v>6660000.0</v>
      </c>
      <c r="F16" s="211"/>
      <c r="G16" s="211"/>
      <c r="H16" s="211"/>
      <c r="I16" s="211"/>
      <c r="J16" s="211"/>
      <c r="K16" s="211"/>
      <c r="L16" s="211"/>
      <c r="M16" s="212"/>
      <c r="N16" s="212"/>
      <c r="O16" s="212"/>
      <c r="P16" s="212"/>
      <c r="Q16" s="212"/>
      <c r="R16" s="211"/>
      <c r="S16" s="212"/>
      <c r="T16" s="212"/>
      <c r="U16" s="212"/>
      <c r="V16" s="212"/>
      <c r="W16" s="211">
        <v>4350000.0</v>
      </c>
      <c r="X16" s="200">
        <v>6660000.0</v>
      </c>
      <c r="Y16" s="200">
        <v>1.203E7</v>
      </c>
      <c r="Z16" s="200"/>
      <c r="AA16" s="200"/>
      <c r="AB16" s="200"/>
      <c r="AC16" s="200"/>
      <c r="AD16" s="213" t="s">
        <v>683</v>
      </c>
      <c r="AE16" s="213" t="s">
        <v>683</v>
      </c>
      <c r="AF16" s="214" t="str">
        <f>Table1[[#This Row],[2019 Scope 1 (MeT Co2)]]</f>
        <v>#ERROR!</v>
      </c>
      <c r="AG16" s="215" t="str">
        <f t="shared" si="1"/>
        <v>#ERROR!</v>
      </c>
      <c r="AH16" s="216" t="str">
        <f t="shared" si="2"/>
        <v>#ERROR!</v>
      </c>
      <c r="AI16" s="210"/>
      <c r="AJ16" s="210"/>
      <c r="AK16" s="213" t="s">
        <v>683</v>
      </c>
      <c r="AL16" s="213" t="s">
        <v>683</v>
      </c>
      <c r="AM16" s="214" t="str">
        <f>Table1[[#This Row],[2019 Scope 2 ]]</f>
        <v>#ERROR!</v>
      </c>
      <c r="AN16" s="215" t="str">
        <f t="shared" si="3"/>
        <v>#ERROR!</v>
      </c>
      <c r="AO16" s="216" t="str">
        <f t="shared" si="4"/>
        <v>#ERROR!</v>
      </c>
      <c r="AP16" s="215" t="str">
        <f t="shared" si="5"/>
        <v>#ERROR!</v>
      </c>
      <c r="AQ16" s="216" t="str">
        <f t="shared" si="6"/>
        <v>#ERROR!</v>
      </c>
      <c r="AR16" s="217" t="str">
        <f>Table1[[#This Row],[2019 Scope 3 ]]</f>
        <v>#ERROR!</v>
      </c>
      <c r="AS16" s="218" t="str">
        <f t="shared" si="7"/>
        <v>#ERROR!</v>
      </c>
      <c r="AT16" s="219" t="str">
        <f t="shared" si="8"/>
        <v>#ERROR!</v>
      </c>
      <c r="BI16" s="200">
        <v>1113.0</v>
      </c>
    </row>
    <row r="17" ht="12.75" customHeight="1">
      <c r="A17" s="5">
        <f>companies!A17</f>
        <v>16</v>
      </c>
      <c r="B17" s="200" t="s">
        <v>1254</v>
      </c>
      <c r="C17" s="211">
        <v>85145.0</v>
      </c>
      <c r="D17" s="211">
        <v>108614.0</v>
      </c>
      <c r="E17" s="211">
        <v>108614.0</v>
      </c>
      <c r="F17" s="211"/>
      <c r="G17" s="211"/>
      <c r="H17" s="211"/>
      <c r="I17" s="211"/>
      <c r="J17" s="211"/>
      <c r="K17" s="211"/>
      <c r="L17" s="211"/>
      <c r="M17" s="212"/>
      <c r="N17" s="212"/>
      <c r="O17" s="212"/>
      <c r="P17" s="212"/>
      <c r="Q17" s="212"/>
      <c r="R17" s="211"/>
      <c r="S17" s="212"/>
      <c r="T17" s="212"/>
      <c r="U17" s="212"/>
      <c r="V17" s="212"/>
      <c r="W17" s="211">
        <v>4819113.0</v>
      </c>
      <c r="X17" s="200">
        <v>108614.0</v>
      </c>
      <c r="Y17" s="200">
        <v>5012872.0</v>
      </c>
      <c r="Z17" s="200"/>
      <c r="AA17" s="200"/>
      <c r="AB17" s="200"/>
      <c r="AC17" s="200"/>
      <c r="AD17" s="213" t="s">
        <v>683</v>
      </c>
      <c r="AE17" s="213" t="s">
        <v>683</v>
      </c>
      <c r="AF17" s="214" t="str">
        <f>Table1[[#This Row],[2019 Scope 1 (MeT Co2)]]</f>
        <v>#ERROR!</v>
      </c>
      <c r="AG17" s="215" t="str">
        <f t="shared" si="1"/>
        <v>#ERROR!</v>
      </c>
      <c r="AH17" s="216" t="str">
        <f t="shared" si="2"/>
        <v>#ERROR!</v>
      </c>
      <c r="AI17" s="210"/>
      <c r="AJ17" s="210"/>
      <c r="AK17" s="213" t="s">
        <v>683</v>
      </c>
      <c r="AL17" s="213" t="s">
        <v>683</v>
      </c>
      <c r="AM17" s="214" t="str">
        <f>Table1[[#This Row],[2019 Scope 2 ]]</f>
        <v>#ERROR!</v>
      </c>
      <c r="AN17" s="215" t="str">
        <f t="shared" si="3"/>
        <v>#ERROR!</v>
      </c>
      <c r="AO17" s="216" t="str">
        <f t="shared" si="4"/>
        <v>#ERROR!</v>
      </c>
      <c r="AP17" s="215" t="str">
        <f t="shared" si="5"/>
        <v>#ERROR!</v>
      </c>
      <c r="AQ17" s="216" t="str">
        <f t="shared" si="6"/>
        <v>#ERROR!</v>
      </c>
      <c r="AR17" s="217" t="str">
        <f>Table1[[#This Row],[2019 Scope 3 ]]</f>
        <v>#ERROR!</v>
      </c>
      <c r="AS17" s="218" t="str">
        <f t="shared" si="7"/>
        <v>#ERROR!</v>
      </c>
      <c r="AT17" s="219" t="str">
        <f t="shared" si="8"/>
        <v>#ERROR!</v>
      </c>
      <c r="BI17" s="4">
        <v>1452.0</v>
      </c>
    </row>
    <row r="18" ht="12.75" customHeight="1">
      <c r="A18" s="5">
        <f>companies!A18</f>
        <v>17</v>
      </c>
      <c r="B18" s="200" t="s">
        <v>1254</v>
      </c>
      <c r="C18" s="211" t="s">
        <v>536</v>
      </c>
      <c r="D18" s="211" t="s">
        <v>536</v>
      </c>
      <c r="E18" s="211" t="s">
        <v>536</v>
      </c>
      <c r="F18" s="211"/>
      <c r="G18" s="211"/>
      <c r="H18" s="211"/>
      <c r="I18" s="211"/>
      <c r="J18" s="211"/>
      <c r="K18" s="211"/>
      <c r="L18" s="211"/>
      <c r="M18" s="212"/>
      <c r="N18" s="212"/>
      <c r="O18" s="212"/>
      <c r="P18" s="212"/>
      <c r="Q18" s="212"/>
      <c r="R18" s="211"/>
      <c r="S18" s="212"/>
      <c r="T18" s="212"/>
      <c r="U18" s="212"/>
      <c r="V18" s="212"/>
      <c r="W18" s="211" t="s">
        <v>536</v>
      </c>
      <c r="X18" s="200">
        <v>0.0</v>
      </c>
      <c r="Y18" s="200"/>
      <c r="Z18" s="213"/>
      <c r="AA18" s="213"/>
      <c r="AB18" s="213"/>
      <c r="AC18" s="213"/>
      <c r="AD18" s="213" t="e">
        <v>#N/A</v>
      </c>
      <c r="AE18" s="213" t="e">
        <v>#N/A</v>
      </c>
      <c r="AF18" s="214" t="str">
        <f>Table1[[#This Row],[2019 Scope 1 (MeT Co2)]]</f>
        <v>#ERROR!</v>
      </c>
      <c r="AG18" s="215" t="str">
        <f t="shared" si="1"/>
        <v>#ERROR!</v>
      </c>
      <c r="AH18" s="216" t="str">
        <f t="shared" si="2"/>
        <v>#ERROR!</v>
      </c>
      <c r="AI18" s="210"/>
      <c r="AJ18" s="210"/>
      <c r="AK18" s="213" t="e">
        <v>#N/A</v>
      </c>
      <c r="AL18" s="213" t="e">
        <v>#N/A</v>
      </c>
      <c r="AM18" s="214" t="str">
        <f>Table1[[#This Row],[2019 Scope 2 ]]</f>
        <v>#ERROR!</v>
      </c>
      <c r="AN18" s="215" t="str">
        <f t="shared" si="3"/>
        <v>#ERROR!</v>
      </c>
      <c r="AO18" s="216" t="str">
        <f t="shared" si="4"/>
        <v>#ERROR!</v>
      </c>
      <c r="AP18" s="215" t="str">
        <f t="shared" si="5"/>
        <v>#ERROR!</v>
      </c>
      <c r="AQ18" s="216" t="str">
        <f t="shared" si="6"/>
        <v>#ERROR!</v>
      </c>
      <c r="AR18" s="217" t="str">
        <f>Table1[[#This Row],[2019 Scope 3 ]]</f>
        <v>#ERROR!</v>
      </c>
      <c r="AS18" s="218" t="str">
        <f t="shared" si="7"/>
        <v>#ERROR!</v>
      </c>
      <c r="AT18" s="219" t="str">
        <f t="shared" si="8"/>
        <v>#ERROR!</v>
      </c>
    </row>
    <row r="19" ht="12.75" customHeight="1">
      <c r="A19" s="5">
        <f>companies!A19</f>
        <v>18</v>
      </c>
      <c r="B19" s="200" t="s">
        <v>1254</v>
      </c>
      <c r="C19" s="211">
        <v>68448.0</v>
      </c>
      <c r="D19" s="211">
        <v>40172.0</v>
      </c>
      <c r="E19" s="211">
        <v>40172.0</v>
      </c>
      <c r="F19" s="211"/>
      <c r="G19" s="211"/>
      <c r="H19" s="211"/>
      <c r="I19" s="211"/>
      <c r="J19" s="211"/>
      <c r="K19" s="211"/>
      <c r="L19" s="211"/>
      <c r="M19" s="212"/>
      <c r="N19" s="212"/>
      <c r="O19" s="212"/>
      <c r="P19" s="212"/>
      <c r="Q19" s="212"/>
      <c r="R19" s="211"/>
      <c r="S19" s="212"/>
      <c r="T19" s="212"/>
      <c r="U19" s="212"/>
      <c r="V19" s="212"/>
      <c r="W19" s="211">
        <v>436265.0</v>
      </c>
      <c r="X19" s="200">
        <v>40172.0</v>
      </c>
      <c r="Y19" s="200">
        <v>544885.0</v>
      </c>
      <c r="Z19" s="200"/>
      <c r="AA19" s="200"/>
      <c r="AB19" s="200"/>
      <c r="AC19" s="200"/>
      <c r="AD19" s="213" t="s">
        <v>683</v>
      </c>
      <c r="AE19" s="213" t="s">
        <v>683</v>
      </c>
      <c r="AF19" s="214" t="str">
        <f>Table1[[#This Row],[2019 Scope 1 (MeT Co2)]]</f>
        <v>#ERROR!</v>
      </c>
      <c r="AG19" s="215" t="str">
        <f t="shared" si="1"/>
        <v>#ERROR!</v>
      </c>
      <c r="AH19" s="216" t="str">
        <f t="shared" si="2"/>
        <v>#ERROR!</v>
      </c>
      <c r="AI19" s="210"/>
      <c r="AJ19" s="210"/>
      <c r="AK19" s="213" t="s">
        <v>683</v>
      </c>
      <c r="AL19" s="213" t="s">
        <v>683</v>
      </c>
      <c r="AM19" s="214" t="str">
        <f>Table1[[#This Row],[2019 Scope 2 ]]</f>
        <v>#ERROR!</v>
      </c>
      <c r="AN19" s="215" t="str">
        <f t="shared" si="3"/>
        <v>#ERROR!</v>
      </c>
      <c r="AO19" s="216" t="str">
        <f t="shared" si="4"/>
        <v>#ERROR!</v>
      </c>
      <c r="AP19" s="215" t="str">
        <f t="shared" si="5"/>
        <v>#ERROR!</v>
      </c>
      <c r="AQ19" s="216" t="str">
        <f t="shared" si="6"/>
        <v>#ERROR!</v>
      </c>
      <c r="AR19" s="217" t="str">
        <f>Table1[[#This Row],[2019 Scope 3 ]]</f>
        <v>#ERROR!</v>
      </c>
      <c r="AS19" s="218" t="str">
        <f t="shared" si="7"/>
        <v>#ERROR!</v>
      </c>
      <c r="AT19" s="219" t="str">
        <f t="shared" si="8"/>
        <v>#ERROR!</v>
      </c>
      <c r="BI19" s="4">
        <v>1857.0</v>
      </c>
    </row>
    <row r="20" ht="12.75" customHeight="1">
      <c r="A20" s="5">
        <f>companies!A20</f>
        <v>19</v>
      </c>
      <c r="B20" s="200" t="s">
        <v>1254</v>
      </c>
      <c r="C20" s="211">
        <v>4807.0</v>
      </c>
      <c r="D20" s="211">
        <v>22043.0</v>
      </c>
      <c r="E20" s="211">
        <v>22043.0</v>
      </c>
      <c r="F20" s="211"/>
      <c r="G20" s="211"/>
      <c r="H20" s="211"/>
      <c r="I20" s="211"/>
      <c r="J20" s="211"/>
      <c r="K20" s="211"/>
      <c r="L20" s="211"/>
      <c r="M20" s="212"/>
      <c r="N20" s="212"/>
      <c r="O20" s="212"/>
      <c r="P20" s="212"/>
      <c r="Q20" s="212"/>
      <c r="R20" s="211"/>
      <c r="S20" s="212"/>
      <c r="T20" s="212"/>
      <c r="U20" s="212"/>
      <c r="V20" s="212"/>
      <c r="W20" s="211">
        <v>44512.1</v>
      </c>
      <c r="X20" s="200">
        <v>22043.0</v>
      </c>
      <c r="Y20" s="200">
        <v>71362.1</v>
      </c>
      <c r="Z20" s="200"/>
      <c r="AA20" s="200"/>
      <c r="AB20" s="200"/>
      <c r="AC20" s="200"/>
      <c r="AD20" s="213" t="s">
        <v>683</v>
      </c>
      <c r="AE20" s="213" t="s">
        <v>683</v>
      </c>
      <c r="AF20" s="214" t="str">
        <f>Table1[[#This Row],[2019 Scope 1 (MeT Co2)]]</f>
        <v>#ERROR!</v>
      </c>
      <c r="AG20" s="215" t="str">
        <f t="shared" si="1"/>
        <v>#ERROR!</v>
      </c>
      <c r="AH20" s="216" t="str">
        <f t="shared" si="2"/>
        <v>#ERROR!</v>
      </c>
      <c r="AI20" s="210"/>
      <c r="AJ20" s="210"/>
      <c r="AK20" s="213" t="s">
        <v>683</v>
      </c>
      <c r="AL20" s="213" t="s">
        <v>683</v>
      </c>
      <c r="AM20" s="214" t="str">
        <f>Table1[[#This Row],[2019 Scope 2 ]]</f>
        <v>#ERROR!</v>
      </c>
      <c r="AN20" s="215" t="str">
        <f t="shared" si="3"/>
        <v>#ERROR!</v>
      </c>
      <c r="AO20" s="216" t="str">
        <f t="shared" si="4"/>
        <v>#ERROR!</v>
      </c>
      <c r="AP20" s="215" t="str">
        <f t="shared" si="5"/>
        <v>#ERROR!</v>
      </c>
      <c r="AQ20" s="216" t="str">
        <f t="shared" si="6"/>
        <v>#ERROR!</v>
      </c>
      <c r="AR20" s="217" t="str">
        <f>Table1[[#This Row],[2019 Scope 3 ]]</f>
        <v>#ERROR!</v>
      </c>
      <c r="AS20" s="218" t="str">
        <f t="shared" si="7"/>
        <v>#ERROR!</v>
      </c>
      <c r="AT20" s="219" t="str">
        <f t="shared" si="8"/>
        <v>#ERROR!</v>
      </c>
      <c r="BI20" s="4">
        <v>1875.0</v>
      </c>
    </row>
    <row r="21" ht="12.75" customHeight="1">
      <c r="A21" s="5">
        <f>companies!A21</f>
        <v>20</v>
      </c>
      <c r="B21" s="200" t="s">
        <v>1254</v>
      </c>
      <c r="C21" s="211">
        <v>646000.0</v>
      </c>
      <c r="D21" s="211">
        <v>892000.0</v>
      </c>
      <c r="E21" s="211">
        <v>892000.0</v>
      </c>
      <c r="F21" s="211"/>
      <c r="G21" s="211"/>
      <c r="H21" s="211"/>
      <c r="I21" s="211"/>
      <c r="J21" s="211"/>
      <c r="K21" s="211"/>
      <c r="L21" s="211"/>
      <c r="M21" s="212"/>
      <c r="N21" s="212"/>
      <c r="O21" s="212"/>
      <c r="P21" s="212"/>
      <c r="Q21" s="212"/>
      <c r="R21" s="211"/>
      <c r="S21" s="212"/>
      <c r="T21" s="212"/>
      <c r="U21" s="212"/>
      <c r="V21" s="212"/>
      <c r="W21" s="211">
        <v>320000.0</v>
      </c>
      <c r="X21" s="200">
        <v>892000.0</v>
      </c>
      <c r="Y21" s="200">
        <v>1858000.0</v>
      </c>
      <c r="Z21" s="200"/>
      <c r="AA21" s="200"/>
      <c r="AB21" s="200"/>
      <c r="AC21" s="200"/>
      <c r="AD21" s="213" t="s">
        <v>683</v>
      </c>
      <c r="AE21" s="213" t="s">
        <v>683</v>
      </c>
      <c r="AF21" s="214" t="str">
        <f>Table1[[#This Row],[2019 Scope 1 (MeT Co2)]]</f>
        <v>#ERROR!</v>
      </c>
      <c r="AG21" s="215" t="str">
        <f t="shared" si="1"/>
        <v>#ERROR!</v>
      </c>
      <c r="AH21" s="216" t="str">
        <f t="shared" si="2"/>
        <v>#ERROR!</v>
      </c>
      <c r="AI21" s="210"/>
      <c r="AJ21" s="210"/>
      <c r="AK21" s="213" t="s">
        <v>683</v>
      </c>
      <c r="AL21" s="213" t="s">
        <v>683</v>
      </c>
      <c r="AM21" s="214" t="str">
        <f>Table1[[#This Row],[2019 Scope 2 ]]</f>
        <v>#ERROR!</v>
      </c>
      <c r="AN21" s="215" t="str">
        <f t="shared" si="3"/>
        <v>#ERROR!</v>
      </c>
      <c r="AO21" s="216" t="str">
        <f t="shared" si="4"/>
        <v>#ERROR!</v>
      </c>
      <c r="AP21" s="215" t="str">
        <f t="shared" si="5"/>
        <v>#ERROR!</v>
      </c>
      <c r="AQ21" s="216" t="str">
        <f t="shared" si="6"/>
        <v>#ERROR!</v>
      </c>
      <c r="AR21" s="217" t="str">
        <f>Table1[[#This Row],[2019 Scope 3 ]]</f>
        <v>#ERROR!</v>
      </c>
      <c r="AS21" s="218" t="str">
        <f t="shared" si="7"/>
        <v>#ERROR!</v>
      </c>
      <c r="AT21" s="219" t="str">
        <f t="shared" si="8"/>
        <v>#ERROR!</v>
      </c>
      <c r="BI21" s="4">
        <v>2017.0</v>
      </c>
    </row>
    <row r="22" ht="12.75" customHeight="1">
      <c r="A22" s="5">
        <f>companies!A22</f>
        <v>21</v>
      </c>
      <c r="B22" s="200" t="s">
        <v>1254</v>
      </c>
      <c r="C22" s="211">
        <v>4811.67</v>
      </c>
      <c r="D22" s="211">
        <v>57517.74</v>
      </c>
      <c r="E22" s="211">
        <v>57517.74</v>
      </c>
      <c r="F22" s="211"/>
      <c r="G22" s="211"/>
      <c r="H22" s="211"/>
      <c r="I22" s="211"/>
      <c r="J22" s="211"/>
      <c r="K22" s="211"/>
      <c r="L22" s="211"/>
      <c r="M22" s="212"/>
      <c r="N22" s="212"/>
      <c r="O22" s="212"/>
      <c r="P22" s="212"/>
      <c r="Q22" s="212"/>
      <c r="R22" s="211"/>
      <c r="S22" s="212"/>
      <c r="T22" s="212"/>
      <c r="U22" s="212"/>
      <c r="V22" s="212"/>
      <c r="W22" s="211" t="s">
        <v>536</v>
      </c>
      <c r="X22" s="200">
        <v>57517.74</v>
      </c>
      <c r="Y22" s="200"/>
      <c r="Z22" s="213"/>
      <c r="AA22" s="213"/>
      <c r="AB22" s="213"/>
      <c r="AC22" s="213"/>
      <c r="AD22" s="213" t="e">
        <v>#N/A</v>
      </c>
      <c r="AE22" s="213" t="e">
        <v>#N/A</v>
      </c>
      <c r="AF22" s="214" t="str">
        <f>Table1[[#This Row],[2019 Scope 1 (MeT Co2)]]</f>
        <v>#ERROR!</v>
      </c>
      <c r="AG22" s="215" t="str">
        <f t="shared" si="1"/>
        <v>#ERROR!</v>
      </c>
      <c r="AH22" s="216" t="str">
        <f t="shared" si="2"/>
        <v>#ERROR!</v>
      </c>
      <c r="AI22" s="210"/>
      <c r="AJ22" s="210"/>
      <c r="AK22" s="213" t="e">
        <v>#N/A</v>
      </c>
      <c r="AL22" s="213" t="e">
        <v>#N/A</v>
      </c>
      <c r="AM22" s="214" t="str">
        <f>Table1[[#This Row],[2019 Scope 2 ]]</f>
        <v>#ERROR!</v>
      </c>
      <c r="AN22" s="215" t="str">
        <f t="shared" si="3"/>
        <v>#ERROR!</v>
      </c>
      <c r="AO22" s="216" t="str">
        <f t="shared" si="4"/>
        <v>#ERROR!</v>
      </c>
      <c r="AP22" s="215" t="str">
        <f t="shared" si="5"/>
        <v>#ERROR!</v>
      </c>
      <c r="AQ22" s="216" t="str">
        <f t="shared" si="6"/>
        <v>#ERROR!</v>
      </c>
      <c r="AR22" s="217" t="str">
        <f>Table1[[#This Row],[2019 Scope 3 ]]</f>
        <v>#ERROR!</v>
      </c>
      <c r="AS22" s="218" t="str">
        <f t="shared" si="7"/>
        <v>#ERROR!</v>
      </c>
      <c r="AT22" s="219" t="str">
        <f t="shared" si="8"/>
        <v>#ERROR!</v>
      </c>
    </row>
    <row r="23" ht="12.75" customHeight="1">
      <c r="A23" s="5">
        <f>companies!A23</f>
        <v>22</v>
      </c>
      <c r="B23" s="200" t="s">
        <v>1254</v>
      </c>
      <c r="C23" s="211">
        <v>130000.0</v>
      </c>
      <c r="D23" s="211">
        <v>230000.0</v>
      </c>
      <c r="E23" s="211">
        <v>230000.0</v>
      </c>
      <c r="F23" s="211"/>
      <c r="G23" s="211"/>
      <c r="H23" s="211"/>
      <c r="I23" s="211"/>
      <c r="J23" s="211"/>
      <c r="K23" s="211"/>
      <c r="L23" s="211"/>
      <c r="M23" s="212"/>
      <c r="N23" s="212"/>
      <c r="O23" s="212"/>
      <c r="P23" s="212"/>
      <c r="Q23" s="212"/>
      <c r="R23" s="211"/>
      <c r="S23" s="212"/>
      <c r="T23" s="212"/>
      <c r="U23" s="212"/>
      <c r="V23" s="212"/>
      <c r="W23" s="211" t="s">
        <v>536</v>
      </c>
      <c r="X23" s="200">
        <v>230000.0</v>
      </c>
      <c r="Y23" s="200"/>
      <c r="Z23" s="213"/>
      <c r="AA23" s="213"/>
      <c r="AB23" s="213"/>
      <c r="AC23" s="213"/>
      <c r="AD23" s="213" t="s">
        <v>683</v>
      </c>
      <c r="AE23" s="213" t="s">
        <v>683</v>
      </c>
      <c r="AF23" s="214" t="str">
        <f>Table1[[#This Row],[2019 Scope 1 (MeT Co2)]]</f>
        <v>#ERROR!</v>
      </c>
      <c r="AG23" s="215" t="str">
        <f t="shared" si="1"/>
        <v>#ERROR!</v>
      </c>
      <c r="AH23" s="216" t="str">
        <f t="shared" si="2"/>
        <v>#ERROR!</v>
      </c>
      <c r="AI23" s="210"/>
      <c r="AJ23" s="210"/>
      <c r="AK23" s="213" t="s">
        <v>683</v>
      </c>
      <c r="AL23" s="213" t="s">
        <v>683</v>
      </c>
      <c r="AM23" s="214" t="str">
        <f>Table1[[#This Row],[2019 Scope 2 ]]</f>
        <v>#ERROR!</v>
      </c>
      <c r="AN23" s="215" t="str">
        <f t="shared" si="3"/>
        <v>#ERROR!</v>
      </c>
      <c r="AO23" s="216" t="str">
        <f t="shared" si="4"/>
        <v>#ERROR!</v>
      </c>
      <c r="AP23" s="215" t="str">
        <f t="shared" si="5"/>
        <v>#ERROR!</v>
      </c>
      <c r="AQ23" s="216" t="str">
        <f t="shared" si="6"/>
        <v>#ERROR!</v>
      </c>
      <c r="AR23" s="217" t="str">
        <f>Table1[[#This Row],[2019 Scope 3 ]]</f>
        <v>#ERROR!</v>
      </c>
      <c r="AS23" s="218" t="str">
        <f t="shared" si="7"/>
        <v>#ERROR!</v>
      </c>
      <c r="AT23" s="219" t="str">
        <f t="shared" si="8"/>
        <v>#ERROR!</v>
      </c>
      <c r="BI23" s="4">
        <v>2191.0</v>
      </c>
    </row>
    <row r="24" ht="12.75" customHeight="1">
      <c r="A24" s="5">
        <f>companies!A24</f>
        <v>23</v>
      </c>
      <c r="B24" s="200" t="s">
        <v>1254</v>
      </c>
      <c r="C24" s="211">
        <v>9815.0</v>
      </c>
      <c r="D24" s="211">
        <v>0.0</v>
      </c>
      <c r="E24" s="211">
        <v>0.0</v>
      </c>
      <c r="F24" s="211"/>
      <c r="G24" s="211"/>
      <c r="H24" s="211"/>
      <c r="I24" s="211"/>
      <c r="J24" s="211"/>
      <c r="K24" s="211"/>
      <c r="L24" s="211"/>
      <c r="M24" s="212"/>
      <c r="N24" s="212"/>
      <c r="O24" s="212"/>
      <c r="P24" s="212"/>
      <c r="Q24" s="212"/>
      <c r="R24" s="211"/>
      <c r="S24" s="212"/>
      <c r="T24" s="212"/>
      <c r="U24" s="212"/>
      <c r="V24" s="212"/>
      <c r="W24" s="211">
        <v>374709.2</v>
      </c>
      <c r="X24" s="200" t="b">
        <v>0</v>
      </c>
      <c r="Y24" s="200">
        <v>384524.2</v>
      </c>
      <c r="Z24" s="200"/>
      <c r="AA24" s="200"/>
      <c r="AB24" s="200"/>
      <c r="AC24" s="200"/>
      <c r="AD24" s="213" t="s">
        <v>683</v>
      </c>
      <c r="AE24" s="213" t="s">
        <v>683</v>
      </c>
      <c r="AF24" s="214" t="str">
        <f>Table1[[#This Row],[2019 Scope 1 (MeT Co2)]]</f>
        <v>#ERROR!</v>
      </c>
      <c r="AG24" s="215" t="str">
        <f t="shared" si="1"/>
        <v>#ERROR!</v>
      </c>
      <c r="AH24" s="216" t="str">
        <f t="shared" si="2"/>
        <v>#ERROR!</v>
      </c>
      <c r="AI24" s="210"/>
      <c r="AJ24" s="210"/>
      <c r="AK24" s="213" t="s">
        <v>683</v>
      </c>
      <c r="AL24" s="213" t="s">
        <v>683</v>
      </c>
      <c r="AM24" s="214" t="str">
        <f>Table1[[#This Row],[2019 Scope 2 ]]</f>
        <v>#ERROR!</v>
      </c>
      <c r="AN24" s="215" t="str">
        <f t="shared" si="3"/>
        <v>#ERROR!</v>
      </c>
      <c r="AO24" s="216" t="str">
        <f t="shared" si="4"/>
        <v>#ERROR!</v>
      </c>
      <c r="AP24" s="215" t="str">
        <f t="shared" si="5"/>
        <v>#ERROR!</v>
      </c>
      <c r="AQ24" s="216" t="str">
        <f t="shared" si="6"/>
        <v>#ERROR!</v>
      </c>
      <c r="AR24" s="217" t="str">
        <f>Table1[[#This Row],[2019 Scope 3 ]]</f>
        <v>#ERROR!</v>
      </c>
      <c r="AS24" s="218" t="str">
        <f t="shared" si="7"/>
        <v>#ERROR!</v>
      </c>
      <c r="AT24" s="219" t="str">
        <f t="shared" si="8"/>
        <v>#ERROR!</v>
      </c>
      <c r="BI24" s="4">
        <v>2695.0</v>
      </c>
    </row>
    <row r="25" ht="12.75" customHeight="1">
      <c r="A25" s="5">
        <f>companies!A25</f>
        <v>24</v>
      </c>
      <c r="B25" s="200" t="s">
        <v>1254</v>
      </c>
      <c r="C25" s="211">
        <v>927000.0</v>
      </c>
      <c r="D25" s="211">
        <v>1280000.0</v>
      </c>
      <c r="E25" s="211">
        <v>1280000.0</v>
      </c>
      <c r="F25" s="211"/>
      <c r="G25" s="211"/>
      <c r="H25" s="211"/>
      <c r="I25" s="211"/>
      <c r="J25" s="211"/>
      <c r="K25" s="211"/>
      <c r="L25" s="211"/>
      <c r="M25" s="212"/>
      <c r="N25" s="212"/>
      <c r="O25" s="212"/>
      <c r="P25" s="212"/>
      <c r="Q25" s="212"/>
      <c r="R25" s="211"/>
      <c r="S25" s="212"/>
      <c r="T25" s="212"/>
      <c r="U25" s="212"/>
      <c r="V25" s="212"/>
      <c r="W25" s="211" t="s">
        <v>536</v>
      </c>
      <c r="X25" s="200">
        <v>1280000.0</v>
      </c>
      <c r="Y25" s="200"/>
      <c r="Z25" s="213"/>
      <c r="AA25" s="213"/>
      <c r="AB25" s="213"/>
      <c r="AC25" s="213"/>
      <c r="AD25" s="213" t="e">
        <v>#N/A</v>
      </c>
      <c r="AE25" s="213" t="e">
        <v>#N/A</v>
      </c>
      <c r="AF25" s="214" t="str">
        <f>Table1[[#This Row],[2019 Scope 1 (MeT Co2)]]</f>
        <v>#ERROR!</v>
      </c>
      <c r="AG25" s="215" t="str">
        <f t="shared" si="1"/>
        <v>#ERROR!</v>
      </c>
      <c r="AH25" s="216" t="str">
        <f t="shared" si="2"/>
        <v>#ERROR!</v>
      </c>
      <c r="AI25" s="210"/>
      <c r="AJ25" s="210"/>
      <c r="AK25" s="213" t="e">
        <v>#N/A</v>
      </c>
      <c r="AL25" s="213" t="e">
        <v>#N/A</v>
      </c>
      <c r="AM25" s="214" t="str">
        <f>Table1[[#This Row],[2019 Scope 2 ]]</f>
        <v>#ERROR!</v>
      </c>
      <c r="AN25" s="215" t="str">
        <f t="shared" si="3"/>
        <v>#ERROR!</v>
      </c>
      <c r="AO25" s="216" t="str">
        <f t="shared" si="4"/>
        <v>#ERROR!</v>
      </c>
      <c r="AP25" s="215" t="str">
        <f t="shared" si="5"/>
        <v>#ERROR!</v>
      </c>
      <c r="AQ25" s="216" t="str">
        <f t="shared" si="6"/>
        <v>#ERROR!</v>
      </c>
      <c r="AR25" s="217" t="str">
        <f>Table1[[#This Row],[2019 Scope 3 ]]</f>
        <v>#ERROR!</v>
      </c>
      <c r="AS25" s="218" t="str">
        <f t="shared" si="7"/>
        <v>#ERROR!</v>
      </c>
      <c r="AT25" s="219" t="str">
        <f t="shared" si="8"/>
        <v>#ERROR!</v>
      </c>
    </row>
    <row r="26" ht="12.75" customHeight="1">
      <c r="A26" s="5">
        <f>companies!A26</f>
        <v>25</v>
      </c>
      <c r="B26" s="200" t="s">
        <v>1254</v>
      </c>
      <c r="C26" s="211" t="s">
        <v>536</v>
      </c>
      <c r="D26" s="211" t="s">
        <v>536</v>
      </c>
      <c r="E26" s="211" t="s">
        <v>536</v>
      </c>
      <c r="F26" s="211"/>
      <c r="G26" s="211"/>
      <c r="H26" s="211"/>
      <c r="I26" s="211"/>
      <c r="J26" s="211"/>
      <c r="K26" s="211"/>
      <c r="L26" s="211"/>
      <c r="M26" s="212"/>
      <c r="N26" s="212"/>
      <c r="O26" s="212"/>
      <c r="P26" s="212"/>
      <c r="Q26" s="212"/>
      <c r="R26" s="211"/>
      <c r="S26" s="212"/>
      <c r="T26" s="212"/>
      <c r="U26" s="212"/>
      <c r="V26" s="212"/>
      <c r="W26" s="211" t="s">
        <v>536</v>
      </c>
      <c r="X26" s="200">
        <v>0.0</v>
      </c>
      <c r="Y26" s="200"/>
      <c r="Z26" s="213"/>
      <c r="AA26" s="213"/>
      <c r="AB26" s="213"/>
      <c r="AC26" s="213"/>
      <c r="AD26" s="213" t="e">
        <v>#N/A</v>
      </c>
      <c r="AE26" s="213" t="e">
        <v>#N/A</v>
      </c>
      <c r="AF26" s="214" t="str">
        <f>Table1[[#This Row],[2019 Scope 1 (MeT Co2)]]</f>
        <v>#ERROR!</v>
      </c>
      <c r="AG26" s="215" t="str">
        <f t="shared" si="1"/>
        <v>#ERROR!</v>
      </c>
      <c r="AH26" s="216" t="str">
        <f t="shared" si="2"/>
        <v>#ERROR!</v>
      </c>
      <c r="AI26" s="210"/>
      <c r="AJ26" s="210"/>
      <c r="AK26" s="213" t="e">
        <v>#N/A</v>
      </c>
      <c r="AL26" s="213" t="e">
        <v>#N/A</v>
      </c>
      <c r="AM26" s="214" t="str">
        <f>Table1[[#This Row],[2019 Scope 2 ]]</f>
        <v>#ERROR!</v>
      </c>
      <c r="AN26" s="215" t="str">
        <f t="shared" si="3"/>
        <v>#ERROR!</v>
      </c>
      <c r="AO26" s="216" t="str">
        <f t="shared" si="4"/>
        <v>#ERROR!</v>
      </c>
      <c r="AP26" s="215" t="str">
        <f t="shared" si="5"/>
        <v>#ERROR!</v>
      </c>
      <c r="AQ26" s="216" t="str">
        <f t="shared" si="6"/>
        <v>#ERROR!</v>
      </c>
      <c r="AR26" s="217" t="str">
        <f>Table1[[#This Row],[2019 Scope 3 ]]</f>
        <v>#ERROR!</v>
      </c>
      <c r="AS26" s="218" t="str">
        <f t="shared" si="7"/>
        <v>#ERROR!</v>
      </c>
      <c r="AT26" s="219" t="str">
        <f t="shared" si="8"/>
        <v>#ERROR!</v>
      </c>
    </row>
    <row r="27" ht="12.75" customHeight="1">
      <c r="A27" s="5">
        <f>companies!A27</f>
        <v>26</v>
      </c>
      <c r="B27" s="200" t="s">
        <v>1254</v>
      </c>
      <c r="C27" s="211">
        <v>5.9E7</v>
      </c>
      <c r="D27" s="211">
        <v>3000000.0</v>
      </c>
      <c r="E27" s="211">
        <v>3000000.0</v>
      </c>
      <c r="F27" s="211"/>
      <c r="G27" s="211"/>
      <c r="H27" s="211"/>
      <c r="I27" s="211"/>
      <c r="J27" s="211"/>
      <c r="K27" s="211"/>
      <c r="L27" s="211"/>
      <c r="M27" s="212"/>
      <c r="N27" s="212"/>
      <c r="O27" s="212"/>
      <c r="P27" s="212"/>
      <c r="Q27" s="212"/>
      <c r="R27" s="211"/>
      <c r="S27" s="212"/>
      <c r="T27" s="212"/>
      <c r="U27" s="212"/>
      <c r="V27" s="212"/>
      <c r="W27" s="211">
        <v>3.97E8</v>
      </c>
      <c r="X27" s="200">
        <v>3000000.0</v>
      </c>
      <c r="Y27" s="200">
        <v>4.59E8</v>
      </c>
      <c r="Z27" s="213"/>
      <c r="AA27" s="213"/>
      <c r="AB27" s="213"/>
      <c r="AC27" s="213"/>
      <c r="AD27" s="213" t="e">
        <v>#N/A</v>
      </c>
      <c r="AE27" s="213" t="e">
        <v>#N/A</v>
      </c>
      <c r="AF27" s="214" t="str">
        <f>Table1[[#This Row],[2019 Scope 1 (MeT Co2)]]</f>
        <v>#ERROR!</v>
      </c>
      <c r="AG27" s="215" t="str">
        <f t="shared" si="1"/>
        <v>#ERROR!</v>
      </c>
      <c r="AH27" s="216" t="str">
        <f t="shared" si="2"/>
        <v>#ERROR!</v>
      </c>
      <c r="AI27" s="210"/>
      <c r="AJ27" s="210"/>
      <c r="AK27" s="213" t="e">
        <v>#N/A</v>
      </c>
      <c r="AL27" s="213" t="e">
        <v>#N/A</v>
      </c>
      <c r="AM27" s="214" t="str">
        <f>Table1[[#This Row],[2019 Scope 2 ]]</f>
        <v>#ERROR!</v>
      </c>
      <c r="AN27" s="215" t="str">
        <f t="shared" si="3"/>
        <v>#ERROR!</v>
      </c>
      <c r="AO27" s="216" t="str">
        <f t="shared" si="4"/>
        <v>#ERROR!</v>
      </c>
      <c r="AP27" s="215" t="str">
        <f t="shared" si="5"/>
        <v>#ERROR!</v>
      </c>
      <c r="AQ27" s="216" t="str">
        <f t="shared" si="6"/>
        <v>#ERROR!</v>
      </c>
      <c r="AR27" s="217" t="str">
        <f>Table1[[#This Row],[2019 Scope 3 ]]</f>
        <v>#ERROR!</v>
      </c>
      <c r="AS27" s="218" t="str">
        <f t="shared" si="7"/>
        <v>#ERROR!</v>
      </c>
      <c r="AT27" s="219" t="str">
        <f t="shared" si="8"/>
        <v>#ERROR!</v>
      </c>
    </row>
    <row r="28" ht="12.75" customHeight="1">
      <c r="A28" s="5">
        <f>companies!A28</f>
        <v>27</v>
      </c>
      <c r="B28" s="200" t="s">
        <v>1254</v>
      </c>
      <c r="C28" s="211">
        <v>41171.0</v>
      </c>
      <c r="D28" s="211">
        <v>205141.0</v>
      </c>
      <c r="E28" s="211">
        <v>205141.0</v>
      </c>
      <c r="F28" s="211"/>
      <c r="G28" s="211"/>
      <c r="H28" s="211"/>
      <c r="I28" s="211"/>
      <c r="J28" s="211"/>
      <c r="K28" s="211"/>
      <c r="L28" s="211"/>
      <c r="M28" s="212"/>
      <c r="N28" s="212"/>
      <c r="O28" s="212"/>
      <c r="P28" s="212"/>
      <c r="Q28" s="212"/>
      <c r="R28" s="211"/>
      <c r="S28" s="212"/>
      <c r="T28" s="212"/>
      <c r="U28" s="212"/>
      <c r="V28" s="212"/>
      <c r="W28" s="211">
        <v>3.9520558E7</v>
      </c>
      <c r="X28" s="200">
        <v>205141.0</v>
      </c>
      <c r="Y28" s="200">
        <v>3.976687E7</v>
      </c>
      <c r="Z28" s="200"/>
      <c r="AA28" s="200"/>
      <c r="AB28" s="200"/>
      <c r="AC28" s="200"/>
      <c r="AD28" s="213" t="s">
        <v>683</v>
      </c>
      <c r="AE28" s="213" t="s">
        <v>683</v>
      </c>
      <c r="AF28" s="214" t="str">
        <f>Table1[[#This Row],[2019 Scope 1 (MeT Co2)]]</f>
        <v>#ERROR!</v>
      </c>
      <c r="AG28" s="215" t="str">
        <f t="shared" si="1"/>
        <v>#ERROR!</v>
      </c>
      <c r="AH28" s="216" t="str">
        <f t="shared" si="2"/>
        <v>#ERROR!</v>
      </c>
      <c r="AI28" s="210"/>
      <c r="AJ28" s="210"/>
      <c r="AK28" s="213" t="s">
        <v>683</v>
      </c>
      <c r="AL28" s="213" t="s">
        <v>683</v>
      </c>
      <c r="AM28" s="214" t="str">
        <f>Table1[[#This Row],[2019 Scope 2 ]]</f>
        <v>#ERROR!</v>
      </c>
      <c r="AN28" s="215" t="str">
        <f t="shared" si="3"/>
        <v>#ERROR!</v>
      </c>
      <c r="AO28" s="216" t="str">
        <f t="shared" si="4"/>
        <v>#ERROR!</v>
      </c>
      <c r="AP28" s="215" t="str">
        <f t="shared" si="5"/>
        <v>#ERROR!</v>
      </c>
      <c r="AQ28" s="216" t="str">
        <f t="shared" si="6"/>
        <v>#ERROR!</v>
      </c>
      <c r="AR28" s="217" t="str">
        <f>Table1[[#This Row],[2019 Scope 3 ]]</f>
        <v>#ERROR!</v>
      </c>
      <c r="AS28" s="218" t="str">
        <f t="shared" si="7"/>
        <v>#ERROR!</v>
      </c>
      <c r="AT28" s="219" t="str">
        <f t="shared" si="8"/>
        <v>#ERROR!</v>
      </c>
      <c r="BI28" s="4">
        <v>3329.0</v>
      </c>
    </row>
    <row r="29" ht="12.75" customHeight="1">
      <c r="A29" s="5">
        <f>companies!A29</f>
        <v>28</v>
      </c>
      <c r="B29" s="200" t="s">
        <v>1254</v>
      </c>
      <c r="C29" s="211">
        <v>24132.0</v>
      </c>
      <c r="D29" s="211">
        <v>623233.0</v>
      </c>
      <c r="E29" s="211">
        <v>623233.0</v>
      </c>
      <c r="F29" s="211"/>
      <c r="G29" s="211"/>
      <c r="H29" s="211"/>
      <c r="I29" s="211"/>
      <c r="J29" s="211"/>
      <c r="K29" s="211"/>
      <c r="L29" s="211"/>
      <c r="M29" s="212"/>
      <c r="N29" s="212"/>
      <c r="O29" s="212"/>
      <c r="P29" s="212"/>
      <c r="Q29" s="212"/>
      <c r="R29" s="211"/>
      <c r="S29" s="212"/>
      <c r="T29" s="212"/>
      <c r="U29" s="212"/>
      <c r="V29" s="212"/>
      <c r="W29" s="211">
        <v>1.07034325E7</v>
      </c>
      <c r="X29" s="200">
        <v>623233.0</v>
      </c>
      <c r="Y29" s="200">
        <v>1.13507975E7</v>
      </c>
      <c r="Z29" s="200"/>
      <c r="AA29" s="200"/>
      <c r="AB29" s="200"/>
      <c r="AC29" s="200"/>
      <c r="AD29" s="213" t="s">
        <v>683</v>
      </c>
      <c r="AE29" s="213" t="s">
        <v>683</v>
      </c>
      <c r="AF29" s="214" t="str">
        <f>Table1[[#This Row],[2019 Scope 1 (MeT Co2)]]</f>
        <v>#ERROR!</v>
      </c>
      <c r="AG29" s="215" t="str">
        <f t="shared" si="1"/>
        <v>#ERROR!</v>
      </c>
      <c r="AH29" s="216" t="str">
        <f t="shared" si="2"/>
        <v>#ERROR!</v>
      </c>
      <c r="AI29" s="210"/>
      <c r="AJ29" s="210"/>
      <c r="AK29" s="213" t="s">
        <v>683</v>
      </c>
      <c r="AL29" s="213" t="s">
        <v>683</v>
      </c>
      <c r="AM29" s="214" t="str">
        <f>Table1[[#This Row],[2019 Scope 2 ]]</f>
        <v>#ERROR!</v>
      </c>
      <c r="AN29" s="215" t="str">
        <f t="shared" si="3"/>
        <v>#ERROR!</v>
      </c>
      <c r="AO29" s="216" t="str">
        <f t="shared" si="4"/>
        <v>#ERROR!</v>
      </c>
      <c r="AP29" s="215" t="str">
        <f t="shared" si="5"/>
        <v>#ERROR!</v>
      </c>
      <c r="AQ29" s="216" t="str">
        <f t="shared" si="6"/>
        <v>#ERROR!</v>
      </c>
      <c r="AR29" s="217" t="str">
        <f>Table1[[#This Row],[2019 Scope 3 ]]</f>
        <v>#ERROR!</v>
      </c>
      <c r="AS29" s="218" t="str">
        <f t="shared" si="7"/>
        <v>#ERROR!</v>
      </c>
      <c r="AT29" s="219" t="str">
        <f t="shared" si="8"/>
        <v>#ERROR!</v>
      </c>
      <c r="BI29" s="4">
        <v>3398.0</v>
      </c>
    </row>
    <row r="30" ht="12.75" customHeight="1">
      <c r="A30" s="5">
        <f>companies!A30</f>
        <v>29</v>
      </c>
      <c r="B30" s="200" t="s">
        <v>1254</v>
      </c>
      <c r="C30" s="211">
        <v>1790000.0</v>
      </c>
      <c r="D30" s="211">
        <v>3760000.0</v>
      </c>
      <c r="E30" s="211">
        <v>3760000.0</v>
      </c>
      <c r="F30" s="211"/>
      <c r="G30" s="211"/>
      <c r="H30" s="211"/>
      <c r="I30" s="211"/>
      <c r="J30" s="211"/>
      <c r="K30" s="211"/>
      <c r="L30" s="211"/>
      <c r="M30" s="212"/>
      <c r="N30" s="212"/>
      <c r="O30" s="212"/>
      <c r="P30" s="212"/>
      <c r="Q30" s="212"/>
      <c r="R30" s="211"/>
      <c r="S30" s="212"/>
      <c r="T30" s="212"/>
      <c r="U30" s="212"/>
      <c r="V30" s="212"/>
      <c r="W30" s="211" t="s">
        <v>536</v>
      </c>
      <c r="X30" s="200">
        <v>3760000.0</v>
      </c>
      <c r="Y30" s="200"/>
      <c r="Z30" s="200"/>
      <c r="AA30" s="200"/>
      <c r="AB30" s="200"/>
      <c r="AC30" s="200"/>
      <c r="AD30" s="213" t="s">
        <v>683</v>
      </c>
      <c r="AE30" s="213" t="s">
        <v>683</v>
      </c>
      <c r="AF30" s="214" t="str">
        <f>Table1[[#This Row],[2019 Scope 1 (MeT Co2)]]</f>
        <v>#ERROR!</v>
      </c>
      <c r="AG30" s="215" t="str">
        <f t="shared" si="1"/>
        <v>#ERROR!</v>
      </c>
      <c r="AH30" s="220" t="str">
        <f t="shared" si="2"/>
        <v>#ERROR!</v>
      </c>
      <c r="AI30" s="210"/>
      <c r="AJ30" s="210"/>
      <c r="AK30" s="213" t="s">
        <v>683</v>
      </c>
      <c r="AL30" s="213" t="s">
        <v>683</v>
      </c>
      <c r="AM30" s="214" t="str">
        <f>Table1[[#This Row],[2019 Scope 2 ]]</f>
        <v>#ERROR!</v>
      </c>
      <c r="AN30" s="215" t="str">
        <f t="shared" si="3"/>
        <v>#ERROR!</v>
      </c>
      <c r="AO30" s="220" t="str">
        <f t="shared" si="4"/>
        <v>#ERROR!</v>
      </c>
      <c r="AP30" s="215" t="str">
        <f t="shared" si="5"/>
        <v>#ERROR!</v>
      </c>
      <c r="AQ30" s="220" t="str">
        <f t="shared" si="6"/>
        <v>#ERROR!</v>
      </c>
      <c r="AR30" s="217" t="str">
        <f>Table1[[#This Row],[2019 Scope 3 ]]</f>
        <v>#ERROR!</v>
      </c>
      <c r="AS30" s="218" t="str">
        <f t="shared" si="7"/>
        <v>#ERROR!</v>
      </c>
      <c r="AT30" s="219" t="str">
        <f t="shared" si="8"/>
        <v>#ERROR!</v>
      </c>
      <c r="BI30" s="200">
        <v>3564.0</v>
      </c>
    </row>
    <row r="31" ht="12.75" customHeight="1">
      <c r="A31" s="5">
        <f>companies!A31</f>
        <v>30</v>
      </c>
      <c r="B31" s="200" t="s">
        <v>1254</v>
      </c>
      <c r="C31" s="211">
        <v>190000.0</v>
      </c>
      <c r="D31" s="211">
        <v>302000.0</v>
      </c>
      <c r="E31" s="211">
        <v>302000.0</v>
      </c>
      <c r="F31" s="211"/>
      <c r="G31" s="211"/>
      <c r="H31" s="211"/>
      <c r="I31" s="211"/>
      <c r="J31" s="211"/>
      <c r="K31" s="211"/>
      <c r="L31" s="211"/>
      <c r="M31" s="212"/>
      <c r="N31" s="212"/>
      <c r="O31" s="212"/>
      <c r="P31" s="212"/>
      <c r="Q31" s="212"/>
      <c r="R31" s="211"/>
      <c r="S31" s="212"/>
      <c r="T31" s="212"/>
      <c r="U31" s="212"/>
      <c r="V31" s="212"/>
      <c r="W31" s="211">
        <v>4.8299E7</v>
      </c>
      <c r="X31" s="200">
        <v>302000.0</v>
      </c>
      <c r="Y31" s="200">
        <v>4.8791E7</v>
      </c>
      <c r="Z31" s="200"/>
      <c r="AA31" s="200"/>
      <c r="AB31" s="200"/>
      <c r="AC31" s="200"/>
      <c r="AD31" s="213" t="s">
        <v>683</v>
      </c>
      <c r="AE31" s="213" t="s">
        <v>683</v>
      </c>
      <c r="AF31" s="214" t="str">
        <f>Table1[[#This Row],[2019 Scope 1 (MeT Co2)]]</f>
        <v>#ERROR!</v>
      </c>
      <c r="AG31" s="215" t="str">
        <f t="shared" si="1"/>
        <v>#ERROR!</v>
      </c>
      <c r="AH31" s="216" t="str">
        <f t="shared" si="2"/>
        <v>#ERROR!</v>
      </c>
      <c r="AI31" s="210"/>
      <c r="AJ31" s="210"/>
      <c r="AK31" s="213" t="s">
        <v>683</v>
      </c>
      <c r="AL31" s="213" t="s">
        <v>683</v>
      </c>
      <c r="AM31" s="214" t="str">
        <f>Table1[[#This Row],[2019 Scope 2 ]]</f>
        <v>#ERROR!</v>
      </c>
      <c r="AN31" s="215" t="str">
        <f t="shared" si="3"/>
        <v>#ERROR!</v>
      </c>
      <c r="AO31" s="216" t="str">
        <f t="shared" si="4"/>
        <v>#ERROR!</v>
      </c>
      <c r="AP31" s="215" t="str">
        <f t="shared" si="5"/>
        <v>#ERROR!</v>
      </c>
      <c r="AQ31" s="216" t="str">
        <f t="shared" si="6"/>
        <v>#ERROR!</v>
      </c>
      <c r="AR31" s="217" t="str">
        <f>Table1[[#This Row],[2019 Scope 3 ]]</f>
        <v>#ERROR!</v>
      </c>
      <c r="AS31" s="218" t="str">
        <f t="shared" si="7"/>
        <v>#ERROR!</v>
      </c>
      <c r="AT31" s="219" t="str">
        <f t="shared" si="8"/>
        <v>#ERROR!</v>
      </c>
      <c r="BI31" s="200">
        <v>3551.0</v>
      </c>
    </row>
    <row r="32" ht="12.75" customHeight="1">
      <c r="A32" s="5">
        <f>companies!A32</f>
        <v>31</v>
      </c>
      <c r="B32" s="200" t="s">
        <v>1254</v>
      </c>
      <c r="C32" s="211">
        <v>505483.0</v>
      </c>
      <c r="D32" s="211">
        <v>1458463.0</v>
      </c>
      <c r="E32" s="211">
        <v>1458463.0</v>
      </c>
      <c r="F32" s="211"/>
      <c r="G32" s="211"/>
      <c r="H32" s="211"/>
      <c r="I32" s="211"/>
      <c r="J32" s="211"/>
      <c r="K32" s="211"/>
      <c r="L32" s="211"/>
      <c r="M32" s="212"/>
      <c r="N32" s="212"/>
      <c r="O32" s="212"/>
      <c r="P32" s="212"/>
      <c r="Q32" s="212"/>
      <c r="R32" s="211"/>
      <c r="S32" s="212"/>
      <c r="T32" s="212"/>
      <c r="U32" s="212"/>
      <c r="V32" s="212"/>
      <c r="W32" s="211" t="s">
        <v>536</v>
      </c>
      <c r="X32" s="200">
        <v>1458463.0</v>
      </c>
      <c r="Y32" s="200"/>
      <c r="Z32" s="200"/>
      <c r="AA32" s="200"/>
      <c r="AB32" s="200"/>
      <c r="AC32" s="200"/>
      <c r="AD32" s="213" t="s">
        <v>683</v>
      </c>
      <c r="AE32" s="213" t="s">
        <v>683</v>
      </c>
      <c r="AF32" s="214" t="str">
        <f>Table1[[#This Row],[2019 Scope 1 (MeT Co2)]]</f>
        <v>#ERROR!</v>
      </c>
      <c r="AG32" s="215" t="str">
        <f t="shared" si="1"/>
        <v>#ERROR!</v>
      </c>
      <c r="AH32" s="216" t="str">
        <f t="shared" si="2"/>
        <v>#ERROR!</v>
      </c>
      <c r="AI32" s="210"/>
      <c r="AJ32" s="210"/>
      <c r="AK32" s="213" t="s">
        <v>683</v>
      </c>
      <c r="AL32" s="213" t="s">
        <v>683</v>
      </c>
      <c r="AM32" s="214" t="str">
        <f>Table1[[#This Row],[2019 Scope 2 ]]</f>
        <v>#ERROR!</v>
      </c>
      <c r="AN32" s="215" t="str">
        <f t="shared" si="3"/>
        <v>#ERROR!</v>
      </c>
      <c r="AO32" s="216" t="str">
        <f t="shared" si="4"/>
        <v>#ERROR!</v>
      </c>
      <c r="AP32" s="215" t="str">
        <f t="shared" si="5"/>
        <v>#ERROR!</v>
      </c>
      <c r="AQ32" s="216" t="str">
        <f t="shared" si="6"/>
        <v>#ERROR!</v>
      </c>
      <c r="AR32" s="217" t="str">
        <f>Table1[[#This Row],[2019 Scope 3 ]]</f>
        <v>#ERROR!</v>
      </c>
      <c r="AS32" s="218" t="str">
        <f t="shared" si="7"/>
        <v>#ERROR!</v>
      </c>
      <c r="AT32" s="219" t="str">
        <f t="shared" si="8"/>
        <v>#ERROR!</v>
      </c>
      <c r="BI32" s="4">
        <v>3635.0</v>
      </c>
    </row>
    <row r="33" ht="12.75" customHeight="1">
      <c r="A33" s="5">
        <f>companies!A33</f>
        <v>32</v>
      </c>
      <c r="B33" s="200" t="s">
        <v>1254</v>
      </c>
      <c r="C33" s="211">
        <v>1.97E7</v>
      </c>
      <c r="D33" s="211">
        <v>1100000.0</v>
      </c>
      <c r="E33" s="211">
        <v>1100000.0</v>
      </c>
      <c r="F33" s="211"/>
      <c r="G33" s="211"/>
      <c r="H33" s="211"/>
      <c r="I33" s="211"/>
      <c r="J33" s="211"/>
      <c r="K33" s="211"/>
      <c r="L33" s="211"/>
      <c r="M33" s="212"/>
      <c r="N33" s="212"/>
      <c r="O33" s="212"/>
      <c r="P33" s="212"/>
      <c r="Q33" s="212"/>
      <c r="R33" s="211"/>
      <c r="S33" s="212"/>
      <c r="T33" s="212"/>
      <c r="U33" s="212"/>
      <c r="V33" s="212"/>
      <c r="W33" s="211">
        <v>1.5908256880733943E8</v>
      </c>
      <c r="X33" s="200">
        <v>1100000.0</v>
      </c>
      <c r="Y33" s="200">
        <v>1.7988256880733943E8</v>
      </c>
      <c r="Z33" s="213"/>
      <c r="AA33" s="213"/>
      <c r="AB33" s="213"/>
      <c r="AC33" s="213"/>
      <c r="AD33" s="213" t="s">
        <v>683</v>
      </c>
      <c r="AE33" s="213" t="s">
        <v>683</v>
      </c>
      <c r="AF33" s="214" t="str">
        <f>Table1[[#This Row],[2019 Scope 1 (MeT Co2)]]</f>
        <v>#ERROR!</v>
      </c>
      <c r="AG33" s="215" t="str">
        <f t="shared" si="1"/>
        <v>#ERROR!</v>
      </c>
      <c r="AH33" s="216" t="str">
        <f t="shared" si="2"/>
        <v>#ERROR!</v>
      </c>
      <c r="AI33" s="210"/>
      <c r="AJ33" s="210"/>
      <c r="AK33" s="213" t="s">
        <v>683</v>
      </c>
      <c r="AL33" s="213" t="s">
        <v>683</v>
      </c>
      <c r="AM33" s="214" t="str">
        <f>Table1[[#This Row],[2019 Scope 2 ]]</f>
        <v>#ERROR!</v>
      </c>
      <c r="AN33" s="215" t="str">
        <f t="shared" si="3"/>
        <v>#ERROR!</v>
      </c>
      <c r="AO33" s="216" t="str">
        <f t="shared" si="4"/>
        <v>#ERROR!</v>
      </c>
      <c r="AP33" s="215" t="str">
        <f t="shared" si="5"/>
        <v>#ERROR!</v>
      </c>
      <c r="AQ33" s="216" t="str">
        <f t="shared" si="6"/>
        <v>#ERROR!</v>
      </c>
      <c r="AR33" s="217" t="str">
        <f>Table1[[#This Row],[2019 Scope 3 ]]</f>
        <v>#ERROR!</v>
      </c>
      <c r="AS33" s="218" t="str">
        <f t="shared" si="7"/>
        <v>#ERROR!</v>
      </c>
      <c r="AT33" s="219" t="str">
        <f t="shared" si="8"/>
        <v>#ERROR!</v>
      </c>
      <c r="BI33" s="200">
        <v>3751.0</v>
      </c>
    </row>
    <row r="34" ht="12.75" customHeight="1">
      <c r="A34" s="5">
        <f>companies!A34</f>
        <v>33</v>
      </c>
      <c r="B34" s="200" t="s">
        <v>1254</v>
      </c>
      <c r="C34" s="211">
        <v>1114966.57</v>
      </c>
      <c r="D34" s="211">
        <v>1393452.84</v>
      </c>
      <c r="E34" s="211">
        <v>1393452.84</v>
      </c>
      <c r="F34" s="211"/>
      <c r="G34" s="211"/>
      <c r="H34" s="211"/>
      <c r="I34" s="211"/>
      <c r="J34" s="211"/>
      <c r="K34" s="211"/>
      <c r="L34" s="211"/>
      <c r="M34" s="212"/>
      <c r="N34" s="212"/>
      <c r="O34" s="212"/>
      <c r="P34" s="212"/>
      <c r="Q34" s="212"/>
      <c r="R34" s="211"/>
      <c r="S34" s="212"/>
      <c r="T34" s="212"/>
      <c r="U34" s="212"/>
      <c r="V34" s="212"/>
      <c r="W34" s="211" t="s">
        <v>536</v>
      </c>
      <c r="X34" s="200">
        <v>1393452.84</v>
      </c>
      <c r="Y34" s="200"/>
      <c r="Z34" s="213"/>
      <c r="AA34" s="213"/>
      <c r="AB34" s="213"/>
      <c r="AC34" s="213"/>
      <c r="AD34" s="213" t="s">
        <v>1255</v>
      </c>
      <c r="AE34" s="213" t="s">
        <v>1256</v>
      </c>
      <c r="AF34" s="214" t="str">
        <f>Table1[[#This Row],[2019 Scope 1 (MeT Co2)]]</f>
        <v>#ERROR!</v>
      </c>
      <c r="AG34" s="215" t="str">
        <f t="shared" si="1"/>
        <v>#ERROR!</v>
      </c>
      <c r="AH34" s="216" t="str">
        <f t="shared" si="2"/>
        <v>#ERROR!</v>
      </c>
      <c r="AI34" s="210"/>
      <c r="AJ34" s="210"/>
      <c r="AK34" s="213" t="s">
        <v>1255</v>
      </c>
      <c r="AL34" s="213" t="s">
        <v>1256</v>
      </c>
      <c r="AM34" s="214" t="str">
        <f>Table1[[#This Row],[2019 Scope 2 ]]</f>
        <v>#ERROR!</v>
      </c>
      <c r="AN34" s="215" t="str">
        <f t="shared" si="3"/>
        <v>#ERROR!</v>
      </c>
      <c r="AO34" s="216" t="str">
        <f t="shared" si="4"/>
        <v>#ERROR!</v>
      </c>
      <c r="AP34" s="215" t="str">
        <f t="shared" si="5"/>
        <v>#ERROR!</v>
      </c>
      <c r="AQ34" s="216" t="str">
        <f t="shared" si="6"/>
        <v>#ERROR!</v>
      </c>
      <c r="AR34" s="217" t="str">
        <f>Table1[[#This Row],[2019 Scope 3 ]]</f>
        <v>#ERROR!</v>
      </c>
      <c r="AS34" s="218" t="str">
        <f t="shared" si="7"/>
        <v>#ERROR!</v>
      </c>
      <c r="AT34" s="219" t="str">
        <f t="shared" si="8"/>
        <v>#ERROR!</v>
      </c>
      <c r="BI34" s="4">
        <v>3944.0</v>
      </c>
    </row>
    <row r="35" ht="12.75" customHeight="1">
      <c r="A35" s="5">
        <f>companies!A35</f>
        <v>34</v>
      </c>
      <c r="B35" s="200" t="s">
        <v>1254</v>
      </c>
      <c r="C35" s="211">
        <v>177347.0</v>
      </c>
      <c r="D35" s="211">
        <v>1096724.0</v>
      </c>
      <c r="E35" s="211">
        <v>1096724.0</v>
      </c>
      <c r="F35" s="211"/>
      <c r="G35" s="211"/>
      <c r="H35" s="211"/>
      <c r="I35" s="211"/>
      <c r="J35" s="211"/>
      <c r="K35" s="211"/>
      <c r="L35" s="211"/>
      <c r="M35" s="212"/>
      <c r="N35" s="212"/>
      <c r="O35" s="212"/>
      <c r="P35" s="212"/>
      <c r="Q35" s="212"/>
      <c r="R35" s="211"/>
      <c r="S35" s="212"/>
      <c r="T35" s="212"/>
      <c r="U35" s="212"/>
      <c r="V35" s="212"/>
      <c r="W35" s="211">
        <v>1.227148334E7</v>
      </c>
      <c r="X35" s="200">
        <v>1096724.0</v>
      </c>
      <c r="Y35" s="200">
        <v>1.354555434E7</v>
      </c>
      <c r="Z35" s="213"/>
      <c r="AA35" s="213"/>
      <c r="AB35" s="213"/>
      <c r="AC35" s="213"/>
      <c r="AD35" s="213" t="s">
        <v>683</v>
      </c>
      <c r="AE35" s="213" t="s">
        <v>683</v>
      </c>
      <c r="AF35" s="214" t="str">
        <f>Table1[[#This Row],[2019 Scope 1 (MeT Co2)]]</f>
        <v>#ERROR!</v>
      </c>
      <c r="AG35" s="215" t="str">
        <f t="shared" si="1"/>
        <v>#ERROR!</v>
      </c>
      <c r="AH35" s="216" t="str">
        <f t="shared" si="2"/>
        <v>#ERROR!</v>
      </c>
      <c r="AI35" s="210"/>
      <c r="AJ35" s="210"/>
      <c r="AK35" s="213" t="s">
        <v>683</v>
      </c>
      <c r="AL35" s="213" t="s">
        <v>683</v>
      </c>
      <c r="AM35" s="214" t="str">
        <f>Table1[[#This Row],[2019 Scope 2 ]]</f>
        <v>#ERROR!</v>
      </c>
      <c r="AN35" s="215" t="str">
        <f t="shared" si="3"/>
        <v>#ERROR!</v>
      </c>
      <c r="AO35" s="216" t="str">
        <f t="shared" si="4"/>
        <v>#ERROR!</v>
      </c>
      <c r="AP35" s="215" t="str">
        <f t="shared" si="5"/>
        <v>#ERROR!</v>
      </c>
      <c r="AQ35" s="216" t="str">
        <f t="shared" si="6"/>
        <v>#ERROR!</v>
      </c>
      <c r="AR35" s="217" t="str">
        <f>Table1[[#This Row],[2019 Scope 3 ]]</f>
        <v>#ERROR!</v>
      </c>
      <c r="AS35" s="218" t="str">
        <f t="shared" si="7"/>
        <v>#ERROR!</v>
      </c>
      <c r="AT35" s="219" t="str">
        <f t="shared" si="8"/>
        <v>#ERROR!</v>
      </c>
      <c r="BI35" s="200">
        <v>4151.0</v>
      </c>
    </row>
    <row r="36" ht="12.75" customHeight="1">
      <c r="A36" s="5">
        <f>companies!A36</f>
        <v>35</v>
      </c>
      <c r="B36" s="200" t="s">
        <v>1254</v>
      </c>
      <c r="C36" s="211">
        <v>127698.3</v>
      </c>
      <c r="D36" s="211">
        <v>181965.6</v>
      </c>
      <c r="E36" s="211">
        <v>181965.6</v>
      </c>
      <c r="F36" s="211"/>
      <c r="G36" s="211"/>
      <c r="H36" s="211"/>
      <c r="I36" s="211"/>
      <c r="J36" s="211"/>
      <c r="K36" s="211"/>
      <c r="L36" s="211"/>
      <c r="M36" s="212"/>
      <c r="N36" s="212"/>
      <c r="O36" s="212"/>
      <c r="P36" s="212"/>
      <c r="Q36" s="212"/>
      <c r="R36" s="211"/>
      <c r="S36" s="212"/>
      <c r="T36" s="212"/>
      <c r="U36" s="212"/>
      <c r="V36" s="212"/>
      <c r="W36" s="211" t="s">
        <v>536</v>
      </c>
      <c r="X36" s="200">
        <v>181965.6</v>
      </c>
      <c r="Y36" s="200"/>
      <c r="Z36" s="213"/>
      <c r="AA36" s="213"/>
      <c r="AB36" s="213"/>
      <c r="AC36" s="213"/>
      <c r="AD36" s="213" t="e">
        <v>#N/A</v>
      </c>
      <c r="AE36" s="213" t="e">
        <v>#N/A</v>
      </c>
      <c r="AF36" s="214" t="str">
        <f>Table1[[#This Row],[2019 Scope 1 (MeT Co2)]]</f>
        <v>#ERROR!</v>
      </c>
      <c r="AG36" s="215" t="str">
        <f t="shared" si="1"/>
        <v>#ERROR!</v>
      </c>
      <c r="AH36" s="216" t="str">
        <f t="shared" si="2"/>
        <v>#ERROR!</v>
      </c>
      <c r="AI36" s="210"/>
      <c r="AJ36" s="210"/>
      <c r="AK36" s="213" t="e">
        <v>#N/A</v>
      </c>
      <c r="AL36" s="213" t="e">
        <v>#N/A</v>
      </c>
      <c r="AM36" s="214" t="str">
        <f>Table1[[#This Row],[2019 Scope 2 ]]</f>
        <v>#ERROR!</v>
      </c>
      <c r="AN36" s="215" t="str">
        <f t="shared" si="3"/>
        <v>#ERROR!</v>
      </c>
      <c r="AO36" s="216" t="str">
        <f t="shared" si="4"/>
        <v>#ERROR!</v>
      </c>
      <c r="AP36" s="215" t="str">
        <f t="shared" si="5"/>
        <v>#ERROR!</v>
      </c>
      <c r="AQ36" s="216" t="str">
        <f t="shared" si="6"/>
        <v>#ERROR!</v>
      </c>
      <c r="AR36" s="217" t="str">
        <f>Table1[[#This Row],[2019 Scope 3 ]]</f>
        <v>#ERROR!</v>
      </c>
      <c r="AS36" s="218" t="str">
        <f t="shared" si="7"/>
        <v>#ERROR!</v>
      </c>
      <c r="AT36" s="219" t="str">
        <f t="shared" si="8"/>
        <v>#ERROR!</v>
      </c>
    </row>
    <row r="37" ht="12.75" customHeight="1">
      <c r="A37" s="5">
        <f>companies!A37</f>
        <v>36</v>
      </c>
      <c r="B37" s="200" t="s">
        <v>1254</v>
      </c>
      <c r="C37" s="211">
        <v>2.87E7</v>
      </c>
      <c r="D37" s="211">
        <v>6820000.0</v>
      </c>
      <c r="E37" s="211">
        <v>6820000.0</v>
      </c>
      <c r="F37" s="211"/>
      <c r="G37" s="211"/>
      <c r="H37" s="211"/>
      <c r="I37" s="211"/>
      <c r="J37" s="211"/>
      <c r="K37" s="211"/>
      <c r="L37" s="211"/>
      <c r="M37" s="212"/>
      <c r="N37" s="212"/>
      <c r="O37" s="212"/>
      <c r="P37" s="212"/>
      <c r="Q37" s="212"/>
      <c r="R37" s="211"/>
      <c r="S37" s="212"/>
      <c r="T37" s="212"/>
      <c r="U37" s="212"/>
      <c r="V37" s="212"/>
      <c r="W37" s="211">
        <v>7.63E7</v>
      </c>
      <c r="X37" s="200">
        <v>6820000.0</v>
      </c>
      <c r="Y37" s="200">
        <v>1.1182E8</v>
      </c>
      <c r="Z37" s="200"/>
      <c r="AA37" s="200"/>
      <c r="AB37" s="200"/>
      <c r="AC37" s="200"/>
      <c r="AD37" s="213" t="s">
        <v>1255</v>
      </c>
      <c r="AE37" s="213" t="s">
        <v>1256</v>
      </c>
      <c r="AF37" s="214" t="str">
        <f>Table1[[#This Row],[2019 Scope 1 (MeT Co2)]]</f>
        <v>#ERROR!</v>
      </c>
      <c r="AG37" s="215" t="str">
        <f t="shared" si="1"/>
        <v>#ERROR!</v>
      </c>
      <c r="AH37" s="216" t="str">
        <f t="shared" si="2"/>
        <v>#ERROR!</v>
      </c>
      <c r="AI37" s="210"/>
      <c r="AJ37" s="210"/>
      <c r="AK37" s="213" t="s">
        <v>1255</v>
      </c>
      <c r="AL37" s="213" t="s">
        <v>1256</v>
      </c>
      <c r="AM37" s="214" t="str">
        <f>Table1[[#This Row],[2019 Scope 2 ]]</f>
        <v>#ERROR!</v>
      </c>
      <c r="AN37" s="215" t="str">
        <f t="shared" si="3"/>
        <v>#ERROR!</v>
      </c>
      <c r="AO37" s="216" t="str">
        <f t="shared" si="4"/>
        <v>#ERROR!</v>
      </c>
      <c r="AP37" s="215" t="str">
        <f t="shared" si="5"/>
        <v>#ERROR!</v>
      </c>
      <c r="AQ37" s="216" t="str">
        <f t="shared" si="6"/>
        <v>#ERROR!</v>
      </c>
      <c r="AR37" s="217" t="str">
        <f>Table1[[#This Row],[2019 Scope 3 ]]</f>
        <v>#ERROR!</v>
      </c>
      <c r="AS37" s="218" t="str">
        <f t="shared" si="7"/>
        <v>#ERROR!</v>
      </c>
      <c r="AT37" s="219" t="str">
        <f t="shared" si="8"/>
        <v>#ERROR!</v>
      </c>
      <c r="BI37" s="26">
        <v>4826.0</v>
      </c>
    </row>
    <row r="38" ht="12.75" customHeight="1">
      <c r="A38" s="5">
        <f>companies!A38</f>
        <v>37</v>
      </c>
      <c r="B38" s="200" t="s">
        <v>1254</v>
      </c>
      <c r="C38" s="211">
        <v>9.65488E7</v>
      </c>
      <c r="D38" s="211">
        <v>23200.0</v>
      </c>
      <c r="E38" s="211">
        <v>23200.0</v>
      </c>
      <c r="F38" s="211"/>
      <c r="G38" s="211"/>
      <c r="H38" s="211"/>
      <c r="I38" s="211"/>
      <c r="J38" s="211"/>
      <c r="K38" s="211"/>
      <c r="L38" s="211"/>
      <c r="M38" s="212"/>
      <c r="N38" s="212"/>
      <c r="O38" s="212"/>
      <c r="P38" s="212"/>
      <c r="Q38" s="212"/>
      <c r="R38" s="211"/>
      <c r="S38" s="212"/>
      <c r="T38" s="212"/>
      <c r="U38" s="212"/>
      <c r="V38" s="212"/>
      <c r="W38" s="211">
        <v>2.8077642E7</v>
      </c>
      <c r="X38" s="200">
        <v>23200.0</v>
      </c>
      <c r="Y38" s="200">
        <v>1.24649642E8</v>
      </c>
      <c r="Z38" s="213"/>
      <c r="AA38" s="213"/>
      <c r="AB38" s="213"/>
      <c r="AC38" s="213"/>
      <c r="AD38" s="213" t="s">
        <v>683</v>
      </c>
      <c r="AE38" s="213" t="s">
        <v>683</v>
      </c>
      <c r="AF38" s="214" t="str">
        <f>Table1[[#This Row],[2019 Scope 1 (MeT Co2)]]</f>
        <v>#ERROR!</v>
      </c>
      <c r="AG38" s="215" t="str">
        <f t="shared" si="1"/>
        <v>#ERROR!</v>
      </c>
      <c r="AH38" s="220" t="str">
        <f t="shared" si="2"/>
        <v>#ERROR!</v>
      </c>
      <c r="AI38" s="210"/>
      <c r="AJ38" s="210"/>
      <c r="AK38" s="213" t="s">
        <v>683</v>
      </c>
      <c r="AL38" s="213" t="s">
        <v>683</v>
      </c>
      <c r="AM38" s="214" t="str">
        <f>Table1[[#This Row],[2019 Scope 2 ]]</f>
        <v>#ERROR!</v>
      </c>
      <c r="AN38" s="215" t="str">
        <f t="shared" si="3"/>
        <v>#ERROR!</v>
      </c>
      <c r="AO38" s="220" t="str">
        <f t="shared" si="4"/>
        <v>#ERROR!</v>
      </c>
      <c r="AP38" s="215" t="str">
        <f t="shared" si="5"/>
        <v>#ERROR!</v>
      </c>
      <c r="AQ38" s="220" t="str">
        <f t="shared" si="6"/>
        <v>#ERROR!</v>
      </c>
      <c r="AR38" s="217" t="str">
        <f>Table1[[#This Row],[2019 Scope 3 ]]</f>
        <v>#ERROR!</v>
      </c>
      <c r="AS38" s="218" t="str">
        <f t="shared" si="7"/>
        <v>#ERROR!</v>
      </c>
      <c r="AT38" s="219" t="str">
        <f t="shared" si="8"/>
        <v>#ERROR!</v>
      </c>
      <c r="BI38" s="200">
        <v>5052.0</v>
      </c>
    </row>
    <row r="39" ht="12.75" customHeight="1">
      <c r="A39" s="5">
        <f>companies!A39</f>
        <v>38</v>
      </c>
      <c r="B39" s="200" t="s">
        <v>1254</v>
      </c>
      <c r="C39" s="211" t="s">
        <v>536</v>
      </c>
      <c r="D39" s="211" t="s">
        <v>536</v>
      </c>
      <c r="E39" s="211" t="s">
        <v>536</v>
      </c>
      <c r="F39" s="211"/>
      <c r="G39" s="211"/>
      <c r="H39" s="211"/>
      <c r="I39" s="211"/>
      <c r="J39" s="211"/>
      <c r="K39" s="211"/>
      <c r="L39" s="211"/>
      <c r="M39" s="212"/>
      <c r="N39" s="212"/>
      <c r="O39" s="212"/>
      <c r="P39" s="212"/>
      <c r="Q39" s="212"/>
      <c r="R39" s="211"/>
      <c r="S39" s="212"/>
      <c r="T39" s="212"/>
      <c r="U39" s="212"/>
      <c r="V39" s="212"/>
      <c r="W39" s="211" t="s">
        <v>536</v>
      </c>
      <c r="X39" s="200">
        <v>0.0</v>
      </c>
      <c r="Y39" s="200"/>
      <c r="Z39" s="200"/>
      <c r="AA39" s="200"/>
      <c r="AB39" s="200"/>
      <c r="AC39" s="200"/>
      <c r="AD39" s="213" t="s">
        <v>683</v>
      </c>
      <c r="AE39" s="213" t="s">
        <v>683</v>
      </c>
      <c r="AF39" s="214" t="str">
        <f>Table1[[#This Row],[2019 Scope 1 (MeT Co2)]]</f>
        <v>#ERROR!</v>
      </c>
      <c r="AG39" s="215" t="str">
        <f t="shared" si="1"/>
        <v>#ERROR!</v>
      </c>
      <c r="AH39" s="216" t="str">
        <f t="shared" si="2"/>
        <v>#ERROR!</v>
      </c>
      <c r="AI39" s="210"/>
      <c r="AJ39" s="210"/>
      <c r="AK39" s="213" t="s">
        <v>683</v>
      </c>
      <c r="AL39" s="213" t="s">
        <v>683</v>
      </c>
      <c r="AM39" s="214" t="str">
        <f>Table1[[#This Row],[2019 Scope 2 ]]</f>
        <v>#ERROR!</v>
      </c>
      <c r="AN39" s="215" t="str">
        <f t="shared" si="3"/>
        <v>#ERROR!</v>
      </c>
      <c r="AO39" s="216" t="str">
        <f t="shared" si="4"/>
        <v>#ERROR!</v>
      </c>
      <c r="AP39" s="215" t="str">
        <f t="shared" si="5"/>
        <v>#ERROR!</v>
      </c>
      <c r="AQ39" s="216" t="str">
        <f t="shared" si="6"/>
        <v>#ERROR!</v>
      </c>
      <c r="AR39" s="217" t="str">
        <f>Table1[[#This Row],[2019 Scope 3 ]]</f>
        <v>#ERROR!</v>
      </c>
      <c r="AS39" s="218" t="str">
        <f t="shared" si="7"/>
        <v>#ERROR!</v>
      </c>
      <c r="AT39" s="219" t="str">
        <f t="shared" si="8"/>
        <v>#ERROR!</v>
      </c>
      <c r="BI39" s="200">
        <v>73894.0</v>
      </c>
    </row>
    <row r="40" ht="12.75" customHeight="1">
      <c r="A40" s="5">
        <f>companies!A40</f>
        <v>39</v>
      </c>
      <c r="B40" s="200" t="s">
        <v>1254</v>
      </c>
      <c r="C40" s="211">
        <v>201000.0</v>
      </c>
      <c r="D40" s="211">
        <v>654000.0</v>
      </c>
      <c r="E40" s="211">
        <v>654000.0</v>
      </c>
      <c r="F40" s="211"/>
      <c r="G40" s="211"/>
      <c r="H40" s="211"/>
      <c r="I40" s="211"/>
      <c r="J40" s="211"/>
      <c r="K40" s="211"/>
      <c r="L40" s="211"/>
      <c r="M40" s="212"/>
      <c r="N40" s="212"/>
      <c r="O40" s="212"/>
      <c r="P40" s="212"/>
      <c r="Q40" s="212"/>
      <c r="R40" s="211"/>
      <c r="S40" s="212"/>
      <c r="T40" s="212"/>
      <c r="U40" s="212"/>
      <c r="V40" s="212"/>
      <c r="W40" s="211">
        <v>265000.0</v>
      </c>
      <c r="X40" s="200">
        <v>654000.0</v>
      </c>
      <c r="Y40" s="200">
        <v>1120000.0</v>
      </c>
      <c r="Z40" s="200"/>
      <c r="AA40" s="200"/>
      <c r="AB40" s="200"/>
      <c r="AC40" s="200"/>
      <c r="AD40" s="213" t="s">
        <v>683</v>
      </c>
      <c r="AE40" s="213" t="s">
        <v>683</v>
      </c>
      <c r="AF40" s="214" t="str">
        <f>Table1[[#This Row],[2019 Scope 1 (MeT Co2)]]</f>
        <v>#ERROR!</v>
      </c>
      <c r="AG40" s="215" t="str">
        <f t="shared" si="1"/>
        <v>#ERROR!</v>
      </c>
      <c r="AH40" s="216" t="str">
        <f t="shared" si="2"/>
        <v>#ERROR!</v>
      </c>
      <c r="AI40" s="210"/>
      <c r="AJ40" s="210"/>
      <c r="AK40" s="213" t="s">
        <v>683</v>
      </c>
      <c r="AL40" s="213" t="s">
        <v>683</v>
      </c>
      <c r="AM40" s="214" t="str">
        <f>Table1[[#This Row],[2019 Scope 2 ]]</f>
        <v>#ERROR!</v>
      </c>
      <c r="AN40" s="215" t="str">
        <f t="shared" si="3"/>
        <v>#ERROR!</v>
      </c>
      <c r="AO40" s="220" t="str">
        <f t="shared" si="4"/>
        <v>#ERROR!</v>
      </c>
      <c r="AP40" s="215" t="str">
        <f t="shared" si="5"/>
        <v>#ERROR!</v>
      </c>
      <c r="AQ40" s="220" t="str">
        <f t="shared" si="6"/>
        <v>#ERROR!</v>
      </c>
      <c r="AR40" s="217" t="str">
        <f>Table1[[#This Row],[2019 Scope 3 ]]</f>
        <v>#ERROR!</v>
      </c>
      <c r="AS40" s="218" t="str">
        <f t="shared" si="7"/>
        <v>#ERROR!</v>
      </c>
      <c r="AT40" s="219" t="str">
        <f t="shared" si="8"/>
        <v>#ERROR!</v>
      </c>
      <c r="BI40" s="200">
        <v>5377.0</v>
      </c>
    </row>
    <row r="41" ht="12.75" customHeight="1">
      <c r="A41" s="5">
        <f>companies!A41</f>
        <v>40</v>
      </c>
      <c r="B41" s="200" t="s">
        <v>1254</v>
      </c>
      <c r="C41" s="211">
        <v>166132.0</v>
      </c>
      <c r="D41" s="211">
        <v>699423.0</v>
      </c>
      <c r="E41" s="211">
        <v>699423.0</v>
      </c>
      <c r="F41" s="211"/>
      <c r="G41" s="211"/>
      <c r="H41" s="211"/>
      <c r="I41" s="211"/>
      <c r="J41" s="211"/>
      <c r="K41" s="211"/>
      <c r="L41" s="211"/>
      <c r="M41" s="212"/>
      <c r="N41" s="212"/>
      <c r="O41" s="212"/>
      <c r="P41" s="212"/>
      <c r="Q41" s="212"/>
      <c r="R41" s="211"/>
      <c r="S41" s="212"/>
      <c r="T41" s="212"/>
      <c r="U41" s="212"/>
      <c r="V41" s="212"/>
      <c r="W41" s="211" t="s">
        <v>536</v>
      </c>
      <c r="X41" s="200">
        <v>699423.0</v>
      </c>
      <c r="Y41" s="200"/>
      <c r="Z41" s="213"/>
      <c r="AA41" s="213"/>
      <c r="AB41" s="213"/>
      <c r="AC41" s="213"/>
      <c r="AD41" s="213" t="e">
        <v>#N/A</v>
      </c>
      <c r="AE41" s="213" t="e">
        <v>#N/A</v>
      </c>
      <c r="AF41" s="214" t="str">
        <f>Table1[[#This Row],[2019 Scope 1 (MeT Co2)]]</f>
        <v>#ERROR!</v>
      </c>
      <c r="AG41" s="215" t="str">
        <f t="shared" si="1"/>
        <v>#ERROR!</v>
      </c>
      <c r="AH41" s="216" t="str">
        <f t="shared" si="2"/>
        <v>#ERROR!</v>
      </c>
      <c r="AI41" s="210"/>
      <c r="AJ41" s="210"/>
      <c r="AK41" s="213" t="e">
        <v>#N/A</v>
      </c>
      <c r="AL41" s="213" t="e">
        <v>#N/A</v>
      </c>
      <c r="AM41" s="214" t="str">
        <f>Table1[[#This Row],[2019 Scope 2 ]]</f>
        <v>#ERROR!</v>
      </c>
      <c r="AN41" s="215" t="str">
        <f t="shared" si="3"/>
        <v>#ERROR!</v>
      </c>
      <c r="AO41" s="216" t="str">
        <f t="shared" si="4"/>
        <v>#ERROR!</v>
      </c>
      <c r="AP41" s="215" t="str">
        <f t="shared" si="5"/>
        <v>#ERROR!</v>
      </c>
      <c r="AQ41" s="216" t="str">
        <f t="shared" si="6"/>
        <v>#ERROR!</v>
      </c>
      <c r="AR41" s="217" t="str">
        <f>Table1[[#This Row],[2019 Scope 3 ]]</f>
        <v>#ERROR!</v>
      </c>
      <c r="AS41" s="218" t="str">
        <f t="shared" si="7"/>
        <v>#ERROR!</v>
      </c>
      <c r="AT41" s="219" t="str">
        <f t="shared" si="8"/>
        <v>#ERROR!</v>
      </c>
    </row>
    <row r="42" ht="12.75" customHeight="1">
      <c r="A42" s="5">
        <f>companies!A42</f>
        <v>41</v>
      </c>
      <c r="B42" s="200" t="s">
        <v>1254</v>
      </c>
      <c r="C42" s="211">
        <v>9526000.0</v>
      </c>
      <c r="D42" s="211">
        <v>6120000.0</v>
      </c>
      <c r="E42" s="211">
        <v>6120000.0</v>
      </c>
      <c r="F42" s="211"/>
      <c r="G42" s="211"/>
      <c r="H42" s="211"/>
      <c r="I42" s="211"/>
      <c r="J42" s="211"/>
      <c r="K42" s="211"/>
      <c r="L42" s="211"/>
      <c r="M42" s="212"/>
      <c r="N42" s="212"/>
      <c r="O42" s="212"/>
      <c r="P42" s="212"/>
      <c r="Q42" s="212"/>
      <c r="R42" s="211"/>
      <c r="S42" s="212"/>
      <c r="T42" s="212"/>
      <c r="U42" s="212"/>
      <c r="V42" s="212"/>
      <c r="W42" s="211">
        <v>1.97376E8</v>
      </c>
      <c r="X42" s="200">
        <v>6120000.0</v>
      </c>
      <c r="Y42" s="200">
        <v>2.13022E8</v>
      </c>
      <c r="Z42" s="200"/>
      <c r="AA42" s="200"/>
      <c r="AB42" s="200"/>
      <c r="AC42" s="200"/>
      <c r="AD42" s="213" t="s">
        <v>683</v>
      </c>
      <c r="AE42" s="213" t="s">
        <v>683</v>
      </c>
      <c r="AF42" s="214" t="str">
        <f>Table1[[#This Row],[2019 Scope 1 (MeT Co2)]]</f>
        <v>#ERROR!</v>
      </c>
      <c r="AG42" s="215" t="str">
        <f t="shared" si="1"/>
        <v>#ERROR!</v>
      </c>
      <c r="AH42" s="216" t="str">
        <f t="shared" si="2"/>
        <v>#ERROR!</v>
      </c>
      <c r="AI42" s="210"/>
      <c r="AJ42" s="210"/>
      <c r="AK42" s="213" t="s">
        <v>683</v>
      </c>
      <c r="AL42" s="213" t="s">
        <v>683</v>
      </c>
      <c r="AM42" s="214" t="str">
        <f>Table1[[#This Row],[2019 Scope 2 ]]</f>
        <v>#ERROR!</v>
      </c>
      <c r="AN42" s="215" t="str">
        <f t="shared" si="3"/>
        <v>#ERROR!</v>
      </c>
      <c r="AO42" s="216" t="str">
        <f t="shared" si="4"/>
        <v>#ERROR!</v>
      </c>
      <c r="AP42" s="215" t="str">
        <f t="shared" si="5"/>
        <v>#ERROR!</v>
      </c>
      <c r="AQ42" s="216" t="str">
        <f t="shared" si="6"/>
        <v>#ERROR!</v>
      </c>
      <c r="AR42" s="217" t="str">
        <f>Table1[[#This Row],[2019 Scope 3 ]]</f>
        <v>#ERROR!</v>
      </c>
      <c r="AS42" s="218" t="str">
        <f t="shared" si="7"/>
        <v>#ERROR!</v>
      </c>
      <c r="AT42" s="219" t="str">
        <f t="shared" si="8"/>
        <v>#ERROR!</v>
      </c>
      <c r="BI42" s="200">
        <v>6113.0</v>
      </c>
    </row>
    <row r="43" ht="12.75" customHeight="1">
      <c r="A43" s="5">
        <f>companies!A43</f>
        <v>42</v>
      </c>
      <c r="B43" s="200" t="s">
        <v>1254</v>
      </c>
      <c r="C43" s="211">
        <v>1.16E8</v>
      </c>
      <c r="D43" s="211">
        <v>8000000.0</v>
      </c>
      <c r="E43" s="211">
        <v>8000000.0</v>
      </c>
      <c r="F43" s="211"/>
      <c r="G43" s="211"/>
      <c r="H43" s="211"/>
      <c r="I43" s="211"/>
      <c r="J43" s="211"/>
      <c r="K43" s="211"/>
      <c r="L43" s="211"/>
      <c r="M43" s="212"/>
      <c r="N43" s="212"/>
      <c r="O43" s="212"/>
      <c r="P43" s="212"/>
      <c r="Q43" s="212"/>
      <c r="R43" s="211"/>
      <c r="S43" s="212"/>
      <c r="T43" s="212"/>
      <c r="U43" s="212"/>
      <c r="V43" s="212"/>
      <c r="W43" s="211" t="s">
        <v>536</v>
      </c>
      <c r="X43" s="200">
        <v>8000000.0</v>
      </c>
      <c r="Y43" s="200"/>
      <c r="Z43" s="213"/>
      <c r="AA43" s="213"/>
      <c r="AB43" s="213"/>
      <c r="AC43" s="213"/>
      <c r="AD43" s="213" t="e">
        <v>#N/A</v>
      </c>
      <c r="AE43" s="213" t="e">
        <v>#N/A</v>
      </c>
      <c r="AF43" s="214" t="str">
        <f>Table1[[#This Row],[2019 Scope 1 (MeT Co2)]]</f>
        <v>#ERROR!</v>
      </c>
      <c r="AG43" s="215" t="str">
        <f t="shared" si="1"/>
        <v>#ERROR!</v>
      </c>
      <c r="AH43" s="216" t="str">
        <f t="shared" si="2"/>
        <v>#ERROR!</v>
      </c>
      <c r="AI43" s="210"/>
      <c r="AJ43" s="210"/>
      <c r="AK43" s="213" t="e">
        <v>#N/A</v>
      </c>
      <c r="AL43" s="213" t="e">
        <v>#N/A</v>
      </c>
      <c r="AM43" s="214" t="str">
        <f>Table1[[#This Row],[2019 Scope 2 ]]</f>
        <v>#ERROR!</v>
      </c>
      <c r="AN43" s="215" t="str">
        <f t="shared" si="3"/>
        <v>#ERROR!</v>
      </c>
      <c r="AO43" s="216" t="str">
        <f t="shared" si="4"/>
        <v>#ERROR!</v>
      </c>
      <c r="AP43" s="215" t="str">
        <f t="shared" si="5"/>
        <v>#ERROR!</v>
      </c>
      <c r="AQ43" s="216" t="str">
        <f t="shared" si="6"/>
        <v>#ERROR!</v>
      </c>
      <c r="AR43" s="217" t="str">
        <f>Table1[[#This Row],[2019 Scope 3 ]]</f>
        <v>#ERROR!</v>
      </c>
      <c r="AS43" s="218" t="str">
        <f t="shared" si="7"/>
        <v>#ERROR!</v>
      </c>
      <c r="AT43" s="219" t="str">
        <f t="shared" si="8"/>
        <v>#ERROR!</v>
      </c>
    </row>
    <row r="44" ht="12.75" customHeight="1">
      <c r="A44" s="5">
        <f>companies!A44</f>
        <v>43</v>
      </c>
      <c r="B44" s="200" t="s">
        <v>1254</v>
      </c>
      <c r="C44" s="211">
        <v>314000.0</v>
      </c>
      <c r="D44" s="211">
        <v>42000.0</v>
      </c>
      <c r="E44" s="211">
        <v>42000.0</v>
      </c>
      <c r="F44" s="211"/>
      <c r="G44" s="211"/>
      <c r="H44" s="211"/>
      <c r="I44" s="211"/>
      <c r="J44" s="211"/>
      <c r="K44" s="211"/>
      <c r="L44" s="211"/>
      <c r="M44" s="212"/>
      <c r="N44" s="212"/>
      <c r="O44" s="212"/>
      <c r="P44" s="212"/>
      <c r="Q44" s="212"/>
      <c r="R44" s="211"/>
      <c r="S44" s="212"/>
      <c r="T44" s="212"/>
      <c r="U44" s="212"/>
      <c r="V44" s="212"/>
      <c r="W44" s="211" t="s">
        <v>536</v>
      </c>
      <c r="X44" s="200">
        <v>42000.0</v>
      </c>
      <c r="Y44" s="200"/>
      <c r="Z44" s="213"/>
      <c r="AA44" s="213"/>
      <c r="AB44" s="213"/>
      <c r="AC44" s="213"/>
      <c r="AD44" s="213" t="e">
        <v>#N/A</v>
      </c>
      <c r="AE44" s="213" t="e">
        <v>#N/A</v>
      </c>
      <c r="AF44" s="214" t="str">
        <f>Table1[[#This Row],[2019 Scope 1 (MeT Co2)]]</f>
        <v>#ERROR!</v>
      </c>
      <c r="AG44" s="215" t="str">
        <f t="shared" si="1"/>
        <v>#ERROR!</v>
      </c>
      <c r="AH44" s="216" t="str">
        <f t="shared" si="2"/>
        <v>#ERROR!</v>
      </c>
      <c r="AI44" s="210"/>
      <c r="AJ44" s="210"/>
      <c r="AK44" s="213" t="e">
        <v>#N/A</v>
      </c>
      <c r="AL44" s="213" t="e">
        <v>#N/A</v>
      </c>
      <c r="AM44" s="214" t="str">
        <f>Table1[[#This Row],[2019 Scope 2 ]]</f>
        <v>#ERROR!</v>
      </c>
      <c r="AN44" s="215" t="str">
        <f t="shared" si="3"/>
        <v>#ERROR!</v>
      </c>
      <c r="AO44" s="216" t="str">
        <f t="shared" si="4"/>
        <v>#ERROR!</v>
      </c>
      <c r="AP44" s="215" t="str">
        <f t="shared" si="5"/>
        <v>#ERROR!</v>
      </c>
      <c r="AQ44" s="216" t="str">
        <f t="shared" si="6"/>
        <v>#ERROR!</v>
      </c>
      <c r="AR44" s="217" t="str">
        <f>Table1[[#This Row],[2019 Scope 3 ]]</f>
        <v>#ERROR!</v>
      </c>
      <c r="AS44" s="218" t="str">
        <f t="shared" si="7"/>
        <v>#ERROR!</v>
      </c>
      <c r="AT44" s="219" t="str">
        <f t="shared" si="8"/>
        <v>#ERROR!</v>
      </c>
    </row>
    <row r="45" ht="12.75" customHeight="1">
      <c r="A45" s="5">
        <f>companies!A45</f>
        <v>44</v>
      </c>
      <c r="B45" s="200" t="s">
        <v>1254</v>
      </c>
      <c r="C45" s="211">
        <v>1.5152383E7</v>
      </c>
      <c r="D45" s="211">
        <v>1049987.0</v>
      </c>
      <c r="E45" s="211">
        <v>1049987.0</v>
      </c>
      <c r="F45" s="211"/>
      <c r="G45" s="211"/>
      <c r="H45" s="211"/>
      <c r="I45" s="211"/>
      <c r="J45" s="211"/>
      <c r="K45" s="211"/>
      <c r="L45" s="211"/>
      <c r="M45" s="212"/>
      <c r="N45" s="212"/>
      <c r="O45" s="212"/>
      <c r="P45" s="212"/>
      <c r="Q45" s="212"/>
      <c r="R45" s="211"/>
      <c r="S45" s="212"/>
      <c r="T45" s="212"/>
      <c r="U45" s="212"/>
      <c r="V45" s="212"/>
      <c r="W45" s="211">
        <v>2820965.0</v>
      </c>
      <c r="X45" s="200">
        <v>1049987.0</v>
      </c>
      <c r="Y45" s="200">
        <v>1.9023335E7</v>
      </c>
      <c r="Z45" s="200"/>
      <c r="AA45" s="200"/>
      <c r="AB45" s="200"/>
      <c r="AC45" s="200"/>
      <c r="AD45" s="213" t="s">
        <v>683</v>
      </c>
      <c r="AE45" s="213" t="s">
        <v>683</v>
      </c>
      <c r="AF45" s="214" t="str">
        <f>Table1[[#This Row],[2019 Scope 1 (MeT Co2)]]</f>
        <v>#ERROR!</v>
      </c>
      <c r="AG45" s="215" t="str">
        <f t="shared" si="1"/>
        <v>#ERROR!</v>
      </c>
      <c r="AH45" s="216" t="str">
        <f t="shared" si="2"/>
        <v>#ERROR!</v>
      </c>
      <c r="AI45" s="210"/>
      <c r="AJ45" s="210"/>
      <c r="AK45" s="213" t="s">
        <v>683</v>
      </c>
      <c r="AL45" s="213" t="s">
        <v>683</v>
      </c>
      <c r="AM45" s="214" t="str">
        <f>Table1[[#This Row],[2019 Scope 2 ]]</f>
        <v>#ERROR!</v>
      </c>
      <c r="AN45" s="215" t="str">
        <f t="shared" si="3"/>
        <v>#ERROR!</v>
      </c>
      <c r="AO45" s="216" t="str">
        <f t="shared" si="4"/>
        <v>#ERROR!</v>
      </c>
      <c r="AP45" s="215" t="str">
        <f t="shared" si="5"/>
        <v>#ERROR!</v>
      </c>
      <c r="AQ45" s="216" t="str">
        <f t="shared" si="6"/>
        <v>#ERROR!</v>
      </c>
      <c r="AR45" s="217" t="str">
        <f>Table1[[#This Row],[2019 Scope 3 ]]</f>
        <v>#ERROR!</v>
      </c>
      <c r="AS45" s="218" t="str">
        <f t="shared" si="7"/>
        <v>#ERROR!</v>
      </c>
      <c r="AT45" s="219" t="str">
        <f t="shared" si="8"/>
        <v>#ERROR!</v>
      </c>
      <c r="BI45" s="4">
        <v>6287.0</v>
      </c>
    </row>
    <row r="46" ht="12.75" customHeight="1">
      <c r="A46" s="5">
        <f>companies!A46</f>
        <v>45</v>
      </c>
      <c r="B46" s="200" t="s">
        <v>1254</v>
      </c>
      <c r="C46" s="211">
        <v>1442963.0</v>
      </c>
      <c r="D46" s="211">
        <v>3349808.0</v>
      </c>
      <c r="E46" s="211">
        <v>3349808.0</v>
      </c>
      <c r="F46" s="211"/>
      <c r="G46" s="211"/>
      <c r="H46" s="211"/>
      <c r="I46" s="211"/>
      <c r="J46" s="211"/>
      <c r="K46" s="211"/>
      <c r="L46" s="211"/>
      <c r="M46" s="212"/>
      <c r="N46" s="212"/>
      <c r="O46" s="212"/>
      <c r="P46" s="212"/>
      <c r="Q46" s="212"/>
      <c r="R46" s="211"/>
      <c r="S46" s="212"/>
      <c r="T46" s="212"/>
      <c r="U46" s="212"/>
      <c r="V46" s="212"/>
      <c r="W46" s="211">
        <v>1.34409771E8</v>
      </c>
      <c r="X46" s="200">
        <v>3349808.0</v>
      </c>
      <c r="Y46" s="200">
        <v>1.39202542E8</v>
      </c>
      <c r="Z46" s="200"/>
      <c r="AA46" s="200"/>
      <c r="AB46" s="200"/>
      <c r="AC46" s="200"/>
      <c r="AD46" s="213" t="s">
        <v>683</v>
      </c>
      <c r="AE46" s="213" t="s">
        <v>683</v>
      </c>
      <c r="AF46" s="214" t="str">
        <f>Table1[[#This Row],[2019 Scope 1 (MeT Co2)]]</f>
        <v>#ERROR!</v>
      </c>
      <c r="AG46" s="215" t="str">
        <f t="shared" si="1"/>
        <v>#ERROR!</v>
      </c>
      <c r="AH46" s="216" t="str">
        <f t="shared" si="2"/>
        <v>#ERROR!</v>
      </c>
      <c r="AI46" s="210"/>
      <c r="AJ46" s="210"/>
      <c r="AK46" s="213" t="s">
        <v>683</v>
      </c>
      <c r="AL46" s="213" t="s">
        <v>683</v>
      </c>
      <c r="AM46" s="214" t="str">
        <f>Table1[[#This Row],[2019 Scope 2 ]]</f>
        <v>#ERROR!</v>
      </c>
      <c r="AN46" s="215" t="str">
        <f t="shared" si="3"/>
        <v>#ERROR!</v>
      </c>
      <c r="AO46" s="216" t="str">
        <f t="shared" si="4"/>
        <v>#ERROR!</v>
      </c>
      <c r="AP46" s="215" t="str">
        <f t="shared" si="5"/>
        <v>#ERROR!</v>
      </c>
      <c r="AQ46" s="216" t="str">
        <f t="shared" si="6"/>
        <v>#ERROR!</v>
      </c>
      <c r="AR46" s="217" t="str">
        <f>Table1[[#This Row],[2019 Scope 3 ]]</f>
        <v>#ERROR!</v>
      </c>
      <c r="AS46" s="218" t="str">
        <f t="shared" si="7"/>
        <v>#ERROR!</v>
      </c>
      <c r="AT46" s="219" t="str">
        <f t="shared" si="8"/>
        <v>#ERROR!</v>
      </c>
      <c r="BI46" s="4">
        <v>6595.0</v>
      </c>
    </row>
    <row r="47" ht="12.75" customHeight="1">
      <c r="A47" s="5">
        <f>companies!A47</f>
        <v>46</v>
      </c>
      <c r="B47" s="200" t="s">
        <v>1254</v>
      </c>
      <c r="C47" s="211">
        <v>306430.0</v>
      </c>
      <c r="D47" s="211">
        <v>487731.0</v>
      </c>
      <c r="E47" s="211">
        <v>487731.0</v>
      </c>
      <c r="F47" s="211"/>
      <c r="G47" s="211"/>
      <c r="H47" s="211"/>
      <c r="I47" s="211"/>
      <c r="J47" s="211"/>
      <c r="K47" s="211"/>
      <c r="L47" s="211"/>
      <c r="M47" s="212"/>
      <c r="N47" s="212"/>
      <c r="O47" s="212"/>
      <c r="P47" s="212"/>
      <c r="Q47" s="212"/>
      <c r="R47" s="211"/>
      <c r="S47" s="212"/>
      <c r="T47" s="212"/>
      <c r="U47" s="212"/>
      <c r="V47" s="212"/>
      <c r="W47" s="211" t="s">
        <v>536</v>
      </c>
      <c r="X47" s="200">
        <v>487731.0</v>
      </c>
      <c r="Y47" s="200"/>
      <c r="Z47" s="200"/>
      <c r="AA47" s="200"/>
      <c r="AB47" s="200"/>
      <c r="AC47" s="200"/>
      <c r="AD47" s="213" t="s">
        <v>1255</v>
      </c>
      <c r="AE47" s="213" t="s">
        <v>1256</v>
      </c>
      <c r="AF47" s="214" t="str">
        <f>Table1[[#This Row],[2019 Scope 1 (MeT Co2)]]</f>
        <v>#ERROR!</v>
      </c>
      <c r="AG47" s="215" t="str">
        <f t="shared" si="1"/>
        <v>#ERROR!</v>
      </c>
      <c r="AH47" s="216" t="str">
        <f t="shared" si="2"/>
        <v>#ERROR!</v>
      </c>
      <c r="AI47" s="210"/>
      <c r="AJ47" s="210"/>
      <c r="AK47" s="213" t="s">
        <v>1255</v>
      </c>
      <c r="AL47" s="213" t="s">
        <v>1256</v>
      </c>
      <c r="AM47" s="214" t="str">
        <f>Table1[[#This Row],[2019 Scope 2 ]]</f>
        <v>#ERROR!</v>
      </c>
      <c r="AN47" s="215" t="str">
        <f t="shared" si="3"/>
        <v>#ERROR!</v>
      </c>
      <c r="AO47" s="216" t="str">
        <f t="shared" si="4"/>
        <v>#ERROR!</v>
      </c>
      <c r="AP47" s="215" t="str">
        <f t="shared" si="5"/>
        <v>#ERROR!</v>
      </c>
      <c r="AQ47" s="216" t="str">
        <f t="shared" si="6"/>
        <v>#ERROR!</v>
      </c>
      <c r="AR47" s="217" t="str">
        <f>Table1[[#This Row],[2019 Scope 3 ]]</f>
        <v>#ERROR!</v>
      </c>
      <c r="AS47" s="218" t="str">
        <f t="shared" si="7"/>
        <v>#ERROR!</v>
      </c>
      <c r="AT47" s="219" t="str">
        <f t="shared" si="8"/>
        <v>#ERROR!</v>
      </c>
      <c r="BI47" s="4">
        <v>7147.0</v>
      </c>
    </row>
    <row r="48" ht="12.75" customHeight="1">
      <c r="A48" s="5">
        <f>companies!A48</f>
        <v>47</v>
      </c>
      <c r="B48" s="200" t="s">
        <v>1254</v>
      </c>
      <c r="C48" s="211">
        <v>1290000.0</v>
      </c>
      <c r="D48" s="211">
        <v>1510000.0</v>
      </c>
      <c r="E48" s="211">
        <v>1510000.0</v>
      </c>
      <c r="F48" s="211"/>
      <c r="G48" s="211"/>
      <c r="H48" s="211"/>
      <c r="I48" s="211"/>
      <c r="J48" s="211"/>
      <c r="K48" s="211"/>
      <c r="L48" s="211"/>
      <c r="M48" s="212"/>
      <c r="N48" s="212"/>
      <c r="O48" s="212"/>
      <c r="P48" s="212"/>
      <c r="Q48" s="212"/>
      <c r="R48" s="211"/>
      <c r="S48" s="212"/>
      <c r="T48" s="212"/>
      <c r="U48" s="212"/>
      <c r="V48" s="212"/>
      <c r="W48" s="211">
        <v>2340000.0</v>
      </c>
      <c r="X48" s="200">
        <v>1510000.0</v>
      </c>
      <c r="Y48" s="200">
        <v>5140000.0</v>
      </c>
      <c r="Z48" s="213"/>
      <c r="AA48" s="213"/>
      <c r="AB48" s="213"/>
      <c r="AC48" s="213"/>
      <c r="AD48" s="213" t="s">
        <v>683</v>
      </c>
      <c r="AE48" s="213" t="s">
        <v>683</v>
      </c>
      <c r="AF48" s="214" t="str">
        <f>Table1[[#This Row],[2019 Scope 1 (MeT Co2)]]</f>
        <v>#ERROR!</v>
      </c>
      <c r="AG48" s="215" t="str">
        <f t="shared" si="1"/>
        <v>#ERROR!</v>
      </c>
      <c r="AH48" s="216" t="str">
        <f t="shared" si="2"/>
        <v>#ERROR!</v>
      </c>
      <c r="AI48" s="210"/>
      <c r="AJ48" s="210"/>
      <c r="AK48" s="213" t="s">
        <v>683</v>
      </c>
      <c r="AL48" s="213" t="s">
        <v>683</v>
      </c>
      <c r="AM48" s="214" t="str">
        <f>Table1[[#This Row],[2019 Scope 2 ]]</f>
        <v>#ERROR!</v>
      </c>
      <c r="AN48" s="215" t="str">
        <f t="shared" si="3"/>
        <v>#ERROR!</v>
      </c>
      <c r="AO48" s="216" t="str">
        <f t="shared" si="4"/>
        <v>#ERROR!</v>
      </c>
      <c r="AP48" s="215" t="str">
        <f t="shared" si="5"/>
        <v>#ERROR!</v>
      </c>
      <c r="AQ48" s="216" t="str">
        <f t="shared" si="6"/>
        <v>#ERROR!</v>
      </c>
      <c r="AR48" s="217" t="str">
        <f>Table1[[#This Row],[2019 Scope 3 ]]</f>
        <v>#ERROR!</v>
      </c>
      <c r="AS48" s="218" t="str">
        <f t="shared" si="7"/>
        <v>#ERROR!</v>
      </c>
      <c r="AT48" s="219" t="str">
        <f t="shared" si="8"/>
        <v>#ERROR!</v>
      </c>
      <c r="BI48" s="200">
        <v>7166.0</v>
      </c>
    </row>
    <row r="49" ht="12.75" customHeight="1">
      <c r="A49" s="5">
        <f>companies!A49</f>
        <v>48</v>
      </c>
      <c r="B49" s="200" t="s">
        <v>1254</v>
      </c>
      <c r="C49" s="211">
        <v>1763555.0</v>
      </c>
      <c r="D49" s="211">
        <v>4322761.0</v>
      </c>
      <c r="E49" s="211">
        <v>4322761.0</v>
      </c>
      <c r="F49" s="211"/>
      <c r="G49" s="211"/>
      <c r="H49" s="211"/>
      <c r="I49" s="211"/>
      <c r="J49" s="211"/>
      <c r="K49" s="211"/>
      <c r="L49" s="211"/>
      <c r="M49" s="212"/>
      <c r="N49" s="212"/>
      <c r="O49" s="212"/>
      <c r="P49" s="212"/>
      <c r="Q49" s="212"/>
      <c r="R49" s="211"/>
      <c r="S49" s="212"/>
      <c r="T49" s="212"/>
      <c r="U49" s="212"/>
      <c r="V49" s="212"/>
      <c r="W49" s="211">
        <v>2.64563698E8</v>
      </c>
      <c r="X49" s="200">
        <v>4322761.0</v>
      </c>
      <c r="Y49" s="200">
        <v>2.70650014E8</v>
      </c>
      <c r="Z49" s="200"/>
      <c r="AA49" s="200"/>
      <c r="AB49" s="200"/>
      <c r="AC49" s="200"/>
      <c r="AD49" s="213" t="s">
        <v>683</v>
      </c>
      <c r="AE49" s="213" t="s">
        <v>683</v>
      </c>
      <c r="AF49" s="214" t="str">
        <f>Table1[[#This Row],[2019 Scope 1 (MeT Co2)]]</f>
        <v>#ERROR!</v>
      </c>
      <c r="AG49" s="215" t="str">
        <f t="shared" si="1"/>
        <v>#ERROR!</v>
      </c>
      <c r="AH49" s="216" t="str">
        <f t="shared" si="2"/>
        <v>#ERROR!</v>
      </c>
      <c r="AI49" s="210"/>
      <c r="AJ49" s="210"/>
      <c r="AK49" s="213" t="s">
        <v>683</v>
      </c>
      <c r="AL49" s="213" t="s">
        <v>683</v>
      </c>
      <c r="AM49" s="214" t="str">
        <f>Table1[[#This Row],[2019 Scope 2 ]]</f>
        <v>#ERROR!</v>
      </c>
      <c r="AN49" s="215" t="str">
        <f t="shared" si="3"/>
        <v>#ERROR!</v>
      </c>
      <c r="AO49" s="216" t="str">
        <f t="shared" si="4"/>
        <v>#ERROR!</v>
      </c>
      <c r="AP49" s="215" t="str">
        <f t="shared" si="5"/>
        <v>#ERROR!</v>
      </c>
      <c r="AQ49" s="216" t="str">
        <f t="shared" si="6"/>
        <v>#ERROR!</v>
      </c>
      <c r="AR49" s="217" t="str">
        <f>Table1[[#This Row],[2019 Scope 3 ]]</f>
        <v>#ERROR!</v>
      </c>
      <c r="AS49" s="218" t="str">
        <f t="shared" si="7"/>
        <v>#ERROR!</v>
      </c>
      <c r="AT49" s="219" t="str">
        <f t="shared" si="8"/>
        <v>#ERROR!</v>
      </c>
      <c r="BI49" s="4">
        <v>7164.0</v>
      </c>
    </row>
    <row r="50" ht="12.75" customHeight="1">
      <c r="A50" s="5">
        <f>companies!A50</f>
        <v>49</v>
      </c>
      <c r="B50" s="200" t="s">
        <v>1254</v>
      </c>
      <c r="C50" s="211">
        <v>47256.0</v>
      </c>
      <c r="D50" s="211">
        <v>26647.0</v>
      </c>
      <c r="E50" s="211">
        <v>26647.0</v>
      </c>
      <c r="F50" s="211"/>
      <c r="G50" s="211"/>
      <c r="H50" s="211"/>
      <c r="I50" s="211"/>
      <c r="J50" s="211"/>
      <c r="K50" s="211"/>
      <c r="L50" s="211"/>
      <c r="M50" s="212"/>
      <c r="N50" s="212"/>
      <c r="O50" s="212"/>
      <c r="P50" s="212"/>
      <c r="Q50" s="212"/>
      <c r="R50" s="211"/>
      <c r="S50" s="212"/>
      <c r="T50" s="212"/>
      <c r="U50" s="212"/>
      <c r="V50" s="212"/>
      <c r="W50" s="211">
        <v>71586.0</v>
      </c>
      <c r="X50" s="200">
        <v>26647.0</v>
      </c>
      <c r="Y50" s="200">
        <v>145489.0</v>
      </c>
      <c r="Z50" s="200"/>
      <c r="AA50" s="200"/>
      <c r="AB50" s="200"/>
      <c r="AC50" s="200"/>
      <c r="AD50" s="213" t="s">
        <v>683</v>
      </c>
      <c r="AE50" s="213" t="s">
        <v>683</v>
      </c>
      <c r="AF50" s="214" t="str">
        <f>Table1[[#This Row],[2019 Scope 1 (MeT Co2)]]</f>
        <v>#ERROR!</v>
      </c>
      <c r="AG50" s="215" t="str">
        <f t="shared" si="1"/>
        <v>#ERROR!</v>
      </c>
      <c r="AH50" s="216" t="str">
        <f t="shared" si="2"/>
        <v>#ERROR!</v>
      </c>
      <c r="AI50" s="210"/>
      <c r="AJ50" s="210"/>
      <c r="AK50" s="213" t="s">
        <v>683</v>
      </c>
      <c r="AL50" s="213" t="s">
        <v>683</v>
      </c>
      <c r="AM50" s="214" t="str">
        <f>Table1[[#This Row],[2019 Scope 2 ]]</f>
        <v>#ERROR!</v>
      </c>
      <c r="AN50" s="215" t="str">
        <f t="shared" si="3"/>
        <v>#ERROR!</v>
      </c>
      <c r="AO50" s="216" t="str">
        <f t="shared" si="4"/>
        <v>#ERROR!</v>
      </c>
      <c r="AP50" s="215" t="str">
        <f t="shared" si="5"/>
        <v>#ERROR!</v>
      </c>
      <c r="AQ50" s="216" t="str">
        <f t="shared" si="6"/>
        <v>#ERROR!</v>
      </c>
      <c r="AR50" s="217" t="str">
        <f>Table1[[#This Row],[2019 Scope 3 ]]</f>
        <v>#ERROR!</v>
      </c>
      <c r="AS50" s="218" t="str">
        <f t="shared" si="7"/>
        <v>#ERROR!</v>
      </c>
      <c r="AT50" s="219" t="str">
        <f t="shared" si="8"/>
        <v>#ERROR!</v>
      </c>
      <c r="BI50" s="4">
        <v>7345.0</v>
      </c>
    </row>
    <row r="51" ht="12.75" customHeight="1">
      <c r="A51" s="5">
        <f>companies!A51</f>
        <v>50</v>
      </c>
      <c r="B51" s="200" t="s">
        <v>1254</v>
      </c>
      <c r="C51" s="211">
        <v>11565.0</v>
      </c>
      <c r="D51" s="211">
        <v>16284.0</v>
      </c>
      <c r="E51" s="211">
        <v>16284.0</v>
      </c>
      <c r="F51" s="211"/>
      <c r="G51" s="211"/>
      <c r="H51" s="211"/>
      <c r="I51" s="211"/>
      <c r="J51" s="211"/>
      <c r="K51" s="211"/>
      <c r="L51" s="211"/>
      <c r="M51" s="212"/>
      <c r="N51" s="212"/>
      <c r="O51" s="212"/>
      <c r="P51" s="212"/>
      <c r="Q51" s="212"/>
      <c r="R51" s="211"/>
      <c r="S51" s="212"/>
      <c r="T51" s="212"/>
      <c r="U51" s="212"/>
      <c r="V51" s="212"/>
      <c r="W51" s="211">
        <v>139893.0</v>
      </c>
      <c r="X51" s="200">
        <v>16284.0</v>
      </c>
      <c r="Y51" s="200">
        <v>167742.0</v>
      </c>
      <c r="Z51" s="200"/>
      <c r="AA51" s="200"/>
      <c r="AB51" s="200"/>
      <c r="AC51" s="200"/>
      <c r="AD51" s="213" t="s">
        <v>683</v>
      </c>
      <c r="AE51" s="213" t="s">
        <v>683</v>
      </c>
      <c r="AF51" s="214" t="str">
        <f>Table1[[#This Row],[2019 Scope 1 (MeT Co2)]]</f>
        <v>#ERROR!</v>
      </c>
      <c r="AG51" s="215" t="str">
        <f t="shared" si="1"/>
        <v>#ERROR!</v>
      </c>
      <c r="AH51" s="216" t="str">
        <f t="shared" si="2"/>
        <v>#ERROR!</v>
      </c>
      <c r="AI51" s="210"/>
      <c r="AJ51" s="210"/>
      <c r="AK51" s="213" t="s">
        <v>683</v>
      </c>
      <c r="AL51" s="213" t="s">
        <v>683</v>
      </c>
      <c r="AM51" s="214" t="str">
        <f>Table1[[#This Row],[2019 Scope 2 ]]</f>
        <v>#ERROR!</v>
      </c>
      <c r="AN51" s="215" t="str">
        <f t="shared" si="3"/>
        <v>#ERROR!</v>
      </c>
      <c r="AO51" s="216" t="str">
        <f t="shared" si="4"/>
        <v>#ERROR!</v>
      </c>
      <c r="AP51" s="215" t="str">
        <f t="shared" si="5"/>
        <v>#ERROR!</v>
      </c>
      <c r="AQ51" s="216" t="str">
        <f t="shared" si="6"/>
        <v>#ERROR!</v>
      </c>
      <c r="AR51" s="217" t="str">
        <f>Table1[[#This Row],[2019 Scope 3 ]]</f>
        <v>#ERROR!</v>
      </c>
      <c r="AS51" s="218" t="str">
        <f t="shared" si="7"/>
        <v>#ERROR!</v>
      </c>
      <c r="AT51" s="219" t="str">
        <f t="shared" si="8"/>
        <v>#ERROR!</v>
      </c>
      <c r="BI51" s="4">
        <v>7599.0</v>
      </c>
    </row>
    <row r="52" ht="12.75" customHeight="1">
      <c r="A52" s="5">
        <f>companies!A52</f>
        <v>51</v>
      </c>
      <c r="B52" s="200" t="s">
        <v>1254</v>
      </c>
      <c r="C52" s="211">
        <v>516246.0</v>
      </c>
      <c r="D52" s="211">
        <v>1549876.0</v>
      </c>
      <c r="E52" s="211">
        <v>1549876.0</v>
      </c>
      <c r="F52" s="211"/>
      <c r="G52" s="211"/>
      <c r="H52" s="211"/>
      <c r="I52" s="211"/>
      <c r="J52" s="211"/>
      <c r="K52" s="211"/>
      <c r="L52" s="211"/>
      <c r="M52" s="212"/>
      <c r="N52" s="212"/>
      <c r="O52" s="212"/>
      <c r="P52" s="212"/>
      <c r="Q52" s="212"/>
      <c r="R52" s="211"/>
      <c r="S52" s="212"/>
      <c r="T52" s="212"/>
      <c r="U52" s="212"/>
      <c r="V52" s="212"/>
      <c r="W52" s="211">
        <v>3.1787509E8</v>
      </c>
      <c r="X52" s="200">
        <v>1549876.0</v>
      </c>
      <c r="Y52" s="200">
        <v>3.19941212E8</v>
      </c>
      <c r="Z52" s="200"/>
      <c r="AA52" s="200"/>
      <c r="AB52" s="200"/>
      <c r="AC52" s="200"/>
      <c r="AD52" s="213" t="s">
        <v>683</v>
      </c>
      <c r="AE52" s="213" t="s">
        <v>683</v>
      </c>
      <c r="AF52" s="214" t="str">
        <f>Table1[[#This Row],[2019 Scope 1 (MeT Co2)]]</f>
        <v>#ERROR!</v>
      </c>
      <c r="AG52" s="215" t="str">
        <f t="shared" si="1"/>
        <v>#ERROR!</v>
      </c>
      <c r="AH52" s="216" t="str">
        <f t="shared" si="2"/>
        <v>#ERROR!</v>
      </c>
      <c r="AI52" s="210"/>
      <c r="AJ52" s="210"/>
      <c r="AK52" s="213" t="s">
        <v>683</v>
      </c>
      <c r="AL52" s="213" t="s">
        <v>683</v>
      </c>
      <c r="AM52" s="214" t="str">
        <f>Table1[[#This Row],[2019 Scope 2 ]]</f>
        <v>#ERROR!</v>
      </c>
      <c r="AN52" s="215" t="str">
        <f t="shared" si="3"/>
        <v>#ERROR!</v>
      </c>
      <c r="AO52" s="216" t="str">
        <f t="shared" si="4"/>
        <v>#ERROR!</v>
      </c>
      <c r="AP52" s="215" t="str">
        <f t="shared" si="5"/>
        <v>#ERROR!</v>
      </c>
      <c r="AQ52" s="216" t="str">
        <f t="shared" si="6"/>
        <v>#ERROR!</v>
      </c>
      <c r="AR52" s="217" t="str">
        <f>Table1[[#This Row],[2019 Scope 3 ]]</f>
        <v>#ERROR!</v>
      </c>
      <c r="AS52" s="218" t="str">
        <f t="shared" si="7"/>
        <v>#ERROR!</v>
      </c>
      <c r="AT52" s="219" t="str">
        <f t="shared" si="8"/>
        <v>#ERROR!</v>
      </c>
      <c r="BI52" s="4">
        <v>8526.0</v>
      </c>
    </row>
    <row r="53" ht="12.75" customHeight="1">
      <c r="A53" s="5">
        <f>companies!A53</f>
        <v>52</v>
      </c>
      <c r="B53" s="200" t="s">
        <v>1254</v>
      </c>
      <c r="C53" s="211">
        <v>1479149.0</v>
      </c>
      <c r="D53" s="211">
        <v>1036941.0</v>
      </c>
      <c r="E53" s="211">
        <v>1036941.0</v>
      </c>
      <c r="F53" s="211"/>
      <c r="G53" s="211"/>
      <c r="H53" s="211"/>
      <c r="I53" s="211"/>
      <c r="J53" s="211"/>
      <c r="K53" s="211"/>
      <c r="L53" s="211"/>
      <c r="M53" s="212"/>
      <c r="N53" s="212"/>
      <c r="O53" s="212"/>
      <c r="P53" s="212"/>
      <c r="Q53" s="212"/>
      <c r="R53" s="211"/>
      <c r="S53" s="212"/>
      <c r="T53" s="212"/>
      <c r="U53" s="212"/>
      <c r="V53" s="212"/>
      <c r="W53" s="211">
        <v>1.8863846E7</v>
      </c>
      <c r="X53" s="200">
        <v>1036941.0</v>
      </c>
      <c r="Y53" s="200">
        <v>2.1379936E7</v>
      </c>
      <c r="Z53" s="200"/>
      <c r="AA53" s="200"/>
      <c r="AB53" s="200"/>
      <c r="AC53" s="200"/>
      <c r="AD53" s="213" t="s">
        <v>683</v>
      </c>
      <c r="AE53" s="213" t="s">
        <v>683</v>
      </c>
      <c r="AF53" s="214" t="str">
        <f>Table1[[#This Row],[2019 Scope 1 (MeT Co2)]]</f>
        <v>#ERROR!</v>
      </c>
      <c r="AG53" s="215" t="str">
        <f t="shared" si="1"/>
        <v>#ERROR!</v>
      </c>
      <c r="AH53" s="216" t="str">
        <f t="shared" si="2"/>
        <v>#ERROR!</v>
      </c>
      <c r="AI53" s="210"/>
      <c r="AJ53" s="210"/>
      <c r="AK53" s="213" t="s">
        <v>683</v>
      </c>
      <c r="AL53" s="213" t="s">
        <v>683</v>
      </c>
      <c r="AM53" s="214" t="str">
        <f>Table1[[#This Row],[2019 Scope 2 ]]</f>
        <v>#ERROR!</v>
      </c>
      <c r="AN53" s="215" t="str">
        <f t="shared" si="3"/>
        <v>#ERROR!</v>
      </c>
      <c r="AO53" s="216" t="str">
        <f t="shared" si="4"/>
        <v>#ERROR!</v>
      </c>
      <c r="AP53" s="215" t="str">
        <f t="shared" si="5"/>
        <v>#ERROR!</v>
      </c>
      <c r="AQ53" s="216" t="str">
        <f t="shared" si="6"/>
        <v>#ERROR!</v>
      </c>
      <c r="AR53" s="217" t="str">
        <f>Table1[[#This Row],[2019 Scope 3 ]]</f>
        <v>#ERROR!</v>
      </c>
      <c r="AS53" s="218" t="str">
        <f t="shared" si="7"/>
        <v>#ERROR!</v>
      </c>
      <c r="AT53" s="219" t="str">
        <f t="shared" si="8"/>
        <v>#ERROR!</v>
      </c>
      <c r="BI53" s="4">
        <v>8553.0</v>
      </c>
    </row>
    <row r="54" ht="12.75" customHeight="1">
      <c r="A54" s="5">
        <f>companies!A54</f>
        <v>53</v>
      </c>
      <c r="B54" s="200" t="s">
        <v>1254</v>
      </c>
      <c r="C54" s="211">
        <v>124633.0</v>
      </c>
      <c r="D54" s="211">
        <v>963304.0</v>
      </c>
      <c r="E54" s="211">
        <v>963304.0</v>
      </c>
      <c r="F54" s="211"/>
      <c r="G54" s="211"/>
      <c r="H54" s="211"/>
      <c r="I54" s="211"/>
      <c r="J54" s="211"/>
      <c r="K54" s="211"/>
      <c r="L54" s="211"/>
      <c r="M54" s="212"/>
      <c r="N54" s="212"/>
      <c r="O54" s="212"/>
      <c r="P54" s="212"/>
      <c r="Q54" s="212"/>
      <c r="R54" s="211"/>
      <c r="S54" s="212"/>
      <c r="T54" s="212"/>
      <c r="U54" s="212"/>
      <c r="V54" s="212"/>
      <c r="W54" s="211">
        <v>1346702.0</v>
      </c>
      <c r="X54" s="200">
        <v>963304.0</v>
      </c>
      <c r="Y54" s="200">
        <v>2434639.0</v>
      </c>
      <c r="Z54" s="200"/>
      <c r="AA54" s="200"/>
      <c r="AB54" s="200"/>
      <c r="AC54" s="200"/>
      <c r="AD54" s="213" t="s">
        <v>683</v>
      </c>
      <c r="AE54" s="213" t="s">
        <v>683</v>
      </c>
      <c r="AF54" s="214" t="str">
        <f>Table1[[#This Row],[2019 Scope 1 (MeT Co2)]]</f>
        <v>#ERROR!</v>
      </c>
      <c r="AG54" s="215" t="str">
        <f t="shared" si="1"/>
        <v>#ERROR!</v>
      </c>
      <c r="AH54" s="216" t="str">
        <f t="shared" si="2"/>
        <v>#ERROR!</v>
      </c>
      <c r="AI54" s="210"/>
      <c r="AJ54" s="210"/>
      <c r="AK54" s="213" t="s">
        <v>683</v>
      </c>
      <c r="AL54" s="213" t="s">
        <v>683</v>
      </c>
      <c r="AM54" s="214" t="str">
        <f>Table1[[#This Row],[2019 Scope 2 ]]</f>
        <v>#ERROR!</v>
      </c>
      <c r="AN54" s="215" t="str">
        <f t="shared" si="3"/>
        <v>#ERROR!</v>
      </c>
      <c r="AO54" s="216" t="str">
        <f t="shared" si="4"/>
        <v>#ERROR!</v>
      </c>
      <c r="AP54" s="215" t="str">
        <f t="shared" si="5"/>
        <v>#ERROR!</v>
      </c>
      <c r="AQ54" s="216" t="str">
        <f t="shared" si="6"/>
        <v>#ERROR!</v>
      </c>
      <c r="AR54" s="217" t="str">
        <f>Table1[[#This Row],[2019 Scope 3 ]]</f>
        <v>#ERROR!</v>
      </c>
      <c r="AS54" s="218" t="str">
        <f t="shared" si="7"/>
        <v>#ERROR!</v>
      </c>
      <c r="AT54" s="219" t="str">
        <f t="shared" si="8"/>
        <v>#ERROR!</v>
      </c>
      <c r="BI54" s="200">
        <v>9284.0</v>
      </c>
    </row>
    <row r="55" ht="12.75" customHeight="1">
      <c r="A55" s="5">
        <f>companies!A55</f>
        <v>54</v>
      </c>
      <c r="B55" s="200" t="s">
        <v>1254</v>
      </c>
      <c r="C55" s="211">
        <v>1458000.0</v>
      </c>
      <c r="D55" s="211">
        <v>1120000.0</v>
      </c>
      <c r="E55" s="211">
        <v>1120000.0</v>
      </c>
      <c r="F55" s="211"/>
      <c r="G55" s="211"/>
      <c r="H55" s="211"/>
      <c r="I55" s="211"/>
      <c r="J55" s="211"/>
      <c r="K55" s="211"/>
      <c r="L55" s="211"/>
      <c r="M55" s="212"/>
      <c r="N55" s="212"/>
      <c r="O55" s="212"/>
      <c r="P55" s="212"/>
      <c r="Q55" s="212"/>
      <c r="R55" s="211"/>
      <c r="S55" s="212"/>
      <c r="T55" s="212"/>
      <c r="U55" s="212"/>
      <c r="V55" s="212"/>
      <c r="W55" s="211">
        <v>2.0979E7</v>
      </c>
      <c r="X55" s="200">
        <v>1120000.0</v>
      </c>
      <c r="Y55" s="200">
        <v>2.3557E7</v>
      </c>
      <c r="Z55" s="200"/>
      <c r="AA55" s="200"/>
      <c r="AB55" s="200"/>
      <c r="AC55" s="200"/>
      <c r="AD55" s="213" t="s">
        <v>683</v>
      </c>
      <c r="AE55" s="213" t="s">
        <v>683</v>
      </c>
      <c r="AF55" s="214" t="str">
        <f>Table1[[#This Row],[2019 Scope 1 (MeT Co2)]]</f>
        <v>#ERROR!</v>
      </c>
      <c r="AG55" s="215" t="str">
        <f t="shared" si="1"/>
        <v>#ERROR!</v>
      </c>
      <c r="AH55" s="216" t="str">
        <f t="shared" si="2"/>
        <v>#ERROR!</v>
      </c>
      <c r="AI55" s="210"/>
      <c r="AJ55" s="210"/>
      <c r="AK55" s="213" t="s">
        <v>683</v>
      </c>
      <c r="AL55" s="213" t="s">
        <v>683</v>
      </c>
      <c r="AM55" s="214" t="str">
        <f>Table1[[#This Row],[2019 Scope 2 ]]</f>
        <v>#ERROR!</v>
      </c>
      <c r="AN55" s="215" t="str">
        <f t="shared" si="3"/>
        <v>#ERROR!</v>
      </c>
      <c r="AO55" s="216" t="str">
        <f t="shared" si="4"/>
        <v>#ERROR!</v>
      </c>
      <c r="AP55" s="215" t="str">
        <f t="shared" si="5"/>
        <v>#ERROR!</v>
      </c>
      <c r="AQ55" s="216" t="str">
        <f t="shared" si="6"/>
        <v>#ERROR!</v>
      </c>
      <c r="AR55" s="217" t="str">
        <f>Table1[[#This Row],[2019 Scope 3 ]]</f>
        <v>#ERROR!</v>
      </c>
      <c r="AS55" s="218" t="str">
        <f t="shared" si="7"/>
        <v>#ERROR!</v>
      </c>
      <c r="AT55" s="219" t="str">
        <f t="shared" si="8"/>
        <v>#ERROR!</v>
      </c>
      <c r="BI55" s="4">
        <v>9298.0</v>
      </c>
    </row>
    <row r="56" ht="12.75" customHeight="1">
      <c r="A56" s="5">
        <f>companies!A56</f>
        <v>55</v>
      </c>
      <c r="B56" s="200" t="s">
        <v>1254</v>
      </c>
      <c r="C56" s="211">
        <v>452407.0</v>
      </c>
      <c r="D56" s="211">
        <v>583361.0</v>
      </c>
      <c r="E56" s="211">
        <v>583361.0</v>
      </c>
      <c r="F56" s="211"/>
      <c r="G56" s="211"/>
      <c r="H56" s="211"/>
      <c r="I56" s="211"/>
      <c r="J56" s="211"/>
      <c r="K56" s="211"/>
      <c r="L56" s="211"/>
      <c r="M56" s="212"/>
      <c r="N56" s="212"/>
      <c r="O56" s="212"/>
      <c r="P56" s="212"/>
      <c r="Q56" s="212"/>
      <c r="R56" s="211"/>
      <c r="S56" s="212"/>
      <c r="T56" s="212"/>
      <c r="U56" s="212"/>
      <c r="V56" s="212"/>
      <c r="W56" s="211">
        <v>1.9612181E7</v>
      </c>
      <c r="X56" s="200">
        <v>583361.0</v>
      </c>
      <c r="Y56" s="200">
        <v>2.0647949E7</v>
      </c>
      <c r="Z56" s="200"/>
      <c r="AA56" s="200"/>
      <c r="AB56" s="200"/>
      <c r="AC56" s="200"/>
      <c r="AD56" s="213" t="s">
        <v>683</v>
      </c>
      <c r="AE56" s="213" t="s">
        <v>683</v>
      </c>
      <c r="AF56" s="214" t="str">
        <f>Table1[[#This Row],[2019 Scope 1 (MeT Co2)]]</f>
        <v>#ERROR!</v>
      </c>
      <c r="AG56" s="215" t="str">
        <f t="shared" si="1"/>
        <v>#ERROR!</v>
      </c>
      <c r="AH56" s="216" t="str">
        <f t="shared" si="2"/>
        <v>#ERROR!</v>
      </c>
      <c r="AI56" s="210"/>
      <c r="AJ56" s="210"/>
      <c r="AK56" s="213" t="s">
        <v>683</v>
      </c>
      <c r="AL56" s="213" t="s">
        <v>683</v>
      </c>
      <c r="AM56" s="214" t="str">
        <f>Table1[[#This Row],[2019 Scope 2 ]]</f>
        <v>#ERROR!</v>
      </c>
      <c r="AN56" s="215" t="str">
        <f t="shared" si="3"/>
        <v>#ERROR!</v>
      </c>
      <c r="AO56" s="216" t="str">
        <f t="shared" si="4"/>
        <v>#ERROR!</v>
      </c>
      <c r="AP56" s="215" t="str">
        <f t="shared" si="5"/>
        <v>#ERROR!</v>
      </c>
      <c r="AQ56" s="216" t="str">
        <f t="shared" si="6"/>
        <v>#ERROR!</v>
      </c>
      <c r="AR56" s="217" t="str">
        <f>Table1[[#This Row],[2019 Scope 3 ]]</f>
        <v>#ERROR!</v>
      </c>
      <c r="AS56" s="218" t="str">
        <f t="shared" si="7"/>
        <v>#ERROR!</v>
      </c>
      <c r="AT56" s="219" t="str">
        <f t="shared" si="8"/>
        <v>#ERROR!</v>
      </c>
      <c r="BI56" s="4">
        <v>9829.0</v>
      </c>
    </row>
    <row r="57" ht="12.75" customHeight="1">
      <c r="A57" s="5">
        <f>companies!A57</f>
        <v>56</v>
      </c>
      <c r="B57" s="200" t="s">
        <v>1254</v>
      </c>
      <c r="C57" s="211">
        <v>83101.0</v>
      </c>
      <c r="D57" s="211">
        <v>572067.0</v>
      </c>
      <c r="E57" s="211">
        <v>572067.0</v>
      </c>
      <c r="F57" s="211"/>
      <c r="G57" s="211"/>
      <c r="H57" s="211"/>
      <c r="I57" s="211"/>
      <c r="J57" s="211"/>
      <c r="K57" s="211"/>
      <c r="L57" s="211"/>
      <c r="M57" s="212"/>
      <c r="N57" s="212"/>
      <c r="O57" s="212"/>
      <c r="P57" s="212"/>
      <c r="Q57" s="212"/>
      <c r="R57" s="211"/>
      <c r="S57" s="212"/>
      <c r="T57" s="212"/>
      <c r="U57" s="212"/>
      <c r="V57" s="212"/>
      <c r="W57" s="211">
        <v>176356.0</v>
      </c>
      <c r="X57" s="200">
        <v>572067.0</v>
      </c>
      <c r="Y57" s="200">
        <v>831524.0</v>
      </c>
      <c r="Z57" s="200"/>
      <c r="AA57" s="200"/>
      <c r="AB57" s="200"/>
      <c r="AC57" s="200"/>
      <c r="AD57" s="213" t="s">
        <v>683</v>
      </c>
      <c r="AE57" s="213" t="s">
        <v>683</v>
      </c>
      <c r="AF57" s="214" t="str">
        <f>Table1[[#This Row],[2019 Scope 1 (MeT Co2)]]</f>
        <v>#ERROR!</v>
      </c>
      <c r="AG57" s="215" t="str">
        <f t="shared" si="1"/>
        <v>#ERROR!</v>
      </c>
      <c r="AH57" s="216" t="str">
        <f t="shared" si="2"/>
        <v>#ERROR!</v>
      </c>
      <c r="AI57" s="210"/>
      <c r="AJ57" s="210"/>
      <c r="AK57" s="213" t="s">
        <v>683</v>
      </c>
      <c r="AL57" s="213" t="s">
        <v>683</v>
      </c>
      <c r="AM57" s="214" t="str">
        <f>Table1[[#This Row],[2019 Scope 2 ]]</f>
        <v>#ERROR!</v>
      </c>
      <c r="AN57" s="215" t="str">
        <f t="shared" si="3"/>
        <v>#ERROR!</v>
      </c>
      <c r="AO57" s="216" t="str">
        <f t="shared" si="4"/>
        <v>#ERROR!</v>
      </c>
      <c r="AP57" s="215" t="str">
        <f t="shared" si="5"/>
        <v>#ERROR!</v>
      </c>
      <c r="AQ57" s="216" t="str">
        <f t="shared" si="6"/>
        <v>#ERROR!</v>
      </c>
      <c r="AR57" s="217" t="str">
        <f>Table1[[#This Row],[2019 Scope 3 ]]</f>
        <v>#ERROR!</v>
      </c>
      <c r="AS57" s="218" t="str">
        <f t="shared" si="7"/>
        <v>#ERROR!</v>
      </c>
      <c r="AT57" s="219" t="str">
        <f t="shared" si="8"/>
        <v>#ERROR!</v>
      </c>
      <c r="BI57" s="4">
        <v>9871.0</v>
      </c>
    </row>
    <row r="58" ht="12.75" customHeight="1">
      <c r="A58" s="5">
        <f>companies!A58</f>
        <v>57</v>
      </c>
      <c r="B58" s="200" t="s">
        <v>1254</v>
      </c>
      <c r="C58" s="211" t="s">
        <v>536</v>
      </c>
      <c r="D58" s="211" t="s">
        <v>536</v>
      </c>
      <c r="E58" s="211" t="s">
        <v>536</v>
      </c>
      <c r="F58" s="211"/>
      <c r="G58" s="211"/>
      <c r="H58" s="211"/>
      <c r="I58" s="211"/>
      <c r="J58" s="211"/>
      <c r="K58" s="211"/>
      <c r="L58" s="211"/>
      <c r="M58" s="212"/>
      <c r="N58" s="212"/>
      <c r="O58" s="212"/>
      <c r="P58" s="212"/>
      <c r="Q58" s="212"/>
      <c r="R58" s="211"/>
      <c r="S58" s="212"/>
      <c r="T58" s="212"/>
      <c r="U58" s="212"/>
      <c r="V58" s="212"/>
      <c r="W58" s="211" t="s">
        <v>536</v>
      </c>
      <c r="X58" s="200">
        <v>0.0</v>
      </c>
      <c r="Y58" s="200"/>
      <c r="Z58" s="213"/>
      <c r="AA58" s="213"/>
      <c r="AB58" s="213"/>
      <c r="AC58" s="213"/>
      <c r="AD58" s="213" t="e">
        <v>#N/A</v>
      </c>
      <c r="AE58" s="213" t="e">
        <v>#N/A</v>
      </c>
      <c r="AF58" s="214" t="str">
        <f>Table1[[#This Row],[2019 Scope 1 (MeT Co2)]]</f>
        <v>#ERROR!</v>
      </c>
      <c r="AG58" s="215" t="str">
        <f t="shared" si="1"/>
        <v>#ERROR!</v>
      </c>
      <c r="AH58" s="216" t="str">
        <f t="shared" si="2"/>
        <v>#ERROR!</v>
      </c>
      <c r="AI58" s="210"/>
      <c r="AJ58" s="210"/>
      <c r="AK58" s="213" t="e">
        <v>#N/A</v>
      </c>
      <c r="AL58" s="213" t="e">
        <v>#N/A</v>
      </c>
      <c r="AM58" s="214" t="str">
        <f>Table1[[#This Row],[2019 Scope 2 ]]</f>
        <v>#ERROR!</v>
      </c>
      <c r="AN58" s="215" t="str">
        <f t="shared" si="3"/>
        <v>#ERROR!</v>
      </c>
      <c r="AO58" s="216" t="str">
        <f t="shared" si="4"/>
        <v>#ERROR!</v>
      </c>
      <c r="AP58" s="215" t="str">
        <f t="shared" si="5"/>
        <v>#ERROR!</v>
      </c>
      <c r="AQ58" s="216" t="str">
        <f t="shared" si="6"/>
        <v>#ERROR!</v>
      </c>
      <c r="AR58" s="217" t="str">
        <f>Table1[[#This Row],[2019 Scope 3 ]]</f>
        <v>#ERROR!</v>
      </c>
      <c r="AS58" s="218" t="str">
        <f t="shared" si="7"/>
        <v>#ERROR!</v>
      </c>
      <c r="AT58" s="219" t="str">
        <f t="shared" si="8"/>
        <v>#ERROR!</v>
      </c>
    </row>
    <row r="59" ht="12.75" customHeight="1">
      <c r="A59" s="5">
        <f>companies!A59</f>
        <v>58</v>
      </c>
      <c r="B59" s="200" t="s">
        <v>1254</v>
      </c>
      <c r="C59" s="211">
        <v>649256.0</v>
      </c>
      <c r="D59" s="211">
        <v>773066.0</v>
      </c>
      <c r="E59" s="211">
        <v>773066.0</v>
      </c>
      <c r="F59" s="211"/>
      <c r="G59" s="211"/>
      <c r="H59" s="211"/>
      <c r="I59" s="211"/>
      <c r="J59" s="211"/>
      <c r="K59" s="211"/>
      <c r="L59" s="211"/>
      <c r="M59" s="212"/>
      <c r="N59" s="212"/>
      <c r="O59" s="212"/>
      <c r="P59" s="212"/>
      <c r="Q59" s="212"/>
      <c r="R59" s="211"/>
      <c r="S59" s="212"/>
      <c r="T59" s="212"/>
      <c r="U59" s="212"/>
      <c r="V59" s="212"/>
      <c r="W59" s="211">
        <v>2.292272325E7</v>
      </c>
      <c r="X59" s="200">
        <v>773066.0</v>
      </c>
      <c r="Y59" s="200">
        <v>2.434504525E7</v>
      </c>
      <c r="Z59" s="213"/>
      <c r="AA59" s="213"/>
      <c r="AB59" s="213"/>
      <c r="AC59" s="213"/>
      <c r="AD59" s="213" t="s">
        <v>683</v>
      </c>
      <c r="AE59" s="213" t="s">
        <v>683</v>
      </c>
      <c r="AF59" s="214" t="str">
        <f>Table1[[#This Row],[2019 Scope 1 (MeT Co2)]]</f>
        <v>#ERROR!</v>
      </c>
      <c r="AG59" s="215" t="str">
        <f t="shared" si="1"/>
        <v>#ERROR!</v>
      </c>
      <c r="AH59" s="216" t="str">
        <f t="shared" si="2"/>
        <v>#ERROR!</v>
      </c>
      <c r="AI59" s="210"/>
      <c r="AJ59" s="210"/>
      <c r="AK59" s="213" t="s">
        <v>683</v>
      </c>
      <c r="AL59" s="213" t="s">
        <v>683</v>
      </c>
      <c r="AM59" s="214" t="str">
        <f>Table1[[#This Row],[2019 Scope 2 ]]</f>
        <v>#ERROR!</v>
      </c>
      <c r="AN59" s="215" t="str">
        <f t="shared" si="3"/>
        <v>#ERROR!</v>
      </c>
      <c r="AO59" s="216" t="str">
        <f t="shared" si="4"/>
        <v>#ERROR!</v>
      </c>
      <c r="AP59" s="215" t="str">
        <f t="shared" si="5"/>
        <v>#ERROR!</v>
      </c>
      <c r="AQ59" s="216" t="str">
        <f t="shared" si="6"/>
        <v>#ERROR!</v>
      </c>
      <c r="AR59" s="217" t="str">
        <f>Table1[[#This Row],[2019 Scope 3 ]]</f>
        <v>#ERROR!</v>
      </c>
      <c r="AS59" s="218" t="str">
        <f t="shared" si="7"/>
        <v>#ERROR!</v>
      </c>
      <c r="AT59" s="219" t="str">
        <f t="shared" si="8"/>
        <v>#ERROR!</v>
      </c>
      <c r="BI59" s="4">
        <v>58857.0</v>
      </c>
    </row>
    <row r="60" ht="12.75" customHeight="1">
      <c r="A60" s="5">
        <f>companies!A60</f>
        <v>59</v>
      </c>
      <c r="B60" s="200" t="s">
        <v>1254</v>
      </c>
      <c r="C60" s="211">
        <v>291782.0</v>
      </c>
      <c r="D60" s="211">
        <v>527766.0</v>
      </c>
      <c r="E60" s="211">
        <v>527766.0</v>
      </c>
      <c r="F60" s="211"/>
      <c r="G60" s="211"/>
      <c r="H60" s="211"/>
      <c r="I60" s="211"/>
      <c r="J60" s="211"/>
      <c r="K60" s="211"/>
      <c r="L60" s="211"/>
      <c r="M60" s="212"/>
      <c r="N60" s="212"/>
      <c r="O60" s="212"/>
      <c r="P60" s="212"/>
      <c r="Q60" s="212"/>
      <c r="R60" s="211"/>
      <c r="S60" s="212"/>
      <c r="T60" s="212"/>
      <c r="U60" s="212"/>
      <c r="V60" s="212"/>
      <c r="W60" s="211">
        <v>3.0551E7</v>
      </c>
      <c r="X60" s="200">
        <v>527766.0</v>
      </c>
      <c r="Y60" s="200">
        <v>3.1370548E7</v>
      </c>
      <c r="Z60" s="200"/>
      <c r="AA60" s="200"/>
      <c r="AB60" s="200"/>
      <c r="AC60" s="200"/>
      <c r="AD60" s="213" t="s">
        <v>683</v>
      </c>
      <c r="AE60" s="213" t="s">
        <v>683</v>
      </c>
      <c r="AF60" s="214" t="str">
        <f>Table1[[#This Row],[2019 Scope 1 (MeT Co2)]]</f>
        <v>#ERROR!</v>
      </c>
      <c r="AG60" s="215" t="str">
        <f t="shared" si="1"/>
        <v>#ERROR!</v>
      </c>
      <c r="AH60" s="216" t="str">
        <f t="shared" si="2"/>
        <v>#ERROR!</v>
      </c>
      <c r="AI60" s="210"/>
      <c r="AJ60" s="210"/>
      <c r="AK60" s="213" t="s">
        <v>683</v>
      </c>
      <c r="AL60" s="213" t="s">
        <v>683</v>
      </c>
      <c r="AM60" s="214" t="str">
        <f>Table1[[#This Row],[2019 Scope 2 ]]</f>
        <v>#ERROR!</v>
      </c>
      <c r="AN60" s="215" t="str">
        <f t="shared" si="3"/>
        <v>#ERROR!</v>
      </c>
      <c r="AO60" s="216" t="str">
        <f t="shared" si="4"/>
        <v>#ERROR!</v>
      </c>
      <c r="AP60" s="215" t="str">
        <f t="shared" si="5"/>
        <v>#ERROR!</v>
      </c>
      <c r="AQ60" s="216" t="str">
        <f t="shared" si="6"/>
        <v>#ERROR!</v>
      </c>
      <c r="AR60" s="217" t="str">
        <f>Table1[[#This Row],[2019 Scope 3 ]]</f>
        <v>#ERROR!</v>
      </c>
      <c r="AS60" s="218" t="str">
        <f t="shared" si="7"/>
        <v>#ERROR!</v>
      </c>
      <c r="AT60" s="219" t="str">
        <f t="shared" si="8"/>
        <v>#ERROR!</v>
      </c>
      <c r="BI60" s="4" t="s">
        <v>1259</v>
      </c>
    </row>
    <row r="61" ht="12.75" customHeight="1">
      <c r="A61" s="5">
        <f>companies!A61</f>
        <v>60</v>
      </c>
      <c r="B61" s="200" t="s">
        <v>1254</v>
      </c>
      <c r="C61" s="211">
        <v>473689.0</v>
      </c>
      <c r="D61" s="211">
        <v>1932514.0</v>
      </c>
      <c r="E61" s="211">
        <v>1932514.0</v>
      </c>
      <c r="F61" s="211"/>
      <c r="G61" s="211"/>
      <c r="H61" s="211"/>
      <c r="I61" s="211"/>
      <c r="J61" s="211"/>
      <c r="K61" s="211"/>
      <c r="L61" s="211"/>
      <c r="M61" s="212"/>
      <c r="N61" s="212"/>
      <c r="O61" s="212"/>
      <c r="P61" s="212"/>
      <c r="Q61" s="212"/>
      <c r="R61" s="211"/>
      <c r="S61" s="212"/>
      <c r="T61" s="212"/>
      <c r="U61" s="212"/>
      <c r="V61" s="212"/>
      <c r="W61" s="211">
        <v>3.42642973E8</v>
      </c>
      <c r="X61" s="200">
        <v>1932514.0</v>
      </c>
      <c r="Y61" s="200">
        <v>3.45049176E8</v>
      </c>
      <c r="Z61" s="213"/>
      <c r="AA61" s="213"/>
      <c r="AB61" s="213"/>
      <c r="AC61" s="213"/>
      <c r="AD61" s="213" t="s">
        <v>683</v>
      </c>
      <c r="AE61" s="213" t="s">
        <v>683</v>
      </c>
      <c r="AF61" s="214" t="str">
        <f>Table1[[#This Row],[2019 Scope 1 (MeT Co2)]]</f>
        <v>#ERROR!</v>
      </c>
      <c r="AG61" s="215" t="str">
        <f t="shared" si="1"/>
        <v>#ERROR!</v>
      </c>
      <c r="AH61" s="216" t="str">
        <f t="shared" si="2"/>
        <v>#ERROR!</v>
      </c>
      <c r="AI61" s="210"/>
      <c r="AJ61" s="210"/>
      <c r="AK61" s="213" t="s">
        <v>683</v>
      </c>
      <c r="AL61" s="213" t="s">
        <v>683</v>
      </c>
      <c r="AM61" s="214" t="str">
        <f>Table1[[#This Row],[2019 Scope 2 ]]</f>
        <v>#ERROR!</v>
      </c>
      <c r="AN61" s="215" t="str">
        <f t="shared" si="3"/>
        <v>#ERROR!</v>
      </c>
      <c r="AO61" s="216" t="str">
        <f t="shared" si="4"/>
        <v>#ERROR!</v>
      </c>
      <c r="AP61" s="215" t="str">
        <f t="shared" si="5"/>
        <v>#ERROR!</v>
      </c>
      <c r="AQ61" s="216" t="str">
        <f t="shared" si="6"/>
        <v>#ERROR!</v>
      </c>
      <c r="AR61" s="217" t="str">
        <f>Table1[[#This Row],[2019 Scope 3 ]]</f>
        <v>#ERROR!</v>
      </c>
      <c r="AS61" s="218" t="str">
        <f t="shared" si="7"/>
        <v>#ERROR!</v>
      </c>
      <c r="AT61" s="219" t="str">
        <f t="shared" si="8"/>
        <v>#ERROR!</v>
      </c>
      <c r="BI61" s="4">
        <v>11017.0</v>
      </c>
    </row>
    <row r="62" ht="12.75" customHeight="1">
      <c r="A62" s="5">
        <f>companies!A62</f>
        <v>61</v>
      </c>
      <c r="B62" s="200" t="s">
        <v>1254</v>
      </c>
      <c r="C62" s="211">
        <v>4828.0</v>
      </c>
      <c r="D62" s="211">
        <v>52859.0</v>
      </c>
      <c r="E62" s="211">
        <v>52859.0</v>
      </c>
      <c r="F62" s="211"/>
      <c r="G62" s="211"/>
      <c r="H62" s="211"/>
      <c r="I62" s="211"/>
      <c r="J62" s="211"/>
      <c r="K62" s="211"/>
      <c r="L62" s="211"/>
      <c r="M62" s="212"/>
      <c r="N62" s="212"/>
      <c r="O62" s="212"/>
      <c r="P62" s="212"/>
      <c r="Q62" s="212"/>
      <c r="R62" s="211"/>
      <c r="S62" s="212"/>
      <c r="T62" s="212"/>
      <c r="U62" s="212"/>
      <c r="V62" s="212"/>
      <c r="W62" s="211">
        <v>495962.0</v>
      </c>
      <c r="X62" s="200">
        <v>52859.0</v>
      </c>
      <c r="Y62" s="200">
        <v>553649.0</v>
      </c>
      <c r="Z62" s="200"/>
      <c r="AA62" s="200"/>
      <c r="AB62" s="200"/>
      <c r="AC62" s="200"/>
      <c r="AD62" s="213" t="s">
        <v>683</v>
      </c>
      <c r="AE62" s="213" t="s">
        <v>683</v>
      </c>
      <c r="AF62" s="214" t="str">
        <f>Table1[[#This Row],[2019 Scope 1 (MeT Co2)]]</f>
        <v>#ERROR!</v>
      </c>
      <c r="AG62" s="215" t="str">
        <f t="shared" si="1"/>
        <v>#ERROR!</v>
      </c>
      <c r="AH62" s="216" t="str">
        <f t="shared" si="2"/>
        <v>#ERROR!</v>
      </c>
      <c r="AI62" s="210"/>
      <c r="AJ62" s="210"/>
      <c r="AK62" s="213" t="s">
        <v>683</v>
      </c>
      <c r="AL62" s="213" t="s">
        <v>683</v>
      </c>
      <c r="AM62" s="214" t="str">
        <f>Table1[[#This Row],[2019 Scope 2 ]]</f>
        <v>#ERROR!</v>
      </c>
      <c r="AN62" s="215" t="str">
        <f t="shared" si="3"/>
        <v>#ERROR!</v>
      </c>
      <c r="AO62" s="216" t="str">
        <f t="shared" si="4"/>
        <v>#ERROR!</v>
      </c>
      <c r="AP62" s="215" t="str">
        <f t="shared" si="5"/>
        <v>#ERROR!</v>
      </c>
      <c r="AQ62" s="216" t="str">
        <f t="shared" si="6"/>
        <v>#ERROR!</v>
      </c>
      <c r="AR62" s="217" t="str">
        <f>Table1[[#This Row],[2019 Scope 3 ]]</f>
        <v>#ERROR!</v>
      </c>
      <c r="AS62" s="218" t="str">
        <f t="shared" si="7"/>
        <v>#ERROR!</v>
      </c>
      <c r="AT62" s="219" t="str">
        <f t="shared" si="8"/>
        <v>#ERROR!</v>
      </c>
      <c r="BI62" s="4">
        <v>11421.0</v>
      </c>
    </row>
    <row r="63" ht="12.75" customHeight="1">
      <c r="A63" s="5">
        <f>companies!A63</f>
        <v>62</v>
      </c>
      <c r="B63" s="200" t="s">
        <v>1254</v>
      </c>
      <c r="C63" s="211">
        <v>111499.18</v>
      </c>
      <c r="D63" s="211">
        <v>491052.97</v>
      </c>
      <c r="E63" s="211">
        <v>491052.97</v>
      </c>
      <c r="F63" s="211"/>
      <c r="G63" s="211"/>
      <c r="H63" s="211"/>
      <c r="I63" s="211"/>
      <c r="J63" s="211"/>
      <c r="K63" s="211"/>
      <c r="L63" s="211"/>
      <c r="M63" s="212"/>
      <c r="N63" s="212"/>
      <c r="O63" s="212"/>
      <c r="P63" s="212"/>
      <c r="Q63" s="212"/>
      <c r="R63" s="211"/>
      <c r="S63" s="212"/>
      <c r="T63" s="212"/>
      <c r="U63" s="212"/>
      <c r="V63" s="212"/>
      <c r="W63" s="211">
        <v>3.6290894E7</v>
      </c>
      <c r="X63" s="200">
        <v>491052.97</v>
      </c>
      <c r="Y63" s="200">
        <v>3.689344615E7</v>
      </c>
      <c r="Z63" s="213"/>
      <c r="AA63" s="213"/>
      <c r="AB63" s="213"/>
      <c r="AC63" s="213"/>
      <c r="AD63" s="213" t="s">
        <v>1255</v>
      </c>
      <c r="AE63" s="213" t="s">
        <v>1256</v>
      </c>
      <c r="AF63" s="214" t="str">
        <f>Table1[[#This Row],[2019 Scope 1 (MeT Co2)]]</f>
        <v>#ERROR!</v>
      </c>
      <c r="AG63" s="215" t="str">
        <f t="shared" si="1"/>
        <v>#ERROR!</v>
      </c>
      <c r="AH63" s="216" t="str">
        <f t="shared" si="2"/>
        <v>#ERROR!</v>
      </c>
      <c r="AI63" s="210"/>
      <c r="AJ63" s="210"/>
      <c r="AK63" s="213" t="s">
        <v>1255</v>
      </c>
      <c r="AL63" s="213" t="s">
        <v>1256</v>
      </c>
      <c r="AM63" s="214" t="str">
        <f>Table1[[#This Row],[2019 Scope 2 ]]</f>
        <v>#ERROR!</v>
      </c>
      <c r="AN63" s="215" t="str">
        <f t="shared" si="3"/>
        <v>#ERROR!</v>
      </c>
      <c r="AO63" s="216" t="str">
        <f t="shared" si="4"/>
        <v>#ERROR!</v>
      </c>
      <c r="AP63" s="215" t="str">
        <f t="shared" si="5"/>
        <v>#ERROR!</v>
      </c>
      <c r="AQ63" s="216" t="str">
        <f t="shared" si="6"/>
        <v>#ERROR!</v>
      </c>
      <c r="AR63" s="217" t="str">
        <f>Table1[[#This Row],[2019 Scope 3 ]]</f>
        <v>#ERROR!</v>
      </c>
      <c r="AS63" s="218" t="str">
        <f t="shared" si="7"/>
        <v>#ERROR!</v>
      </c>
      <c r="AT63" s="219" t="str">
        <f t="shared" si="8"/>
        <v>#ERROR!</v>
      </c>
      <c r="BI63" s="4">
        <v>11581.0</v>
      </c>
    </row>
    <row r="64" ht="12.75" customHeight="1">
      <c r="A64" s="5">
        <f>companies!A64</f>
        <v>63</v>
      </c>
      <c r="B64" s="200" t="s">
        <v>1254</v>
      </c>
      <c r="C64" s="211">
        <v>65312.0</v>
      </c>
      <c r="D64" s="211">
        <v>233364.0</v>
      </c>
      <c r="E64" s="211">
        <v>233364.0</v>
      </c>
      <c r="F64" s="211"/>
      <c r="G64" s="211"/>
      <c r="H64" s="211"/>
      <c r="I64" s="211"/>
      <c r="J64" s="211"/>
      <c r="K64" s="211"/>
      <c r="L64" s="211"/>
      <c r="M64" s="212"/>
      <c r="N64" s="212"/>
      <c r="O64" s="212"/>
      <c r="P64" s="212"/>
      <c r="Q64" s="212"/>
      <c r="R64" s="211"/>
      <c r="S64" s="212"/>
      <c r="T64" s="212"/>
      <c r="U64" s="212"/>
      <c r="V64" s="212"/>
      <c r="W64" s="211">
        <v>238792.0</v>
      </c>
      <c r="X64" s="200">
        <v>233364.0</v>
      </c>
      <c r="Y64" s="200">
        <v>537468.0</v>
      </c>
      <c r="Z64" s="200"/>
      <c r="AA64" s="200"/>
      <c r="AB64" s="200"/>
      <c r="AC64" s="200"/>
      <c r="AD64" s="213" t="s">
        <v>683</v>
      </c>
      <c r="AE64" s="213" t="s">
        <v>683</v>
      </c>
      <c r="AF64" s="214" t="str">
        <f>Table1[[#This Row],[2019 Scope 1 (MeT Co2)]]</f>
        <v>#ERROR!</v>
      </c>
      <c r="AG64" s="215" t="str">
        <f t="shared" si="1"/>
        <v>#ERROR!</v>
      </c>
      <c r="AH64" s="216" t="str">
        <f t="shared" si="2"/>
        <v>#ERROR!</v>
      </c>
      <c r="AI64" s="210"/>
      <c r="AJ64" s="210"/>
      <c r="AK64" s="213" t="s">
        <v>683</v>
      </c>
      <c r="AL64" s="213" t="s">
        <v>683</v>
      </c>
      <c r="AM64" s="214" t="str">
        <f>Table1[[#This Row],[2019 Scope 2 ]]</f>
        <v>#ERROR!</v>
      </c>
      <c r="AN64" s="215" t="str">
        <f t="shared" si="3"/>
        <v>#ERROR!</v>
      </c>
      <c r="AO64" s="216" t="str">
        <f t="shared" si="4"/>
        <v>#ERROR!</v>
      </c>
      <c r="AP64" s="215" t="str">
        <f t="shared" si="5"/>
        <v>#ERROR!</v>
      </c>
      <c r="AQ64" s="216" t="str">
        <f t="shared" si="6"/>
        <v>#ERROR!</v>
      </c>
      <c r="AR64" s="217" t="str">
        <f>Table1[[#This Row],[2019 Scope 3 ]]</f>
        <v>#ERROR!</v>
      </c>
      <c r="AS64" s="218" t="str">
        <f t="shared" si="7"/>
        <v>#ERROR!</v>
      </c>
      <c r="AT64" s="219" t="str">
        <f t="shared" si="8"/>
        <v>#ERROR!</v>
      </c>
      <c r="BI64" s="200">
        <v>11651.0</v>
      </c>
    </row>
    <row r="65" ht="12.75" customHeight="1">
      <c r="A65" s="5">
        <f>companies!A65</f>
        <v>64</v>
      </c>
      <c r="B65" s="200" t="s">
        <v>1254</v>
      </c>
      <c r="C65" s="211">
        <v>783500.0</v>
      </c>
      <c r="D65" s="211">
        <v>389700.0</v>
      </c>
      <c r="E65" s="211">
        <v>389700.0</v>
      </c>
      <c r="F65" s="211"/>
      <c r="G65" s="211"/>
      <c r="H65" s="211"/>
      <c r="I65" s="211"/>
      <c r="J65" s="211"/>
      <c r="K65" s="211"/>
      <c r="L65" s="211"/>
      <c r="M65" s="212"/>
      <c r="N65" s="212"/>
      <c r="O65" s="212"/>
      <c r="P65" s="212"/>
      <c r="Q65" s="212"/>
      <c r="R65" s="211"/>
      <c r="S65" s="212"/>
      <c r="T65" s="212"/>
      <c r="U65" s="212"/>
      <c r="V65" s="212"/>
      <c r="W65" s="211">
        <v>6231700.0</v>
      </c>
      <c r="X65" s="200">
        <v>389700.0</v>
      </c>
      <c r="Y65" s="200">
        <v>7404900.0</v>
      </c>
      <c r="Z65" s="200"/>
      <c r="AA65" s="200"/>
      <c r="AB65" s="200"/>
      <c r="AC65" s="200"/>
      <c r="AD65" s="213" t="s">
        <v>683</v>
      </c>
      <c r="AE65" s="213" t="s">
        <v>683</v>
      </c>
      <c r="AF65" s="214" t="str">
        <f>Table1[[#This Row],[2019 Scope 1 (MeT Co2)]]</f>
        <v>#ERROR!</v>
      </c>
      <c r="AG65" s="215" t="str">
        <f t="shared" si="1"/>
        <v>#ERROR!</v>
      </c>
      <c r="AH65" s="216" t="str">
        <f t="shared" si="2"/>
        <v>#ERROR!</v>
      </c>
      <c r="AI65" s="210"/>
      <c r="AJ65" s="210"/>
      <c r="AK65" s="213" t="s">
        <v>683</v>
      </c>
      <c r="AL65" s="213" t="s">
        <v>683</v>
      </c>
      <c r="AM65" s="214" t="str">
        <f>Table1[[#This Row],[2019 Scope 2 ]]</f>
        <v>#ERROR!</v>
      </c>
      <c r="AN65" s="215" t="str">
        <f t="shared" si="3"/>
        <v>#ERROR!</v>
      </c>
      <c r="AO65" s="216" t="str">
        <f t="shared" si="4"/>
        <v>#ERROR!</v>
      </c>
      <c r="AP65" s="215" t="str">
        <f t="shared" si="5"/>
        <v>#ERROR!</v>
      </c>
      <c r="AQ65" s="216" t="str">
        <f t="shared" si="6"/>
        <v>#ERROR!</v>
      </c>
      <c r="AR65" s="217" t="str">
        <f>Table1[[#This Row],[2019 Scope 3 ]]</f>
        <v>#ERROR!</v>
      </c>
      <c r="AS65" s="218" t="str">
        <f t="shared" si="7"/>
        <v>#ERROR!</v>
      </c>
      <c r="AT65" s="219" t="str">
        <f t="shared" si="8"/>
        <v>#ERROR!</v>
      </c>
      <c r="BI65" s="4">
        <v>11765.0</v>
      </c>
    </row>
    <row r="66" ht="12.75" customHeight="1">
      <c r="A66" s="5">
        <f>companies!A66</f>
        <v>65</v>
      </c>
      <c r="B66" s="200" t="s">
        <v>1254</v>
      </c>
      <c r="C66" s="211">
        <v>16016.0</v>
      </c>
      <c r="D66" s="211">
        <v>0.0</v>
      </c>
      <c r="E66" s="211">
        <v>0.0</v>
      </c>
      <c r="F66" s="211"/>
      <c r="G66" s="211"/>
      <c r="H66" s="211"/>
      <c r="I66" s="211"/>
      <c r="J66" s="211"/>
      <c r="K66" s="211"/>
      <c r="L66" s="211"/>
      <c r="M66" s="212"/>
      <c r="N66" s="212"/>
      <c r="O66" s="212"/>
      <c r="P66" s="212"/>
      <c r="Q66" s="212"/>
      <c r="R66" s="211"/>
      <c r="S66" s="212"/>
      <c r="T66" s="212"/>
      <c r="U66" s="212"/>
      <c r="V66" s="212"/>
      <c r="W66" s="211">
        <v>26381.0</v>
      </c>
      <c r="X66" s="200" t="b">
        <v>0</v>
      </c>
      <c r="Y66" s="200">
        <v>42397.0</v>
      </c>
      <c r="Z66" s="200"/>
      <c r="AA66" s="200"/>
      <c r="AB66" s="200"/>
      <c r="AC66" s="200"/>
      <c r="AD66" s="213" t="s">
        <v>683</v>
      </c>
      <c r="AE66" s="213" t="s">
        <v>683</v>
      </c>
      <c r="AF66" s="214" t="str">
        <f>Table1[[#This Row],[2019 Scope 1 (MeT Co2)]]</f>
        <v>#ERROR!</v>
      </c>
      <c r="AG66" s="215" t="str">
        <f t="shared" si="1"/>
        <v>#ERROR!</v>
      </c>
      <c r="AH66" s="216" t="str">
        <f t="shared" si="2"/>
        <v>#ERROR!</v>
      </c>
      <c r="AI66" s="210"/>
      <c r="AJ66" s="210"/>
      <c r="AK66" s="213" t="s">
        <v>683</v>
      </c>
      <c r="AL66" s="213" t="s">
        <v>683</v>
      </c>
      <c r="AM66" s="214" t="str">
        <f>Table1[[#This Row],[2019 Scope 2 ]]</f>
        <v>#ERROR!</v>
      </c>
      <c r="AN66" s="215" t="str">
        <f t="shared" si="3"/>
        <v>#ERROR!</v>
      </c>
      <c r="AO66" s="216" t="str">
        <f t="shared" si="4"/>
        <v>#ERROR!</v>
      </c>
      <c r="AP66" s="215" t="str">
        <f t="shared" si="5"/>
        <v>#ERROR!</v>
      </c>
      <c r="AQ66" s="216" t="str">
        <f t="shared" si="6"/>
        <v>#ERROR!</v>
      </c>
      <c r="AR66" s="217" t="str">
        <f>Table1[[#This Row],[2019 Scope 3 ]]</f>
        <v>#ERROR!</v>
      </c>
      <c r="AS66" s="218" t="str">
        <f t="shared" si="7"/>
        <v>#ERROR!</v>
      </c>
      <c r="AT66" s="219" t="str">
        <f t="shared" si="8"/>
        <v>#ERROR!</v>
      </c>
      <c r="BI66" s="4">
        <v>11796.0</v>
      </c>
    </row>
    <row r="67" ht="12.75" customHeight="1">
      <c r="A67" s="5">
        <f>companies!A67</f>
        <v>66</v>
      </c>
      <c r="B67" s="200" t="s">
        <v>1254</v>
      </c>
      <c r="C67" s="211">
        <v>90723.0</v>
      </c>
      <c r="D67" s="211">
        <v>183329.0</v>
      </c>
      <c r="E67" s="211">
        <v>183329.0</v>
      </c>
      <c r="F67" s="211"/>
      <c r="G67" s="211"/>
      <c r="H67" s="211"/>
      <c r="I67" s="211"/>
      <c r="J67" s="211"/>
      <c r="K67" s="211"/>
      <c r="L67" s="211"/>
      <c r="M67" s="212"/>
      <c r="N67" s="212"/>
      <c r="O67" s="212"/>
      <c r="P67" s="212"/>
      <c r="Q67" s="212"/>
      <c r="R67" s="211"/>
      <c r="S67" s="212"/>
      <c r="T67" s="212"/>
      <c r="U67" s="212"/>
      <c r="V67" s="212"/>
      <c r="W67" s="211">
        <v>1.1820948E7</v>
      </c>
      <c r="X67" s="200">
        <v>183329.0</v>
      </c>
      <c r="Y67" s="200">
        <v>1.2095E7</v>
      </c>
      <c r="Z67" s="200"/>
      <c r="AA67" s="200"/>
      <c r="AB67" s="200"/>
      <c r="AC67" s="200"/>
      <c r="AD67" s="213" t="s">
        <v>683</v>
      </c>
      <c r="AE67" s="213" t="s">
        <v>683</v>
      </c>
      <c r="AF67" s="214" t="str">
        <f>Table1[[#This Row],[2019 Scope 1 (MeT Co2)]]</f>
        <v>#ERROR!</v>
      </c>
      <c r="AG67" s="215" t="str">
        <f t="shared" si="1"/>
        <v>#ERROR!</v>
      </c>
      <c r="AH67" s="216" t="str">
        <f t="shared" si="2"/>
        <v>#ERROR!</v>
      </c>
      <c r="AI67" s="210"/>
      <c r="AJ67" s="210"/>
      <c r="AK67" s="213" t="s">
        <v>683</v>
      </c>
      <c r="AL67" s="213" t="s">
        <v>683</v>
      </c>
      <c r="AM67" s="214" t="str">
        <f>Table1[[#This Row],[2019 Scope 2 ]]</f>
        <v>#ERROR!</v>
      </c>
      <c r="AN67" s="215" t="str">
        <f t="shared" si="3"/>
        <v>#ERROR!</v>
      </c>
      <c r="AO67" s="216" t="str">
        <f t="shared" si="4"/>
        <v>#ERROR!</v>
      </c>
      <c r="AP67" s="215" t="str">
        <f t="shared" si="5"/>
        <v>#ERROR!</v>
      </c>
      <c r="AQ67" s="216" t="str">
        <f t="shared" si="6"/>
        <v>#ERROR!</v>
      </c>
      <c r="AR67" s="217" t="str">
        <f>Table1[[#This Row],[2019 Scope 3 ]]</f>
        <v>#ERROR!</v>
      </c>
      <c r="AS67" s="218" t="str">
        <f t="shared" si="7"/>
        <v>#ERROR!</v>
      </c>
      <c r="AT67" s="219" t="str">
        <f t="shared" si="8"/>
        <v>#ERROR!</v>
      </c>
      <c r="BI67" s="4">
        <v>11930.0</v>
      </c>
    </row>
    <row r="68" ht="12.75" customHeight="1">
      <c r="A68" s="5">
        <f>companies!A68</f>
        <v>67</v>
      </c>
      <c r="B68" s="200" t="s">
        <v>1254</v>
      </c>
      <c r="C68" s="211">
        <v>819933.0</v>
      </c>
      <c r="D68" s="211">
        <v>958647.0</v>
      </c>
      <c r="E68" s="211">
        <v>958647.0</v>
      </c>
      <c r="F68" s="211"/>
      <c r="G68" s="211"/>
      <c r="H68" s="211"/>
      <c r="I68" s="211"/>
      <c r="J68" s="211"/>
      <c r="K68" s="211"/>
      <c r="L68" s="211"/>
      <c r="M68" s="212"/>
      <c r="N68" s="212"/>
      <c r="O68" s="212"/>
      <c r="P68" s="212"/>
      <c r="Q68" s="212"/>
      <c r="R68" s="211"/>
      <c r="S68" s="212"/>
      <c r="T68" s="212"/>
      <c r="U68" s="212"/>
      <c r="V68" s="212"/>
      <c r="W68" s="211">
        <v>2.1729924E7</v>
      </c>
      <c r="X68" s="200">
        <v>958647.0</v>
      </c>
      <c r="Y68" s="200">
        <v>2.3508504E7</v>
      </c>
      <c r="Z68" s="200"/>
      <c r="AA68" s="200"/>
      <c r="AB68" s="200"/>
      <c r="AC68" s="200"/>
      <c r="AD68" s="213" t="s">
        <v>683</v>
      </c>
      <c r="AE68" s="213" t="s">
        <v>683</v>
      </c>
      <c r="AF68" s="214" t="str">
        <f>Table1[[#This Row],[2019 Scope 1 (MeT Co2)]]</f>
        <v>#ERROR!</v>
      </c>
      <c r="AG68" s="215" t="str">
        <f t="shared" si="1"/>
        <v>#ERROR!</v>
      </c>
      <c r="AH68" s="216" t="str">
        <f t="shared" si="2"/>
        <v>#ERROR!</v>
      </c>
      <c r="AI68" s="210"/>
      <c r="AJ68" s="210"/>
      <c r="AK68" s="213" t="s">
        <v>683</v>
      </c>
      <c r="AL68" s="213" t="s">
        <v>683</v>
      </c>
      <c r="AM68" s="214" t="str">
        <f>Table1[[#This Row],[2019 Scope 2 ]]</f>
        <v>#ERROR!</v>
      </c>
      <c r="AN68" s="215" t="str">
        <f t="shared" si="3"/>
        <v>#ERROR!</v>
      </c>
      <c r="AO68" s="216" t="str">
        <f t="shared" si="4"/>
        <v>#ERROR!</v>
      </c>
      <c r="AP68" s="215" t="str">
        <f t="shared" si="5"/>
        <v>#ERROR!</v>
      </c>
      <c r="AQ68" s="216" t="str">
        <f t="shared" si="6"/>
        <v>#ERROR!</v>
      </c>
      <c r="AR68" s="217" t="str">
        <f>Table1[[#This Row],[2019 Scope 3 ]]</f>
        <v>#ERROR!</v>
      </c>
      <c r="AS68" s="218" t="str">
        <f t="shared" si="7"/>
        <v>#ERROR!</v>
      </c>
      <c r="AT68" s="219" t="str">
        <f t="shared" si="8"/>
        <v>#ERROR!</v>
      </c>
      <c r="BI68" s="4">
        <v>42037.0</v>
      </c>
    </row>
    <row r="69" ht="12.75" customHeight="1">
      <c r="A69" s="5">
        <f>companies!A69</f>
        <v>68</v>
      </c>
      <c r="B69" s="200" t="s">
        <v>1254</v>
      </c>
      <c r="C69" s="211">
        <v>29800.0</v>
      </c>
      <c r="D69" s="211">
        <v>183900.0</v>
      </c>
      <c r="E69" s="211">
        <v>183900.0</v>
      </c>
      <c r="F69" s="211"/>
      <c r="G69" s="211"/>
      <c r="H69" s="211"/>
      <c r="I69" s="211"/>
      <c r="J69" s="211"/>
      <c r="K69" s="211"/>
      <c r="L69" s="211"/>
      <c r="M69" s="212"/>
      <c r="N69" s="212"/>
      <c r="O69" s="212"/>
      <c r="P69" s="212"/>
      <c r="Q69" s="212"/>
      <c r="R69" s="211"/>
      <c r="S69" s="212"/>
      <c r="T69" s="212"/>
      <c r="U69" s="212"/>
      <c r="V69" s="212"/>
      <c r="W69" s="211">
        <v>1227000.0</v>
      </c>
      <c r="X69" s="200">
        <v>183900.0</v>
      </c>
      <c r="Y69" s="200">
        <v>1440700.0</v>
      </c>
      <c r="Z69" s="200"/>
      <c r="AA69" s="200"/>
      <c r="AB69" s="200"/>
      <c r="AC69" s="200"/>
      <c r="AD69" s="213" t="s">
        <v>683</v>
      </c>
      <c r="AE69" s="213" t="s">
        <v>683</v>
      </c>
      <c r="AF69" s="214" t="str">
        <f>Table1[[#This Row],[2019 Scope 1 (MeT Co2)]]</f>
        <v>#ERROR!</v>
      </c>
      <c r="AG69" s="215" t="str">
        <f t="shared" si="1"/>
        <v>#ERROR!</v>
      </c>
      <c r="AH69" s="216" t="str">
        <f t="shared" si="2"/>
        <v>#ERROR!</v>
      </c>
      <c r="AI69" s="210"/>
      <c r="AJ69" s="210"/>
      <c r="AK69" s="213" t="s">
        <v>683</v>
      </c>
      <c r="AL69" s="213" t="s">
        <v>683</v>
      </c>
      <c r="AM69" s="214" t="str">
        <f>Table1[[#This Row],[2019 Scope 2 ]]</f>
        <v>#ERROR!</v>
      </c>
      <c r="AN69" s="215" t="str">
        <f t="shared" si="3"/>
        <v>#ERROR!</v>
      </c>
      <c r="AO69" s="216" t="str">
        <f t="shared" si="4"/>
        <v>#ERROR!</v>
      </c>
      <c r="AP69" s="215" t="str">
        <f t="shared" si="5"/>
        <v>#ERROR!</v>
      </c>
      <c r="AQ69" s="216" t="str">
        <f t="shared" si="6"/>
        <v>#ERROR!</v>
      </c>
      <c r="AR69" s="217" t="str">
        <f>Table1[[#This Row],[2019 Scope 3 ]]</f>
        <v>#ERROR!</v>
      </c>
      <c r="AS69" s="218" t="str">
        <f t="shared" si="7"/>
        <v>#ERROR!</v>
      </c>
      <c r="AT69" s="219" t="str">
        <f t="shared" si="8"/>
        <v>#ERROR!</v>
      </c>
      <c r="BI69" s="4">
        <v>12406.0</v>
      </c>
    </row>
    <row r="70" ht="12.75" customHeight="1">
      <c r="A70" s="5">
        <f>companies!A70</f>
        <v>69</v>
      </c>
      <c r="B70" s="200" t="s">
        <v>1254</v>
      </c>
      <c r="C70" s="211" t="s">
        <v>536</v>
      </c>
      <c r="D70" s="211" t="s">
        <v>536</v>
      </c>
      <c r="E70" s="211" t="s">
        <v>536</v>
      </c>
      <c r="F70" s="211"/>
      <c r="G70" s="211"/>
      <c r="H70" s="211"/>
      <c r="I70" s="211"/>
      <c r="J70" s="211"/>
      <c r="K70" s="211"/>
      <c r="L70" s="211"/>
      <c r="M70" s="212"/>
      <c r="N70" s="212"/>
      <c r="O70" s="212"/>
      <c r="P70" s="212"/>
      <c r="Q70" s="212"/>
      <c r="R70" s="211"/>
      <c r="S70" s="212"/>
      <c r="T70" s="212"/>
      <c r="U70" s="212"/>
      <c r="V70" s="212"/>
      <c r="W70" s="211" t="s">
        <v>536</v>
      </c>
      <c r="X70" s="200">
        <v>0.0</v>
      </c>
      <c r="Y70" s="200"/>
      <c r="Z70" s="213"/>
      <c r="AA70" s="213"/>
      <c r="AB70" s="213"/>
      <c r="AC70" s="213"/>
      <c r="AD70" s="213" t="e">
        <v>#N/A</v>
      </c>
      <c r="AE70" s="213" t="e">
        <v>#N/A</v>
      </c>
      <c r="AF70" s="214" t="str">
        <f>Table1[[#This Row],[2019 Scope 1 (MeT Co2)]]</f>
        <v>#ERROR!</v>
      </c>
      <c r="AG70" s="215" t="str">
        <f t="shared" si="1"/>
        <v>#ERROR!</v>
      </c>
      <c r="AH70" s="216" t="str">
        <f t="shared" si="2"/>
        <v>#ERROR!</v>
      </c>
      <c r="AI70" s="210"/>
      <c r="AJ70" s="210"/>
      <c r="AK70" s="213" t="e">
        <v>#N/A</v>
      </c>
      <c r="AL70" s="213" t="e">
        <v>#N/A</v>
      </c>
      <c r="AM70" s="214" t="str">
        <f>Table1[[#This Row],[2019 Scope 2 ]]</f>
        <v>#ERROR!</v>
      </c>
      <c r="AN70" s="215" t="str">
        <f t="shared" si="3"/>
        <v>#ERROR!</v>
      </c>
      <c r="AO70" s="216" t="str">
        <f t="shared" si="4"/>
        <v>#ERROR!</v>
      </c>
      <c r="AP70" s="215" t="str">
        <f t="shared" si="5"/>
        <v>#ERROR!</v>
      </c>
      <c r="AQ70" s="216" t="str">
        <f t="shared" si="6"/>
        <v>#ERROR!</v>
      </c>
      <c r="AR70" s="217" t="str">
        <f>Table1[[#This Row],[2019 Scope 3 ]]</f>
        <v>#ERROR!</v>
      </c>
      <c r="AS70" s="218" t="str">
        <f t="shared" si="7"/>
        <v>#ERROR!</v>
      </c>
      <c r="AT70" s="219" t="str">
        <f t="shared" si="8"/>
        <v>#ERROR!</v>
      </c>
    </row>
    <row r="71" ht="12.75" customHeight="1">
      <c r="A71" s="5">
        <f>companies!A71</f>
        <v>70</v>
      </c>
      <c r="B71" s="200" t="s">
        <v>1254</v>
      </c>
      <c r="C71" s="211" t="s">
        <v>536</v>
      </c>
      <c r="D71" s="211" t="s">
        <v>536</v>
      </c>
      <c r="E71" s="211" t="s">
        <v>536</v>
      </c>
      <c r="F71" s="211"/>
      <c r="G71" s="211"/>
      <c r="H71" s="211"/>
      <c r="I71" s="211"/>
      <c r="J71" s="211"/>
      <c r="K71" s="211"/>
      <c r="L71" s="211"/>
      <c r="M71" s="212"/>
      <c r="N71" s="212"/>
      <c r="O71" s="212"/>
      <c r="P71" s="212"/>
      <c r="Q71" s="212"/>
      <c r="R71" s="211"/>
      <c r="S71" s="212"/>
      <c r="T71" s="212"/>
      <c r="U71" s="212"/>
      <c r="V71" s="212"/>
      <c r="W71" s="211" t="s">
        <v>536</v>
      </c>
      <c r="X71" s="200">
        <v>0.0</v>
      </c>
      <c r="Y71" s="200"/>
      <c r="Z71" s="213"/>
      <c r="AA71" s="213"/>
      <c r="AB71" s="213"/>
      <c r="AC71" s="213"/>
      <c r="AD71" s="213" t="e">
        <v>#N/A</v>
      </c>
      <c r="AE71" s="213" t="e">
        <v>#N/A</v>
      </c>
      <c r="AF71" s="214" t="str">
        <f>Table1[[#This Row],[2019 Scope 1 (MeT Co2)]]</f>
        <v>#ERROR!</v>
      </c>
      <c r="AG71" s="215" t="str">
        <f t="shared" si="1"/>
        <v>#ERROR!</v>
      </c>
      <c r="AH71" s="216" t="str">
        <f t="shared" si="2"/>
        <v>#ERROR!</v>
      </c>
      <c r="AI71" s="210"/>
      <c r="AJ71" s="210"/>
      <c r="AK71" s="213" t="e">
        <v>#N/A</v>
      </c>
      <c r="AL71" s="213" t="e">
        <v>#N/A</v>
      </c>
      <c r="AM71" s="214" t="str">
        <f>Table1[[#This Row],[2019 Scope 2 ]]</f>
        <v>#ERROR!</v>
      </c>
      <c r="AN71" s="215" t="str">
        <f t="shared" si="3"/>
        <v>#ERROR!</v>
      </c>
      <c r="AO71" s="216" t="str">
        <f t="shared" si="4"/>
        <v>#ERROR!</v>
      </c>
      <c r="AP71" s="215" t="str">
        <f t="shared" si="5"/>
        <v>#ERROR!</v>
      </c>
      <c r="AQ71" s="216" t="str">
        <f t="shared" si="6"/>
        <v>#ERROR!</v>
      </c>
      <c r="AR71" s="217" t="str">
        <f>Table1[[#This Row],[2019 Scope 3 ]]</f>
        <v>#ERROR!</v>
      </c>
      <c r="AS71" s="218" t="str">
        <f t="shared" si="7"/>
        <v>#ERROR!</v>
      </c>
      <c r="AT71" s="219" t="str">
        <f t="shared" si="8"/>
        <v>#ERROR!</v>
      </c>
    </row>
    <row r="72" ht="12.75" customHeight="1">
      <c r="A72" s="5">
        <f>companies!A72</f>
        <v>71</v>
      </c>
      <c r="B72" s="200" t="s">
        <v>1254</v>
      </c>
      <c r="C72" s="211">
        <v>41942.0</v>
      </c>
      <c r="D72" s="211">
        <v>218240.0</v>
      </c>
      <c r="E72" s="211">
        <v>218240.0</v>
      </c>
      <c r="F72" s="211"/>
      <c r="G72" s="211"/>
      <c r="H72" s="211"/>
      <c r="I72" s="211"/>
      <c r="J72" s="211"/>
      <c r="K72" s="211"/>
      <c r="L72" s="211"/>
      <c r="M72" s="212"/>
      <c r="N72" s="212"/>
      <c r="O72" s="212"/>
      <c r="P72" s="212"/>
      <c r="Q72" s="212"/>
      <c r="R72" s="211"/>
      <c r="S72" s="212"/>
      <c r="T72" s="212"/>
      <c r="U72" s="212"/>
      <c r="V72" s="212"/>
      <c r="W72" s="211">
        <v>2787707.0</v>
      </c>
      <c r="X72" s="200">
        <v>218240.0</v>
      </c>
      <c r="Y72" s="200">
        <v>3047889.0</v>
      </c>
      <c r="Z72" s="200"/>
      <c r="AA72" s="200"/>
      <c r="AB72" s="200"/>
      <c r="AC72" s="200"/>
      <c r="AD72" s="213" t="s">
        <v>1260</v>
      </c>
      <c r="AE72" s="213" t="s">
        <v>1261</v>
      </c>
      <c r="AF72" s="214" t="str">
        <f>Table1[[#This Row],[2019 Scope 1 (MeT Co2)]]</f>
        <v>#ERROR!</v>
      </c>
      <c r="AG72" s="215" t="str">
        <f t="shared" si="1"/>
        <v>#ERROR!</v>
      </c>
      <c r="AH72" s="216" t="str">
        <f t="shared" si="2"/>
        <v>#ERROR!</v>
      </c>
      <c r="AI72" s="210"/>
      <c r="AJ72" s="210"/>
      <c r="AK72" s="213" t="s">
        <v>1260</v>
      </c>
      <c r="AL72" s="213" t="s">
        <v>1261</v>
      </c>
      <c r="AM72" s="214" t="str">
        <f>Table1[[#This Row],[2019 Scope 2 ]]</f>
        <v>#ERROR!</v>
      </c>
      <c r="AN72" s="215" t="str">
        <f t="shared" si="3"/>
        <v>#ERROR!</v>
      </c>
      <c r="AO72" s="216" t="str">
        <f t="shared" si="4"/>
        <v>#ERROR!</v>
      </c>
      <c r="AP72" s="215" t="str">
        <f t="shared" si="5"/>
        <v>#ERROR!</v>
      </c>
      <c r="AQ72" s="216" t="str">
        <f t="shared" si="6"/>
        <v>#ERROR!</v>
      </c>
      <c r="AR72" s="217" t="str">
        <f>Table1[[#This Row],[2019 Scope 3 ]]</f>
        <v>#ERROR!</v>
      </c>
      <c r="AS72" s="218" t="str">
        <f t="shared" si="7"/>
        <v>#ERROR!</v>
      </c>
      <c r="AT72" s="219" t="str">
        <f t="shared" si="8"/>
        <v>#ERROR!</v>
      </c>
      <c r="BI72" s="4">
        <v>13279.0</v>
      </c>
    </row>
    <row r="73" ht="12.75" customHeight="1">
      <c r="A73" s="5">
        <f>companies!A73</f>
        <v>72</v>
      </c>
      <c r="B73" s="200" t="s">
        <v>1254</v>
      </c>
      <c r="C73" s="211">
        <v>2370.0</v>
      </c>
      <c r="D73" s="211">
        <v>56903.0</v>
      </c>
      <c r="E73" s="211">
        <v>56903.0</v>
      </c>
      <c r="F73" s="211"/>
      <c r="G73" s="211"/>
      <c r="H73" s="211"/>
      <c r="I73" s="211"/>
      <c r="J73" s="211"/>
      <c r="K73" s="211"/>
      <c r="L73" s="211"/>
      <c r="M73" s="212"/>
      <c r="N73" s="212"/>
      <c r="O73" s="212"/>
      <c r="P73" s="212"/>
      <c r="Q73" s="212"/>
      <c r="R73" s="211"/>
      <c r="S73" s="212"/>
      <c r="T73" s="212"/>
      <c r="U73" s="212"/>
      <c r="V73" s="212"/>
      <c r="W73" s="211">
        <v>326648.0</v>
      </c>
      <c r="X73" s="200">
        <v>56903.0</v>
      </c>
      <c r="Y73" s="200">
        <v>385921.0</v>
      </c>
      <c r="Z73" s="200"/>
      <c r="AA73" s="200"/>
      <c r="AB73" s="200"/>
      <c r="AC73" s="200"/>
      <c r="AD73" s="213" t="s">
        <v>683</v>
      </c>
      <c r="AE73" s="213" t="s">
        <v>683</v>
      </c>
      <c r="AF73" s="214" t="str">
        <f>Table1[[#This Row],[2019 Scope 1 (MeT Co2)]]</f>
        <v>#ERROR!</v>
      </c>
      <c r="AG73" s="215" t="str">
        <f t="shared" si="1"/>
        <v>#ERROR!</v>
      </c>
      <c r="AH73" s="216" t="str">
        <f t="shared" si="2"/>
        <v>#ERROR!</v>
      </c>
      <c r="AI73" s="210"/>
      <c r="AJ73" s="210"/>
      <c r="AK73" s="213" t="s">
        <v>683</v>
      </c>
      <c r="AL73" s="213" t="s">
        <v>683</v>
      </c>
      <c r="AM73" s="214" t="str">
        <f>Table1[[#This Row],[2019 Scope 2 ]]</f>
        <v>#ERROR!</v>
      </c>
      <c r="AN73" s="215" t="str">
        <f t="shared" si="3"/>
        <v>#ERROR!</v>
      </c>
      <c r="AO73" s="220" t="str">
        <f t="shared" si="4"/>
        <v>#ERROR!</v>
      </c>
      <c r="AP73" s="215" t="str">
        <f t="shared" si="5"/>
        <v>#ERROR!</v>
      </c>
      <c r="AQ73" s="220" t="str">
        <f t="shared" si="6"/>
        <v>#ERROR!</v>
      </c>
      <c r="AR73" s="217" t="str">
        <f>Table1[[#This Row],[2019 Scope 3 ]]</f>
        <v>#ERROR!</v>
      </c>
      <c r="AS73" s="218" t="str">
        <f t="shared" si="7"/>
        <v>#ERROR!</v>
      </c>
      <c r="AT73" s="219" t="str">
        <f t="shared" si="8"/>
        <v>#ERROR!</v>
      </c>
      <c r="BI73" s="200">
        <v>13604.0</v>
      </c>
    </row>
    <row r="74" ht="12.75" customHeight="1">
      <c r="A74" s="5">
        <f>companies!A74</f>
        <v>73</v>
      </c>
      <c r="B74" s="200" t="s">
        <v>1254</v>
      </c>
      <c r="C74" s="211">
        <v>1.037E7</v>
      </c>
      <c r="D74" s="211">
        <v>4100000.0</v>
      </c>
      <c r="E74" s="211">
        <v>4100000.0</v>
      </c>
      <c r="F74" s="211"/>
      <c r="G74" s="211"/>
      <c r="H74" s="211"/>
      <c r="I74" s="211"/>
      <c r="J74" s="211"/>
      <c r="K74" s="211"/>
      <c r="L74" s="211"/>
      <c r="M74" s="212"/>
      <c r="N74" s="212"/>
      <c r="O74" s="212"/>
      <c r="P74" s="212"/>
      <c r="Q74" s="212"/>
      <c r="R74" s="211"/>
      <c r="S74" s="212"/>
      <c r="T74" s="212"/>
      <c r="U74" s="212"/>
      <c r="V74" s="212"/>
      <c r="W74" s="211">
        <v>7.1E7</v>
      </c>
      <c r="X74" s="200">
        <v>4100000.0</v>
      </c>
      <c r="Y74" s="200">
        <v>8.547E7</v>
      </c>
      <c r="Z74" s="213"/>
      <c r="AA74" s="213"/>
      <c r="AB74" s="213"/>
      <c r="AC74" s="213"/>
      <c r="AD74" s="213" t="s">
        <v>683</v>
      </c>
      <c r="AE74" s="213" t="s">
        <v>683</v>
      </c>
      <c r="AF74" s="214" t="str">
        <f>Table1[[#This Row],[2019 Scope 1 (MeT Co2)]]</f>
        <v>#ERROR!</v>
      </c>
      <c r="AG74" s="215" t="str">
        <f t="shared" si="1"/>
        <v>#ERROR!</v>
      </c>
      <c r="AH74" s="216" t="str">
        <f t="shared" si="2"/>
        <v>#ERROR!</v>
      </c>
      <c r="AI74" s="210"/>
      <c r="AJ74" s="210"/>
      <c r="AK74" s="213" t="s">
        <v>683</v>
      </c>
      <c r="AL74" s="213" t="s">
        <v>683</v>
      </c>
      <c r="AM74" s="214" t="str">
        <f>Table1[[#This Row],[2019 Scope 2 ]]</f>
        <v>#ERROR!</v>
      </c>
      <c r="AN74" s="215" t="str">
        <f t="shared" si="3"/>
        <v>#ERROR!</v>
      </c>
      <c r="AO74" s="216" t="str">
        <f t="shared" si="4"/>
        <v>#ERROR!</v>
      </c>
      <c r="AP74" s="215" t="str">
        <f t="shared" si="5"/>
        <v>#ERROR!</v>
      </c>
      <c r="AQ74" s="216" t="str">
        <f t="shared" si="6"/>
        <v>#ERROR!</v>
      </c>
      <c r="AR74" s="217" t="str">
        <f>Table1[[#This Row],[2019 Scope 3 ]]</f>
        <v>#ERROR!</v>
      </c>
      <c r="AS74" s="218" t="str">
        <f t="shared" si="7"/>
        <v>#ERROR!</v>
      </c>
      <c r="AT74" s="219" t="str">
        <f t="shared" si="8"/>
        <v>#ERROR!</v>
      </c>
      <c r="BI74" s="4">
        <v>13649.0</v>
      </c>
    </row>
    <row r="75" ht="12.75" customHeight="1">
      <c r="A75" s="5">
        <f>companies!A75</f>
        <v>74</v>
      </c>
      <c r="B75" s="200" t="s">
        <v>1254</v>
      </c>
      <c r="C75" s="211">
        <v>17084.0</v>
      </c>
      <c r="D75" s="211">
        <v>362448.0</v>
      </c>
      <c r="E75" s="211">
        <v>362448.0</v>
      </c>
      <c r="F75" s="211"/>
      <c r="G75" s="211"/>
      <c r="H75" s="211"/>
      <c r="I75" s="211"/>
      <c r="J75" s="211"/>
      <c r="K75" s="211"/>
      <c r="L75" s="211"/>
      <c r="M75" s="212"/>
      <c r="N75" s="212"/>
      <c r="O75" s="212"/>
      <c r="P75" s="212"/>
      <c r="Q75" s="212"/>
      <c r="R75" s="211"/>
      <c r="S75" s="212"/>
      <c r="T75" s="212"/>
      <c r="U75" s="212"/>
      <c r="V75" s="212"/>
      <c r="W75" s="211">
        <v>1766048.0</v>
      </c>
      <c r="X75" s="200">
        <v>362448.0</v>
      </c>
      <c r="Y75" s="200">
        <v>2145580.0</v>
      </c>
      <c r="Z75" s="200"/>
      <c r="AA75" s="200"/>
      <c r="AB75" s="200"/>
      <c r="AC75" s="200"/>
      <c r="AD75" s="213" t="s">
        <v>683</v>
      </c>
      <c r="AE75" s="213" t="s">
        <v>683</v>
      </c>
      <c r="AF75" s="214" t="str">
        <f>Table1[[#This Row],[2019 Scope 1 (MeT Co2)]]</f>
        <v>#ERROR!</v>
      </c>
      <c r="AG75" s="215" t="str">
        <f t="shared" si="1"/>
        <v>#ERROR!</v>
      </c>
      <c r="AH75" s="216" t="str">
        <f t="shared" si="2"/>
        <v>#ERROR!</v>
      </c>
      <c r="AI75" s="210"/>
      <c r="AJ75" s="210"/>
      <c r="AK75" s="213" t="s">
        <v>683</v>
      </c>
      <c r="AL75" s="213" t="s">
        <v>683</v>
      </c>
      <c r="AM75" s="214" t="str">
        <f>Table1[[#This Row],[2019 Scope 2 ]]</f>
        <v>#ERROR!</v>
      </c>
      <c r="AN75" s="215" t="str">
        <f t="shared" si="3"/>
        <v>#ERROR!</v>
      </c>
      <c r="AO75" s="216" t="str">
        <f t="shared" si="4"/>
        <v>#ERROR!</v>
      </c>
      <c r="AP75" s="215" t="str">
        <f t="shared" si="5"/>
        <v>#ERROR!</v>
      </c>
      <c r="AQ75" s="216" t="str">
        <f t="shared" si="6"/>
        <v>#ERROR!</v>
      </c>
      <c r="AR75" s="217" t="str">
        <f>Table1[[#This Row],[2019 Scope 3 ]]</f>
        <v>#ERROR!</v>
      </c>
      <c r="AS75" s="218" t="str">
        <f t="shared" si="7"/>
        <v>#ERROR!</v>
      </c>
      <c r="AT75" s="219" t="str">
        <f t="shared" si="8"/>
        <v>#ERROR!</v>
      </c>
      <c r="BI75" s="4">
        <v>14013.0</v>
      </c>
    </row>
    <row r="76" ht="12.75" customHeight="1">
      <c r="A76" s="5">
        <f>companies!A76</f>
        <v>75</v>
      </c>
      <c r="B76" s="200" t="s">
        <v>1254</v>
      </c>
      <c r="C76" s="211">
        <v>10600.0</v>
      </c>
      <c r="D76" s="211">
        <v>57900.0</v>
      </c>
      <c r="E76" s="211">
        <v>57900.0</v>
      </c>
      <c r="F76" s="211"/>
      <c r="G76" s="211"/>
      <c r="H76" s="211"/>
      <c r="I76" s="211"/>
      <c r="J76" s="211"/>
      <c r="K76" s="211"/>
      <c r="L76" s="211"/>
      <c r="M76" s="212"/>
      <c r="N76" s="212"/>
      <c r="O76" s="212"/>
      <c r="P76" s="212"/>
      <c r="Q76" s="212"/>
      <c r="R76" s="211"/>
      <c r="S76" s="212"/>
      <c r="T76" s="212"/>
      <c r="U76" s="212"/>
      <c r="V76" s="212"/>
      <c r="W76" s="211">
        <v>31100.0</v>
      </c>
      <c r="X76" s="200">
        <v>57900.0</v>
      </c>
      <c r="Y76" s="200">
        <v>99600.0</v>
      </c>
      <c r="Z76" s="200"/>
      <c r="AA76" s="200"/>
      <c r="AB76" s="200"/>
      <c r="AC76" s="200"/>
      <c r="AD76" s="213" t="s">
        <v>1255</v>
      </c>
      <c r="AE76" s="213" t="s">
        <v>1256</v>
      </c>
      <c r="AF76" s="214" t="str">
        <f>Table1[[#This Row],[2019 Scope 1 (MeT Co2)]]</f>
        <v>#ERROR!</v>
      </c>
      <c r="AG76" s="215" t="str">
        <f t="shared" si="1"/>
        <v>#ERROR!</v>
      </c>
      <c r="AH76" s="216" t="str">
        <f t="shared" si="2"/>
        <v>#ERROR!</v>
      </c>
      <c r="AI76" s="210"/>
      <c r="AJ76" s="210"/>
      <c r="AK76" s="213" t="s">
        <v>1255</v>
      </c>
      <c r="AL76" s="213" t="s">
        <v>1256</v>
      </c>
      <c r="AM76" s="214" t="str">
        <f>Table1[[#This Row],[2019 Scope 2 ]]</f>
        <v>#ERROR!</v>
      </c>
      <c r="AN76" s="215" t="str">
        <f t="shared" si="3"/>
        <v>#ERROR!</v>
      </c>
      <c r="AO76" s="216" t="str">
        <f t="shared" si="4"/>
        <v>#ERROR!</v>
      </c>
      <c r="AP76" s="215" t="str">
        <f t="shared" si="5"/>
        <v>#ERROR!</v>
      </c>
      <c r="AQ76" s="216" t="str">
        <f t="shared" si="6"/>
        <v>#ERROR!</v>
      </c>
      <c r="AR76" s="217" t="str">
        <f>Table1[[#This Row],[2019 Scope 3 ]]</f>
        <v>#ERROR!</v>
      </c>
      <c r="AS76" s="218" t="str">
        <f t="shared" si="7"/>
        <v>#ERROR!</v>
      </c>
      <c r="AT76" s="219" t="str">
        <f t="shared" si="8"/>
        <v>#ERROR!</v>
      </c>
      <c r="BI76" s="200">
        <v>58304.0</v>
      </c>
    </row>
    <row r="77" ht="12.75" customHeight="1">
      <c r="A77" s="5">
        <f>companies!A77</f>
        <v>76</v>
      </c>
      <c r="B77" s="200" t="s">
        <v>1254</v>
      </c>
      <c r="C77" s="211">
        <v>3577266.0</v>
      </c>
      <c r="D77" s="211">
        <v>1558167.0</v>
      </c>
      <c r="E77" s="211">
        <v>1558167.0</v>
      </c>
      <c r="F77" s="211"/>
      <c r="G77" s="211"/>
      <c r="H77" s="211"/>
      <c r="I77" s="211"/>
      <c r="J77" s="211"/>
      <c r="K77" s="211"/>
      <c r="L77" s="211"/>
      <c r="M77" s="212"/>
      <c r="N77" s="212"/>
      <c r="O77" s="212"/>
      <c r="P77" s="212"/>
      <c r="Q77" s="212"/>
      <c r="R77" s="211"/>
      <c r="S77" s="212"/>
      <c r="T77" s="212"/>
      <c r="U77" s="212"/>
      <c r="V77" s="212"/>
      <c r="W77" s="211">
        <v>6.281798E7</v>
      </c>
      <c r="X77" s="200">
        <v>1558167.0</v>
      </c>
      <c r="Y77" s="200">
        <v>6.7953413E7</v>
      </c>
      <c r="Z77" s="200"/>
      <c r="AA77" s="200"/>
      <c r="AB77" s="200"/>
      <c r="AC77" s="200"/>
      <c r="AD77" s="213" t="s">
        <v>683</v>
      </c>
      <c r="AE77" s="213" t="s">
        <v>683</v>
      </c>
      <c r="AF77" s="214" t="str">
        <f>Table1[[#This Row],[2019 Scope 1 (MeT Co2)]]</f>
        <v>#ERROR!</v>
      </c>
      <c r="AG77" s="215" t="str">
        <f t="shared" si="1"/>
        <v>#ERROR!</v>
      </c>
      <c r="AH77" s="216" t="str">
        <f t="shared" si="2"/>
        <v>#ERROR!</v>
      </c>
      <c r="AI77" s="210"/>
      <c r="AJ77" s="210"/>
      <c r="AK77" s="213" t="s">
        <v>683</v>
      </c>
      <c r="AL77" s="213" t="s">
        <v>683</v>
      </c>
      <c r="AM77" s="214" t="str">
        <f>Table1[[#This Row],[2019 Scope 2 ]]</f>
        <v>#ERROR!</v>
      </c>
      <c r="AN77" s="215" t="str">
        <f t="shared" si="3"/>
        <v>#ERROR!</v>
      </c>
      <c r="AO77" s="216" t="str">
        <f t="shared" si="4"/>
        <v>#ERROR!</v>
      </c>
      <c r="AP77" s="215" t="str">
        <f t="shared" si="5"/>
        <v>#ERROR!</v>
      </c>
      <c r="AQ77" s="216" t="str">
        <f t="shared" si="6"/>
        <v>#ERROR!</v>
      </c>
      <c r="AR77" s="217" t="str">
        <f>Table1[[#This Row],[2019 Scope 3 ]]</f>
        <v>#ERROR!</v>
      </c>
      <c r="AS77" s="218" t="str">
        <f t="shared" si="7"/>
        <v>#ERROR!</v>
      </c>
      <c r="AT77" s="219" t="str">
        <f t="shared" si="8"/>
        <v>#ERROR!</v>
      </c>
      <c r="BI77" s="4">
        <v>14605.0</v>
      </c>
    </row>
    <row r="78" ht="12.75" customHeight="1">
      <c r="A78" s="5">
        <f>companies!A78</f>
        <v>77</v>
      </c>
      <c r="B78" s="200" t="s">
        <v>1254</v>
      </c>
      <c r="C78" s="211">
        <v>756964.0</v>
      </c>
      <c r="D78" s="211">
        <v>905002.0</v>
      </c>
      <c r="E78" s="211">
        <v>905002.0</v>
      </c>
      <c r="F78" s="211"/>
      <c r="G78" s="211"/>
      <c r="H78" s="211"/>
      <c r="I78" s="211"/>
      <c r="J78" s="211"/>
      <c r="K78" s="211"/>
      <c r="L78" s="211"/>
      <c r="M78" s="212"/>
      <c r="N78" s="212"/>
      <c r="O78" s="212"/>
      <c r="P78" s="212"/>
      <c r="Q78" s="212"/>
      <c r="R78" s="211"/>
      <c r="S78" s="212"/>
      <c r="T78" s="212"/>
      <c r="U78" s="212"/>
      <c r="V78" s="212"/>
      <c r="W78" s="211">
        <v>3680555.0</v>
      </c>
      <c r="X78" s="200">
        <v>905002.0</v>
      </c>
      <c r="Y78" s="200">
        <v>5342521.0</v>
      </c>
      <c r="Z78" s="200"/>
      <c r="AA78" s="200"/>
      <c r="AB78" s="200"/>
      <c r="AC78" s="200"/>
      <c r="AD78" s="213" t="s">
        <v>1255</v>
      </c>
      <c r="AE78" s="213" t="s">
        <v>1256</v>
      </c>
      <c r="AF78" s="214" t="str">
        <f>Table1[[#This Row],[2019 Scope 1 (MeT Co2)]]</f>
        <v>#ERROR!</v>
      </c>
      <c r="AG78" s="215" t="str">
        <f t="shared" si="1"/>
        <v>#ERROR!</v>
      </c>
      <c r="AH78" s="216" t="str">
        <f t="shared" si="2"/>
        <v>#ERROR!</v>
      </c>
      <c r="AI78" s="210"/>
      <c r="AJ78" s="210"/>
      <c r="AK78" s="213" t="s">
        <v>1255</v>
      </c>
      <c r="AL78" s="213" t="s">
        <v>1256</v>
      </c>
      <c r="AM78" s="214" t="str">
        <f>Table1[[#This Row],[2019 Scope 2 ]]</f>
        <v>#ERROR!</v>
      </c>
      <c r="AN78" s="215" t="str">
        <f t="shared" si="3"/>
        <v>#ERROR!</v>
      </c>
      <c r="AO78" s="216" t="str">
        <f t="shared" si="4"/>
        <v>#ERROR!</v>
      </c>
      <c r="AP78" s="215" t="str">
        <f t="shared" si="5"/>
        <v>#ERROR!</v>
      </c>
      <c r="AQ78" s="216" t="str">
        <f t="shared" si="6"/>
        <v>#ERROR!</v>
      </c>
      <c r="AR78" s="217" t="str">
        <f>Table1[[#This Row],[2019 Scope 3 ]]</f>
        <v>#ERROR!</v>
      </c>
      <c r="AS78" s="218" t="str">
        <f t="shared" si="7"/>
        <v>#ERROR!</v>
      </c>
      <c r="AT78" s="219" t="str">
        <f t="shared" si="8"/>
        <v>#ERROR!</v>
      </c>
      <c r="BI78" s="4">
        <v>14683.0</v>
      </c>
    </row>
    <row r="79" ht="12.75" customHeight="1">
      <c r="A79" s="5">
        <f>companies!A79</f>
        <v>78</v>
      </c>
      <c r="B79" s="200" t="s">
        <v>1254</v>
      </c>
      <c r="C79" s="211">
        <v>408162.0</v>
      </c>
      <c r="D79" s="211">
        <v>175785.0</v>
      </c>
      <c r="E79" s="211">
        <v>175785.0</v>
      </c>
      <c r="F79" s="211"/>
      <c r="G79" s="211"/>
      <c r="H79" s="211"/>
      <c r="I79" s="211"/>
      <c r="J79" s="211"/>
      <c r="K79" s="211"/>
      <c r="L79" s="211"/>
      <c r="M79" s="212"/>
      <c r="N79" s="212"/>
      <c r="O79" s="212"/>
      <c r="P79" s="212"/>
      <c r="Q79" s="212"/>
      <c r="R79" s="211"/>
      <c r="S79" s="212"/>
      <c r="T79" s="212"/>
      <c r="U79" s="212"/>
      <c r="V79" s="212"/>
      <c r="W79" s="211">
        <v>4920000.0</v>
      </c>
      <c r="X79" s="200">
        <v>175785.0</v>
      </c>
      <c r="Y79" s="200">
        <v>5503947.0</v>
      </c>
      <c r="Z79" s="200"/>
      <c r="AA79" s="200"/>
      <c r="AB79" s="200"/>
      <c r="AC79" s="200"/>
      <c r="AD79" s="213" t="s">
        <v>683</v>
      </c>
      <c r="AE79" s="213" t="s">
        <v>683</v>
      </c>
      <c r="AF79" s="214" t="str">
        <f>Table1[[#This Row],[2019 Scope 1 (MeT Co2)]]</f>
        <v>#ERROR!</v>
      </c>
      <c r="AG79" s="215" t="str">
        <f t="shared" si="1"/>
        <v>#ERROR!</v>
      </c>
      <c r="AH79" s="216" t="str">
        <f t="shared" si="2"/>
        <v>#ERROR!</v>
      </c>
      <c r="AI79" s="210"/>
      <c r="AJ79" s="210"/>
      <c r="AK79" s="213" t="s">
        <v>683</v>
      </c>
      <c r="AL79" s="213" t="s">
        <v>683</v>
      </c>
      <c r="AM79" s="214" t="str">
        <f>Table1[[#This Row],[2019 Scope 2 ]]</f>
        <v>#ERROR!</v>
      </c>
      <c r="AN79" s="215" t="str">
        <f t="shared" si="3"/>
        <v>#ERROR!</v>
      </c>
      <c r="AO79" s="216" t="str">
        <f t="shared" si="4"/>
        <v>#ERROR!</v>
      </c>
      <c r="AP79" s="215" t="str">
        <f t="shared" si="5"/>
        <v>#ERROR!</v>
      </c>
      <c r="AQ79" s="216" t="str">
        <f t="shared" si="6"/>
        <v>#ERROR!</v>
      </c>
      <c r="AR79" s="217" t="str">
        <f>Table1[[#This Row],[2019 Scope 3 ]]</f>
        <v>#ERROR!</v>
      </c>
      <c r="AS79" s="218" t="str">
        <f t="shared" si="7"/>
        <v>#ERROR!</v>
      </c>
      <c r="AT79" s="219" t="str">
        <f t="shared" si="8"/>
        <v>#ERROR!</v>
      </c>
      <c r="BI79" s="200">
        <v>14712.0</v>
      </c>
    </row>
    <row r="80" ht="12.75" customHeight="1">
      <c r="A80" s="5">
        <f>companies!A80</f>
        <v>79</v>
      </c>
      <c r="B80" s="200" t="s">
        <v>1254</v>
      </c>
      <c r="C80" s="211">
        <v>2143000.0</v>
      </c>
      <c r="D80" s="211">
        <v>1910000.0</v>
      </c>
      <c r="E80" s="211">
        <v>1910000.0</v>
      </c>
      <c r="F80" s="211"/>
      <c r="G80" s="211"/>
      <c r="H80" s="211"/>
      <c r="I80" s="211"/>
      <c r="J80" s="211"/>
      <c r="K80" s="211"/>
      <c r="L80" s="211"/>
      <c r="M80" s="212"/>
      <c r="N80" s="212"/>
      <c r="O80" s="212"/>
      <c r="P80" s="212"/>
      <c r="Q80" s="212"/>
      <c r="R80" s="211"/>
      <c r="S80" s="212"/>
      <c r="T80" s="212"/>
      <c r="U80" s="212"/>
      <c r="V80" s="212"/>
      <c r="W80" s="211">
        <v>2.35218042E8</v>
      </c>
      <c r="X80" s="200">
        <v>1910000.0</v>
      </c>
      <c r="Y80" s="200">
        <v>2.39271042E8</v>
      </c>
      <c r="Z80" s="200"/>
      <c r="AA80" s="200"/>
      <c r="AB80" s="200"/>
      <c r="AC80" s="200"/>
      <c r="AD80" s="213" t="s">
        <v>683</v>
      </c>
      <c r="AE80" s="213" t="s">
        <v>683</v>
      </c>
      <c r="AF80" s="214" t="str">
        <f>Table1[[#This Row],[2019 Scope 1 (MeT Co2)]]</f>
        <v>#ERROR!</v>
      </c>
      <c r="AG80" s="215" t="str">
        <f t="shared" si="1"/>
        <v>#ERROR!</v>
      </c>
      <c r="AH80" s="216" t="str">
        <f t="shared" si="2"/>
        <v>#ERROR!</v>
      </c>
      <c r="AI80" s="210"/>
      <c r="AJ80" s="210"/>
      <c r="AK80" s="213" t="s">
        <v>683</v>
      </c>
      <c r="AL80" s="213" t="s">
        <v>683</v>
      </c>
      <c r="AM80" s="214" t="str">
        <f>Table1[[#This Row],[2019 Scope 2 ]]</f>
        <v>#ERROR!</v>
      </c>
      <c r="AN80" s="215" t="str">
        <f t="shared" si="3"/>
        <v>#ERROR!</v>
      </c>
      <c r="AO80" s="216" t="str">
        <f t="shared" si="4"/>
        <v>#ERROR!</v>
      </c>
      <c r="AP80" s="215" t="str">
        <f t="shared" si="5"/>
        <v>#ERROR!</v>
      </c>
      <c r="AQ80" s="216" t="str">
        <f t="shared" si="6"/>
        <v>#ERROR!</v>
      </c>
      <c r="AR80" s="217" t="str">
        <f>Table1[[#This Row],[2019 Scope 3 ]]</f>
        <v>#ERROR!</v>
      </c>
      <c r="AS80" s="218" t="str">
        <f t="shared" si="7"/>
        <v>#ERROR!</v>
      </c>
      <c r="AT80" s="219" t="str">
        <f t="shared" si="8"/>
        <v>#ERROR!</v>
      </c>
      <c r="BI80" s="200">
        <v>15132.0</v>
      </c>
    </row>
    <row r="81" ht="12.75" customHeight="1">
      <c r="A81" s="5">
        <f>companies!A81</f>
        <v>80</v>
      </c>
      <c r="B81" s="200" t="s">
        <v>1254</v>
      </c>
      <c r="C81" s="211">
        <v>73832.0</v>
      </c>
      <c r="D81" s="211">
        <v>120771.0</v>
      </c>
      <c r="E81" s="211">
        <v>120771.0</v>
      </c>
      <c r="F81" s="211"/>
      <c r="G81" s="211"/>
      <c r="H81" s="211"/>
      <c r="I81" s="211"/>
      <c r="J81" s="211"/>
      <c r="K81" s="211"/>
      <c r="L81" s="211"/>
      <c r="M81" s="212"/>
      <c r="N81" s="212"/>
      <c r="O81" s="212"/>
      <c r="P81" s="212"/>
      <c r="Q81" s="212"/>
      <c r="R81" s="211"/>
      <c r="S81" s="212"/>
      <c r="T81" s="212"/>
      <c r="U81" s="212"/>
      <c r="V81" s="212"/>
      <c r="W81" s="211">
        <v>112252.0</v>
      </c>
      <c r="X81" s="200">
        <v>120771.0</v>
      </c>
      <c r="Y81" s="200">
        <v>306855.0</v>
      </c>
      <c r="Z81" s="200"/>
      <c r="AA81" s="200"/>
      <c r="AB81" s="200"/>
      <c r="AC81" s="200"/>
      <c r="AD81" s="213" t="s">
        <v>683</v>
      </c>
      <c r="AE81" s="213" t="s">
        <v>683</v>
      </c>
      <c r="AF81" s="214" t="str">
        <f>Table1[[#This Row],[2019 Scope 1 (MeT Co2)]]</f>
        <v>#ERROR!</v>
      </c>
      <c r="AG81" s="215" t="str">
        <f t="shared" si="1"/>
        <v>#ERROR!</v>
      </c>
      <c r="AH81" s="216" t="str">
        <f t="shared" si="2"/>
        <v>#ERROR!</v>
      </c>
      <c r="AI81" s="210"/>
      <c r="AJ81" s="210"/>
      <c r="AK81" s="213" t="s">
        <v>683</v>
      </c>
      <c r="AL81" s="213" t="s">
        <v>683</v>
      </c>
      <c r="AM81" s="214" t="str">
        <f>Table1[[#This Row],[2019 Scope 2 ]]</f>
        <v>#ERROR!</v>
      </c>
      <c r="AN81" s="215" t="str">
        <f t="shared" si="3"/>
        <v>#ERROR!</v>
      </c>
      <c r="AO81" s="216" t="str">
        <f t="shared" si="4"/>
        <v>#ERROR!</v>
      </c>
      <c r="AP81" s="215" t="str">
        <f t="shared" si="5"/>
        <v>#ERROR!</v>
      </c>
      <c r="AQ81" s="216" t="str">
        <f t="shared" si="6"/>
        <v>#ERROR!</v>
      </c>
      <c r="AR81" s="217" t="str">
        <f>Table1[[#This Row],[2019 Scope 3 ]]</f>
        <v>#ERROR!</v>
      </c>
      <c r="AS81" s="218" t="str">
        <f t="shared" si="7"/>
        <v>#ERROR!</v>
      </c>
      <c r="AT81" s="219" t="str">
        <f t="shared" si="8"/>
        <v>#ERROR!</v>
      </c>
      <c r="BI81" s="200">
        <v>15419.0</v>
      </c>
    </row>
    <row r="82" ht="12.75" customHeight="1">
      <c r="A82" s="5">
        <f>companies!A82</f>
        <v>81</v>
      </c>
      <c r="B82" s="200" t="s">
        <v>1254</v>
      </c>
      <c r="C82" s="211" t="s">
        <v>536</v>
      </c>
      <c r="D82" s="211" t="s">
        <v>536</v>
      </c>
      <c r="E82" s="211" t="s">
        <v>536</v>
      </c>
      <c r="F82" s="211"/>
      <c r="G82" s="211"/>
      <c r="H82" s="211"/>
      <c r="I82" s="211"/>
      <c r="J82" s="211"/>
      <c r="K82" s="211"/>
      <c r="L82" s="211"/>
      <c r="M82" s="212"/>
      <c r="N82" s="212"/>
      <c r="O82" s="212"/>
      <c r="P82" s="212"/>
      <c r="Q82" s="212"/>
      <c r="R82" s="211"/>
      <c r="S82" s="212"/>
      <c r="T82" s="212"/>
      <c r="U82" s="212"/>
      <c r="V82" s="212"/>
      <c r="W82" s="211" t="s">
        <v>536</v>
      </c>
      <c r="X82" s="200">
        <v>0.0</v>
      </c>
      <c r="Y82" s="200"/>
      <c r="Z82" s="213"/>
      <c r="AA82" s="213"/>
      <c r="AB82" s="213"/>
      <c r="AC82" s="213"/>
      <c r="AD82" s="213" t="e">
        <v>#N/A</v>
      </c>
      <c r="AE82" s="213" t="e">
        <v>#N/A</v>
      </c>
      <c r="AF82" s="214" t="str">
        <f>Table1[[#This Row],[2019 Scope 1 (MeT Co2)]]</f>
        <v>#ERROR!</v>
      </c>
      <c r="AG82" s="215" t="str">
        <f t="shared" si="1"/>
        <v>#ERROR!</v>
      </c>
      <c r="AH82" s="216" t="str">
        <f t="shared" si="2"/>
        <v>#ERROR!</v>
      </c>
      <c r="AI82" s="210"/>
      <c r="AJ82" s="210"/>
      <c r="AK82" s="213" t="e">
        <v>#N/A</v>
      </c>
      <c r="AL82" s="213" t="e">
        <v>#N/A</v>
      </c>
      <c r="AM82" s="214" t="str">
        <f>Table1[[#This Row],[2019 Scope 2 ]]</f>
        <v>#ERROR!</v>
      </c>
      <c r="AN82" s="215" t="str">
        <f t="shared" si="3"/>
        <v>#ERROR!</v>
      </c>
      <c r="AO82" s="216" t="str">
        <f t="shared" si="4"/>
        <v>#ERROR!</v>
      </c>
      <c r="AP82" s="215" t="str">
        <f t="shared" si="5"/>
        <v>#ERROR!</v>
      </c>
      <c r="AQ82" s="216" t="str">
        <f t="shared" si="6"/>
        <v>#ERROR!</v>
      </c>
      <c r="AR82" s="217" t="str">
        <f>Table1[[#This Row],[2019 Scope 3 ]]</f>
        <v>#ERROR!</v>
      </c>
      <c r="AS82" s="218" t="str">
        <f t="shared" si="7"/>
        <v>#ERROR!</v>
      </c>
      <c r="AT82" s="219" t="str">
        <f t="shared" si="8"/>
        <v>#ERROR!</v>
      </c>
    </row>
    <row r="83" ht="12.75" customHeight="1">
      <c r="A83" s="5">
        <f>companies!A83</f>
        <v>82</v>
      </c>
      <c r="B83" s="200" t="s">
        <v>1254</v>
      </c>
      <c r="C83" s="211">
        <v>4000.0</v>
      </c>
      <c r="D83" s="211">
        <v>236000.0</v>
      </c>
      <c r="E83" s="211">
        <v>236000.0</v>
      </c>
      <c r="F83" s="211"/>
      <c r="G83" s="211"/>
      <c r="H83" s="211"/>
      <c r="I83" s="211"/>
      <c r="J83" s="211"/>
      <c r="K83" s="211"/>
      <c r="L83" s="211"/>
      <c r="M83" s="212"/>
      <c r="N83" s="212"/>
      <c r="O83" s="212"/>
      <c r="P83" s="212"/>
      <c r="Q83" s="212"/>
      <c r="R83" s="211"/>
      <c r="S83" s="212"/>
      <c r="T83" s="212"/>
      <c r="U83" s="212"/>
      <c r="V83" s="212"/>
      <c r="W83" s="211">
        <v>134000.0</v>
      </c>
      <c r="X83" s="200">
        <v>236000.0</v>
      </c>
      <c r="Y83" s="200">
        <v>374000.0</v>
      </c>
      <c r="Z83" s="200"/>
      <c r="AA83" s="200"/>
      <c r="AB83" s="200"/>
      <c r="AC83" s="200"/>
      <c r="AD83" s="213" t="s">
        <v>683</v>
      </c>
      <c r="AE83" s="213" t="s">
        <v>683</v>
      </c>
      <c r="AF83" s="214" t="str">
        <f>Table1[[#This Row],[2019 Scope 1 (MeT Co2)]]</f>
        <v>#ERROR!</v>
      </c>
      <c r="AG83" s="215" t="str">
        <f t="shared" si="1"/>
        <v>#ERROR!</v>
      </c>
      <c r="AH83" s="220" t="str">
        <f t="shared" si="2"/>
        <v>#ERROR!</v>
      </c>
      <c r="AI83" s="210"/>
      <c r="AJ83" s="210"/>
      <c r="AK83" s="213" t="s">
        <v>683</v>
      </c>
      <c r="AL83" s="213" t="s">
        <v>683</v>
      </c>
      <c r="AM83" s="214" t="str">
        <f>Table1[[#This Row],[2019 Scope 2 ]]</f>
        <v>#ERROR!</v>
      </c>
      <c r="AN83" s="215" t="str">
        <f t="shared" si="3"/>
        <v>#ERROR!</v>
      </c>
      <c r="AO83" s="220" t="str">
        <f t="shared" si="4"/>
        <v>#ERROR!</v>
      </c>
      <c r="AP83" s="215" t="str">
        <f t="shared" si="5"/>
        <v>#ERROR!</v>
      </c>
      <c r="AQ83" s="220" t="str">
        <f t="shared" si="6"/>
        <v>#ERROR!</v>
      </c>
      <c r="AR83" s="217" t="str">
        <f>Table1[[#This Row],[2019 Scope 3 ]]</f>
        <v>#ERROR!</v>
      </c>
      <c r="AS83" s="218" t="str">
        <f t="shared" si="7"/>
        <v>#ERROR!</v>
      </c>
      <c r="AT83" s="219" t="str">
        <f t="shared" si="8"/>
        <v>#ERROR!</v>
      </c>
      <c r="BI83" s="200">
        <v>16158.0</v>
      </c>
    </row>
    <row r="84" ht="12.75" customHeight="1">
      <c r="A84" s="5">
        <f>companies!A84</f>
        <v>83</v>
      </c>
      <c r="B84" s="200" t="s">
        <v>1254</v>
      </c>
      <c r="C84" s="211">
        <v>1423000.0</v>
      </c>
      <c r="D84" s="211">
        <v>642000.0</v>
      </c>
      <c r="E84" s="211">
        <v>642000.0</v>
      </c>
      <c r="F84" s="211"/>
      <c r="G84" s="211"/>
      <c r="H84" s="211"/>
      <c r="I84" s="211"/>
      <c r="J84" s="211"/>
      <c r="K84" s="211"/>
      <c r="L84" s="211"/>
      <c r="M84" s="212"/>
      <c r="N84" s="212"/>
      <c r="O84" s="212"/>
      <c r="P84" s="212"/>
      <c r="Q84" s="212"/>
      <c r="R84" s="211"/>
      <c r="S84" s="212"/>
      <c r="T84" s="212"/>
      <c r="U84" s="212"/>
      <c r="V84" s="212"/>
      <c r="W84" s="211">
        <v>1185000.0</v>
      </c>
      <c r="X84" s="200">
        <v>642000.0</v>
      </c>
      <c r="Y84" s="200">
        <v>3250000.0</v>
      </c>
      <c r="Z84" s="213"/>
      <c r="AA84" s="213"/>
      <c r="AB84" s="213"/>
      <c r="AC84" s="213"/>
      <c r="AD84" s="213" t="e">
        <v>#N/A</v>
      </c>
      <c r="AE84" s="213" t="e">
        <v>#N/A</v>
      </c>
      <c r="AF84" s="214" t="str">
        <f>Table1[[#This Row],[2019 Scope 1 (MeT Co2)]]</f>
        <v>#ERROR!</v>
      </c>
      <c r="AG84" s="215" t="str">
        <f t="shared" si="1"/>
        <v>#ERROR!</v>
      </c>
      <c r="AH84" s="216" t="str">
        <f t="shared" si="2"/>
        <v>#ERROR!</v>
      </c>
      <c r="AI84" s="210"/>
      <c r="AJ84" s="210"/>
      <c r="AK84" s="213" t="e">
        <v>#N/A</v>
      </c>
      <c r="AL84" s="213" t="e">
        <v>#N/A</v>
      </c>
      <c r="AM84" s="214" t="str">
        <f>Table1[[#This Row],[2019 Scope 2 ]]</f>
        <v>#ERROR!</v>
      </c>
      <c r="AN84" s="215" t="str">
        <f t="shared" si="3"/>
        <v>#ERROR!</v>
      </c>
      <c r="AO84" s="216" t="str">
        <f t="shared" si="4"/>
        <v>#ERROR!</v>
      </c>
      <c r="AP84" s="215" t="str">
        <f t="shared" si="5"/>
        <v>#ERROR!</v>
      </c>
      <c r="AQ84" s="216" t="str">
        <f t="shared" si="6"/>
        <v>#ERROR!</v>
      </c>
      <c r="AR84" s="217" t="str">
        <f>Table1[[#This Row],[2019 Scope 3 ]]</f>
        <v>#ERROR!</v>
      </c>
      <c r="AS84" s="218" t="str">
        <f t="shared" si="7"/>
        <v>#ERROR!</v>
      </c>
      <c r="AT84" s="219" t="str">
        <f t="shared" si="8"/>
        <v>#ERROR!</v>
      </c>
    </row>
    <row r="85" ht="12.75" customHeight="1">
      <c r="A85" s="5">
        <f>companies!A85</f>
        <v>84</v>
      </c>
      <c r="B85" s="200" t="s">
        <v>1254</v>
      </c>
      <c r="C85" s="211">
        <v>21923.0</v>
      </c>
      <c r="D85" s="211">
        <v>287974.0</v>
      </c>
      <c r="E85" s="211">
        <v>287974.0</v>
      </c>
      <c r="F85" s="211"/>
      <c r="G85" s="211"/>
      <c r="H85" s="211"/>
      <c r="I85" s="211"/>
      <c r="J85" s="211"/>
      <c r="K85" s="211"/>
      <c r="L85" s="211"/>
      <c r="M85" s="212"/>
      <c r="N85" s="212"/>
      <c r="O85" s="212"/>
      <c r="P85" s="212"/>
      <c r="Q85" s="212"/>
      <c r="R85" s="211"/>
      <c r="S85" s="212"/>
      <c r="T85" s="212"/>
      <c r="U85" s="212"/>
      <c r="V85" s="212"/>
      <c r="W85" s="211">
        <v>591378.0</v>
      </c>
      <c r="X85" s="200">
        <v>287974.0</v>
      </c>
      <c r="Y85" s="200">
        <v>901275.0</v>
      </c>
      <c r="Z85" s="213"/>
      <c r="AA85" s="213"/>
      <c r="AB85" s="213"/>
      <c r="AC85" s="213"/>
      <c r="AD85" s="213" t="s">
        <v>1255</v>
      </c>
      <c r="AE85" s="213" t="s">
        <v>1256</v>
      </c>
      <c r="AF85" s="214" t="str">
        <f>Table1[[#This Row],[2019 Scope 1 (MeT Co2)]]</f>
        <v>#ERROR!</v>
      </c>
      <c r="AG85" s="215" t="str">
        <f t="shared" si="1"/>
        <v>#ERROR!</v>
      </c>
      <c r="AH85" s="216" t="str">
        <f t="shared" si="2"/>
        <v>#ERROR!</v>
      </c>
      <c r="AI85" s="210"/>
      <c r="AJ85" s="210"/>
      <c r="AK85" s="213" t="s">
        <v>1255</v>
      </c>
      <c r="AL85" s="213" t="s">
        <v>1256</v>
      </c>
      <c r="AM85" s="214" t="str">
        <f>Table1[[#This Row],[2019 Scope 2 ]]</f>
        <v>#ERROR!</v>
      </c>
      <c r="AN85" s="215" t="str">
        <f t="shared" si="3"/>
        <v>#ERROR!</v>
      </c>
      <c r="AO85" s="216" t="str">
        <f t="shared" si="4"/>
        <v>#ERROR!</v>
      </c>
      <c r="AP85" s="215" t="str">
        <f t="shared" si="5"/>
        <v>#ERROR!</v>
      </c>
      <c r="AQ85" s="216" t="str">
        <f t="shared" si="6"/>
        <v>#ERROR!</v>
      </c>
      <c r="AR85" s="217" t="str">
        <f>Table1[[#This Row],[2019 Scope 3 ]]</f>
        <v>#ERROR!</v>
      </c>
      <c r="AS85" s="218" t="str">
        <f t="shared" si="7"/>
        <v>#ERROR!</v>
      </c>
      <c r="AT85" s="219" t="str">
        <f t="shared" si="8"/>
        <v>#ERROR!</v>
      </c>
      <c r="BI85" s="4">
        <v>17069.0</v>
      </c>
    </row>
    <row r="86" ht="12.75" customHeight="1">
      <c r="A86" s="5">
        <f>companies!A86</f>
        <v>85</v>
      </c>
      <c r="B86" s="200" t="s">
        <v>1254</v>
      </c>
      <c r="C86" s="211">
        <v>1.02232275E8</v>
      </c>
      <c r="D86" s="211">
        <v>2142130.48</v>
      </c>
      <c r="E86" s="211">
        <v>2142130.48</v>
      </c>
      <c r="F86" s="211"/>
      <c r="G86" s="211"/>
      <c r="H86" s="211"/>
      <c r="I86" s="211"/>
      <c r="J86" s="211"/>
      <c r="K86" s="211"/>
      <c r="L86" s="211"/>
      <c r="M86" s="212"/>
      <c r="N86" s="212"/>
      <c r="O86" s="212"/>
      <c r="P86" s="212"/>
      <c r="Q86" s="212"/>
      <c r="R86" s="211"/>
      <c r="S86" s="212"/>
      <c r="T86" s="212"/>
      <c r="U86" s="212"/>
      <c r="V86" s="212"/>
      <c r="W86" s="211">
        <v>3.7299499E7</v>
      </c>
      <c r="X86" s="200">
        <v>2142130.48</v>
      </c>
      <c r="Y86" s="200">
        <v>1.4167390448000002E8</v>
      </c>
      <c r="Z86" s="200"/>
      <c r="AA86" s="200"/>
      <c r="AB86" s="200"/>
      <c r="AC86" s="200"/>
      <c r="AD86" s="213" t="s">
        <v>683</v>
      </c>
      <c r="AE86" s="213" t="s">
        <v>683</v>
      </c>
      <c r="AF86" s="214" t="str">
        <f>Table1[[#This Row],[2019 Scope 1 (MeT Co2)]]</f>
        <v>#ERROR!</v>
      </c>
      <c r="AG86" s="215" t="str">
        <f t="shared" si="1"/>
        <v>#ERROR!</v>
      </c>
      <c r="AH86" s="216" t="str">
        <f t="shared" si="2"/>
        <v>#ERROR!</v>
      </c>
      <c r="AI86" s="210"/>
      <c r="AJ86" s="210"/>
      <c r="AK86" s="213" t="s">
        <v>683</v>
      </c>
      <c r="AL86" s="213" t="s">
        <v>683</v>
      </c>
      <c r="AM86" s="214" t="str">
        <f>Table1[[#This Row],[2019 Scope 2 ]]</f>
        <v>#ERROR!</v>
      </c>
      <c r="AN86" s="215" t="str">
        <f t="shared" si="3"/>
        <v>#ERROR!</v>
      </c>
      <c r="AO86" s="216" t="str">
        <f t="shared" si="4"/>
        <v>#ERROR!</v>
      </c>
      <c r="AP86" s="215" t="str">
        <f t="shared" si="5"/>
        <v>#ERROR!</v>
      </c>
      <c r="AQ86" s="216" t="str">
        <f t="shared" si="6"/>
        <v>#ERROR!</v>
      </c>
      <c r="AR86" s="217" t="str">
        <f>Table1[[#This Row],[2019 Scope 3 ]]</f>
        <v>#ERROR!</v>
      </c>
      <c r="AS86" s="218" t="str">
        <f t="shared" si="7"/>
        <v>#ERROR!</v>
      </c>
      <c r="AT86" s="219" t="str">
        <f t="shared" si="8"/>
        <v>#ERROR!</v>
      </c>
      <c r="BI86" s="4">
        <v>18951.0</v>
      </c>
    </row>
    <row r="87" ht="12.75" customHeight="1">
      <c r="A87" s="5">
        <f>companies!A87</f>
        <v>86</v>
      </c>
      <c r="B87" s="200" t="s">
        <v>1254</v>
      </c>
      <c r="C87" s="211">
        <v>319600.0</v>
      </c>
      <c r="D87" s="211">
        <v>285600.0</v>
      </c>
      <c r="E87" s="211">
        <v>285600.0</v>
      </c>
      <c r="F87" s="211"/>
      <c r="G87" s="211"/>
      <c r="H87" s="211"/>
      <c r="I87" s="211"/>
      <c r="J87" s="211"/>
      <c r="K87" s="211"/>
      <c r="L87" s="211"/>
      <c r="M87" s="212"/>
      <c r="N87" s="212"/>
      <c r="O87" s="212"/>
      <c r="P87" s="212"/>
      <c r="Q87" s="212"/>
      <c r="R87" s="211"/>
      <c r="S87" s="212"/>
      <c r="T87" s="212"/>
      <c r="U87" s="212"/>
      <c r="V87" s="212"/>
      <c r="W87" s="211">
        <v>1.499E7</v>
      </c>
      <c r="X87" s="200">
        <v>285600.0</v>
      </c>
      <c r="Y87" s="200">
        <v>1.55952E7</v>
      </c>
      <c r="Z87" s="213"/>
      <c r="AA87" s="213"/>
      <c r="AB87" s="213"/>
      <c r="AC87" s="213"/>
      <c r="AD87" s="213" t="s">
        <v>683</v>
      </c>
      <c r="AE87" s="213" t="s">
        <v>683</v>
      </c>
      <c r="AF87" s="214" t="str">
        <f>Table1[[#This Row],[2019 Scope 1 (MeT Co2)]]</f>
        <v>#ERROR!</v>
      </c>
      <c r="AG87" s="215" t="str">
        <f t="shared" si="1"/>
        <v>#ERROR!</v>
      </c>
      <c r="AH87" s="216" t="str">
        <f t="shared" si="2"/>
        <v>#ERROR!</v>
      </c>
      <c r="AI87" s="210"/>
      <c r="AJ87" s="210"/>
      <c r="AK87" s="213" t="s">
        <v>683</v>
      </c>
      <c r="AL87" s="213" t="s">
        <v>683</v>
      </c>
      <c r="AM87" s="214" t="str">
        <f>Table1[[#This Row],[2019 Scope 2 ]]</f>
        <v>#ERROR!</v>
      </c>
      <c r="AN87" s="215" t="str">
        <f t="shared" si="3"/>
        <v>#ERROR!</v>
      </c>
      <c r="AO87" s="216" t="str">
        <f t="shared" si="4"/>
        <v>#ERROR!</v>
      </c>
      <c r="AP87" s="215" t="str">
        <f t="shared" si="5"/>
        <v>#ERROR!</v>
      </c>
      <c r="AQ87" s="216" t="str">
        <f t="shared" si="6"/>
        <v>#ERROR!</v>
      </c>
      <c r="AR87" s="217" t="str">
        <f>Table1[[#This Row],[2019 Scope 3 ]]</f>
        <v>#ERROR!</v>
      </c>
      <c r="AS87" s="218" t="str">
        <f t="shared" si="7"/>
        <v>#ERROR!</v>
      </c>
      <c r="AT87" s="219" t="str">
        <f t="shared" si="8"/>
        <v>#ERROR!</v>
      </c>
      <c r="BI87" s="4">
        <v>17652.0</v>
      </c>
    </row>
    <row r="88" ht="12.75" customHeight="1">
      <c r="A88" s="5">
        <f>companies!A88</f>
        <v>87</v>
      </c>
      <c r="B88" s="200" t="s">
        <v>1254</v>
      </c>
      <c r="C88" s="211">
        <v>755484.0</v>
      </c>
      <c r="D88" s="211">
        <v>2108893.0</v>
      </c>
      <c r="E88" s="211">
        <v>2108893.0</v>
      </c>
      <c r="F88" s="211"/>
      <c r="G88" s="211"/>
      <c r="H88" s="211"/>
      <c r="I88" s="211"/>
      <c r="J88" s="211"/>
      <c r="K88" s="211"/>
      <c r="L88" s="211"/>
      <c r="M88" s="212"/>
      <c r="N88" s="212"/>
      <c r="O88" s="212"/>
      <c r="P88" s="212"/>
      <c r="Q88" s="212"/>
      <c r="R88" s="211"/>
      <c r="S88" s="212"/>
      <c r="T88" s="212"/>
      <c r="U88" s="212"/>
      <c r="V88" s="212"/>
      <c r="W88" s="211">
        <v>7.84E7</v>
      </c>
      <c r="X88" s="200">
        <v>2108893.0</v>
      </c>
      <c r="Y88" s="200">
        <v>8.1264377E7</v>
      </c>
      <c r="Z88" s="200"/>
      <c r="AA88" s="200"/>
      <c r="AB88" s="200"/>
      <c r="AC88" s="200"/>
      <c r="AD88" s="213" t="s">
        <v>683</v>
      </c>
      <c r="AE88" s="213" t="s">
        <v>683</v>
      </c>
      <c r="AF88" s="214" t="str">
        <f>Table1[[#This Row],[2019 Scope 1 (MeT Co2)]]</f>
        <v>#ERROR!</v>
      </c>
      <c r="AG88" s="215" t="str">
        <f t="shared" si="1"/>
        <v>#ERROR!</v>
      </c>
      <c r="AH88" s="216" t="str">
        <f t="shared" si="2"/>
        <v>#ERROR!</v>
      </c>
      <c r="AI88" s="210"/>
      <c r="AJ88" s="210"/>
      <c r="AK88" s="213" t="s">
        <v>683</v>
      </c>
      <c r="AL88" s="213" t="s">
        <v>683</v>
      </c>
      <c r="AM88" s="214" t="str">
        <f>Table1[[#This Row],[2019 Scope 2 ]]</f>
        <v>#ERROR!</v>
      </c>
      <c r="AN88" s="215" t="str">
        <f t="shared" si="3"/>
        <v>#ERROR!</v>
      </c>
      <c r="AO88" s="216" t="str">
        <f t="shared" si="4"/>
        <v>#ERROR!</v>
      </c>
      <c r="AP88" s="215" t="str">
        <f t="shared" si="5"/>
        <v>#ERROR!</v>
      </c>
      <c r="AQ88" s="216" t="str">
        <f t="shared" si="6"/>
        <v>#ERROR!</v>
      </c>
      <c r="AR88" s="217" t="str">
        <f>Table1[[#This Row],[2019 Scope 3 ]]</f>
        <v>#ERROR!</v>
      </c>
      <c r="AS88" s="218" t="str">
        <f t="shared" si="7"/>
        <v>#ERROR!</v>
      </c>
      <c r="AT88" s="219" t="str">
        <f t="shared" si="8"/>
        <v>#ERROR!</v>
      </c>
      <c r="BI88" s="4">
        <v>18320.0</v>
      </c>
    </row>
    <row r="89" ht="12.75" customHeight="1">
      <c r="A89" s="5">
        <f>companies!A89</f>
        <v>88</v>
      </c>
      <c r="B89" s="200" t="s">
        <v>1254</v>
      </c>
      <c r="C89" s="211">
        <v>1157549.0</v>
      </c>
      <c r="D89" s="211">
        <v>1110819.0</v>
      </c>
      <c r="E89" s="211">
        <v>1110819.0</v>
      </c>
      <c r="F89" s="211"/>
      <c r="G89" s="211"/>
      <c r="H89" s="211"/>
      <c r="I89" s="211"/>
      <c r="J89" s="211"/>
      <c r="K89" s="211"/>
      <c r="L89" s="211"/>
      <c r="M89" s="212"/>
      <c r="N89" s="212"/>
      <c r="O89" s="212"/>
      <c r="P89" s="212"/>
      <c r="Q89" s="212"/>
      <c r="R89" s="211"/>
      <c r="S89" s="212"/>
      <c r="T89" s="212"/>
      <c r="U89" s="212"/>
      <c r="V89" s="212"/>
      <c r="W89" s="211" t="s">
        <v>536</v>
      </c>
      <c r="X89" s="200">
        <v>1110819.0</v>
      </c>
      <c r="Y89" s="200"/>
      <c r="Z89" s="200"/>
      <c r="AA89" s="200"/>
      <c r="AB89" s="200"/>
      <c r="AC89" s="200"/>
      <c r="AD89" s="213" t="s">
        <v>683</v>
      </c>
      <c r="AE89" s="213" t="s">
        <v>683</v>
      </c>
      <c r="AF89" s="214" t="str">
        <f>Table1[[#This Row],[2019 Scope 1 (MeT Co2)]]</f>
        <v>#ERROR!</v>
      </c>
      <c r="AG89" s="215" t="str">
        <f t="shared" si="1"/>
        <v>#ERROR!</v>
      </c>
      <c r="AH89" s="216" t="str">
        <f t="shared" si="2"/>
        <v>#ERROR!</v>
      </c>
      <c r="AI89" s="210"/>
      <c r="AJ89" s="210"/>
      <c r="AK89" s="213" t="s">
        <v>683</v>
      </c>
      <c r="AL89" s="213" t="s">
        <v>683</v>
      </c>
      <c r="AM89" s="214" t="str">
        <f>Table1[[#This Row],[2019 Scope 2 ]]</f>
        <v>#ERROR!</v>
      </c>
      <c r="AN89" s="215" t="str">
        <f t="shared" si="3"/>
        <v>#ERROR!</v>
      </c>
      <c r="AO89" s="216" t="str">
        <f t="shared" si="4"/>
        <v>#ERROR!</v>
      </c>
      <c r="AP89" s="215" t="str">
        <f t="shared" si="5"/>
        <v>#ERROR!</v>
      </c>
      <c r="AQ89" s="216" t="str">
        <f t="shared" si="6"/>
        <v>#ERROR!</v>
      </c>
      <c r="AR89" s="217" t="str">
        <f>Table1[[#This Row],[2019 Scope 3 ]]</f>
        <v>#ERROR!</v>
      </c>
      <c r="AS89" s="218" t="str">
        <f t="shared" si="7"/>
        <v>#ERROR!</v>
      </c>
      <c r="AT89" s="219" t="str">
        <f t="shared" si="8"/>
        <v>#ERROR!</v>
      </c>
      <c r="BI89" s="4">
        <v>18640.0</v>
      </c>
    </row>
    <row r="90" ht="12.75" customHeight="1">
      <c r="A90" s="5">
        <f>companies!A90</f>
        <v>89</v>
      </c>
      <c r="B90" s="200" t="s">
        <v>1254</v>
      </c>
      <c r="C90" s="211">
        <v>8000.0</v>
      </c>
      <c r="D90" s="211">
        <v>2500.0</v>
      </c>
      <c r="E90" s="211">
        <v>2500.0</v>
      </c>
      <c r="F90" s="211"/>
      <c r="G90" s="211"/>
      <c r="H90" s="211"/>
      <c r="I90" s="211"/>
      <c r="J90" s="211"/>
      <c r="K90" s="211"/>
      <c r="L90" s="211"/>
      <c r="M90" s="212"/>
      <c r="N90" s="212"/>
      <c r="O90" s="212"/>
      <c r="P90" s="212"/>
      <c r="Q90" s="212"/>
      <c r="R90" s="211"/>
      <c r="S90" s="212"/>
      <c r="T90" s="212"/>
      <c r="U90" s="212"/>
      <c r="V90" s="212"/>
      <c r="W90" s="211">
        <v>17200.0</v>
      </c>
      <c r="X90" s="200">
        <v>2500.0</v>
      </c>
      <c r="Y90" s="200">
        <v>27700.0</v>
      </c>
      <c r="Z90" s="200"/>
      <c r="AA90" s="200"/>
      <c r="AB90" s="200"/>
      <c r="AC90" s="200"/>
      <c r="AD90" s="213" t="s">
        <v>683</v>
      </c>
      <c r="AE90" s="213" t="s">
        <v>683</v>
      </c>
      <c r="AF90" s="214" t="str">
        <f>Table1[[#This Row],[2019 Scope 1 (MeT Co2)]]</f>
        <v>#ERROR!</v>
      </c>
      <c r="AG90" s="215" t="str">
        <f t="shared" si="1"/>
        <v>#ERROR!</v>
      </c>
      <c r="AH90" s="216" t="str">
        <f t="shared" si="2"/>
        <v>#ERROR!</v>
      </c>
      <c r="AI90" s="210"/>
      <c r="AJ90" s="210"/>
      <c r="AK90" s="213" t="s">
        <v>683</v>
      </c>
      <c r="AL90" s="213" t="s">
        <v>683</v>
      </c>
      <c r="AM90" s="214" t="str">
        <f>Table1[[#This Row],[2019 Scope 2 ]]</f>
        <v>#ERROR!</v>
      </c>
      <c r="AN90" s="215" t="str">
        <f t="shared" si="3"/>
        <v>#ERROR!</v>
      </c>
      <c r="AO90" s="216" t="str">
        <f t="shared" si="4"/>
        <v>#ERROR!</v>
      </c>
      <c r="AP90" s="215" t="str">
        <f t="shared" si="5"/>
        <v>#ERROR!</v>
      </c>
      <c r="AQ90" s="216" t="str">
        <f t="shared" si="6"/>
        <v>#ERROR!</v>
      </c>
      <c r="AR90" s="217" t="str">
        <f>Table1[[#This Row],[2019 Scope 3 ]]</f>
        <v>#ERROR!</v>
      </c>
      <c r="AS90" s="218" t="str">
        <f t="shared" si="7"/>
        <v>#ERROR!</v>
      </c>
      <c r="AT90" s="219" t="str">
        <f t="shared" si="8"/>
        <v>#ERROR!</v>
      </c>
      <c r="BI90" s="4">
        <v>1464.0</v>
      </c>
    </row>
    <row r="91" ht="12.75" customHeight="1">
      <c r="A91" s="5">
        <f>companies!A91</f>
        <v>90</v>
      </c>
      <c r="B91" s="200" t="s">
        <v>1254</v>
      </c>
      <c r="C91" s="211">
        <v>897523.0</v>
      </c>
      <c r="D91" s="211">
        <v>975778.0</v>
      </c>
      <c r="E91" s="211">
        <v>975778.0</v>
      </c>
      <c r="F91" s="211"/>
      <c r="G91" s="211"/>
      <c r="H91" s="211"/>
      <c r="I91" s="211"/>
      <c r="J91" s="211"/>
      <c r="K91" s="211"/>
      <c r="L91" s="211"/>
      <c r="M91" s="212"/>
      <c r="N91" s="212"/>
      <c r="O91" s="212"/>
      <c r="P91" s="212"/>
      <c r="Q91" s="212"/>
      <c r="R91" s="211"/>
      <c r="S91" s="212"/>
      <c r="T91" s="212"/>
      <c r="U91" s="212"/>
      <c r="V91" s="212"/>
      <c r="W91" s="211" t="s">
        <v>536</v>
      </c>
      <c r="X91" s="200">
        <v>975778.0</v>
      </c>
      <c r="Y91" s="200"/>
      <c r="Z91" s="200"/>
      <c r="AA91" s="200"/>
      <c r="AB91" s="200"/>
      <c r="AC91" s="200"/>
      <c r="AD91" s="213" t="s">
        <v>683</v>
      </c>
      <c r="AE91" s="213" t="s">
        <v>683</v>
      </c>
      <c r="AF91" s="214" t="str">
        <f>Table1[[#This Row],[2019 Scope 1 (MeT Co2)]]</f>
        <v>#ERROR!</v>
      </c>
      <c r="AG91" s="215" t="str">
        <f t="shared" si="1"/>
        <v>#ERROR!</v>
      </c>
      <c r="AH91" s="216" t="str">
        <f t="shared" si="2"/>
        <v>#ERROR!</v>
      </c>
      <c r="AI91" s="210"/>
      <c r="AJ91" s="210"/>
      <c r="AK91" s="213" t="s">
        <v>683</v>
      </c>
      <c r="AL91" s="213" t="s">
        <v>683</v>
      </c>
      <c r="AM91" s="214" t="str">
        <f>Table1[[#This Row],[2019 Scope 2 ]]</f>
        <v>#ERROR!</v>
      </c>
      <c r="AN91" s="215" t="str">
        <f t="shared" si="3"/>
        <v>#ERROR!</v>
      </c>
      <c r="AO91" s="216" t="str">
        <f t="shared" si="4"/>
        <v>#ERROR!</v>
      </c>
      <c r="AP91" s="215" t="str">
        <f t="shared" si="5"/>
        <v>#ERROR!</v>
      </c>
      <c r="AQ91" s="216" t="str">
        <f t="shared" si="6"/>
        <v>#ERROR!</v>
      </c>
      <c r="AR91" s="217" t="str">
        <f>Table1[[#This Row],[2019 Scope 3 ]]</f>
        <v>#ERROR!</v>
      </c>
      <c r="AS91" s="218" t="str">
        <f t="shared" si="7"/>
        <v>#ERROR!</v>
      </c>
      <c r="AT91" s="219" t="str">
        <f t="shared" si="8"/>
        <v>#ERROR!</v>
      </c>
      <c r="BI91" s="4">
        <v>20384.0</v>
      </c>
    </row>
    <row r="92" ht="12.75" customHeight="1">
      <c r="A92" s="5">
        <f>companies!A92</f>
        <v>91</v>
      </c>
      <c r="B92" s="200" t="s">
        <v>1254</v>
      </c>
      <c r="C92" s="211">
        <v>147521.62</v>
      </c>
      <c r="D92" s="211">
        <v>690767.33</v>
      </c>
      <c r="E92" s="211">
        <v>690767.33</v>
      </c>
      <c r="F92" s="211"/>
      <c r="G92" s="211"/>
      <c r="H92" s="211"/>
      <c r="I92" s="211"/>
      <c r="J92" s="211"/>
      <c r="K92" s="211"/>
      <c r="L92" s="211"/>
      <c r="M92" s="212"/>
      <c r="N92" s="212"/>
      <c r="O92" s="212"/>
      <c r="P92" s="212"/>
      <c r="Q92" s="212"/>
      <c r="R92" s="211"/>
      <c r="S92" s="212"/>
      <c r="T92" s="212"/>
      <c r="U92" s="212"/>
      <c r="V92" s="212"/>
      <c r="W92" s="211" t="s">
        <v>536</v>
      </c>
      <c r="X92" s="200">
        <v>690767.33</v>
      </c>
      <c r="Y92" s="200"/>
      <c r="Z92" s="213"/>
      <c r="AA92" s="213"/>
      <c r="AB92" s="213"/>
      <c r="AC92" s="213"/>
      <c r="AD92" s="213" t="e">
        <v>#N/A</v>
      </c>
      <c r="AE92" s="213" t="e">
        <v>#N/A</v>
      </c>
      <c r="AF92" s="214" t="str">
        <f>Table1[[#This Row],[2019 Scope 1 (MeT Co2)]]</f>
        <v>#ERROR!</v>
      </c>
      <c r="AG92" s="215" t="str">
        <f t="shared" si="1"/>
        <v>#ERROR!</v>
      </c>
      <c r="AH92" s="216" t="str">
        <f t="shared" si="2"/>
        <v>#ERROR!</v>
      </c>
      <c r="AI92" s="210"/>
      <c r="AJ92" s="210"/>
      <c r="AK92" s="213" t="e">
        <v>#N/A</v>
      </c>
      <c r="AL92" s="213" t="e">
        <v>#N/A</v>
      </c>
      <c r="AM92" s="214" t="str">
        <f>Table1[[#This Row],[2019 Scope 2 ]]</f>
        <v>#ERROR!</v>
      </c>
      <c r="AN92" s="215" t="str">
        <f t="shared" si="3"/>
        <v>#ERROR!</v>
      </c>
      <c r="AO92" s="216" t="str">
        <f t="shared" si="4"/>
        <v>#ERROR!</v>
      </c>
      <c r="AP92" s="215" t="str">
        <f t="shared" si="5"/>
        <v>#ERROR!</v>
      </c>
      <c r="AQ92" s="216" t="str">
        <f t="shared" si="6"/>
        <v>#ERROR!</v>
      </c>
      <c r="AR92" s="217" t="str">
        <f>Table1[[#This Row],[2019 Scope 3 ]]</f>
        <v>#ERROR!</v>
      </c>
      <c r="AS92" s="218" t="str">
        <f t="shared" si="7"/>
        <v>#ERROR!</v>
      </c>
      <c r="AT92" s="219" t="str">
        <f t="shared" si="8"/>
        <v>#ERROR!</v>
      </c>
    </row>
    <row r="93" ht="12.75" customHeight="1">
      <c r="A93" s="5">
        <f>companies!A93</f>
        <v>92</v>
      </c>
      <c r="B93" s="200" t="s">
        <v>1254</v>
      </c>
      <c r="C93" s="211">
        <v>1.0874731E7</v>
      </c>
      <c r="D93" s="211">
        <v>885635.0</v>
      </c>
      <c r="E93" s="211">
        <v>885635.0</v>
      </c>
      <c r="F93" s="211"/>
      <c r="G93" s="211"/>
      <c r="H93" s="211"/>
      <c r="I93" s="211"/>
      <c r="J93" s="211"/>
      <c r="K93" s="211"/>
      <c r="L93" s="211"/>
      <c r="M93" s="212"/>
      <c r="N93" s="212"/>
      <c r="O93" s="212"/>
      <c r="P93" s="212"/>
      <c r="Q93" s="212"/>
      <c r="R93" s="211"/>
      <c r="S93" s="212"/>
      <c r="T93" s="212"/>
      <c r="U93" s="212"/>
      <c r="V93" s="212"/>
      <c r="W93" s="211">
        <v>17138.0</v>
      </c>
      <c r="X93" s="200">
        <v>885635.0</v>
      </c>
      <c r="Y93" s="200">
        <v>1.1777504E7</v>
      </c>
      <c r="Z93" s="200"/>
      <c r="AA93" s="200"/>
      <c r="AB93" s="200"/>
      <c r="AC93" s="200"/>
      <c r="AD93" s="213" t="s">
        <v>683</v>
      </c>
      <c r="AE93" s="213" t="s">
        <v>683</v>
      </c>
      <c r="AF93" s="214" t="str">
        <f>Table1[[#This Row],[2019 Scope 1 (MeT Co2)]]</f>
        <v>#ERROR!</v>
      </c>
      <c r="AG93" s="215" t="str">
        <f t="shared" si="1"/>
        <v>#ERROR!</v>
      </c>
      <c r="AH93" s="216" t="str">
        <f t="shared" si="2"/>
        <v>#ERROR!</v>
      </c>
      <c r="AI93" s="210"/>
      <c r="AJ93" s="210"/>
      <c r="AK93" s="213" t="s">
        <v>683</v>
      </c>
      <c r="AL93" s="213" t="s">
        <v>683</v>
      </c>
      <c r="AM93" s="214" t="str">
        <f>Table1[[#This Row],[2019 Scope 2 ]]</f>
        <v>#ERROR!</v>
      </c>
      <c r="AN93" s="215" t="str">
        <f t="shared" si="3"/>
        <v>#ERROR!</v>
      </c>
      <c r="AO93" s="220" t="str">
        <f t="shared" si="4"/>
        <v>#ERROR!</v>
      </c>
      <c r="AP93" s="215" t="str">
        <f t="shared" si="5"/>
        <v>#ERROR!</v>
      </c>
      <c r="AQ93" s="220" t="str">
        <f t="shared" si="6"/>
        <v>#ERROR!</v>
      </c>
      <c r="AR93" s="217" t="str">
        <f>Table1[[#This Row],[2019 Scope 3 ]]</f>
        <v>#ERROR!</v>
      </c>
      <c r="AS93" s="218" t="str">
        <f t="shared" si="7"/>
        <v>#ERROR!</v>
      </c>
      <c r="AT93" s="219" t="str">
        <f t="shared" si="8"/>
        <v>#ERROR!</v>
      </c>
      <c r="BI93" s="200">
        <v>19845.0</v>
      </c>
    </row>
    <row r="94" ht="12.75" customHeight="1">
      <c r="A94" s="5">
        <f>companies!A94</f>
        <v>93</v>
      </c>
      <c r="B94" s="200" t="s">
        <v>1254</v>
      </c>
      <c r="C94" s="211">
        <v>13924.0</v>
      </c>
      <c r="D94" s="211">
        <v>158042.0</v>
      </c>
      <c r="E94" s="211">
        <v>158042.0</v>
      </c>
      <c r="F94" s="211"/>
      <c r="G94" s="211"/>
      <c r="H94" s="211"/>
      <c r="I94" s="211"/>
      <c r="J94" s="211"/>
      <c r="K94" s="211"/>
      <c r="L94" s="211"/>
      <c r="M94" s="212"/>
      <c r="N94" s="212"/>
      <c r="O94" s="212"/>
      <c r="P94" s="212"/>
      <c r="Q94" s="212"/>
      <c r="R94" s="211"/>
      <c r="S94" s="212"/>
      <c r="T94" s="212"/>
      <c r="U94" s="212"/>
      <c r="V94" s="212"/>
      <c r="W94" s="211">
        <v>301410.0</v>
      </c>
      <c r="X94" s="200">
        <v>158042.0</v>
      </c>
      <c r="Y94" s="200">
        <v>473376.0</v>
      </c>
      <c r="Z94" s="200"/>
      <c r="AA94" s="200"/>
      <c r="AB94" s="200"/>
      <c r="AC94" s="200"/>
      <c r="AD94" s="213" t="s">
        <v>683</v>
      </c>
      <c r="AE94" s="213" t="s">
        <v>683</v>
      </c>
      <c r="AF94" s="214" t="str">
        <f>Table1[[#This Row],[2019 Scope 1 (MeT Co2)]]</f>
        <v>#ERROR!</v>
      </c>
      <c r="AG94" s="215" t="str">
        <f t="shared" si="1"/>
        <v>#ERROR!</v>
      </c>
      <c r="AH94" s="216" t="str">
        <f t="shared" si="2"/>
        <v>#ERROR!</v>
      </c>
      <c r="AI94" s="210"/>
      <c r="AJ94" s="210"/>
      <c r="AK94" s="213" t="s">
        <v>683</v>
      </c>
      <c r="AL94" s="213" t="s">
        <v>683</v>
      </c>
      <c r="AM94" s="214" t="str">
        <f>Table1[[#This Row],[2019 Scope 2 ]]</f>
        <v>#ERROR!</v>
      </c>
      <c r="AN94" s="215" t="str">
        <f t="shared" si="3"/>
        <v>#ERROR!</v>
      </c>
      <c r="AO94" s="216" t="str">
        <f t="shared" si="4"/>
        <v>#ERROR!</v>
      </c>
      <c r="AP94" s="215" t="str">
        <f t="shared" si="5"/>
        <v>#ERROR!</v>
      </c>
      <c r="AQ94" s="216" t="str">
        <f t="shared" si="6"/>
        <v>#ERROR!</v>
      </c>
      <c r="AR94" s="217" t="str">
        <f>Table1[[#This Row],[2019 Scope 3 ]]</f>
        <v>#ERROR!</v>
      </c>
      <c r="AS94" s="218" t="str">
        <f t="shared" si="7"/>
        <v>#ERROR!</v>
      </c>
      <c r="AT94" s="219" t="str">
        <f t="shared" si="8"/>
        <v>#ERROR!</v>
      </c>
      <c r="BI94" s="4">
        <v>19858.0</v>
      </c>
    </row>
    <row r="95" ht="12.75" customHeight="1">
      <c r="A95" s="5">
        <f>companies!A95</f>
        <v>94</v>
      </c>
      <c r="B95" s="200" t="s">
        <v>1254</v>
      </c>
      <c r="C95" s="211">
        <v>1.3851E7</v>
      </c>
      <c r="D95" s="211">
        <v>784000.0</v>
      </c>
      <c r="E95" s="211">
        <v>784000.0</v>
      </c>
      <c r="F95" s="211"/>
      <c r="G95" s="211"/>
      <c r="H95" s="211"/>
      <c r="I95" s="211"/>
      <c r="J95" s="211"/>
      <c r="K95" s="211"/>
      <c r="L95" s="211"/>
      <c r="M95" s="212"/>
      <c r="N95" s="212"/>
      <c r="O95" s="212"/>
      <c r="P95" s="212"/>
      <c r="Q95" s="212"/>
      <c r="R95" s="211"/>
      <c r="S95" s="212"/>
      <c r="T95" s="212"/>
      <c r="U95" s="212"/>
      <c r="V95" s="212"/>
      <c r="W95" s="211">
        <v>2.1783E7</v>
      </c>
      <c r="X95" s="200">
        <v>784000.0</v>
      </c>
      <c r="Y95" s="200">
        <v>3.6418E7</v>
      </c>
      <c r="Z95" s="200"/>
      <c r="AA95" s="200"/>
      <c r="AB95" s="200"/>
      <c r="AC95" s="200"/>
      <c r="AD95" s="213" t="s">
        <v>683</v>
      </c>
      <c r="AE95" s="213" t="s">
        <v>683</v>
      </c>
      <c r="AF95" s="214" t="str">
        <f>Table1[[#This Row],[2019 Scope 1 (MeT Co2)]]</f>
        <v>#ERROR!</v>
      </c>
      <c r="AG95" s="215" t="str">
        <f t="shared" si="1"/>
        <v>#ERROR!</v>
      </c>
      <c r="AH95" s="216" t="str">
        <f t="shared" si="2"/>
        <v>#ERROR!</v>
      </c>
      <c r="AI95" s="210"/>
      <c r="AJ95" s="210"/>
      <c r="AK95" s="213" t="s">
        <v>683</v>
      </c>
      <c r="AL95" s="213" t="s">
        <v>683</v>
      </c>
      <c r="AM95" s="214" t="str">
        <f>Table1[[#This Row],[2019 Scope 2 ]]</f>
        <v>#ERROR!</v>
      </c>
      <c r="AN95" s="215" t="str">
        <f t="shared" si="3"/>
        <v>#ERROR!</v>
      </c>
      <c r="AO95" s="216" t="str">
        <f t="shared" si="4"/>
        <v>#ERROR!</v>
      </c>
      <c r="AP95" s="215" t="str">
        <f t="shared" si="5"/>
        <v>#ERROR!</v>
      </c>
      <c r="AQ95" s="216" t="str">
        <f t="shared" si="6"/>
        <v>#ERROR!</v>
      </c>
      <c r="AR95" s="217" t="str">
        <f>Table1[[#This Row],[2019 Scope 3 ]]</f>
        <v>#ERROR!</v>
      </c>
      <c r="AS95" s="218" t="str">
        <f t="shared" si="7"/>
        <v>#ERROR!</v>
      </c>
      <c r="AT95" s="219" t="str">
        <f t="shared" si="8"/>
        <v>#ERROR!</v>
      </c>
      <c r="BI95" s="4">
        <v>19898.0</v>
      </c>
    </row>
    <row r="96" ht="12.75" customHeight="1">
      <c r="A96" s="5">
        <f>companies!A96</f>
        <v>95</v>
      </c>
      <c r="B96" s="200" t="s">
        <v>1254</v>
      </c>
      <c r="C96" s="211">
        <v>63333.0</v>
      </c>
      <c r="D96" s="211">
        <v>233322.0</v>
      </c>
      <c r="E96" s="211">
        <v>233322.0</v>
      </c>
      <c r="F96" s="211"/>
      <c r="G96" s="211"/>
      <c r="H96" s="211"/>
      <c r="I96" s="211"/>
      <c r="J96" s="211"/>
      <c r="K96" s="211"/>
      <c r="L96" s="211"/>
      <c r="M96" s="212"/>
      <c r="N96" s="212"/>
      <c r="O96" s="212"/>
      <c r="P96" s="212"/>
      <c r="Q96" s="212"/>
      <c r="R96" s="211"/>
      <c r="S96" s="212"/>
      <c r="T96" s="212"/>
      <c r="U96" s="212"/>
      <c r="V96" s="212"/>
      <c r="W96" s="211">
        <v>382519.0</v>
      </c>
      <c r="X96" s="200">
        <v>233322.0</v>
      </c>
      <c r="Y96" s="200">
        <v>679174.0</v>
      </c>
      <c r="Z96" s="200"/>
      <c r="AA96" s="200"/>
      <c r="AB96" s="200"/>
      <c r="AC96" s="200"/>
      <c r="AD96" s="213" t="s">
        <v>1255</v>
      </c>
      <c r="AE96" s="213" t="s">
        <v>1256</v>
      </c>
      <c r="AF96" s="214" t="str">
        <f>Table1[[#This Row],[2019 Scope 1 (MeT Co2)]]</f>
        <v>#ERROR!</v>
      </c>
      <c r="AG96" s="215" t="str">
        <f t="shared" si="1"/>
        <v>#ERROR!</v>
      </c>
      <c r="AH96" s="216" t="str">
        <f t="shared" si="2"/>
        <v>#ERROR!</v>
      </c>
      <c r="AI96" s="210"/>
      <c r="AJ96" s="210"/>
      <c r="AK96" s="213" t="s">
        <v>1255</v>
      </c>
      <c r="AL96" s="213" t="s">
        <v>1256</v>
      </c>
      <c r="AM96" s="214" t="str">
        <f>Table1[[#This Row],[2019 Scope 2 ]]</f>
        <v>#ERROR!</v>
      </c>
      <c r="AN96" s="215" t="str">
        <f t="shared" si="3"/>
        <v>#ERROR!</v>
      </c>
      <c r="AO96" s="216" t="str">
        <f t="shared" si="4"/>
        <v>#ERROR!</v>
      </c>
      <c r="AP96" s="215" t="str">
        <f t="shared" si="5"/>
        <v>#ERROR!</v>
      </c>
      <c r="AQ96" s="216" t="str">
        <f t="shared" si="6"/>
        <v>#ERROR!</v>
      </c>
      <c r="AR96" s="217" t="str">
        <f>Table1[[#This Row],[2019 Scope 3 ]]</f>
        <v>#ERROR!</v>
      </c>
      <c r="AS96" s="218" t="str">
        <f t="shared" si="7"/>
        <v>#ERROR!</v>
      </c>
      <c r="AT96" s="219" t="str">
        <f t="shared" si="8"/>
        <v>#ERROR!</v>
      </c>
      <c r="BI96" s="4">
        <v>19593.0</v>
      </c>
    </row>
    <row r="97" ht="12.75" customHeight="1">
      <c r="A97" s="5">
        <f>companies!A97</f>
        <v>96</v>
      </c>
      <c r="B97" s="200" t="s">
        <v>1254</v>
      </c>
      <c r="C97" s="211">
        <v>385241.0</v>
      </c>
      <c r="D97" s="211">
        <v>4033579.0</v>
      </c>
      <c r="E97" s="211">
        <v>4033579.0</v>
      </c>
      <c r="F97" s="211"/>
      <c r="G97" s="211"/>
      <c r="H97" s="211"/>
      <c r="I97" s="211"/>
      <c r="J97" s="211"/>
      <c r="K97" s="211"/>
      <c r="L97" s="211"/>
      <c r="M97" s="212"/>
      <c r="N97" s="212"/>
      <c r="O97" s="212"/>
      <c r="P97" s="212"/>
      <c r="Q97" s="212"/>
      <c r="R97" s="211"/>
      <c r="S97" s="212"/>
      <c r="T97" s="212"/>
      <c r="U97" s="212"/>
      <c r="V97" s="212"/>
      <c r="W97" s="211" t="s">
        <v>536</v>
      </c>
      <c r="X97" s="200">
        <v>4033579.0</v>
      </c>
      <c r="Y97" s="200"/>
      <c r="Z97" s="200"/>
      <c r="AA97" s="200"/>
      <c r="AB97" s="200"/>
      <c r="AC97" s="200"/>
      <c r="AD97" s="213" t="s">
        <v>683</v>
      </c>
      <c r="AE97" s="213" t="s">
        <v>683</v>
      </c>
      <c r="AF97" s="214" t="str">
        <f>Table1[[#This Row],[2019 Scope 1 (MeT Co2)]]</f>
        <v>#ERROR!</v>
      </c>
      <c r="AG97" s="215" t="str">
        <f t="shared" si="1"/>
        <v>#ERROR!</v>
      </c>
      <c r="AH97" s="216" t="str">
        <f t="shared" si="2"/>
        <v>#ERROR!</v>
      </c>
      <c r="AI97" s="210"/>
      <c r="AJ97" s="210"/>
      <c r="AK97" s="213" t="s">
        <v>683</v>
      </c>
      <c r="AL97" s="213" t="s">
        <v>683</v>
      </c>
      <c r="AM97" s="214" t="str">
        <f>Table1[[#This Row],[2019 Scope 2 ]]</f>
        <v>#ERROR!</v>
      </c>
      <c r="AN97" s="215" t="str">
        <f t="shared" si="3"/>
        <v>#ERROR!</v>
      </c>
      <c r="AO97" s="216" t="str">
        <f t="shared" si="4"/>
        <v>#ERROR!</v>
      </c>
      <c r="AP97" s="215" t="str">
        <f t="shared" si="5"/>
        <v>#ERROR!</v>
      </c>
      <c r="AQ97" s="216" t="str">
        <f t="shared" si="6"/>
        <v>#ERROR!</v>
      </c>
      <c r="AR97" s="217" t="str">
        <f>Table1[[#This Row],[2019 Scope 3 ]]</f>
        <v>#ERROR!</v>
      </c>
      <c r="AS97" s="218" t="str">
        <f t="shared" si="7"/>
        <v>#ERROR!</v>
      </c>
      <c r="AT97" s="219" t="str">
        <f t="shared" si="8"/>
        <v>#ERROR!</v>
      </c>
      <c r="BI97" s="4">
        <v>20175.0</v>
      </c>
    </row>
    <row r="98" ht="12.75" customHeight="1">
      <c r="A98" s="5">
        <f>companies!A98</f>
        <v>97</v>
      </c>
      <c r="B98" s="200" t="s">
        <v>1254</v>
      </c>
      <c r="C98" s="211">
        <v>8621.699999999999</v>
      </c>
      <c r="D98" s="211">
        <v>54604.1</v>
      </c>
      <c r="E98" s="211">
        <v>54604.1</v>
      </c>
      <c r="F98" s="211"/>
      <c r="G98" s="211"/>
      <c r="H98" s="211"/>
      <c r="I98" s="211"/>
      <c r="J98" s="211"/>
      <c r="K98" s="211"/>
      <c r="L98" s="211"/>
      <c r="M98" s="212"/>
      <c r="N98" s="212"/>
      <c r="O98" s="212"/>
      <c r="P98" s="212"/>
      <c r="Q98" s="212"/>
      <c r="R98" s="211"/>
      <c r="S98" s="212"/>
      <c r="T98" s="212"/>
      <c r="U98" s="212"/>
      <c r="V98" s="212"/>
      <c r="W98" s="211">
        <v>232156.0</v>
      </c>
      <c r="X98" s="200">
        <v>54604.1</v>
      </c>
      <c r="Y98" s="200">
        <v>295381.8</v>
      </c>
      <c r="Z98" s="200"/>
      <c r="AA98" s="200"/>
      <c r="AB98" s="200"/>
      <c r="AC98" s="200"/>
      <c r="AD98" s="213" t="s">
        <v>683</v>
      </c>
      <c r="AE98" s="213" t="s">
        <v>683</v>
      </c>
      <c r="AF98" s="214" t="str">
        <f>Table1[[#This Row],[2019 Scope 1 (MeT Co2)]]</f>
        <v>#ERROR!</v>
      </c>
      <c r="AG98" s="215" t="str">
        <f t="shared" si="1"/>
        <v>#ERROR!</v>
      </c>
      <c r="AH98" s="216" t="str">
        <f t="shared" si="2"/>
        <v>#ERROR!</v>
      </c>
      <c r="AI98" s="210"/>
      <c r="AJ98" s="210"/>
      <c r="AK98" s="213" t="s">
        <v>683</v>
      </c>
      <c r="AL98" s="213" t="s">
        <v>683</v>
      </c>
      <c r="AM98" s="214" t="str">
        <f>Table1[[#This Row],[2019 Scope 2 ]]</f>
        <v>#ERROR!</v>
      </c>
      <c r="AN98" s="215" t="str">
        <f t="shared" si="3"/>
        <v>#ERROR!</v>
      </c>
      <c r="AO98" s="216" t="str">
        <f t="shared" si="4"/>
        <v>#ERROR!</v>
      </c>
      <c r="AP98" s="215" t="str">
        <f t="shared" si="5"/>
        <v>#ERROR!</v>
      </c>
      <c r="AQ98" s="216" t="str">
        <f t="shared" si="6"/>
        <v>#ERROR!</v>
      </c>
      <c r="AR98" s="217" t="str">
        <f>Table1[[#This Row],[2019 Scope 3 ]]</f>
        <v>#ERROR!</v>
      </c>
      <c r="AS98" s="218" t="str">
        <f t="shared" si="7"/>
        <v>#ERROR!</v>
      </c>
      <c r="AT98" s="219" t="str">
        <f t="shared" si="8"/>
        <v>#ERROR!</v>
      </c>
      <c r="BI98" s="4">
        <v>22867.0</v>
      </c>
    </row>
    <row r="99" ht="12.75" customHeight="1">
      <c r="A99" s="5">
        <f>companies!A99</f>
        <v>98</v>
      </c>
      <c r="B99" s="200" t="s">
        <v>1254</v>
      </c>
      <c r="C99" s="211">
        <v>370000.0</v>
      </c>
      <c r="D99" s="211">
        <v>1639000.0</v>
      </c>
      <c r="E99" s="211">
        <v>1639000.0</v>
      </c>
      <c r="F99" s="211"/>
      <c r="G99" s="211"/>
      <c r="H99" s="211"/>
      <c r="I99" s="211"/>
      <c r="J99" s="211"/>
      <c r="K99" s="211"/>
      <c r="L99" s="211"/>
      <c r="M99" s="212"/>
      <c r="N99" s="212"/>
      <c r="O99" s="212"/>
      <c r="P99" s="212"/>
      <c r="Q99" s="212"/>
      <c r="R99" s="211"/>
      <c r="S99" s="212"/>
      <c r="T99" s="212"/>
      <c r="U99" s="212"/>
      <c r="V99" s="212"/>
      <c r="W99" s="211">
        <v>120000.0</v>
      </c>
      <c r="X99" s="200">
        <v>1639000.0</v>
      </c>
      <c r="Y99" s="200">
        <v>2129000.0</v>
      </c>
      <c r="Z99" s="200"/>
      <c r="AA99" s="200"/>
      <c r="AB99" s="200"/>
      <c r="AC99" s="200"/>
      <c r="AD99" s="213" t="s">
        <v>683</v>
      </c>
      <c r="AE99" s="213" t="s">
        <v>683</v>
      </c>
      <c r="AF99" s="214" t="str">
        <f>Table1[[#This Row],[2019 Scope 1 (MeT Co2)]]</f>
        <v>#ERROR!</v>
      </c>
      <c r="AG99" s="215" t="str">
        <f t="shared" si="1"/>
        <v>#ERROR!</v>
      </c>
      <c r="AH99" s="216" t="str">
        <f t="shared" si="2"/>
        <v>#ERROR!</v>
      </c>
      <c r="AI99" s="210"/>
      <c r="AJ99" s="210"/>
      <c r="AK99" s="213" t="s">
        <v>683</v>
      </c>
      <c r="AL99" s="213" t="s">
        <v>683</v>
      </c>
      <c r="AM99" s="214" t="str">
        <f>Table1[[#This Row],[2019 Scope 2 ]]</f>
        <v>#ERROR!</v>
      </c>
      <c r="AN99" s="215" t="str">
        <f t="shared" si="3"/>
        <v>#ERROR!</v>
      </c>
      <c r="AO99" s="216" t="str">
        <f t="shared" si="4"/>
        <v>#ERROR!</v>
      </c>
      <c r="AP99" s="215" t="str">
        <f t="shared" si="5"/>
        <v>#ERROR!</v>
      </c>
      <c r="AQ99" s="216" t="str">
        <f t="shared" si="6"/>
        <v>#ERROR!</v>
      </c>
      <c r="AR99" s="217" t="str">
        <f>Table1[[#This Row],[2019 Scope 3 ]]</f>
        <v>#ERROR!</v>
      </c>
      <c r="AS99" s="218" t="str">
        <f t="shared" si="7"/>
        <v>#ERROR!</v>
      </c>
      <c r="AT99" s="219" t="str">
        <f t="shared" si="8"/>
        <v>#ERROR!</v>
      </c>
      <c r="BI99" s="200">
        <v>20398.0</v>
      </c>
    </row>
    <row r="100" ht="12.75" customHeight="1">
      <c r="A100" s="5">
        <f>companies!A100</f>
        <v>99</v>
      </c>
      <c r="B100" s="200" t="s">
        <v>1254</v>
      </c>
      <c r="C100" s="211">
        <v>6101641.0</v>
      </c>
      <c r="D100" s="211">
        <v>1.2022083E7</v>
      </c>
      <c r="E100" s="211">
        <v>1.2022083E7</v>
      </c>
      <c r="F100" s="211"/>
      <c r="G100" s="211"/>
      <c r="H100" s="211"/>
      <c r="I100" s="211"/>
      <c r="J100" s="211"/>
      <c r="K100" s="211"/>
      <c r="L100" s="211"/>
      <c r="M100" s="212"/>
      <c r="N100" s="212"/>
      <c r="O100" s="212"/>
      <c r="P100" s="212"/>
      <c r="Q100" s="212"/>
      <c r="R100" s="211"/>
      <c r="S100" s="212"/>
      <c r="T100" s="212"/>
      <c r="U100" s="212"/>
      <c r="V100" s="212"/>
      <c r="W100" s="211">
        <v>1.84474411E8</v>
      </c>
      <c r="X100" s="200">
        <v>1.2022083E7</v>
      </c>
      <c r="Y100" s="200">
        <v>2.02598135E8</v>
      </c>
      <c r="Z100" s="200"/>
      <c r="AA100" s="200"/>
      <c r="AB100" s="200"/>
      <c r="AC100" s="200"/>
      <c r="AD100" s="213" t="s">
        <v>683</v>
      </c>
      <c r="AE100" s="213" t="s">
        <v>683</v>
      </c>
      <c r="AF100" s="214" t="str">
        <f>Table1[[#This Row],[2019 Scope 1 (MeT Co2)]]</f>
        <v>#ERROR!</v>
      </c>
      <c r="AG100" s="215" t="str">
        <f t="shared" si="1"/>
        <v>#ERROR!</v>
      </c>
      <c r="AH100" s="216" t="str">
        <f t="shared" si="2"/>
        <v>#ERROR!</v>
      </c>
      <c r="AI100" s="210"/>
      <c r="AJ100" s="210"/>
      <c r="AK100" s="213" t="s">
        <v>683</v>
      </c>
      <c r="AL100" s="213" t="s">
        <v>683</v>
      </c>
      <c r="AM100" s="214" t="str">
        <f>Table1[[#This Row],[2019 Scope 2 ]]</f>
        <v>#ERROR!</v>
      </c>
      <c r="AN100" s="215" t="str">
        <f t="shared" si="3"/>
        <v>#ERROR!</v>
      </c>
      <c r="AO100" s="216" t="str">
        <f t="shared" si="4"/>
        <v>#ERROR!</v>
      </c>
      <c r="AP100" s="215" t="str">
        <f t="shared" si="5"/>
        <v>#ERROR!</v>
      </c>
      <c r="AQ100" s="216" t="str">
        <f t="shared" si="6"/>
        <v>#ERROR!</v>
      </c>
      <c r="AR100" s="217" t="str">
        <f>Table1[[#This Row],[2019 Scope 3 ]]</f>
        <v>#ERROR!</v>
      </c>
      <c r="AS100" s="218" t="str">
        <f t="shared" si="7"/>
        <v>#ERROR!</v>
      </c>
      <c r="AT100" s="219" t="str">
        <f t="shared" si="8"/>
        <v>#ERROR!</v>
      </c>
      <c r="BI100" s="4">
        <v>20402.0</v>
      </c>
    </row>
    <row r="101" ht="12.75" customHeight="1">
      <c r="A101" s="5">
        <f>companies!A101</f>
        <v>100</v>
      </c>
      <c r="B101" s="200" t="s">
        <v>1254</v>
      </c>
      <c r="C101" s="211">
        <v>95316.0</v>
      </c>
      <c r="D101" s="211">
        <v>833204.0</v>
      </c>
      <c r="E101" s="211">
        <v>833204.0</v>
      </c>
      <c r="F101" s="211"/>
      <c r="G101" s="211"/>
      <c r="H101" s="211"/>
      <c r="I101" s="211"/>
      <c r="J101" s="211"/>
      <c r="K101" s="211"/>
      <c r="L101" s="211"/>
      <c r="M101" s="212"/>
      <c r="N101" s="212"/>
      <c r="O101" s="212"/>
      <c r="P101" s="212"/>
      <c r="Q101" s="212"/>
      <c r="R101" s="211"/>
      <c r="S101" s="212"/>
      <c r="T101" s="212"/>
      <c r="U101" s="212"/>
      <c r="V101" s="212"/>
      <c r="W101" s="211">
        <v>3781802.0</v>
      </c>
      <c r="X101" s="200">
        <v>833204.0</v>
      </c>
      <c r="Y101" s="200">
        <v>4710322.0</v>
      </c>
      <c r="Z101" s="200"/>
      <c r="AA101" s="200"/>
      <c r="AB101" s="200"/>
      <c r="AC101" s="200"/>
      <c r="AD101" s="213" t="s">
        <v>683</v>
      </c>
      <c r="AE101" s="213" t="s">
        <v>683</v>
      </c>
      <c r="AF101" s="214" t="str">
        <f>Table1[[#This Row],[2019 Scope 1 (MeT Co2)]]</f>
        <v>#ERROR!</v>
      </c>
      <c r="AG101" s="215" t="str">
        <f t="shared" si="1"/>
        <v>#ERROR!</v>
      </c>
      <c r="AH101" s="216" t="str">
        <f t="shared" si="2"/>
        <v>#ERROR!</v>
      </c>
      <c r="AI101" s="210"/>
      <c r="AJ101" s="210"/>
      <c r="AK101" s="213" t="s">
        <v>683</v>
      </c>
      <c r="AL101" s="213" t="s">
        <v>683</v>
      </c>
      <c r="AM101" s="214" t="str">
        <f>Table1[[#This Row],[2019 Scope 2 ]]</f>
        <v>#ERROR!</v>
      </c>
      <c r="AN101" s="215" t="str">
        <f t="shared" si="3"/>
        <v>#ERROR!</v>
      </c>
      <c r="AO101" s="216" t="str">
        <f t="shared" si="4"/>
        <v>#ERROR!</v>
      </c>
      <c r="AP101" s="215" t="str">
        <f t="shared" si="5"/>
        <v>#ERROR!</v>
      </c>
      <c r="AQ101" s="216" t="str">
        <f t="shared" si="6"/>
        <v>#ERROR!</v>
      </c>
      <c r="AR101" s="217" t="str">
        <f>Table1[[#This Row],[2019 Scope 3 ]]</f>
        <v>#ERROR!</v>
      </c>
      <c r="AS101" s="218" t="str">
        <f t="shared" si="7"/>
        <v>#ERROR!</v>
      </c>
      <c r="AT101" s="219" t="str">
        <f t="shared" si="8"/>
        <v>#ERROR!</v>
      </c>
      <c r="BI101" s="4">
        <v>20575.0</v>
      </c>
    </row>
    <row r="102" ht="12.75" customHeight="1">
      <c r="A102" s="4"/>
      <c r="C102" s="210"/>
      <c r="D102" s="210"/>
      <c r="E102" s="210"/>
      <c r="F102" s="210"/>
      <c r="G102" s="210"/>
      <c r="H102" s="210"/>
      <c r="I102" s="210"/>
      <c r="J102" s="210"/>
      <c r="K102" s="210"/>
      <c r="L102" s="210"/>
      <c r="M102" s="210"/>
      <c r="N102" s="210"/>
      <c r="O102" s="210"/>
      <c r="P102" s="210"/>
      <c r="Q102" s="210"/>
      <c r="R102" s="210"/>
      <c r="S102" s="210"/>
      <c r="T102" s="210"/>
      <c r="U102" s="210"/>
      <c r="V102" s="210"/>
      <c r="W102" s="210"/>
      <c r="X102" s="210"/>
      <c r="Y102" s="210"/>
      <c r="Z102" s="210"/>
      <c r="AA102" s="210"/>
      <c r="AB102" s="210"/>
      <c r="AC102" s="210"/>
      <c r="AI102" s="210"/>
      <c r="AJ102" s="210"/>
    </row>
    <row r="103" ht="12.75" customHeight="1">
      <c r="A103" s="4"/>
      <c r="C103" s="210"/>
      <c r="D103" s="210"/>
      <c r="E103" s="210"/>
      <c r="F103" s="210"/>
      <c r="G103" s="210"/>
      <c r="H103" s="210"/>
      <c r="I103" s="210"/>
      <c r="J103" s="210"/>
      <c r="K103" s="210"/>
      <c r="L103" s="210"/>
      <c r="M103" s="210"/>
      <c r="N103" s="210"/>
      <c r="O103" s="210"/>
      <c r="P103" s="210"/>
      <c r="Q103" s="210"/>
      <c r="R103" s="210"/>
      <c r="S103" s="210"/>
      <c r="T103" s="210"/>
      <c r="U103" s="210"/>
      <c r="V103" s="210"/>
      <c r="W103" s="210"/>
      <c r="X103" s="210"/>
      <c r="Y103" s="210"/>
      <c r="Z103" s="210"/>
      <c r="AA103" s="210"/>
      <c r="AB103" s="210"/>
      <c r="AC103" s="210"/>
      <c r="AI103" s="210"/>
      <c r="AJ103" s="210"/>
    </row>
    <row r="104" ht="12.75" customHeight="1">
      <c r="C104" s="210"/>
      <c r="D104" s="210"/>
      <c r="E104" s="210"/>
      <c r="F104" s="210"/>
      <c r="G104" s="210"/>
      <c r="H104" s="210"/>
      <c r="I104" s="210"/>
      <c r="J104" s="210"/>
      <c r="K104" s="210"/>
      <c r="L104" s="210"/>
      <c r="M104" s="210"/>
      <c r="N104" s="210"/>
      <c r="O104" s="210"/>
      <c r="P104" s="210"/>
      <c r="Q104" s="210"/>
      <c r="R104" s="210"/>
      <c r="S104" s="210"/>
      <c r="T104" s="210"/>
      <c r="U104" s="210"/>
      <c r="V104" s="210"/>
      <c r="W104" s="210"/>
      <c r="X104" s="210"/>
      <c r="Y104" s="210"/>
      <c r="Z104" s="210"/>
      <c r="AA104" s="210"/>
      <c r="AB104" s="210"/>
      <c r="AC104" s="210"/>
      <c r="AI104" s="210"/>
      <c r="AJ104" s="210"/>
    </row>
    <row r="105" ht="12.75" customHeight="1">
      <c r="C105" s="210"/>
      <c r="D105" s="210"/>
      <c r="E105" s="210"/>
      <c r="F105" s="210"/>
      <c r="G105" s="210"/>
      <c r="H105" s="210"/>
      <c r="I105" s="210"/>
      <c r="J105" s="210"/>
      <c r="K105" s="210"/>
      <c r="L105" s="210"/>
      <c r="M105" s="210"/>
      <c r="N105" s="210"/>
      <c r="O105" s="210"/>
      <c r="P105" s="210"/>
      <c r="Q105" s="210"/>
      <c r="R105" s="210"/>
      <c r="S105" s="210"/>
      <c r="T105" s="210"/>
      <c r="U105" s="210"/>
      <c r="V105" s="210"/>
      <c r="W105" s="210"/>
      <c r="X105" s="210"/>
      <c r="Y105" s="210"/>
      <c r="Z105" s="210"/>
      <c r="AA105" s="210"/>
      <c r="AB105" s="210"/>
      <c r="AC105" s="210"/>
      <c r="AI105" s="210"/>
      <c r="AJ105" s="210"/>
    </row>
    <row r="106" ht="12.75" customHeight="1">
      <c r="C106" s="210"/>
      <c r="D106" s="210"/>
      <c r="E106" s="210"/>
      <c r="F106" s="210"/>
      <c r="G106" s="210"/>
      <c r="H106" s="210"/>
      <c r="I106" s="210"/>
      <c r="J106" s="210"/>
      <c r="K106" s="210"/>
      <c r="L106" s="210"/>
      <c r="M106" s="210"/>
      <c r="N106" s="210"/>
      <c r="O106" s="210"/>
      <c r="P106" s="210"/>
      <c r="Q106" s="210"/>
      <c r="R106" s="210"/>
      <c r="S106" s="210"/>
      <c r="T106" s="210"/>
      <c r="U106" s="210"/>
      <c r="V106" s="210"/>
      <c r="W106" s="210"/>
      <c r="X106" s="210"/>
      <c r="Y106" s="210"/>
      <c r="Z106" s="210"/>
      <c r="AA106" s="210"/>
      <c r="AB106" s="210"/>
      <c r="AC106" s="210"/>
      <c r="AI106" s="210"/>
      <c r="AJ106" s="210"/>
    </row>
    <row r="107" ht="12.75" customHeight="1">
      <c r="C107" s="210"/>
      <c r="D107" s="210"/>
      <c r="E107" s="210"/>
      <c r="F107" s="210"/>
      <c r="G107" s="210"/>
      <c r="H107" s="210"/>
      <c r="I107" s="210"/>
      <c r="J107" s="210"/>
      <c r="K107" s="210"/>
      <c r="L107" s="210"/>
      <c r="M107" s="210"/>
      <c r="N107" s="210"/>
      <c r="O107" s="210"/>
      <c r="P107" s="210"/>
      <c r="Q107" s="210"/>
      <c r="R107" s="210"/>
      <c r="S107" s="210"/>
      <c r="T107" s="210"/>
      <c r="U107" s="210"/>
      <c r="V107" s="210"/>
      <c r="W107" s="210"/>
      <c r="X107" s="210"/>
      <c r="Y107" s="210"/>
      <c r="Z107" s="210"/>
      <c r="AA107" s="210"/>
      <c r="AB107" s="210"/>
      <c r="AC107" s="210"/>
      <c r="AI107" s="210"/>
      <c r="AJ107" s="210"/>
    </row>
    <row r="108" ht="12.75" customHeight="1">
      <c r="C108" s="210"/>
      <c r="D108" s="210"/>
      <c r="E108" s="210"/>
      <c r="F108" s="210"/>
      <c r="G108" s="210"/>
      <c r="H108" s="210"/>
      <c r="I108" s="210"/>
      <c r="J108" s="210"/>
      <c r="K108" s="210"/>
      <c r="L108" s="210"/>
      <c r="M108" s="210"/>
      <c r="N108" s="210"/>
      <c r="O108" s="210"/>
      <c r="P108" s="210"/>
      <c r="Q108" s="210"/>
      <c r="R108" s="210"/>
      <c r="S108" s="210"/>
      <c r="T108" s="210"/>
      <c r="U108" s="210"/>
      <c r="V108" s="210"/>
      <c r="W108" s="210"/>
      <c r="X108" s="210"/>
      <c r="Y108" s="210"/>
      <c r="Z108" s="210"/>
      <c r="AA108" s="210"/>
      <c r="AB108" s="210"/>
      <c r="AC108" s="210"/>
      <c r="AI108" s="210"/>
      <c r="AJ108" s="210"/>
    </row>
    <row r="109" ht="12.75" customHeight="1">
      <c r="C109" s="210"/>
      <c r="D109" s="210"/>
      <c r="E109" s="210"/>
      <c r="F109" s="210"/>
      <c r="G109" s="210"/>
      <c r="H109" s="210"/>
      <c r="I109" s="210"/>
      <c r="J109" s="210"/>
      <c r="K109" s="210"/>
      <c r="L109" s="210"/>
      <c r="M109" s="210"/>
      <c r="N109" s="210"/>
      <c r="O109" s="210"/>
      <c r="P109" s="210"/>
      <c r="Q109" s="210"/>
      <c r="R109" s="210"/>
      <c r="S109" s="210"/>
      <c r="T109" s="210"/>
      <c r="U109" s="210"/>
      <c r="V109" s="210"/>
      <c r="W109" s="210"/>
      <c r="X109" s="210"/>
      <c r="Y109" s="210"/>
      <c r="Z109" s="210"/>
      <c r="AA109" s="210"/>
      <c r="AB109" s="210"/>
      <c r="AC109" s="210"/>
      <c r="AI109" s="210"/>
      <c r="AJ109" s="210"/>
    </row>
    <row r="110" ht="12.75" customHeight="1">
      <c r="C110" s="210"/>
      <c r="D110" s="210"/>
      <c r="E110" s="210"/>
      <c r="F110" s="210"/>
      <c r="G110" s="210"/>
      <c r="H110" s="210"/>
      <c r="I110" s="210"/>
      <c r="J110" s="210"/>
      <c r="K110" s="210"/>
      <c r="L110" s="210"/>
      <c r="M110" s="210"/>
      <c r="N110" s="210"/>
      <c r="O110" s="210"/>
      <c r="P110" s="210"/>
      <c r="Q110" s="210"/>
      <c r="R110" s="210"/>
      <c r="S110" s="210"/>
      <c r="T110" s="210"/>
      <c r="U110" s="210"/>
      <c r="V110" s="210"/>
      <c r="W110" s="210"/>
      <c r="X110" s="210"/>
      <c r="Y110" s="210"/>
      <c r="Z110" s="210"/>
      <c r="AA110" s="210"/>
      <c r="AB110" s="210"/>
      <c r="AC110" s="210"/>
      <c r="AI110" s="210"/>
      <c r="AJ110" s="210"/>
    </row>
    <row r="111" ht="12.75" customHeight="1">
      <c r="C111" s="210"/>
      <c r="D111" s="210"/>
      <c r="E111" s="210"/>
      <c r="F111" s="210"/>
      <c r="G111" s="210"/>
      <c r="H111" s="210"/>
      <c r="I111" s="210"/>
      <c r="J111" s="210"/>
      <c r="K111" s="210"/>
      <c r="L111" s="210"/>
      <c r="M111" s="210"/>
      <c r="N111" s="210"/>
      <c r="O111" s="210"/>
      <c r="P111" s="210"/>
      <c r="Q111" s="210"/>
      <c r="R111" s="210"/>
      <c r="S111" s="210"/>
      <c r="T111" s="210"/>
      <c r="U111" s="210"/>
      <c r="V111" s="210"/>
      <c r="W111" s="210"/>
      <c r="X111" s="210"/>
      <c r="Y111" s="210"/>
      <c r="Z111" s="210"/>
      <c r="AA111" s="210"/>
      <c r="AB111" s="210"/>
      <c r="AC111" s="210"/>
      <c r="AI111" s="210"/>
      <c r="AJ111" s="210"/>
    </row>
    <row r="112" ht="12.75" customHeight="1">
      <c r="C112" s="210"/>
      <c r="D112" s="210"/>
      <c r="E112" s="210"/>
      <c r="F112" s="210"/>
      <c r="G112" s="210"/>
      <c r="H112" s="210"/>
      <c r="I112" s="210"/>
      <c r="J112" s="210"/>
      <c r="K112" s="210"/>
      <c r="L112" s="210"/>
      <c r="M112" s="210"/>
      <c r="N112" s="210"/>
      <c r="O112" s="210"/>
      <c r="P112" s="210"/>
      <c r="Q112" s="210"/>
      <c r="R112" s="210"/>
      <c r="S112" s="210"/>
      <c r="T112" s="210"/>
      <c r="U112" s="210"/>
      <c r="V112" s="210"/>
      <c r="W112" s="210"/>
      <c r="X112" s="210"/>
      <c r="Y112" s="210"/>
      <c r="Z112" s="210"/>
      <c r="AA112" s="210"/>
      <c r="AB112" s="210"/>
      <c r="AC112" s="210"/>
      <c r="AI112" s="210"/>
      <c r="AJ112" s="210"/>
    </row>
    <row r="113" ht="12.75" customHeight="1">
      <c r="C113" s="210"/>
      <c r="D113" s="210"/>
      <c r="E113" s="210"/>
      <c r="F113" s="210"/>
      <c r="G113" s="210"/>
      <c r="H113" s="210"/>
      <c r="I113" s="210"/>
      <c r="J113" s="210"/>
      <c r="K113" s="210"/>
      <c r="L113" s="210"/>
      <c r="M113" s="210"/>
      <c r="N113" s="210"/>
      <c r="O113" s="210"/>
      <c r="P113" s="210"/>
      <c r="Q113" s="210"/>
      <c r="R113" s="210"/>
      <c r="S113" s="210"/>
      <c r="T113" s="210"/>
      <c r="U113" s="210"/>
      <c r="V113" s="210"/>
      <c r="W113" s="210"/>
      <c r="X113" s="210"/>
      <c r="Y113" s="210"/>
      <c r="Z113" s="210"/>
      <c r="AA113" s="210"/>
      <c r="AB113" s="210"/>
      <c r="AC113" s="210"/>
      <c r="AI113" s="210"/>
      <c r="AJ113" s="210"/>
    </row>
    <row r="114" ht="12.75" customHeight="1">
      <c r="C114" s="210"/>
      <c r="D114" s="210"/>
      <c r="E114" s="210"/>
      <c r="F114" s="210"/>
      <c r="G114" s="210"/>
      <c r="H114" s="210"/>
      <c r="I114" s="210"/>
      <c r="J114" s="210"/>
      <c r="K114" s="210"/>
      <c r="L114" s="210"/>
      <c r="M114" s="210"/>
      <c r="N114" s="210"/>
      <c r="O114" s="210"/>
      <c r="P114" s="210"/>
      <c r="Q114" s="210"/>
      <c r="R114" s="210"/>
      <c r="S114" s="210"/>
      <c r="T114" s="210"/>
      <c r="U114" s="210"/>
      <c r="V114" s="210"/>
      <c r="W114" s="210"/>
      <c r="X114" s="210"/>
      <c r="Y114" s="210"/>
      <c r="Z114" s="210"/>
      <c r="AA114" s="210"/>
      <c r="AB114" s="210"/>
      <c r="AC114" s="210"/>
      <c r="AI114" s="210"/>
      <c r="AJ114" s="210"/>
    </row>
    <row r="115" ht="12.75" customHeight="1">
      <c r="C115" s="210"/>
      <c r="D115" s="210"/>
      <c r="E115" s="210"/>
      <c r="F115" s="210"/>
      <c r="G115" s="210"/>
      <c r="H115" s="210"/>
      <c r="I115" s="210"/>
      <c r="J115" s="210"/>
      <c r="K115" s="210"/>
      <c r="L115" s="210"/>
      <c r="M115" s="210"/>
      <c r="N115" s="210"/>
      <c r="O115" s="210"/>
      <c r="P115" s="210"/>
      <c r="Q115" s="210"/>
      <c r="R115" s="210"/>
      <c r="S115" s="210"/>
      <c r="T115" s="210"/>
      <c r="U115" s="210"/>
      <c r="V115" s="210"/>
      <c r="W115" s="210"/>
      <c r="X115" s="210"/>
      <c r="Y115" s="210"/>
      <c r="Z115" s="210"/>
      <c r="AA115" s="210"/>
      <c r="AB115" s="210"/>
      <c r="AC115" s="210"/>
      <c r="AI115" s="210"/>
      <c r="AJ115" s="210"/>
    </row>
    <row r="116" ht="12.75" customHeight="1">
      <c r="C116" s="210"/>
      <c r="D116" s="210"/>
      <c r="E116" s="210"/>
      <c r="F116" s="210"/>
      <c r="G116" s="210"/>
      <c r="H116" s="210"/>
      <c r="I116" s="210"/>
      <c r="J116" s="210"/>
      <c r="K116" s="210"/>
      <c r="L116" s="210"/>
      <c r="M116" s="210"/>
      <c r="N116" s="210"/>
      <c r="O116" s="210"/>
      <c r="P116" s="210"/>
      <c r="Q116" s="210"/>
      <c r="R116" s="210"/>
      <c r="S116" s="210"/>
      <c r="T116" s="210"/>
      <c r="U116" s="210"/>
      <c r="V116" s="210"/>
      <c r="W116" s="210"/>
      <c r="X116" s="210"/>
      <c r="Y116" s="210"/>
      <c r="Z116" s="210"/>
      <c r="AA116" s="210"/>
      <c r="AB116" s="210"/>
      <c r="AC116" s="210"/>
      <c r="AI116" s="210"/>
      <c r="AJ116" s="210"/>
    </row>
    <row r="117" ht="12.75" customHeight="1">
      <c r="C117" s="210"/>
      <c r="D117" s="210"/>
      <c r="E117" s="210"/>
      <c r="F117" s="210"/>
      <c r="G117" s="210"/>
      <c r="H117" s="210"/>
      <c r="I117" s="210"/>
      <c r="J117" s="210"/>
      <c r="K117" s="210"/>
      <c r="L117" s="210"/>
      <c r="M117" s="210"/>
      <c r="N117" s="210"/>
      <c r="O117" s="210"/>
      <c r="P117" s="210"/>
      <c r="Q117" s="210"/>
      <c r="R117" s="210"/>
      <c r="S117" s="210"/>
      <c r="T117" s="210"/>
      <c r="U117" s="210"/>
      <c r="V117" s="210"/>
      <c r="W117" s="210"/>
      <c r="X117" s="210"/>
      <c r="Y117" s="210"/>
      <c r="Z117" s="210"/>
      <c r="AA117" s="210"/>
      <c r="AB117" s="210"/>
      <c r="AC117" s="210"/>
      <c r="AI117" s="210"/>
      <c r="AJ117" s="210"/>
    </row>
    <row r="118" ht="12.75" customHeight="1">
      <c r="C118" s="210"/>
      <c r="D118" s="210"/>
      <c r="E118" s="210"/>
      <c r="F118" s="210"/>
      <c r="G118" s="210"/>
      <c r="H118" s="210"/>
      <c r="I118" s="210"/>
      <c r="J118" s="210"/>
      <c r="K118" s="210"/>
      <c r="L118" s="210"/>
      <c r="M118" s="210"/>
      <c r="N118" s="210"/>
      <c r="O118" s="210"/>
      <c r="P118" s="210"/>
      <c r="Q118" s="210"/>
      <c r="R118" s="210"/>
      <c r="S118" s="210"/>
      <c r="T118" s="210"/>
      <c r="U118" s="210"/>
      <c r="V118" s="210"/>
      <c r="W118" s="210"/>
      <c r="X118" s="210"/>
      <c r="Y118" s="210"/>
      <c r="Z118" s="210"/>
      <c r="AA118" s="210"/>
      <c r="AB118" s="210"/>
      <c r="AC118" s="210"/>
      <c r="AI118" s="210"/>
      <c r="AJ118" s="210"/>
    </row>
    <row r="119" ht="12.75" customHeight="1">
      <c r="C119" s="210"/>
      <c r="D119" s="210"/>
      <c r="E119" s="210"/>
      <c r="F119" s="210"/>
      <c r="G119" s="210"/>
      <c r="H119" s="210"/>
      <c r="I119" s="210"/>
      <c r="J119" s="210"/>
      <c r="K119" s="210"/>
      <c r="L119" s="210"/>
      <c r="M119" s="210"/>
      <c r="N119" s="210"/>
      <c r="O119" s="210"/>
      <c r="P119" s="210"/>
      <c r="Q119" s="210"/>
      <c r="R119" s="210"/>
      <c r="S119" s="210"/>
      <c r="T119" s="210"/>
      <c r="U119" s="210"/>
      <c r="V119" s="210"/>
      <c r="W119" s="210"/>
      <c r="X119" s="210"/>
      <c r="Y119" s="210"/>
      <c r="Z119" s="210"/>
      <c r="AA119" s="210"/>
      <c r="AB119" s="210"/>
      <c r="AC119" s="210"/>
      <c r="AI119" s="210"/>
      <c r="AJ119" s="210"/>
    </row>
    <row r="120" ht="12.75" customHeight="1">
      <c r="C120" s="210"/>
      <c r="D120" s="210"/>
      <c r="E120" s="210"/>
      <c r="F120" s="210"/>
      <c r="G120" s="210"/>
      <c r="H120" s="210"/>
      <c r="I120" s="210"/>
      <c r="J120" s="210"/>
      <c r="K120" s="210"/>
      <c r="L120" s="210"/>
      <c r="M120" s="210"/>
      <c r="N120" s="210"/>
      <c r="O120" s="210"/>
      <c r="P120" s="210"/>
      <c r="Q120" s="210"/>
      <c r="R120" s="210"/>
      <c r="S120" s="210"/>
      <c r="T120" s="210"/>
      <c r="U120" s="210"/>
      <c r="V120" s="210"/>
      <c r="W120" s="210"/>
      <c r="X120" s="210"/>
      <c r="Y120" s="210"/>
      <c r="Z120" s="210"/>
      <c r="AA120" s="210"/>
      <c r="AB120" s="210"/>
      <c r="AC120" s="210"/>
      <c r="AI120" s="210"/>
      <c r="AJ120" s="210"/>
    </row>
    <row r="121" ht="12.75" customHeight="1">
      <c r="C121" s="210"/>
      <c r="D121" s="210"/>
      <c r="E121" s="210"/>
      <c r="F121" s="210"/>
      <c r="G121" s="210"/>
      <c r="H121" s="210"/>
      <c r="I121" s="210"/>
      <c r="J121" s="210"/>
      <c r="K121" s="210"/>
      <c r="L121" s="210"/>
      <c r="M121" s="210"/>
      <c r="N121" s="210"/>
      <c r="O121" s="210"/>
      <c r="P121" s="210"/>
      <c r="Q121" s="210"/>
      <c r="R121" s="210"/>
      <c r="S121" s="210"/>
      <c r="T121" s="210"/>
      <c r="U121" s="210"/>
      <c r="V121" s="210"/>
      <c r="W121" s="210"/>
      <c r="X121" s="210"/>
      <c r="Y121" s="210"/>
      <c r="Z121" s="210"/>
      <c r="AA121" s="210"/>
      <c r="AB121" s="210"/>
      <c r="AC121" s="210"/>
      <c r="AI121" s="210"/>
      <c r="AJ121" s="210"/>
    </row>
    <row r="122" ht="12.75" customHeight="1">
      <c r="C122" s="210"/>
      <c r="D122" s="210"/>
      <c r="E122" s="210"/>
      <c r="F122" s="210"/>
      <c r="G122" s="210"/>
      <c r="H122" s="210"/>
      <c r="I122" s="210"/>
      <c r="J122" s="210"/>
      <c r="K122" s="210"/>
      <c r="L122" s="210"/>
      <c r="M122" s="210"/>
      <c r="N122" s="210"/>
      <c r="O122" s="210"/>
      <c r="P122" s="210"/>
      <c r="Q122" s="210"/>
      <c r="R122" s="210"/>
      <c r="S122" s="210"/>
      <c r="T122" s="210"/>
      <c r="U122" s="210"/>
      <c r="V122" s="210"/>
      <c r="W122" s="210"/>
      <c r="X122" s="210"/>
      <c r="Y122" s="210"/>
      <c r="Z122" s="210"/>
      <c r="AA122" s="210"/>
      <c r="AB122" s="210"/>
      <c r="AC122" s="210"/>
      <c r="AI122" s="210"/>
      <c r="AJ122" s="210"/>
    </row>
    <row r="123" ht="12.75" customHeight="1">
      <c r="C123" s="210"/>
      <c r="D123" s="210"/>
      <c r="E123" s="210"/>
      <c r="F123" s="210"/>
      <c r="G123" s="210"/>
      <c r="H123" s="210"/>
      <c r="I123" s="210"/>
      <c r="J123" s="210"/>
      <c r="K123" s="210"/>
      <c r="L123" s="210"/>
      <c r="M123" s="210"/>
      <c r="N123" s="210"/>
      <c r="O123" s="210"/>
      <c r="P123" s="210"/>
      <c r="Q123" s="210"/>
      <c r="R123" s="210"/>
      <c r="S123" s="210"/>
      <c r="T123" s="210"/>
      <c r="U123" s="210"/>
      <c r="V123" s="210"/>
      <c r="W123" s="210"/>
      <c r="X123" s="210"/>
      <c r="Y123" s="210"/>
      <c r="Z123" s="210"/>
      <c r="AA123" s="210"/>
      <c r="AB123" s="210"/>
      <c r="AC123" s="210"/>
      <c r="AI123" s="210"/>
      <c r="AJ123" s="210"/>
    </row>
    <row r="124" ht="12.75" customHeight="1">
      <c r="C124" s="210"/>
      <c r="D124" s="210"/>
      <c r="E124" s="210"/>
      <c r="F124" s="210"/>
      <c r="G124" s="210"/>
      <c r="H124" s="210"/>
      <c r="I124" s="210"/>
      <c r="J124" s="210"/>
      <c r="K124" s="210"/>
      <c r="L124" s="210"/>
      <c r="M124" s="210"/>
      <c r="N124" s="210"/>
      <c r="O124" s="210"/>
      <c r="P124" s="210"/>
      <c r="Q124" s="210"/>
      <c r="R124" s="210"/>
      <c r="S124" s="210"/>
      <c r="T124" s="210"/>
      <c r="U124" s="210"/>
      <c r="V124" s="210"/>
      <c r="W124" s="210"/>
      <c r="X124" s="210"/>
      <c r="Y124" s="210"/>
      <c r="Z124" s="210"/>
      <c r="AA124" s="210"/>
      <c r="AB124" s="210"/>
      <c r="AC124" s="210"/>
      <c r="AI124" s="210"/>
      <c r="AJ124" s="210"/>
    </row>
    <row r="125" ht="12.75" customHeight="1">
      <c r="C125" s="210"/>
      <c r="D125" s="210"/>
      <c r="E125" s="210"/>
      <c r="F125" s="210"/>
      <c r="G125" s="210"/>
      <c r="H125" s="210"/>
      <c r="I125" s="210"/>
      <c r="J125" s="210"/>
      <c r="K125" s="210"/>
      <c r="L125" s="210"/>
      <c r="M125" s="210"/>
      <c r="N125" s="210"/>
      <c r="O125" s="210"/>
      <c r="P125" s="210"/>
      <c r="Q125" s="210"/>
      <c r="R125" s="210"/>
      <c r="S125" s="210"/>
      <c r="T125" s="210"/>
      <c r="U125" s="210"/>
      <c r="V125" s="210"/>
      <c r="W125" s="210"/>
      <c r="X125" s="210"/>
      <c r="Y125" s="210"/>
      <c r="Z125" s="210"/>
      <c r="AA125" s="210"/>
      <c r="AB125" s="210"/>
      <c r="AC125" s="210"/>
      <c r="AI125" s="210"/>
      <c r="AJ125" s="210"/>
    </row>
    <row r="126" ht="12.75" customHeight="1">
      <c r="C126" s="210"/>
      <c r="D126" s="210"/>
      <c r="E126" s="210"/>
      <c r="F126" s="210"/>
      <c r="G126" s="210"/>
      <c r="H126" s="210"/>
      <c r="I126" s="210"/>
      <c r="J126" s="210"/>
      <c r="K126" s="210"/>
      <c r="L126" s="210"/>
      <c r="M126" s="210"/>
      <c r="N126" s="210"/>
      <c r="O126" s="210"/>
      <c r="P126" s="210"/>
      <c r="Q126" s="210"/>
      <c r="R126" s="210"/>
      <c r="S126" s="210"/>
      <c r="T126" s="210"/>
      <c r="U126" s="210"/>
      <c r="V126" s="210"/>
      <c r="W126" s="210"/>
      <c r="X126" s="210"/>
      <c r="Y126" s="210"/>
      <c r="Z126" s="210"/>
      <c r="AA126" s="210"/>
      <c r="AB126" s="210"/>
      <c r="AC126" s="210"/>
      <c r="AI126" s="210"/>
      <c r="AJ126" s="210"/>
    </row>
    <row r="127" ht="12.75" customHeight="1">
      <c r="C127" s="210"/>
      <c r="D127" s="210"/>
      <c r="E127" s="210"/>
      <c r="F127" s="210"/>
      <c r="G127" s="210"/>
      <c r="H127" s="210"/>
      <c r="I127" s="210"/>
      <c r="J127" s="210"/>
      <c r="K127" s="210"/>
      <c r="L127" s="210"/>
      <c r="M127" s="210"/>
      <c r="N127" s="210"/>
      <c r="O127" s="210"/>
      <c r="P127" s="210"/>
      <c r="Q127" s="210"/>
      <c r="R127" s="210"/>
      <c r="S127" s="210"/>
      <c r="T127" s="210"/>
      <c r="U127" s="210"/>
      <c r="V127" s="210"/>
      <c r="W127" s="210"/>
      <c r="X127" s="210"/>
      <c r="Y127" s="210"/>
      <c r="Z127" s="210"/>
      <c r="AA127" s="210"/>
      <c r="AB127" s="210"/>
      <c r="AC127" s="210"/>
      <c r="AI127" s="210"/>
      <c r="AJ127" s="210"/>
    </row>
    <row r="128" ht="12.75" customHeight="1">
      <c r="C128" s="210"/>
      <c r="D128" s="210"/>
      <c r="E128" s="210"/>
      <c r="F128" s="210"/>
      <c r="G128" s="210"/>
      <c r="H128" s="210"/>
      <c r="I128" s="210"/>
      <c r="J128" s="210"/>
      <c r="K128" s="210"/>
      <c r="L128" s="210"/>
      <c r="M128" s="210"/>
      <c r="N128" s="210"/>
      <c r="O128" s="210"/>
      <c r="P128" s="210"/>
      <c r="Q128" s="210"/>
      <c r="R128" s="210"/>
      <c r="S128" s="210"/>
      <c r="T128" s="210"/>
      <c r="U128" s="210"/>
      <c r="V128" s="210"/>
      <c r="W128" s="210"/>
      <c r="X128" s="210"/>
      <c r="Y128" s="210"/>
      <c r="Z128" s="210"/>
      <c r="AA128" s="210"/>
      <c r="AB128" s="210"/>
      <c r="AC128" s="210"/>
      <c r="AI128" s="210"/>
      <c r="AJ128" s="210"/>
    </row>
    <row r="129" ht="12.75" customHeight="1">
      <c r="C129" s="210"/>
      <c r="D129" s="210"/>
      <c r="E129" s="210"/>
      <c r="F129" s="210"/>
      <c r="G129" s="210"/>
      <c r="H129" s="210"/>
      <c r="I129" s="210"/>
      <c r="J129" s="210"/>
      <c r="K129" s="210"/>
      <c r="L129" s="210"/>
      <c r="M129" s="210"/>
      <c r="N129" s="210"/>
      <c r="O129" s="210"/>
      <c r="P129" s="210"/>
      <c r="Q129" s="210"/>
      <c r="R129" s="210"/>
      <c r="S129" s="210"/>
      <c r="T129" s="210"/>
      <c r="U129" s="210"/>
      <c r="V129" s="210"/>
      <c r="W129" s="210"/>
      <c r="X129" s="210"/>
      <c r="Y129" s="210"/>
      <c r="Z129" s="210"/>
      <c r="AA129" s="210"/>
      <c r="AB129" s="210"/>
      <c r="AC129" s="210"/>
      <c r="AI129" s="210"/>
      <c r="AJ129" s="210"/>
    </row>
    <row r="130" ht="12.75" customHeight="1">
      <c r="C130" s="210"/>
      <c r="D130" s="210"/>
      <c r="E130" s="210"/>
      <c r="F130" s="210"/>
      <c r="G130" s="210"/>
      <c r="H130" s="210"/>
      <c r="I130" s="210"/>
      <c r="J130" s="210"/>
      <c r="K130" s="210"/>
      <c r="L130" s="210"/>
      <c r="M130" s="210"/>
      <c r="N130" s="210"/>
      <c r="O130" s="210"/>
      <c r="P130" s="210"/>
      <c r="Q130" s="210"/>
      <c r="R130" s="210"/>
      <c r="S130" s="210"/>
      <c r="T130" s="210"/>
      <c r="U130" s="210"/>
      <c r="V130" s="210"/>
      <c r="W130" s="210"/>
      <c r="X130" s="210"/>
      <c r="Y130" s="210"/>
      <c r="Z130" s="210"/>
      <c r="AA130" s="210"/>
      <c r="AB130" s="210"/>
      <c r="AC130" s="210"/>
      <c r="AI130" s="210"/>
      <c r="AJ130" s="210"/>
    </row>
    <row r="131" ht="12.75" customHeight="1">
      <c r="C131" s="210"/>
      <c r="D131" s="210"/>
      <c r="E131" s="210"/>
      <c r="F131" s="210"/>
      <c r="G131" s="210"/>
      <c r="H131" s="210"/>
      <c r="I131" s="210"/>
      <c r="J131" s="210"/>
      <c r="K131" s="210"/>
      <c r="L131" s="210"/>
      <c r="M131" s="210"/>
      <c r="N131" s="210"/>
      <c r="O131" s="210"/>
      <c r="P131" s="210"/>
      <c r="Q131" s="210"/>
      <c r="R131" s="210"/>
      <c r="S131" s="210"/>
      <c r="T131" s="210"/>
      <c r="U131" s="210"/>
      <c r="V131" s="210"/>
      <c r="W131" s="210"/>
      <c r="X131" s="210"/>
      <c r="Y131" s="210"/>
      <c r="Z131" s="210"/>
      <c r="AA131" s="210"/>
      <c r="AB131" s="210"/>
      <c r="AC131" s="210"/>
      <c r="AI131" s="210"/>
      <c r="AJ131" s="210"/>
    </row>
    <row r="132" ht="12.75" customHeight="1">
      <c r="C132" s="210"/>
      <c r="D132" s="210"/>
      <c r="E132" s="210"/>
      <c r="F132" s="210"/>
      <c r="G132" s="210"/>
      <c r="H132" s="210"/>
      <c r="I132" s="210"/>
      <c r="J132" s="210"/>
      <c r="K132" s="210"/>
      <c r="L132" s="210"/>
      <c r="M132" s="210"/>
      <c r="N132" s="210"/>
      <c r="O132" s="210"/>
      <c r="P132" s="210"/>
      <c r="Q132" s="210"/>
      <c r="R132" s="210"/>
      <c r="S132" s="210"/>
      <c r="T132" s="210"/>
      <c r="U132" s="210"/>
      <c r="V132" s="210"/>
      <c r="W132" s="210"/>
      <c r="X132" s="210"/>
      <c r="Y132" s="210"/>
      <c r="Z132" s="210"/>
      <c r="AA132" s="210"/>
      <c r="AB132" s="210"/>
      <c r="AC132" s="210"/>
      <c r="AI132" s="210"/>
      <c r="AJ132" s="210"/>
    </row>
    <row r="133" ht="12.75" customHeight="1">
      <c r="C133" s="210"/>
      <c r="D133" s="210"/>
      <c r="E133" s="210"/>
      <c r="F133" s="210"/>
      <c r="G133" s="210"/>
      <c r="H133" s="210"/>
      <c r="I133" s="210"/>
      <c r="J133" s="210"/>
      <c r="K133" s="210"/>
      <c r="L133" s="210"/>
      <c r="M133" s="210"/>
      <c r="N133" s="210"/>
      <c r="O133" s="210"/>
      <c r="P133" s="210"/>
      <c r="Q133" s="210"/>
      <c r="R133" s="210"/>
      <c r="S133" s="210"/>
      <c r="T133" s="210"/>
      <c r="U133" s="210"/>
      <c r="V133" s="210"/>
      <c r="W133" s="210"/>
      <c r="X133" s="210"/>
      <c r="Y133" s="210"/>
      <c r="Z133" s="210"/>
      <c r="AA133" s="210"/>
      <c r="AB133" s="210"/>
      <c r="AC133" s="210"/>
      <c r="AI133" s="210"/>
      <c r="AJ133" s="210"/>
    </row>
    <row r="134" ht="12.75" customHeight="1">
      <c r="C134" s="210"/>
      <c r="D134" s="210"/>
      <c r="E134" s="210"/>
      <c r="F134" s="210"/>
      <c r="G134" s="210"/>
      <c r="H134" s="210"/>
      <c r="I134" s="210"/>
      <c r="J134" s="210"/>
      <c r="K134" s="210"/>
      <c r="L134" s="210"/>
      <c r="M134" s="210"/>
      <c r="N134" s="210"/>
      <c r="O134" s="210"/>
      <c r="P134" s="210"/>
      <c r="Q134" s="210"/>
      <c r="R134" s="210"/>
      <c r="S134" s="210"/>
      <c r="T134" s="210"/>
      <c r="U134" s="210"/>
      <c r="V134" s="210"/>
      <c r="W134" s="210"/>
      <c r="X134" s="210"/>
      <c r="Y134" s="210"/>
      <c r="Z134" s="210"/>
      <c r="AA134" s="210"/>
      <c r="AB134" s="210"/>
      <c r="AC134" s="210"/>
      <c r="AI134" s="210"/>
      <c r="AJ134" s="210"/>
    </row>
    <row r="135" ht="12.75" customHeight="1">
      <c r="C135" s="210"/>
      <c r="D135" s="210"/>
      <c r="E135" s="210"/>
      <c r="F135" s="210"/>
      <c r="G135" s="210"/>
      <c r="H135" s="210"/>
      <c r="I135" s="210"/>
      <c r="J135" s="210"/>
      <c r="K135" s="210"/>
      <c r="L135" s="210"/>
      <c r="M135" s="210"/>
      <c r="N135" s="210"/>
      <c r="O135" s="210"/>
      <c r="P135" s="210"/>
      <c r="Q135" s="210"/>
      <c r="R135" s="210"/>
      <c r="S135" s="210"/>
      <c r="T135" s="210"/>
      <c r="U135" s="210"/>
      <c r="V135" s="210"/>
      <c r="W135" s="210"/>
      <c r="X135" s="210"/>
      <c r="Y135" s="210"/>
      <c r="Z135" s="210"/>
      <c r="AA135" s="210"/>
      <c r="AB135" s="210"/>
      <c r="AC135" s="210"/>
      <c r="AI135" s="210"/>
      <c r="AJ135" s="210"/>
    </row>
    <row r="136" ht="12.75" customHeight="1">
      <c r="C136" s="210"/>
      <c r="D136" s="210"/>
      <c r="E136" s="210"/>
      <c r="F136" s="210"/>
      <c r="G136" s="210"/>
      <c r="H136" s="210"/>
      <c r="I136" s="210"/>
      <c r="J136" s="210"/>
      <c r="K136" s="210"/>
      <c r="L136" s="210"/>
      <c r="M136" s="210"/>
      <c r="N136" s="210"/>
      <c r="O136" s="210"/>
      <c r="P136" s="210"/>
      <c r="Q136" s="210"/>
      <c r="R136" s="210"/>
      <c r="S136" s="210"/>
      <c r="T136" s="210"/>
      <c r="U136" s="210"/>
      <c r="V136" s="210"/>
      <c r="W136" s="210"/>
      <c r="X136" s="210"/>
      <c r="Y136" s="210"/>
      <c r="Z136" s="210"/>
      <c r="AA136" s="210"/>
      <c r="AB136" s="210"/>
      <c r="AC136" s="210"/>
      <c r="AI136" s="210"/>
      <c r="AJ136" s="210"/>
    </row>
    <row r="137" ht="12.75" customHeight="1">
      <c r="C137" s="210"/>
      <c r="D137" s="210"/>
      <c r="E137" s="210"/>
      <c r="F137" s="210"/>
      <c r="G137" s="210"/>
      <c r="H137" s="210"/>
      <c r="I137" s="210"/>
      <c r="J137" s="210"/>
      <c r="K137" s="210"/>
      <c r="L137" s="210"/>
      <c r="M137" s="210"/>
      <c r="N137" s="210"/>
      <c r="O137" s="210"/>
      <c r="P137" s="210"/>
      <c r="Q137" s="210"/>
      <c r="R137" s="210"/>
      <c r="S137" s="210"/>
      <c r="T137" s="210"/>
      <c r="U137" s="210"/>
      <c r="V137" s="210"/>
      <c r="W137" s="210"/>
      <c r="X137" s="210"/>
      <c r="Y137" s="210"/>
      <c r="Z137" s="210"/>
      <c r="AA137" s="210"/>
      <c r="AB137" s="210"/>
      <c r="AC137" s="210"/>
      <c r="AI137" s="210"/>
      <c r="AJ137" s="210"/>
    </row>
    <row r="138" ht="12.75" customHeight="1">
      <c r="C138" s="210"/>
      <c r="D138" s="210"/>
      <c r="E138" s="210"/>
      <c r="F138" s="210"/>
      <c r="G138" s="210"/>
      <c r="H138" s="210"/>
      <c r="I138" s="210"/>
      <c r="J138" s="210"/>
      <c r="K138" s="210"/>
      <c r="L138" s="210"/>
      <c r="M138" s="210"/>
      <c r="N138" s="210"/>
      <c r="O138" s="210"/>
      <c r="P138" s="210"/>
      <c r="Q138" s="210"/>
      <c r="R138" s="210"/>
      <c r="S138" s="210"/>
      <c r="T138" s="210"/>
      <c r="U138" s="210"/>
      <c r="V138" s="210"/>
      <c r="W138" s="210"/>
      <c r="X138" s="210"/>
      <c r="Y138" s="210"/>
      <c r="Z138" s="210"/>
      <c r="AA138" s="210"/>
      <c r="AB138" s="210"/>
      <c r="AC138" s="210"/>
      <c r="AI138" s="210"/>
      <c r="AJ138" s="210"/>
    </row>
    <row r="139" ht="12.75" customHeight="1">
      <c r="C139" s="210"/>
      <c r="D139" s="210"/>
      <c r="E139" s="210"/>
      <c r="F139" s="210"/>
      <c r="G139" s="210"/>
      <c r="H139" s="210"/>
      <c r="I139" s="210"/>
      <c r="J139" s="210"/>
      <c r="K139" s="210"/>
      <c r="L139" s="210"/>
      <c r="M139" s="210"/>
      <c r="N139" s="210"/>
      <c r="O139" s="210"/>
      <c r="P139" s="210"/>
      <c r="Q139" s="210"/>
      <c r="R139" s="210"/>
      <c r="S139" s="210"/>
      <c r="T139" s="210"/>
      <c r="U139" s="210"/>
      <c r="V139" s="210"/>
      <c r="W139" s="210"/>
      <c r="X139" s="210"/>
      <c r="Y139" s="210"/>
      <c r="Z139" s="210"/>
      <c r="AA139" s="210"/>
      <c r="AB139" s="210"/>
      <c r="AC139" s="210"/>
      <c r="AI139" s="210"/>
      <c r="AJ139" s="210"/>
    </row>
    <row r="140" ht="12.75" customHeight="1">
      <c r="C140" s="210"/>
      <c r="D140" s="210"/>
      <c r="E140" s="210"/>
      <c r="F140" s="210"/>
      <c r="G140" s="210"/>
      <c r="H140" s="210"/>
      <c r="I140" s="210"/>
      <c r="J140" s="210"/>
      <c r="K140" s="210"/>
      <c r="L140" s="210"/>
      <c r="M140" s="210"/>
      <c r="N140" s="210"/>
      <c r="O140" s="210"/>
      <c r="P140" s="210"/>
      <c r="Q140" s="210"/>
      <c r="R140" s="210"/>
      <c r="S140" s="210"/>
      <c r="T140" s="210"/>
      <c r="U140" s="210"/>
      <c r="V140" s="210"/>
      <c r="W140" s="210"/>
      <c r="X140" s="210"/>
      <c r="Y140" s="210"/>
      <c r="Z140" s="210"/>
      <c r="AA140" s="210"/>
      <c r="AB140" s="210"/>
      <c r="AC140" s="210"/>
      <c r="AI140" s="210"/>
      <c r="AJ140" s="210"/>
    </row>
    <row r="141" ht="12.75" customHeight="1">
      <c r="C141" s="210"/>
      <c r="D141" s="210"/>
      <c r="E141" s="210"/>
      <c r="F141" s="210"/>
      <c r="G141" s="210"/>
      <c r="H141" s="210"/>
      <c r="I141" s="210"/>
      <c r="J141" s="210"/>
      <c r="K141" s="210"/>
      <c r="L141" s="210"/>
      <c r="M141" s="210"/>
      <c r="N141" s="210"/>
      <c r="O141" s="210"/>
      <c r="P141" s="210"/>
      <c r="Q141" s="210"/>
      <c r="R141" s="210"/>
      <c r="S141" s="210"/>
      <c r="T141" s="210"/>
      <c r="U141" s="210"/>
      <c r="V141" s="210"/>
      <c r="W141" s="210"/>
      <c r="X141" s="210"/>
      <c r="Y141" s="210"/>
      <c r="Z141" s="210"/>
      <c r="AA141" s="210"/>
      <c r="AB141" s="210"/>
      <c r="AC141" s="210"/>
      <c r="AI141" s="210"/>
      <c r="AJ141" s="210"/>
    </row>
    <row r="142" ht="12.75" customHeight="1">
      <c r="C142" s="210"/>
      <c r="D142" s="210"/>
      <c r="E142" s="210"/>
      <c r="F142" s="210"/>
      <c r="G142" s="210"/>
      <c r="H142" s="210"/>
      <c r="I142" s="210"/>
      <c r="J142" s="210"/>
      <c r="K142" s="210"/>
      <c r="L142" s="210"/>
      <c r="M142" s="210"/>
      <c r="N142" s="210"/>
      <c r="O142" s="210"/>
      <c r="P142" s="210"/>
      <c r="Q142" s="210"/>
      <c r="R142" s="210"/>
      <c r="S142" s="210"/>
      <c r="T142" s="210"/>
      <c r="U142" s="210"/>
      <c r="V142" s="210"/>
      <c r="W142" s="210"/>
      <c r="X142" s="210"/>
      <c r="Y142" s="210"/>
      <c r="Z142" s="210"/>
      <c r="AA142" s="210"/>
      <c r="AB142" s="210"/>
      <c r="AC142" s="210"/>
      <c r="AI142" s="210"/>
      <c r="AJ142" s="210"/>
    </row>
    <row r="143" ht="12.75" customHeight="1">
      <c r="C143" s="210"/>
      <c r="D143" s="210"/>
      <c r="E143" s="210"/>
      <c r="F143" s="210"/>
      <c r="G143" s="210"/>
      <c r="H143" s="210"/>
      <c r="I143" s="210"/>
      <c r="J143" s="210"/>
      <c r="K143" s="210"/>
      <c r="L143" s="210"/>
      <c r="M143" s="210"/>
      <c r="N143" s="210"/>
      <c r="O143" s="210"/>
      <c r="P143" s="210"/>
      <c r="Q143" s="210"/>
      <c r="R143" s="210"/>
      <c r="S143" s="210"/>
      <c r="T143" s="210"/>
      <c r="U143" s="210"/>
      <c r="V143" s="210"/>
      <c r="W143" s="210"/>
      <c r="X143" s="210"/>
      <c r="Y143" s="210"/>
      <c r="Z143" s="210"/>
      <c r="AA143" s="210"/>
      <c r="AB143" s="210"/>
      <c r="AC143" s="210"/>
      <c r="AI143" s="210"/>
      <c r="AJ143" s="210"/>
    </row>
    <row r="144" ht="12.75" customHeight="1">
      <c r="C144" s="210"/>
      <c r="D144" s="210"/>
      <c r="E144" s="210"/>
      <c r="F144" s="210"/>
      <c r="G144" s="210"/>
      <c r="H144" s="210"/>
      <c r="I144" s="210"/>
      <c r="J144" s="210"/>
      <c r="K144" s="210"/>
      <c r="L144" s="210"/>
      <c r="M144" s="210"/>
      <c r="N144" s="210"/>
      <c r="O144" s="210"/>
      <c r="P144" s="210"/>
      <c r="Q144" s="210"/>
      <c r="R144" s="210"/>
      <c r="S144" s="210"/>
      <c r="T144" s="210"/>
      <c r="U144" s="210"/>
      <c r="V144" s="210"/>
      <c r="W144" s="210"/>
      <c r="X144" s="210"/>
      <c r="Y144" s="210"/>
      <c r="Z144" s="210"/>
      <c r="AA144" s="210"/>
      <c r="AB144" s="210"/>
      <c r="AC144" s="210"/>
      <c r="AI144" s="210"/>
      <c r="AJ144" s="210"/>
    </row>
    <row r="145" ht="12.75" customHeight="1">
      <c r="C145" s="210"/>
      <c r="D145" s="210"/>
      <c r="E145" s="210"/>
      <c r="F145" s="210"/>
      <c r="G145" s="210"/>
      <c r="H145" s="210"/>
      <c r="I145" s="210"/>
      <c r="J145" s="210"/>
      <c r="K145" s="210"/>
      <c r="L145" s="210"/>
      <c r="M145" s="210"/>
      <c r="N145" s="210"/>
      <c r="O145" s="210"/>
      <c r="P145" s="210"/>
      <c r="Q145" s="210"/>
      <c r="R145" s="210"/>
      <c r="S145" s="210"/>
      <c r="T145" s="210"/>
      <c r="U145" s="210"/>
      <c r="V145" s="210"/>
      <c r="W145" s="210"/>
      <c r="X145" s="210"/>
      <c r="Y145" s="210"/>
      <c r="Z145" s="210"/>
      <c r="AA145" s="210"/>
      <c r="AB145" s="210"/>
      <c r="AC145" s="210"/>
      <c r="AI145" s="210"/>
      <c r="AJ145" s="210"/>
    </row>
    <row r="146" ht="12.75" customHeight="1">
      <c r="C146" s="210"/>
      <c r="D146" s="210"/>
      <c r="E146" s="210"/>
      <c r="F146" s="210"/>
      <c r="G146" s="210"/>
      <c r="H146" s="210"/>
      <c r="I146" s="210"/>
      <c r="J146" s="210"/>
      <c r="K146" s="210"/>
      <c r="L146" s="210"/>
      <c r="M146" s="210"/>
      <c r="N146" s="210"/>
      <c r="O146" s="210"/>
      <c r="P146" s="210"/>
      <c r="Q146" s="210"/>
      <c r="R146" s="210"/>
      <c r="S146" s="210"/>
      <c r="T146" s="210"/>
      <c r="U146" s="210"/>
      <c r="V146" s="210"/>
      <c r="W146" s="210"/>
      <c r="X146" s="210"/>
      <c r="Y146" s="210"/>
      <c r="Z146" s="210"/>
      <c r="AA146" s="210"/>
      <c r="AB146" s="210"/>
      <c r="AC146" s="210"/>
      <c r="AI146" s="210"/>
      <c r="AJ146" s="210"/>
    </row>
    <row r="147" ht="12.75" customHeight="1">
      <c r="C147" s="210"/>
      <c r="D147" s="210"/>
      <c r="E147" s="210"/>
      <c r="F147" s="210"/>
      <c r="G147" s="210"/>
      <c r="H147" s="210"/>
      <c r="I147" s="210"/>
      <c r="J147" s="210"/>
      <c r="K147" s="210"/>
      <c r="L147" s="210"/>
      <c r="M147" s="210"/>
      <c r="N147" s="210"/>
      <c r="O147" s="210"/>
      <c r="P147" s="210"/>
      <c r="Q147" s="210"/>
      <c r="R147" s="210"/>
      <c r="S147" s="210"/>
      <c r="T147" s="210"/>
      <c r="U147" s="210"/>
      <c r="V147" s="210"/>
      <c r="W147" s="210"/>
      <c r="X147" s="210"/>
      <c r="Y147" s="210"/>
      <c r="Z147" s="210"/>
      <c r="AA147" s="210"/>
      <c r="AB147" s="210"/>
      <c r="AC147" s="210"/>
      <c r="AI147" s="210"/>
      <c r="AJ147" s="210"/>
    </row>
    <row r="148" ht="12.75" customHeight="1">
      <c r="C148" s="210"/>
      <c r="D148" s="210"/>
      <c r="E148" s="210"/>
      <c r="F148" s="210"/>
      <c r="G148" s="210"/>
      <c r="H148" s="210"/>
      <c r="I148" s="210"/>
      <c r="J148" s="210"/>
      <c r="K148" s="210"/>
      <c r="L148" s="210"/>
      <c r="M148" s="210"/>
      <c r="N148" s="210"/>
      <c r="O148" s="210"/>
      <c r="P148" s="210"/>
      <c r="Q148" s="210"/>
      <c r="R148" s="210"/>
      <c r="S148" s="210"/>
      <c r="T148" s="210"/>
      <c r="U148" s="210"/>
      <c r="V148" s="210"/>
      <c r="W148" s="210"/>
      <c r="X148" s="210"/>
      <c r="Y148" s="210"/>
      <c r="Z148" s="210"/>
      <c r="AA148" s="210"/>
      <c r="AB148" s="210"/>
      <c r="AC148" s="210"/>
      <c r="AI148" s="210"/>
      <c r="AJ148" s="210"/>
    </row>
    <row r="149" ht="12.75" customHeight="1">
      <c r="C149" s="210"/>
      <c r="D149" s="210"/>
      <c r="E149" s="210"/>
      <c r="F149" s="210"/>
      <c r="G149" s="210"/>
      <c r="H149" s="210"/>
      <c r="I149" s="210"/>
      <c r="J149" s="210"/>
      <c r="K149" s="210"/>
      <c r="L149" s="210"/>
      <c r="M149" s="210"/>
      <c r="N149" s="210"/>
      <c r="O149" s="210"/>
      <c r="P149" s="210"/>
      <c r="Q149" s="210"/>
      <c r="R149" s="210"/>
      <c r="S149" s="210"/>
      <c r="T149" s="210"/>
      <c r="U149" s="210"/>
      <c r="V149" s="210"/>
      <c r="W149" s="210"/>
      <c r="X149" s="210"/>
      <c r="Y149" s="210"/>
      <c r="Z149" s="210"/>
      <c r="AA149" s="210"/>
      <c r="AB149" s="210"/>
      <c r="AC149" s="210"/>
      <c r="AI149" s="210"/>
      <c r="AJ149" s="210"/>
    </row>
    <row r="150" ht="12.75" customHeight="1">
      <c r="C150" s="210"/>
      <c r="D150" s="210"/>
      <c r="E150" s="210"/>
      <c r="F150" s="210"/>
      <c r="G150" s="210"/>
      <c r="H150" s="210"/>
      <c r="I150" s="210"/>
      <c r="J150" s="210"/>
      <c r="K150" s="210"/>
      <c r="L150" s="210"/>
      <c r="M150" s="210"/>
      <c r="N150" s="210"/>
      <c r="O150" s="210"/>
      <c r="P150" s="210"/>
      <c r="Q150" s="210"/>
      <c r="R150" s="210"/>
      <c r="S150" s="210"/>
      <c r="T150" s="210"/>
      <c r="U150" s="210"/>
      <c r="V150" s="210"/>
      <c r="W150" s="210"/>
      <c r="X150" s="210"/>
      <c r="Y150" s="210"/>
      <c r="Z150" s="210"/>
      <c r="AA150" s="210"/>
      <c r="AB150" s="210"/>
      <c r="AC150" s="210"/>
      <c r="AI150" s="210"/>
      <c r="AJ150" s="210"/>
    </row>
    <row r="151" ht="12.75" customHeight="1">
      <c r="C151" s="210"/>
      <c r="D151" s="210"/>
      <c r="E151" s="210"/>
      <c r="F151" s="210"/>
      <c r="G151" s="210"/>
      <c r="H151" s="210"/>
      <c r="I151" s="210"/>
      <c r="J151" s="210"/>
      <c r="K151" s="210"/>
      <c r="L151" s="210"/>
      <c r="M151" s="210"/>
      <c r="N151" s="210"/>
      <c r="O151" s="210"/>
      <c r="P151" s="210"/>
      <c r="Q151" s="210"/>
      <c r="R151" s="210"/>
      <c r="S151" s="210"/>
      <c r="T151" s="210"/>
      <c r="U151" s="210"/>
      <c r="V151" s="210"/>
      <c r="W151" s="210"/>
      <c r="X151" s="210"/>
      <c r="Y151" s="210"/>
      <c r="Z151" s="210"/>
      <c r="AA151" s="210"/>
      <c r="AB151" s="210"/>
      <c r="AC151" s="210"/>
      <c r="AI151" s="210"/>
      <c r="AJ151" s="210"/>
    </row>
    <row r="152" ht="12.75" customHeight="1">
      <c r="C152" s="210"/>
      <c r="D152" s="210"/>
      <c r="E152" s="210"/>
      <c r="F152" s="210"/>
      <c r="G152" s="210"/>
      <c r="H152" s="210"/>
      <c r="I152" s="210"/>
      <c r="J152" s="210"/>
      <c r="K152" s="210"/>
      <c r="L152" s="210"/>
      <c r="M152" s="210"/>
      <c r="N152" s="210"/>
      <c r="O152" s="210"/>
      <c r="P152" s="210"/>
      <c r="Q152" s="210"/>
      <c r="R152" s="210"/>
      <c r="S152" s="210"/>
      <c r="T152" s="210"/>
      <c r="U152" s="210"/>
      <c r="V152" s="210"/>
      <c r="W152" s="210"/>
      <c r="X152" s="210"/>
      <c r="Y152" s="210"/>
      <c r="Z152" s="210"/>
      <c r="AA152" s="210"/>
      <c r="AB152" s="210"/>
      <c r="AC152" s="210"/>
      <c r="AI152" s="210"/>
      <c r="AJ152" s="210"/>
    </row>
    <row r="153" ht="12.75" customHeight="1">
      <c r="C153" s="210"/>
      <c r="D153" s="210"/>
      <c r="E153" s="210"/>
      <c r="F153" s="210"/>
      <c r="G153" s="210"/>
      <c r="H153" s="210"/>
      <c r="I153" s="210"/>
      <c r="J153" s="210"/>
      <c r="K153" s="210"/>
      <c r="L153" s="210"/>
      <c r="M153" s="210"/>
      <c r="N153" s="210"/>
      <c r="O153" s="210"/>
      <c r="P153" s="210"/>
      <c r="Q153" s="210"/>
      <c r="R153" s="210"/>
      <c r="S153" s="210"/>
      <c r="T153" s="210"/>
      <c r="U153" s="210"/>
      <c r="V153" s="210"/>
      <c r="W153" s="210"/>
      <c r="X153" s="210"/>
      <c r="Y153" s="210"/>
      <c r="Z153" s="210"/>
      <c r="AA153" s="210"/>
      <c r="AB153" s="210"/>
      <c r="AC153" s="210"/>
      <c r="AI153" s="210"/>
      <c r="AJ153" s="210"/>
    </row>
    <row r="154" ht="12.75" customHeight="1">
      <c r="C154" s="210"/>
      <c r="D154" s="210"/>
      <c r="E154" s="210"/>
      <c r="F154" s="210"/>
      <c r="G154" s="210"/>
      <c r="H154" s="210"/>
      <c r="I154" s="210"/>
      <c r="J154" s="210"/>
      <c r="K154" s="210"/>
      <c r="L154" s="210"/>
      <c r="M154" s="210"/>
      <c r="N154" s="210"/>
      <c r="O154" s="210"/>
      <c r="P154" s="210"/>
      <c r="Q154" s="210"/>
      <c r="R154" s="210"/>
      <c r="S154" s="210"/>
      <c r="T154" s="210"/>
      <c r="U154" s="210"/>
      <c r="V154" s="210"/>
      <c r="W154" s="210"/>
      <c r="X154" s="210"/>
      <c r="Y154" s="210"/>
      <c r="Z154" s="210"/>
      <c r="AA154" s="210"/>
      <c r="AB154" s="210"/>
      <c r="AC154" s="210"/>
      <c r="AI154" s="210"/>
      <c r="AJ154" s="210"/>
    </row>
    <row r="155" ht="12.75" customHeight="1">
      <c r="C155" s="210"/>
      <c r="D155" s="210"/>
      <c r="E155" s="210"/>
      <c r="F155" s="210"/>
      <c r="G155" s="210"/>
      <c r="H155" s="210"/>
      <c r="I155" s="210"/>
      <c r="J155" s="210"/>
      <c r="K155" s="210"/>
      <c r="L155" s="210"/>
      <c r="M155" s="210"/>
      <c r="N155" s="210"/>
      <c r="O155" s="210"/>
      <c r="P155" s="210"/>
      <c r="Q155" s="210"/>
      <c r="R155" s="210"/>
      <c r="S155" s="210"/>
      <c r="T155" s="210"/>
      <c r="U155" s="210"/>
      <c r="V155" s="210"/>
      <c r="W155" s="210"/>
      <c r="X155" s="210"/>
      <c r="Y155" s="210"/>
      <c r="Z155" s="210"/>
      <c r="AA155" s="210"/>
      <c r="AB155" s="210"/>
      <c r="AC155" s="210"/>
      <c r="AI155" s="210"/>
      <c r="AJ155" s="210"/>
    </row>
    <row r="156" ht="12.75" customHeight="1">
      <c r="C156" s="210"/>
      <c r="D156" s="210"/>
      <c r="E156" s="210"/>
      <c r="F156" s="210"/>
      <c r="G156" s="210"/>
      <c r="H156" s="210"/>
      <c r="I156" s="210"/>
      <c r="J156" s="210"/>
      <c r="K156" s="210"/>
      <c r="L156" s="210"/>
      <c r="M156" s="210"/>
      <c r="N156" s="210"/>
      <c r="O156" s="210"/>
      <c r="P156" s="210"/>
      <c r="Q156" s="210"/>
      <c r="R156" s="210"/>
      <c r="S156" s="210"/>
      <c r="T156" s="210"/>
      <c r="U156" s="210"/>
      <c r="V156" s="210"/>
      <c r="W156" s="210"/>
      <c r="X156" s="210"/>
      <c r="Y156" s="210"/>
      <c r="Z156" s="210"/>
      <c r="AA156" s="210"/>
      <c r="AB156" s="210"/>
      <c r="AC156" s="210"/>
      <c r="AI156" s="210"/>
      <c r="AJ156" s="210"/>
    </row>
    <row r="157" ht="12.75" customHeight="1">
      <c r="C157" s="210"/>
      <c r="D157" s="210"/>
      <c r="E157" s="210"/>
      <c r="F157" s="210"/>
      <c r="G157" s="210"/>
      <c r="H157" s="210"/>
      <c r="I157" s="210"/>
      <c r="J157" s="210"/>
      <c r="K157" s="210"/>
      <c r="L157" s="210"/>
      <c r="M157" s="210"/>
      <c r="N157" s="210"/>
      <c r="O157" s="210"/>
      <c r="P157" s="210"/>
      <c r="Q157" s="210"/>
      <c r="R157" s="210"/>
      <c r="S157" s="210"/>
      <c r="T157" s="210"/>
      <c r="U157" s="210"/>
      <c r="V157" s="210"/>
      <c r="W157" s="210"/>
      <c r="X157" s="210"/>
      <c r="Y157" s="210"/>
      <c r="Z157" s="210"/>
      <c r="AA157" s="210"/>
      <c r="AB157" s="210"/>
      <c r="AC157" s="210"/>
      <c r="AI157" s="210"/>
      <c r="AJ157" s="210"/>
    </row>
    <row r="158" ht="12.75" customHeight="1">
      <c r="C158" s="210"/>
      <c r="D158" s="210"/>
      <c r="E158" s="210"/>
      <c r="F158" s="210"/>
      <c r="G158" s="210"/>
      <c r="H158" s="210"/>
      <c r="I158" s="210"/>
      <c r="J158" s="210"/>
      <c r="K158" s="210"/>
      <c r="L158" s="210"/>
      <c r="M158" s="210"/>
      <c r="N158" s="210"/>
      <c r="O158" s="210"/>
      <c r="P158" s="210"/>
      <c r="Q158" s="210"/>
      <c r="R158" s="210"/>
      <c r="S158" s="210"/>
      <c r="T158" s="210"/>
      <c r="U158" s="210"/>
      <c r="V158" s="210"/>
      <c r="W158" s="210"/>
      <c r="X158" s="210"/>
      <c r="Y158" s="210"/>
      <c r="Z158" s="210"/>
      <c r="AA158" s="210"/>
      <c r="AB158" s="210"/>
      <c r="AC158" s="210"/>
      <c r="AI158" s="210"/>
      <c r="AJ158" s="210"/>
    </row>
    <row r="159" ht="12.75" customHeight="1">
      <c r="C159" s="210"/>
      <c r="D159" s="210"/>
      <c r="E159" s="210"/>
      <c r="F159" s="210"/>
      <c r="G159" s="210"/>
      <c r="H159" s="210"/>
      <c r="I159" s="210"/>
      <c r="J159" s="210"/>
      <c r="K159" s="210"/>
      <c r="L159" s="210"/>
      <c r="M159" s="210"/>
      <c r="N159" s="210"/>
      <c r="O159" s="210"/>
      <c r="P159" s="210"/>
      <c r="Q159" s="210"/>
      <c r="R159" s="210"/>
      <c r="S159" s="210"/>
      <c r="T159" s="210"/>
      <c r="U159" s="210"/>
      <c r="V159" s="210"/>
      <c r="W159" s="210"/>
      <c r="X159" s="210"/>
      <c r="Y159" s="210"/>
      <c r="Z159" s="210"/>
      <c r="AA159" s="210"/>
      <c r="AB159" s="210"/>
      <c r="AC159" s="210"/>
      <c r="AI159" s="210"/>
      <c r="AJ159" s="210"/>
    </row>
    <row r="160" ht="12.75" customHeight="1">
      <c r="C160" s="210"/>
      <c r="D160" s="210"/>
      <c r="E160" s="210"/>
      <c r="F160" s="210"/>
      <c r="G160" s="210"/>
      <c r="H160" s="210"/>
      <c r="I160" s="210"/>
      <c r="J160" s="210"/>
      <c r="K160" s="210"/>
      <c r="L160" s="210"/>
      <c r="M160" s="210"/>
      <c r="N160" s="210"/>
      <c r="O160" s="210"/>
      <c r="P160" s="210"/>
      <c r="Q160" s="210"/>
      <c r="R160" s="210"/>
      <c r="S160" s="210"/>
      <c r="T160" s="210"/>
      <c r="U160" s="210"/>
      <c r="V160" s="210"/>
      <c r="W160" s="210"/>
      <c r="X160" s="210"/>
      <c r="Y160" s="210"/>
      <c r="Z160" s="210"/>
      <c r="AA160" s="210"/>
      <c r="AB160" s="210"/>
      <c r="AC160" s="210"/>
      <c r="AI160" s="210"/>
      <c r="AJ160" s="210"/>
    </row>
    <row r="161" ht="12.75" customHeight="1">
      <c r="C161" s="210"/>
      <c r="D161" s="210"/>
      <c r="E161" s="210"/>
      <c r="F161" s="210"/>
      <c r="G161" s="210"/>
      <c r="H161" s="210"/>
      <c r="I161" s="210"/>
      <c r="J161" s="210"/>
      <c r="K161" s="210"/>
      <c r="L161" s="210"/>
      <c r="M161" s="210"/>
      <c r="N161" s="210"/>
      <c r="O161" s="210"/>
      <c r="P161" s="210"/>
      <c r="Q161" s="210"/>
      <c r="R161" s="210"/>
      <c r="S161" s="210"/>
      <c r="T161" s="210"/>
      <c r="U161" s="210"/>
      <c r="V161" s="210"/>
      <c r="W161" s="210"/>
      <c r="X161" s="210"/>
      <c r="Y161" s="210"/>
      <c r="Z161" s="210"/>
      <c r="AA161" s="210"/>
      <c r="AB161" s="210"/>
      <c r="AC161" s="210"/>
      <c r="AI161" s="210"/>
      <c r="AJ161" s="210"/>
    </row>
    <row r="162" ht="12.75" customHeight="1">
      <c r="C162" s="210"/>
      <c r="D162" s="210"/>
      <c r="E162" s="210"/>
      <c r="F162" s="210"/>
      <c r="G162" s="210"/>
      <c r="H162" s="210"/>
      <c r="I162" s="210"/>
      <c r="J162" s="210"/>
      <c r="K162" s="210"/>
      <c r="L162" s="210"/>
      <c r="M162" s="210"/>
      <c r="N162" s="210"/>
      <c r="O162" s="210"/>
      <c r="P162" s="210"/>
      <c r="Q162" s="210"/>
      <c r="R162" s="210"/>
      <c r="S162" s="210"/>
      <c r="T162" s="210"/>
      <c r="U162" s="210"/>
      <c r="V162" s="210"/>
      <c r="W162" s="210"/>
      <c r="X162" s="210"/>
      <c r="Y162" s="210"/>
      <c r="Z162" s="210"/>
      <c r="AA162" s="210"/>
      <c r="AB162" s="210"/>
      <c r="AC162" s="210"/>
      <c r="AI162" s="210"/>
      <c r="AJ162" s="210"/>
    </row>
    <row r="163" ht="12.75" customHeight="1">
      <c r="C163" s="210"/>
      <c r="D163" s="210"/>
      <c r="E163" s="210"/>
      <c r="F163" s="210"/>
      <c r="G163" s="210"/>
      <c r="H163" s="210"/>
      <c r="I163" s="210"/>
      <c r="J163" s="210"/>
      <c r="K163" s="210"/>
      <c r="L163" s="210"/>
      <c r="M163" s="210"/>
      <c r="N163" s="210"/>
      <c r="O163" s="210"/>
      <c r="P163" s="210"/>
      <c r="Q163" s="210"/>
      <c r="R163" s="210"/>
      <c r="S163" s="210"/>
      <c r="T163" s="210"/>
      <c r="U163" s="210"/>
      <c r="V163" s="210"/>
      <c r="W163" s="210"/>
      <c r="X163" s="210"/>
      <c r="Y163" s="210"/>
      <c r="Z163" s="210"/>
      <c r="AA163" s="210"/>
      <c r="AB163" s="210"/>
      <c r="AC163" s="210"/>
      <c r="AI163" s="210"/>
      <c r="AJ163" s="210"/>
    </row>
    <row r="164" ht="12.75" customHeight="1">
      <c r="C164" s="210"/>
      <c r="D164" s="210"/>
      <c r="E164" s="210"/>
      <c r="F164" s="210"/>
      <c r="G164" s="210"/>
      <c r="H164" s="210"/>
      <c r="I164" s="210"/>
      <c r="J164" s="210"/>
      <c r="K164" s="210"/>
      <c r="L164" s="210"/>
      <c r="M164" s="210"/>
      <c r="N164" s="210"/>
      <c r="O164" s="210"/>
      <c r="P164" s="210"/>
      <c r="Q164" s="210"/>
      <c r="R164" s="210"/>
      <c r="S164" s="210"/>
      <c r="T164" s="210"/>
      <c r="U164" s="210"/>
      <c r="V164" s="210"/>
      <c r="W164" s="210"/>
      <c r="X164" s="210"/>
      <c r="Y164" s="210"/>
      <c r="Z164" s="210"/>
      <c r="AA164" s="210"/>
      <c r="AB164" s="210"/>
      <c r="AC164" s="210"/>
      <c r="AI164" s="210"/>
      <c r="AJ164" s="210"/>
    </row>
    <row r="165" ht="12.75" customHeight="1">
      <c r="C165" s="210"/>
      <c r="D165" s="210"/>
      <c r="E165" s="210"/>
      <c r="F165" s="210"/>
      <c r="G165" s="210"/>
      <c r="H165" s="210"/>
      <c r="I165" s="210"/>
      <c r="J165" s="210"/>
      <c r="K165" s="210"/>
      <c r="L165" s="210"/>
      <c r="M165" s="210"/>
      <c r="N165" s="210"/>
      <c r="O165" s="210"/>
      <c r="P165" s="210"/>
      <c r="Q165" s="210"/>
      <c r="R165" s="210"/>
      <c r="S165" s="210"/>
      <c r="T165" s="210"/>
      <c r="U165" s="210"/>
      <c r="V165" s="210"/>
      <c r="W165" s="210"/>
      <c r="X165" s="210"/>
      <c r="Y165" s="210"/>
      <c r="Z165" s="210"/>
      <c r="AA165" s="210"/>
      <c r="AB165" s="210"/>
      <c r="AC165" s="210"/>
      <c r="AI165" s="210"/>
      <c r="AJ165" s="210"/>
    </row>
    <row r="166" ht="12.75" customHeight="1">
      <c r="C166" s="210"/>
      <c r="D166" s="210"/>
      <c r="E166" s="210"/>
      <c r="F166" s="210"/>
      <c r="G166" s="210"/>
      <c r="H166" s="210"/>
      <c r="I166" s="210"/>
      <c r="J166" s="210"/>
      <c r="K166" s="210"/>
      <c r="L166" s="210"/>
      <c r="M166" s="210"/>
      <c r="N166" s="210"/>
      <c r="O166" s="210"/>
      <c r="P166" s="210"/>
      <c r="Q166" s="210"/>
      <c r="R166" s="210"/>
      <c r="S166" s="210"/>
      <c r="T166" s="210"/>
      <c r="U166" s="210"/>
      <c r="V166" s="210"/>
      <c r="W166" s="210"/>
      <c r="X166" s="210"/>
      <c r="Y166" s="210"/>
      <c r="Z166" s="210"/>
      <c r="AA166" s="210"/>
      <c r="AB166" s="210"/>
      <c r="AC166" s="210"/>
      <c r="AI166" s="210"/>
      <c r="AJ166" s="210"/>
    </row>
    <row r="167" ht="12.75" customHeight="1">
      <c r="C167" s="210"/>
      <c r="D167" s="210"/>
      <c r="E167" s="210"/>
      <c r="F167" s="210"/>
      <c r="G167" s="210"/>
      <c r="H167" s="210"/>
      <c r="I167" s="210"/>
      <c r="J167" s="210"/>
      <c r="K167" s="210"/>
      <c r="L167" s="210"/>
      <c r="M167" s="210"/>
      <c r="N167" s="210"/>
      <c r="O167" s="210"/>
      <c r="P167" s="210"/>
      <c r="Q167" s="210"/>
      <c r="R167" s="210"/>
      <c r="S167" s="210"/>
      <c r="T167" s="210"/>
      <c r="U167" s="210"/>
      <c r="V167" s="210"/>
      <c r="W167" s="210"/>
      <c r="X167" s="210"/>
      <c r="Y167" s="210"/>
      <c r="Z167" s="210"/>
      <c r="AA167" s="210"/>
      <c r="AB167" s="210"/>
      <c r="AC167" s="210"/>
      <c r="AI167" s="210"/>
      <c r="AJ167" s="210"/>
    </row>
    <row r="168" ht="12.75" customHeight="1">
      <c r="C168" s="210"/>
      <c r="D168" s="210"/>
      <c r="E168" s="210"/>
      <c r="F168" s="210"/>
      <c r="G168" s="210"/>
      <c r="H168" s="210"/>
      <c r="I168" s="210"/>
      <c r="J168" s="210"/>
      <c r="K168" s="210"/>
      <c r="L168" s="210"/>
      <c r="M168" s="210"/>
      <c r="N168" s="210"/>
      <c r="O168" s="210"/>
      <c r="P168" s="210"/>
      <c r="Q168" s="210"/>
      <c r="R168" s="210"/>
      <c r="S168" s="210"/>
      <c r="T168" s="210"/>
      <c r="U168" s="210"/>
      <c r="V168" s="210"/>
      <c r="W168" s="210"/>
      <c r="X168" s="210"/>
      <c r="Y168" s="210"/>
      <c r="Z168" s="210"/>
      <c r="AA168" s="210"/>
      <c r="AB168" s="210"/>
      <c r="AC168" s="210"/>
      <c r="AI168" s="210"/>
      <c r="AJ168" s="210"/>
    </row>
    <row r="169" ht="12.75" customHeight="1">
      <c r="C169" s="210"/>
      <c r="D169" s="210"/>
      <c r="E169" s="210"/>
      <c r="F169" s="210"/>
      <c r="G169" s="210"/>
      <c r="H169" s="210"/>
      <c r="I169" s="210"/>
      <c r="J169" s="210"/>
      <c r="K169" s="210"/>
      <c r="L169" s="210"/>
      <c r="M169" s="210"/>
      <c r="N169" s="210"/>
      <c r="O169" s="210"/>
      <c r="P169" s="210"/>
      <c r="Q169" s="210"/>
      <c r="R169" s="210"/>
      <c r="S169" s="210"/>
      <c r="T169" s="210"/>
      <c r="U169" s="210"/>
      <c r="V169" s="210"/>
      <c r="W169" s="210"/>
      <c r="X169" s="210"/>
      <c r="Y169" s="210"/>
      <c r="Z169" s="210"/>
      <c r="AA169" s="210"/>
      <c r="AB169" s="210"/>
      <c r="AC169" s="210"/>
      <c r="AI169" s="210"/>
      <c r="AJ169" s="210"/>
    </row>
    <row r="170" ht="12.75" customHeight="1">
      <c r="C170" s="210"/>
      <c r="D170" s="210"/>
      <c r="E170" s="210"/>
      <c r="F170" s="210"/>
      <c r="G170" s="210"/>
      <c r="H170" s="210"/>
      <c r="I170" s="210"/>
      <c r="J170" s="210"/>
      <c r="K170" s="210"/>
      <c r="L170" s="210"/>
      <c r="M170" s="210"/>
      <c r="N170" s="210"/>
      <c r="O170" s="210"/>
      <c r="P170" s="210"/>
      <c r="Q170" s="210"/>
      <c r="R170" s="210"/>
      <c r="S170" s="210"/>
      <c r="T170" s="210"/>
      <c r="U170" s="210"/>
      <c r="V170" s="210"/>
      <c r="W170" s="210"/>
      <c r="X170" s="210"/>
      <c r="Y170" s="210"/>
      <c r="Z170" s="210"/>
      <c r="AA170" s="210"/>
      <c r="AB170" s="210"/>
      <c r="AC170" s="210"/>
      <c r="AI170" s="210"/>
      <c r="AJ170" s="210"/>
    </row>
    <row r="171" ht="12.75" customHeight="1">
      <c r="C171" s="210"/>
      <c r="D171" s="210"/>
      <c r="E171" s="210"/>
      <c r="F171" s="210"/>
      <c r="G171" s="210"/>
      <c r="H171" s="210"/>
      <c r="I171" s="210"/>
      <c r="J171" s="210"/>
      <c r="K171" s="210"/>
      <c r="L171" s="210"/>
      <c r="M171" s="210"/>
      <c r="N171" s="210"/>
      <c r="O171" s="210"/>
      <c r="P171" s="210"/>
      <c r="Q171" s="210"/>
      <c r="R171" s="210"/>
      <c r="S171" s="210"/>
      <c r="T171" s="210"/>
      <c r="U171" s="210"/>
      <c r="V171" s="210"/>
      <c r="W171" s="210"/>
      <c r="X171" s="210"/>
      <c r="Y171" s="210"/>
      <c r="Z171" s="210"/>
      <c r="AA171" s="210"/>
      <c r="AB171" s="210"/>
      <c r="AC171" s="210"/>
      <c r="AI171" s="210"/>
      <c r="AJ171" s="210"/>
    </row>
    <row r="172" ht="12.75" customHeight="1">
      <c r="C172" s="210"/>
      <c r="D172" s="210"/>
      <c r="E172" s="210"/>
      <c r="F172" s="210"/>
      <c r="G172" s="210"/>
      <c r="H172" s="210"/>
      <c r="I172" s="210"/>
      <c r="J172" s="210"/>
      <c r="K172" s="210"/>
      <c r="L172" s="210"/>
      <c r="M172" s="210"/>
      <c r="N172" s="210"/>
      <c r="O172" s="210"/>
      <c r="P172" s="210"/>
      <c r="Q172" s="210"/>
      <c r="R172" s="210"/>
      <c r="S172" s="210"/>
      <c r="T172" s="210"/>
      <c r="U172" s="210"/>
      <c r="V172" s="210"/>
      <c r="W172" s="210"/>
      <c r="X172" s="210"/>
      <c r="Y172" s="210"/>
      <c r="Z172" s="210"/>
      <c r="AA172" s="210"/>
      <c r="AB172" s="210"/>
      <c r="AC172" s="210"/>
      <c r="AI172" s="210"/>
      <c r="AJ172" s="210"/>
    </row>
    <row r="173" ht="12.75" customHeight="1">
      <c r="C173" s="210"/>
      <c r="D173" s="210"/>
      <c r="E173" s="210"/>
      <c r="F173" s="210"/>
      <c r="G173" s="210"/>
      <c r="H173" s="210"/>
      <c r="I173" s="210"/>
      <c r="J173" s="210"/>
      <c r="K173" s="210"/>
      <c r="L173" s="210"/>
      <c r="M173" s="210"/>
      <c r="N173" s="210"/>
      <c r="O173" s="210"/>
      <c r="P173" s="210"/>
      <c r="Q173" s="210"/>
      <c r="R173" s="210"/>
      <c r="S173" s="210"/>
      <c r="T173" s="210"/>
      <c r="U173" s="210"/>
      <c r="V173" s="210"/>
      <c r="W173" s="210"/>
      <c r="X173" s="210"/>
      <c r="Y173" s="210"/>
      <c r="Z173" s="210"/>
      <c r="AA173" s="210"/>
      <c r="AB173" s="210"/>
      <c r="AC173" s="210"/>
      <c r="AI173" s="210"/>
      <c r="AJ173" s="210"/>
    </row>
    <row r="174" ht="12.75" customHeight="1">
      <c r="C174" s="210"/>
      <c r="D174" s="210"/>
      <c r="E174" s="210"/>
      <c r="F174" s="210"/>
      <c r="G174" s="210"/>
      <c r="H174" s="210"/>
      <c r="I174" s="210"/>
      <c r="J174" s="210"/>
      <c r="K174" s="210"/>
      <c r="L174" s="210"/>
      <c r="M174" s="210"/>
      <c r="N174" s="210"/>
      <c r="O174" s="210"/>
      <c r="P174" s="210"/>
      <c r="Q174" s="210"/>
      <c r="R174" s="210"/>
      <c r="S174" s="210"/>
      <c r="T174" s="210"/>
      <c r="U174" s="210"/>
      <c r="V174" s="210"/>
      <c r="W174" s="210"/>
      <c r="X174" s="210"/>
      <c r="Y174" s="210"/>
      <c r="Z174" s="210"/>
      <c r="AA174" s="210"/>
      <c r="AB174" s="210"/>
      <c r="AC174" s="210"/>
      <c r="AI174" s="210"/>
      <c r="AJ174" s="210"/>
    </row>
    <row r="175" ht="12.75" customHeight="1">
      <c r="C175" s="210"/>
      <c r="D175" s="210"/>
      <c r="E175" s="210"/>
      <c r="F175" s="210"/>
      <c r="G175" s="210"/>
      <c r="H175" s="210"/>
      <c r="I175" s="210"/>
      <c r="J175" s="210"/>
      <c r="K175" s="210"/>
      <c r="L175" s="210"/>
      <c r="M175" s="210"/>
      <c r="N175" s="210"/>
      <c r="O175" s="210"/>
      <c r="P175" s="210"/>
      <c r="Q175" s="210"/>
      <c r="R175" s="210"/>
      <c r="S175" s="210"/>
      <c r="T175" s="210"/>
      <c r="U175" s="210"/>
      <c r="V175" s="210"/>
      <c r="W175" s="210"/>
      <c r="X175" s="210"/>
      <c r="Y175" s="210"/>
      <c r="Z175" s="210"/>
      <c r="AA175" s="210"/>
      <c r="AB175" s="210"/>
      <c r="AC175" s="210"/>
      <c r="AI175" s="210"/>
      <c r="AJ175" s="210"/>
    </row>
    <row r="176" ht="12.75" customHeight="1">
      <c r="C176" s="210"/>
      <c r="D176" s="210"/>
      <c r="E176" s="210"/>
      <c r="F176" s="210"/>
      <c r="G176" s="210"/>
      <c r="H176" s="210"/>
      <c r="I176" s="210"/>
      <c r="J176" s="210"/>
      <c r="K176" s="210"/>
      <c r="L176" s="210"/>
      <c r="M176" s="210"/>
      <c r="N176" s="210"/>
      <c r="O176" s="210"/>
      <c r="P176" s="210"/>
      <c r="Q176" s="210"/>
      <c r="R176" s="210"/>
      <c r="S176" s="210"/>
      <c r="T176" s="210"/>
      <c r="U176" s="210"/>
      <c r="V176" s="210"/>
      <c r="W176" s="210"/>
      <c r="X176" s="210"/>
      <c r="Y176" s="210"/>
      <c r="Z176" s="210"/>
      <c r="AA176" s="210"/>
      <c r="AB176" s="210"/>
      <c r="AC176" s="210"/>
      <c r="AI176" s="210"/>
      <c r="AJ176" s="210"/>
    </row>
    <row r="177" ht="12.75" customHeight="1">
      <c r="C177" s="210"/>
      <c r="D177" s="210"/>
      <c r="E177" s="210"/>
      <c r="F177" s="210"/>
      <c r="G177" s="210"/>
      <c r="H177" s="210"/>
      <c r="I177" s="210"/>
      <c r="J177" s="210"/>
      <c r="K177" s="210"/>
      <c r="L177" s="210"/>
      <c r="M177" s="210"/>
      <c r="N177" s="210"/>
      <c r="O177" s="210"/>
      <c r="P177" s="210"/>
      <c r="Q177" s="210"/>
      <c r="R177" s="210"/>
      <c r="S177" s="210"/>
      <c r="T177" s="210"/>
      <c r="U177" s="210"/>
      <c r="V177" s="210"/>
      <c r="W177" s="210"/>
      <c r="X177" s="210"/>
      <c r="Y177" s="210"/>
      <c r="Z177" s="210"/>
      <c r="AA177" s="210"/>
      <c r="AB177" s="210"/>
      <c r="AC177" s="210"/>
      <c r="AI177" s="210"/>
      <c r="AJ177" s="210"/>
    </row>
    <row r="178" ht="12.75" customHeight="1">
      <c r="C178" s="210"/>
      <c r="D178" s="210"/>
      <c r="E178" s="210"/>
      <c r="F178" s="210"/>
      <c r="G178" s="210"/>
      <c r="H178" s="210"/>
      <c r="I178" s="210"/>
      <c r="J178" s="210"/>
      <c r="K178" s="210"/>
      <c r="L178" s="210"/>
      <c r="M178" s="210"/>
      <c r="N178" s="210"/>
      <c r="O178" s="210"/>
      <c r="P178" s="210"/>
      <c r="Q178" s="210"/>
      <c r="R178" s="210"/>
      <c r="S178" s="210"/>
      <c r="T178" s="210"/>
      <c r="U178" s="210"/>
      <c r="V178" s="210"/>
      <c r="W178" s="210"/>
      <c r="X178" s="210"/>
      <c r="Y178" s="210"/>
      <c r="Z178" s="210"/>
      <c r="AA178" s="210"/>
      <c r="AB178" s="210"/>
      <c r="AC178" s="210"/>
      <c r="AI178" s="210"/>
      <c r="AJ178" s="210"/>
    </row>
    <row r="179" ht="12.75" customHeight="1">
      <c r="C179" s="210"/>
      <c r="D179" s="210"/>
      <c r="E179" s="210"/>
      <c r="F179" s="210"/>
      <c r="G179" s="210"/>
      <c r="H179" s="210"/>
      <c r="I179" s="210"/>
      <c r="J179" s="210"/>
      <c r="K179" s="210"/>
      <c r="L179" s="210"/>
      <c r="M179" s="210"/>
      <c r="N179" s="210"/>
      <c r="O179" s="210"/>
      <c r="P179" s="210"/>
      <c r="Q179" s="210"/>
      <c r="R179" s="210"/>
      <c r="S179" s="210"/>
      <c r="T179" s="210"/>
      <c r="U179" s="210"/>
      <c r="V179" s="210"/>
      <c r="W179" s="210"/>
      <c r="X179" s="210"/>
      <c r="Y179" s="210"/>
      <c r="Z179" s="210"/>
      <c r="AA179" s="210"/>
      <c r="AB179" s="210"/>
      <c r="AC179" s="210"/>
      <c r="AI179" s="210"/>
      <c r="AJ179" s="210"/>
    </row>
    <row r="180" ht="12.75" customHeight="1">
      <c r="C180" s="210"/>
      <c r="D180" s="210"/>
      <c r="E180" s="210"/>
      <c r="F180" s="210"/>
      <c r="G180" s="210"/>
      <c r="H180" s="210"/>
      <c r="I180" s="210"/>
      <c r="J180" s="210"/>
      <c r="K180" s="210"/>
      <c r="L180" s="210"/>
      <c r="M180" s="210"/>
      <c r="N180" s="210"/>
      <c r="O180" s="210"/>
      <c r="P180" s="210"/>
      <c r="Q180" s="210"/>
      <c r="R180" s="210"/>
      <c r="S180" s="210"/>
      <c r="T180" s="210"/>
      <c r="U180" s="210"/>
      <c r="V180" s="210"/>
      <c r="W180" s="210"/>
      <c r="X180" s="210"/>
      <c r="Y180" s="210"/>
      <c r="Z180" s="210"/>
      <c r="AA180" s="210"/>
      <c r="AB180" s="210"/>
      <c r="AC180" s="210"/>
      <c r="AI180" s="210"/>
      <c r="AJ180" s="210"/>
    </row>
    <row r="181" ht="12.75" customHeight="1">
      <c r="C181" s="210"/>
      <c r="D181" s="210"/>
      <c r="E181" s="210"/>
      <c r="F181" s="210"/>
      <c r="G181" s="210"/>
      <c r="H181" s="210"/>
      <c r="I181" s="210"/>
      <c r="J181" s="210"/>
      <c r="K181" s="210"/>
      <c r="L181" s="210"/>
      <c r="M181" s="210"/>
      <c r="N181" s="210"/>
      <c r="O181" s="210"/>
      <c r="P181" s="210"/>
      <c r="Q181" s="210"/>
      <c r="R181" s="210"/>
      <c r="S181" s="210"/>
      <c r="T181" s="210"/>
      <c r="U181" s="210"/>
      <c r="V181" s="210"/>
      <c r="W181" s="210"/>
      <c r="X181" s="210"/>
      <c r="Y181" s="210"/>
      <c r="Z181" s="210"/>
      <c r="AA181" s="210"/>
      <c r="AB181" s="210"/>
      <c r="AC181" s="210"/>
      <c r="AI181" s="210"/>
      <c r="AJ181" s="210"/>
    </row>
    <row r="182" ht="12.75" customHeight="1">
      <c r="C182" s="210"/>
      <c r="D182" s="210"/>
      <c r="E182" s="210"/>
      <c r="F182" s="210"/>
      <c r="G182" s="210"/>
      <c r="H182" s="210"/>
      <c r="I182" s="210"/>
      <c r="J182" s="210"/>
      <c r="K182" s="210"/>
      <c r="L182" s="210"/>
      <c r="M182" s="210"/>
      <c r="N182" s="210"/>
      <c r="O182" s="210"/>
      <c r="P182" s="210"/>
      <c r="Q182" s="210"/>
      <c r="R182" s="210"/>
      <c r="S182" s="210"/>
      <c r="T182" s="210"/>
      <c r="U182" s="210"/>
      <c r="V182" s="210"/>
      <c r="W182" s="210"/>
      <c r="X182" s="210"/>
      <c r="Y182" s="210"/>
      <c r="Z182" s="210"/>
      <c r="AA182" s="210"/>
      <c r="AB182" s="210"/>
      <c r="AC182" s="210"/>
      <c r="AI182" s="210"/>
      <c r="AJ182" s="210"/>
    </row>
    <row r="183" ht="12.75" customHeight="1">
      <c r="C183" s="210"/>
      <c r="D183" s="210"/>
      <c r="E183" s="210"/>
      <c r="F183" s="210"/>
      <c r="G183" s="210"/>
      <c r="H183" s="210"/>
      <c r="I183" s="210"/>
      <c r="J183" s="210"/>
      <c r="K183" s="210"/>
      <c r="L183" s="210"/>
      <c r="M183" s="210"/>
      <c r="N183" s="210"/>
      <c r="O183" s="210"/>
      <c r="P183" s="210"/>
      <c r="Q183" s="210"/>
      <c r="R183" s="210"/>
      <c r="S183" s="210"/>
      <c r="T183" s="210"/>
      <c r="U183" s="210"/>
      <c r="V183" s="210"/>
      <c r="W183" s="210"/>
      <c r="X183" s="210"/>
      <c r="Y183" s="210"/>
      <c r="Z183" s="210"/>
      <c r="AA183" s="210"/>
      <c r="AB183" s="210"/>
      <c r="AC183" s="210"/>
      <c r="AI183" s="210"/>
      <c r="AJ183" s="210"/>
    </row>
    <row r="184" ht="12.75" customHeight="1">
      <c r="C184" s="210"/>
      <c r="D184" s="210"/>
      <c r="E184" s="210"/>
      <c r="F184" s="210"/>
      <c r="G184" s="210"/>
      <c r="H184" s="210"/>
      <c r="I184" s="210"/>
      <c r="J184" s="210"/>
      <c r="K184" s="210"/>
      <c r="L184" s="210"/>
      <c r="M184" s="210"/>
      <c r="N184" s="210"/>
      <c r="O184" s="210"/>
      <c r="P184" s="210"/>
      <c r="Q184" s="210"/>
      <c r="R184" s="210"/>
      <c r="S184" s="210"/>
      <c r="T184" s="210"/>
      <c r="U184" s="210"/>
      <c r="V184" s="210"/>
      <c r="W184" s="210"/>
      <c r="X184" s="210"/>
      <c r="Y184" s="210"/>
      <c r="Z184" s="210"/>
      <c r="AA184" s="210"/>
      <c r="AB184" s="210"/>
      <c r="AC184" s="210"/>
      <c r="AI184" s="210"/>
      <c r="AJ184" s="210"/>
    </row>
    <row r="185" ht="12.75" customHeight="1">
      <c r="C185" s="210"/>
      <c r="D185" s="210"/>
      <c r="E185" s="210"/>
      <c r="F185" s="210"/>
      <c r="G185" s="210"/>
      <c r="H185" s="210"/>
      <c r="I185" s="210"/>
      <c r="J185" s="210"/>
      <c r="K185" s="210"/>
      <c r="L185" s="210"/>
      <c r="M185" s="210"/>
      <c r="N185" s="210"/>
      <c r="O185" s="210"/>
      <c r="P185" s="210"/>
      <c r="Q185" s="210"/>
      <c r="R185" s="210"/>
      <c r="S185" s="210"/>
      <c r="T185" s="210"/>
      <c r="U185" s="210"/>
      <c r="V185" s="210"/>
      <c r="W185" s="210"/>
      <c r="X185" s="210"/>
      <c r="Y185" s="210"/>
      <c r="Z185" s="210"/>
      <c r="AA185" s="210"/>
      <c r="AB185" s="210"/>
      <c r="AC185" s="210"/>
      <c r="AI185" s="210"/>
      <c r="AJ185" s="210"/>
    </row>
    <row r="186" ht="12.75" customHeight="1">
      <c r="C186" s="210"/>
      <c r="D186" s="210"/>
      <c r="E186" s="210"/>
      <c r="F186" s="210"/>
      <c r="G186" s="210"/>
      <c r="H186" s="210"/>
      <c r="I186" s="210"/>
      <c r="J186" s="210"/>
      <c r="K186" s="210"/>
      <c r="L186" s="210"/>
      <c r="M186" s="210"/>
      <c r="N186" s="210"/>
      <c r="O186" s="210"/>
      <c r="P186" s="210"/>
      <c r="Q186" s="210"/>
      <c r="R186" s="210"/>
      <c r="S186" s="210"/>
      <c r="T186" s="210"/>
      <c r="U186" s="210"/>
      <c r="V186" s="210"/>
      <c r="W186" s="210"/>
      <c r="X186" s="210"/>
      <c r="Y186" s="210"/>
      <c r="Z186" s="210"/>
      <c r="AA186" s="210"/>
      <c r="AB186" s="210"/>
      <c r="AC186" s="210"/>
      <c r="AI186" s="210"/>
      <c r="AJ186" s="210"/>
    </row>
    <row r="187" ht="12.75" customHeight="1">
      <c r="C187" s="210"/>
      <c r="D187" s="210"/>
      <c r="E187" s="210"/>
      <c r="F187" s="210"/>
      <c r="G187" s="210"/>
      <c r="H187" s="210"/>
      <c r="I187" s="210"/>
      <c r="J187" s="210"/>
      <c r="K187" s="210"/>
      <c r="L187" s="210"/>
      <c r="M187" s="210"/>
      <c r="N187" s="210"/>
      <c r="O187" s="210"/>
      <c r="P187" s="210"/>
      <c r="Q187" s="210"/>
      <c r="R187" s="210"/>
      <c r="S187" s="210"/>
      <c r="T187" s="210"/>
      <c r="U187" s="210"/>
      <c r="V187" s="210"/>
      <c r="W187" s="210"/>
      <c r="X187" s="210"/>
      <c r="Y187" s="210"/>
      <c r="Z187" s="210"/>
      <c r="AA187" s="210"/>
      <c r="AB187" s="210"/>
      <c r="AC187" s="210"/>
      <c r="AI187" s="210"/>
      <c r="AJ187" s="210"/>
    </row>
    <row r="188" ht="12.75" customHeight="1">
      <c r="C188" s="210"/>
      <c r="D188" s="210"/>
      <c r="E188" s="210"/>
      <c r="F188" s="210"/>
      <c r="G188" s="210"/>
      <c r="H188" s="210"/>
      <c r="I188" s="210"/>
      <c r="J188" s="210"/>
      <c r="K188" s="210"/>
      <c r="L188" s="210"/>
      <c r="M188" s="210"/>
      <c r="N188" s="210"/>
      <c r="O188" s="210"/>
      <c r="P188" s="210"/>
      <c r="Q188" s="210"/>
      <c r="R188" s="210"/>
      <c r="S188" s="210"/>
      <c r="T188" s="210"/>
      <c r="U188" s="210"/>
      <c r="V188" s="210"/>
      <c r="W188" s="210"/>
      <c r="X188" s="210"/>
      <c r="Y188" s="210"/>
      <c r="Z188" s="210"/>
      <c r="AA188" s="210"/>
      <c r="AB188" s="210"/>
      <c r="AC188" s="210"/>
      <c r="AI188" s="210"/>
      <c r="AJ188" s="210"/>
    </row>
    <row r="189" ht="12.75" customHeight="1">
      <c r="C189" s="210"/>
      <c r="D189" s="210"/>
      <c r="E189" s="210"/>
      <c r="F189" s="210"/>
      <c r="G189" s="210"/>
      <c r="H189" s="210"/>
      <c r="I189" s="210"/>
      <c r="J189" s="210"/>
      <c r="K189" s="210"/>
      <c r="L189" s="210"/>
      <c r="M189" s="210"/>
      <c r="N189" s="210"/>
      <c r="O189" s="210"/>
      <c r="P189" s="210"/>
      <c r="Q189" s="210"/>
      <c r="R189" s="210"/>
      <c r="S189" s="210"/>
      <c r="T189" s="210"/>
      <c r="U189" s="210"/>
      <c r="V189" s="210"/>
      <c r="W189" s="210"/>
      <c r="X189" s="210"/>
      <c r="Y189" s="210"/>
      <c r="Z189" s="210"/>
      <c r="AA189" s="210"/>
      <c r="AB189" s="210"/>
      <c r="AC189" s="210"/>
      <c r="AI189" s="210"/>
      <c r="AJ189" s="210"/>
    </row>
    <row r="190" ht="12.75" customHeight="1">
      <c r="C190" s="210"/>
      <c r="D190" s="210"/>
      <c r="E190" s="210"/>
      <c r="F190" s="210"/>
      <c r="G190" s="210"/>
      <c r="H190" s="210"/>
      <c r="I190" s="210"/>
      <c r="J190" s="210"/>
      <c r="K190" s="210"/>
      <c r="L190" s="210"/>
      <c r="M190" s="210"/>
      <c r="N190" s="210"/>
      <c r="O190" s="210"/>
      <c r="P190" s="210"/>
      <c r="Q190" s="210"/>
      <c r="R190" s="210"/>
      <c r="S190" s="210"/>
      <c r="T190" s="210"/>
      <c r="U190" s="210"/>
      <c r="V190" s="210"/>
      <c r="W190" s="210"/>
      <c r="X190" s="210"/>
      <c r="Y190" s="210"/>
      <c r="Z190" s="210"/>
      <c r="AA190" s="210"/>
      <c r="AB190" s="210"/>
      <c r="AC190" s="210"/>
      <c r="AI190" s="210"/>
      <c r="AJ190" s="210"/>
    </row>
    <row r="191" ht="12.75" customHeight="1">
      <c r="C191" s="210"/>
      <c r="D191" s="210"/>
      <c r="E191" s="210"/>
      <c r="F191" s="210"/>
      <c r="G191" s="210"/>
      <c r="H191" s="210"/>
      <c r="I191" s="210"/>
      <c r="J191" s="210"/>
      <c r="K191" s="210"/>
      <c r="L191" s="210"/>
      <c r="M191" s="210"/>
      <c r="N191" s="210"/>
      <c r="O191" s="210"/>
      <c r="P191" s="210"/>
      <c r="Q191" s="210"/>
      <c r="R191" s="210"/>
      <c r="S191" s="210"/>
      <c r="T191" s="210"/>
      <c r="U191" s="210"/>
      <c r="V191" s="210"/>
      <c r="W191" s="210"/>
      <c r="X191" s="210"/>
      <c r="Y191" s="210"/>
      <c r="Z191" s="210"/>
      <c r="AA191" s="210"/>
      <c r="AB191" s="210"/>
      <c r="AC191" s="210"/>
      <c r="AI191" s="210"/>
      <c r="AJ191" s="210"/>
    </row>
    <row r="192" ht="12.75" customHeight="1">
      <c r="C192" s="210"/>
      <c r="D192" s="210"/>
      <c r="E192" s="210"/>
      <c r="F192" s="210"/>
      <c r="G192" s="210"/>
      <c r="H192" s="210"/>
      <c r="I192" s="210"/>
      <c r="J192" s="210"/>
      <c r="K192" s="210"/>
      <c r="L192" s="210"/>
      <c r="M192" s="210"/>
      <c r="N192" s="210"/>
      <c r="O192" s="210"/>
      <c r="P192" s="210"/>
      <c r="Q192" s="210"/>
      <c r="R192" s="210"/>
      <c r="S192" s="210"/>
      <c r="T192" s="210"/>
      <c r="U192" s="210"/>
      <c r="V192" s="210"/>
      <c r="W192" s="210"/>
      <c r="X192" s="210"/>
      <c r="Y192" s="210"/>
      <c r="Z192" s="210"/>
      <c r="AA192" s="210"/>
      <c r="AB192" s="210"/>
      <c r="AC192" s="210"/>
      <c r="AI192" s="210"/>
      <c r="AJ192" s="210"/>
    </row>
    <row r="193" ht="12.75" customHeight="1">
      <c r="C193" s="210"/>
      <c r="D193" s="210"/>
      <c r="E193" s="210"/>
      <c r="F193" s="210"/>
      <c r="G193" s="210"/>
      <c r="H193" s="210"/>
      <c r="I193" s="210"/>
      <c r="J193" s="210"/>
      <c r="K193" s="210"/>
      <c r="L193" s="210"/>
      <c r="M193" s="210"/>
      <c r="N193" s="210"/>
      <c r="O193" s="210"/>
      <c r="P193" s="210"/>
      <c r="Q193" s="210"/>
      <c r="R193" s="210"/>
      <c r="S193" s="210"/>
      <c r="T193" s="210"/>
      <c r="U193" s="210"/>
      <c r="V193" s="210"/>
      <c r="W193" s="210"/>
      <c r="X193" s="210"/>
      <c r="Y193" s="210"/>
      <c r="Z193" s="210"/>
      <c r="AA193" s="210"/>
      <c r="AB193" s="210"/>
      <c r="AC193" s="210"/>
      <c r="AI193" s="210"/>
      <c r="AJ193" s="210"/>
    </row>
    <row r="194" ht="12.75" customHeight="1">
      <c r="C194" s="210"/>
      <c r="D194" s="210"/>
      <c r="E194" s="210"/>
      <c r="F194" s="210"/>
      <c r="G194" s="210"/>
      <c r="H194" s="210"/>
      <c r="I194" s="210"/>
      <c r="J194" s="210"/>
      <c r="K194" s="210"/>
      <c r="L194" s="210"/>
      <c r="M194" s="210"/>
      <c r="N194" s="210"/>
      <c r="O194" s="210"/>
      <c r="P194" s="210"/>
      <c r="Q194" s="210"/>
      <c r="R194" s="210"/>
      <c r="S194" s="210"/>
      <c r="T194" s="210"/>
      <c r="U194" s="210"/>
      <c r="V194" s="210"/>
      <c r="W194" s="210"/>
      <c r="X194" s="210"/>
      <c r="Y194" s="210"/>
      <c r="Z194" s="210"/>
      <c r="AA194" s="210"/>
      <c r="AB194" s="210"/>
      <c r="AC194" s="210"/>
      <c r="AI194" s="210"/>
      <c r="AJ194" s="210"/>
    </row>
    <row r="195" ht="12.75" customHeight="1">
      <c r="C195" s="210"/>
      <c r="D195" s="210"/>
      <c r="E195" s="210"/>
      <c r="F195" s="210"/>
      <c r="G195" s="210"/>
      <c r="H195" s="210"/>
      <c r="I195" s="210"/>
      <c r="J195" s="210"/>
      <c r="K195" s="210"/>
      <c r="L195" s="210"/>
      <c r="M195" s="210"/>
      <c r="N195" s="210"/>
      <c r="O195" s="210"/>
      <c r="P195" s="210"/>
      <c r="Q195" s="210"/>
      <c r="R195" s="210"/>
      <c r="S195" s="210"/>
      <c r="T195" s="210"/>
      <c r="U195" s="210"/>
      <c r="V195" s="210"/>
      <c r="W195" s="210"/>
      <c r="X195" s="210"/>
      <c r="Y195" s="210"/>
      <c r="Z195" s="210"/>
      <c r="AA195" s="210"/>
      <c r="AB195" s="210"/>
      <c r="AC195" s="210"/>
      <c r="AI195" s="210"/>
      <c r="AJ195" s="210"/>
    </row>
    <row r="196" ht="12.75" customHeight="1">
      <c r="C196" s="210"/>
      <c r="D196" s="210"/>
      <c r="E196" s="210"/>
      <c r="F196" s="210"/>
      <c r="G196" s="210"/>
      <c r="H196" s="210"/>
      <c r="I196" s="210"/>
      <c r="J196" s="210"/>
      <c r="K196" s="210"/>
      <c r="L196" s="210"/>
      <c r="M196" s="210"/>
      <c r="N196" s="210"/>
      <c r="O196" s="210"/>
      <c r="P196" s="210"/>
      <c r="Q196" s="210"/>
      <c r="R196" s="210"/>
      <c r="S196" s="210"/>
      <c r="T196" s="210"/>
      <c r="U196" s="210"/>
      <c r="V196" s="210"/>
      <c r="W196" s="210"/>
      <c r="X196" s="210"/>
      <c r="Y196" s="210"/>
      <c r="Z196" s="210"/>
      <c r="AA196" s="210"/>
      <c r="AB196" s="210"/>
      <c r="AC196" s="210"/>
      <c r="AI196" s="210"/>
      <c r="AJ196" s="210"/>
    </row>
    <row r="197" ht="12.75" customHeight="1">
      <c r="C197" s="210"/>
      <c r="D197" s="210"/>
      <c r="E197" s="210"/>
      <c r="F197" s="210"/>
      <c r="G197" s="210"/>
      <c r="H197" s="210"/>
      <c r="I197" s="210"/>
      <c r="J197" s="210"/>
      <c r="K197" s="210"/>
      <c r="L197" s="210"/>
      <c r="M197" s="210"/>
      <c r="N197" s="210"/>
      <c r="O197" s="210"/>
      <c r="P197" s="210"/>
      <c r="Q197" s="210"/>
      <c r="R197" s="210"/>
      <c r="S197" s="210"/>
      <c r="T197" s="210"/>
      <c r="U197" s="210"/>
      <c r="V197" s="210"/>
      <c r="W197" s="210"/>
      <c r="X197" s="210"/>
      <c r="Y197" s="210"/>
      <c r="Z197" s="210"/>
      <c r="AA197" s="210"/>
      <c r="AB197" s="210"/>
      <c r="AC197" s="210"/>
      <c r="AI197" s="210"/>
      <c r="AJ197" s="210"/>
    </row>
    <row r="198" ht="12.75" customHeight="1">
      <c r="C198" s="210"/>
      <c r="D198" s="210"/>
      <c r="E198" s="210"/>
      <c r="F198" s="210"/>
      <c r="G198" s="210"/>
      <c r="H198" s="210"/>
      <c r="I198" s="210"/>
      <c r="J198" s="210"/>
      <c r="K198" s="210"/>
      <c r="L198" s="210"/>
      <c r="M198" s="210"/>
      <c r="N198" s="210"/>
      <c r="O198" s="210"/>
      <c r="P198" s="210"/>
      <c r="Q198" s="210"/>
      <c r="R198" s="210"/>
      <c r="S198" s="210"/>
      <c r="T198" s="210"/>
      <c r="U198" s="210"/>
      <c r="V198" s="210"/>
      <c r="W198" s="210"/>
      <c r="X198" s="210"/>
      <c r="Y198" s="210"/>
      <c r="Z198" s="210"/>
      <c r="AA198" s="210"/>
      <c r="AB198" s="210"/>
      <c r="AC198" s="210"/>
      <c r="AI198" s="210"/>
      <c r="AJ198" s="210"/>
    </row>
    <row r="199" ht="12.75" customHeight="1">
      <c r="C199" s="210"/>
      <c r="D199" s="210"/>
      <c r="E199" s="210"/>
      <c r="F199" s="210"/>
      <c r="G199" s="210"/>
      <c r="H199" s="210"/>
      <c r="I199" s="210"/>
      <c r="J199" s="210"/>
      <c r="K199" s="210"/>
      <c r="L199" s="210"/>
      <c r="M199" s="210"/>
      <c r="N199" s="210"/>
      <c r="O199" s="210"/>
      <c r="P199" s="210"/>
      <c r="Q199" s="210"/>
      <c r="R199" s="210"/>
      <c r="S199" s="210"/>
      <c r="T199" s="210"/>
      <c r="U199" s="210"/>
      <c r="V199" s="210"/>
      <c r="W199" s="210"/>
      <c r="X199" s="210"/>
      <c r="Y199" s="210"/>
      <c r="Z199" s="210"/>
      <c r="AA199" s="210"/>
      <c r="AB199" s="210"/>
      <c r="AC199" s="210"/>
      <c r="AI199" s="210"/>
      <c r="AJ199" s="210"/>
    </row>
    <row r="200" ht="12.75" customHeight="1">
      <c r="C200" s="210"/>
      <c r="D200" s="210"/>
      <c r="E200" s="210"/>
      <c r="F200" s="210"/>
      <c r="G200" s="210"/>
      <c r="H200" s="210"/>
      <c r="I200" s="210"/>
      <c r="J200" s="210"/>
      <c r="K200" s="210"/>
      <c r="L200" s="210"/>
      <c r="M200" s="210"/>
      <c r="N200" s="210"/>
      <c r="O200" s="210"/>
      <c r="P200" s="210"/>
      <c r="Q200" s="210"/>
      <c r="R200" s="210"/>
      <c r="S200" s="210"/>
      <c r="T200" s="210"/>
      <c r="U200" s="210"/>
      <c r="V200" s="210"/>
      <c r="W200" s="210"/>
      <c r="X200" s="210"/>
      <c r="Y200" s="210"/>
      <c r="Z200" s="210"/>
      <c r="AA200" s="210"/>
      <c r="AB200" s="210"/>
      <c r="AC200" s="210"/>
      <c r="AI200" s="210"/>
      <c r="AJ200" s="210"/>
    </row>
    <row r="201" ht="12.75" customHeight="1">
      <c r="C201" s="210"/>
      <c r="D201" s="210"/>
      <c r="E201" s="210"/>
      <c r="F201" s="210"/>
      <c r="G201" s="210"/>
      <c r="H201" s="210"/>
      <c r="I201" s="210"/>
      <c r="J201" s="210"/>
      <c r="K201" s="210"/>
      <c r="L201" s="210"/>
      <c r="M201" s="210"/>
      <c r="N201" s="210"/>
      <c r="O201" s="210"/>
      <c r="P201" s="210"/>
      <c r="Q201" s="210"/>
      <c r="R201" s="210"/>
      <c r="S201" s="210"/>
      <c r="T201" s="210"/>
      <c r="U201" s="210"/>
      <c r="V201" s="210"/>
      <c r="W201" s="210"/>
      <c r="X201" s="210"/>
      <c r="Y201" s="210"/>
      <c r="Z201" s="210"/>
      <c r="AA201" s="210"/>
      <c r="AB201" s="210"/>
      <c r="AC201" s="210"/>
      <c r="AI201" s="210"/>
      <c r="AJ201" s="210"/>
    </row>
    <row r="202" ht="12.75" customHeight="1">
      <c r="C202" s="210"/>
      <c r="D202" s="210"/>
      <c r="E202" s="210"/>
      <c r="F202" s="210"/>
      <c r="G202" s="210"/>
      <c r="H202" s="210"/>
      <c r="I202" s="210"/>
      <c r="J202" s="210"/>
      <c r="K202" s="210"/>
      <c r="L202" s="210"/>
      <c r="M202" s="210"/>
      <c r="N202" s="210"/>
      <c r="O202" s="210"/>
      <c r="P202" s="210"/>
      <c r="Q202" s="210"/>
      <c r="R202" s="210"/>
      <c r="S202" s="210"/>
      <c r="T202" s="210"/>
      <c r="U202" s="210"/>
      <c r="V202" s="210"/>
      <c r="W202" s="210"/>
      <c r="X202" s="210"/>
      <c r="Y202" s="210"/>
      <c r="Z202" s="210"/>
      <c r="AA202" s="210"/>
      <c r="AB202" s="210"/>
      <c r="AC202" s="210"/>
      <c r="AI202" s="210"/>
      <c r="AJ202" s="210"/>
    </row>
    <row r="203" ht="12.75" customHeight="1">
      <c r="C203" s="210"/>
      <c r="D203" s="210"/>
      <c r="E203" s="210"/>
      <c r="F203" s="210"/>
      <c r="G203" s="210"/>
      <c r="H203" s="210"/>
      <c r="I203" s="210"/>
      <c r="J203" s="210"/>
      <c r="K203" s="210"/>
      <c r="L203" s="210"/>
      <c r="M203" s="210"/>
      <c r="N203" s="210"/>
      <c r="O203" s="210"/>
      <c r="P203" s="210"/>
      <c r="Q203" s="210"/>
      <c r="R203" s="210"/>
      <c r="S203" s="210"/>
      <c r="T203" s="210"/>
      <c r="U203" s="210"/>
      <c r="V203" s="210"/>
      <c r="W203" s="210"/>
      <c r="X203" s="210"/>
      <c r="Y203" s="210"/>
      <c r="Z203" s="210"/>
      <c r="AA203" s="210"/>
      <c r="AB203" s="210"/>
      <c r="AC203" s="210"/>
      <c r="AI203" s="210"/>
      <c r="AJ203" s="210"/>
    </row>
    <row r="204" ht="12.75" customHeight="1">
      <c r="C204" s="210"/>
      <c r="D204" s="210"/>
      <c r="E204" s="210"/>
      <c r="F204" s="210"/>
      <c r="G204" s="210"/>
      <c r="H204" s="210"/>
      <c r="I204" s="210"/>
      <c r="J204" s="210"/>
      <c r="K204" s="210"/>
      <c r="L204" s="210"/>
      <c r="M204" s="210"/>
      <c r="N204" s="210"/>
      <c r="O204" s="210"/>
      <c r="P204" s="210"/>
      <c r="Q204" s="210"/>
      <c r="R204" s="210"/>
      <c r="S204" s="210"/>
      <c r="T204" s="210"/>
      <c r="U204" s="210"/>
      <c r="V204" s="210"/>
      <c r="W204" s="210"/>
      <c r="X204" s="210"/>
      <c r="Y204" s="210"/>
      <c r="Z204" s="210"/>
      <c r="AA204" s="210"/>
      <c r="AB204" s="210"/>
      <c r="AC204" s="210"/>
      <c r="AI204" s="210"/>
      <c r="AJ204" s="210"/>
    </row>
    <row r="205" ht="12.75" customHeight="1">
      <c r="C205" s="210"/>
      <c r="D205" s="210"/>
      <c r="E205" s="210"/>
      <c r="F205" s="210"/>
      <c r="G205" s="210"/>
      <c r="H205" s="210"/>
      <c r="I205" s="210"/>
      <c r="J205" s="210"/>
      <c r="K205" s="210"/>
      <c r="L205" s="210"/>
      <c r="M205" s="210"/>
      <c r="N205" s="210"/>
      <c r="O205" s="210"/>
      <c r="P205" s="210"/>
      <c r="Q205" s="210"/>
      <c r="R205" s="210"/>
      <c r="S205" s="210"/>
      <c r="T205" s="210"/>
      <c r="U205" s="210"/>
      <c r="V205" s="210"/>
      <c r="W205" s="210"/>
      <c r="X205" s="210"/>
      <c r="Y205" s="210"/>
      <c r="Z205" s="210"/>
      <c r="AA205" s="210"/>
      <c r="AB205" s="210"/>
      <c r="AC205" s="210"/>
      <c r="AI205" s="210"/>
      <c r="AJ205" s="210"/>
    </row>
    <row r="206" ht="12.75" customHeight="1">
      <c r="C206" s="210"/>
      <c r="D206" s="210"/>
      <c r="E206" s="210"/>
      <c r="F206" s="210"/>
      <c r="G206" s="210"/>
      <c r="H206" s="210"/>
      <c r="I206" s="210"/>
      <c r="J206" s="210"/>
      <c r="K206" s="210"/>
      <c r="L206" s="210"/>
      <c r="M206" s="210"/>
      <c r="N206" s="210"/>
      <c r="O206" s="210"/>
      <c r="P206" s="210"/>
      <c r="Q206" s="210"/>
      <c r="R206" s="210"/>
      <c r="S206" s="210"/>
      <c r="T206" s="210"/>
      <c r="U206" s="210"/>
      <c r="V206" s="210"/>
      <c r="W206" s="210"/>
      <c r="X206" s="210"/>
      <c r="Y206" s="210"/>
      <c r="Z206" s="210"/>
      <c r="AA206" s="210"/>
      <c r="AB206" s="210"/>
      <c r="AC206" s="210"/>
      <c r="AI206" s="210"/>
      <c r="AJ206" s="210"/>
    </row>
    <row r="207" ht="12.75" customHeight="1">
      <c r="C207" s="210"/>
      <c r="D207" s="210"/>
      <c r="E207" s="210"/>
      <c r="F207" s="210"/>
      <c r="G207" s="210"/>
      <c r="H207" s="210"/>
      <c r="I207" s="210"/>
      <c r="J207" s="210"/>
      <c r="K207" s="210"/>
      <c r="L207" s="210"/>
      <c r="M207" s="210"/>
      <c r="N207" s="210"/>
      <c r="O207" s="210"/>
      <c r="P207" s="210"/>
      <c r="Q207" s="210"/>
      <c r="R207" s="210"/>
      <c r="S207" s="210"/>
      <c r="T207" s="210"/>
      <c r="U207" s="210"/>
      <c r="V207" s="210"/>
      <c r="W207" s="210"/>
      <c r="X207" s="210"/>
      <c r="Y207" s="210"/>
      <c r="Z207" s="210"/>
      <c r="AA207" s="210"/>
      <c r="AB207" s="210"/>
      <c r="AC207" s="210"/>
      <c r="AI207" s="210"/>
      <c r="AJ207" s="210"/>
    </row>
    <row r="208" ht="12.75" customHeight="1">
      <c r="C208" s="210"/>
      <c r="D208" s="210"/>
      <c r="E208" s="210"/>
      <c r="F208" s="210"/>
      <c r="G208" s="210"/>
      <c r="H208" s="210"/>
      <c r="I208" s="210"/>
      <c r="J208" s="210"/>
      <c r="K208" s="210"/>
      <c r="L208" s="210"/>
      <c r="M208" s="210"/>
      <c r="N208" s="210"/>
      <c r="O208" s="210"/>
      <c r="P208" s="210"/>
      <c r="Q208" s="210"/>
      <c r="R208" s="210"/>
      <c r="S208" s="210"/>
      <c r="T208" s="210"/>
      <c r="U208" s="210"/>
      <c r="V208" s="210"/>
      <c r="W208" s="210"/>
      <c r="X208" s="210"/>
      <c r="Y208" s="210"/>
      <c r="Z208" s="210"/>
      <c r="AA208" s="210"/>
      <c r="AB208" s="210"/>
      <c r="AC208" s="210"/>
      <c r="AI208" s="210"/>
      <c r="AJ208" s="210"/>
    </row>
    <row r="209" ht="12.75" customHeight="1">
      <c r="C209" s="210"/>
      <c r="D209" s="210"/>
      <c r="E209" s="210"/>
      <c r="F209" s="210"/>
      <c r="G209" s="210"/>
      <c r="H209" s="210"/>
      <c r="I209" s="210"/>
      <c r="J209" s="210"/>
      <c r="K209" s="210"/>
      <c r="L209" s="210"/>
      <c r="M209" s="210"/>
      <c r="N209" s="210"/>
      <c r="O209" s="210"/>
      <c r="P209" s="210"/>
      <c r="Q209" s="210"/>
      <c r="R209" s="210"/>
      <c r="S209" s="210"/>
      <c r="T209" s="210"/>
      <c r="U209" s="210"/>
      <c r="V209" s="210"/>
      <c r="W209" s="210"/>
      <c r="X209" s="210"/>
      <c r="Y209" s="210"/>
      <c r="Z209" s="210"/>
      <c r="AA209" s="210"/>
      <c r="AB209" s="210"/>
      <c r="AC209" s="210"/>
      <c r="AI209" s="210"/>
      <c r="AJ209" s="210"/>
    </row>
    <row r="210" ht="12.75" customHeight="1">
      <c r="C210" s="210"/>
      <c r="D210" s="210"/>
      <c r="E210" s="210"/>
      <c r="F210" s="210"/>
      <c r="G210" s="210"/>
      <c r="H210" s="210"/>
      <c r="I210" s="210"/>
      <c r="J210" s="210"/>
      <c r="K210" s="210"/>
      <c r="L210" s="210"/>
      <c r="M210" s="210"/>
      <c r="N210" s="210"/>
      <c r="O210" s="210"/>
      <c r="P210" s="210"/>
      <c r="Q210" s="210"/>
      <c r="R210" s="210"/>
      <c r="S210" s="210"/>
      <c r="T210" s="210"/>
      <c r="U210" s="210"/>
      <c r="V210" s="210"/>
      <c r="W210" s="210"/>
      <c r="X210" s="210"/>
      <c r="Y210" s="210"/>
      <c r="Z210" s="210"/>
      <c r="AA210" s="210"/>
      <c r="AB210" s="210"/>
      <c r="AC210" s="210"/>
      <c r="AI210" s="210"/>
      <c r="AJ210" s="210"/>
    </row>
    <row r="211" ht="12.75" customHeight="1">
      <c r="C211" s="210"/>
      <c r="D211" s="210"/>
      <c r="E211" s="210"/>
      <c r="F211" s="210"/>
      <c r="G211" s="210"/>
      <c r="H211" s="210"/>
      <c r="I211" s="210"/>
      <c r="J211" s="210"/>
      <c r="K211" s="210"/>
      <c r="L211" s="210"/>
      <c r="M211" s="210"/>
      <c r="N211" s="210"/>
      <c r="O211" s="210"/>
      <c r="P211" s="210"/>
      <c r="Q211" s="210"/>
      <c r="R211" s="210"/>
      <c r="S211" s="210"/>
      <c r="T211" s="210"/>
      <c r="U211" s="210"/>
      <c r="V211" s="210"/>
      <c r="W211" s="210"/>
      <c r="X211" s="210"/>
      <c r="Y211" s="210"/>
      <c r="Z211" s="210"/>
      <c r="AA211" s="210"/>
      <c r="AB211" s="210"/>
      <c r="AC211" s="210"/>
      <c r="AI211" s="210"/>
      <c r="AJ211" s="210"/>
    </row>
    <row r="212" ht="12.75" customHeight="1">
      <c r="C212" s="210"/>
      <c r="D212" s="210"/>
      <c r="E212" s="210"/>
      <c r="F212" s="210"/>
      <c r="G212" s="210"/>
      <c r="H212" s="210"/>
      <c r="I212" s="210"/>
      <c r="J212" s="210"/>
      <c r="K212" s="210"/>
      <c r="L212" s="210"/>
      <c r="M212" s="210"/>
      <c r="N212" s="210"/>
      <c r="O212" s="210"/>
      <c r="P212" s="210"/>
      <c r="Q212" s="210"/>
      <c r="R212" s="210"/>
      <c r="S212" s="210"/>
      <c r="T212" s="210"/>
      <c r="U212" s="210"/>
      <c r="V212" s="210"/>
      <c r="W212" s="210"/>
      <c r="X212" s="210"/>
      <c r="Y212" s="210"/>
      <c r="Z212" s="210"/>
      <c r="AA212" s="210"/>
      <c r="AB212" s="210"/>
      <c r="AC212" s="210"/>
      <c r="AI212" s="210"/>
      <c r="AJ212" s="210"/>
    </row>
    <row r="213" ht="12.75" customHeight="1">
      <c r="C213" s="210"/>
      <c r="D213" s="210"/>
      <c r="E213" s="210"/>
      <c r="F213" s="210"/>
      <c r="G213" s="210"/>
      <c r="H213" s="210"/>
      <c r="I213" s="210"/>
      <c r="J213" s="210"/>
      <c r="K213" s="210"/>
      <c r="L213" s="210"/>
      <c r="M213" s="210"/>
      <c r="N213" s="210"/>
      <c r="O213" s="210"/>
      <c r="P213" s="210"/>
      <c r="Q213" s="210"/>
      <c r="R213" s="210"/>
      <c r="S213" s="210"/>
      <c r="T213" s="210"/>
      <c r="U213" s="210"/>
      <c r="V213" s="210"/>
      <c r="W213" s="210"/>
      <c r="X213" s="210"/>
      <c r="Y213" s="210"/>
      <c r="Z213" s="210"/>
      <c r="AA213" s="210"/>
      <c r="AB213" s="210"/>
      <c r="AC213" s="210"/>
      <c r="AI213" s="210"/>
      <c r="AJ213" s="210"/>
    </row>
    <row r="214" ht="12.75" customHeight="1">
      <c r="C214" s="210"/>
      <c r="D214" s="210"/>
      <c r="E214" s="210"/>
      <c r="F214" s="210"/>
      <c r="G214" s="210"/>
      <c r="H214" s="210"/>
      <c r="I214" s="210"/>
      <c r="J214" s="210"/>
      <c r="K214" s="210"/>
      <c r="L214" s="210"/>
      <c r="M214" s="210"/>
      <c r="N214" s="210"/>
      <c r="O214" s="210"/>
      <c r="P214" s="210"/>
      <c r="Q214" s="210"/>
      <c r="R214" s="210"/>
      <c r="S214" s="210"/>
      <c r="T214" s="210"/>
      <c r="U214" s="210"/>
      <c r="V214" s="210"/>
      <c r="W214" s="210"/>
      <c r="X214" s="210"/>
      <c r="Y214" s="210"/>
      <c r="Z214" s="210"/>
      <c r="AA214" s="210"/>
      <c r="AB214" s="210"/>
      <c r="AC214" s="210"/>
      <c r="AI214" s="210"/>
      <c r="AJ214" s="210"/>
    </row>
    <row r="215" ht="12.75" customHeight="1">
      <c r="C215" s="210"/>
      <c r="D215" s="210"/>
      <c r="E215" s="210"/>
      <c r="F215" s="210"/>
      <c r="G215" s="210"/>
      <c r="H215" s="210"/>
      <c r="I215" s="210"/>
      <c r="J215" s="210"/>
      <c r="K215" s="210"/>
      <c r="L215" s="210"/>
      <c r="M215" s="210"/>
      <c r="N215" s="210"/>
      <c r="O215" s="210"/>
      <c r="P215" s="210"/>
      <c r="Q215" s="210"/>
      <c r="R215" s="210"/>
      <c r="S215" s="210"/>
      <c r="T215" s="210"/>
      <c r="U215" s="210"/>
      <c r="V215" s="210"/>
      <c r="W215" s="210"/>
      <c r="X215" s="210"/>
      <c r="Y215" s="210"/>
      <c r="Z215" s="210"/>
      <c r="AA215" s="210"/>
      <c r="AB215" s="210"/>
      <c r="AC215" s="210"/>
      <c r="AI215" s="210"/>
      <c r="AJ215" s="210"/>
    </row>
    <row r="216" ht="12.75" customHeight="1">
      <c r="C216" s="210"/>
      <c r="D216" s="210"/>
      <c r="E216" s="210"/>
      <c r="F216" s="210"/>
      <c r="G216" s="210"/>
      <c r="H216" s="210"/>
      <c r="I216" s="210"/>
      <c r="J216" s="210"/>
      <c r="K216" s="210"/>
      <c r="L216" s="210"/>
      <c r="M216" s="210"/>
      <c r="N216" s="210"/>
      <c r="O216" s="210"/>
      <c r="P216" s="210"/>
      <c r="Q216" s="210"/>
      <c r="R216" s="210"/>
      <c r="S216" s="210"/>
      <c r="T216" s="210"/>
      <c r="U216" s="210"/>
      <c r="V216" s="210"/>
      <c r="W216" s="210"/>
      <c r="X216" s="210"/>
      <c r="Y216" s="210"/>
      <c r="Z216" s="210"/>
      <c r="AA216" s="210"/>
      <c r="AB216" s="210"/>
      <c r="AC216" s="210"/>
      <c r="AI216" s="210"/>
      <c r="AJ216" s="210"/>
    </row>
    <row r="217" ht="12.75" customHeight="1">
      <c r="C217" s="210"/>
      <c r="D217" s="210"/>
      <c r="E217" s="210"/>
      <c r="F217" s="210"/>
      <c r="G217" s="210"/>
      <c r="H217" s="210"/>
      <c r="I217" s="210"/>
      <c r="J217" s="210"/>
      <c r="K217" s="210"/>
      <c r="L217" s="210"/>
      <c r="M217" s="210"/>
      <c r="N217" s="210"/>
      <c r="O217" s="210"/>
      <c r="P217" s="210"/>
      <c r="Q217" s="210"/>
      <c r="R217" s="210"/>
      <c r="S217" s="210"/>
      <c r="T217" s="210"/>
      <c r="U217" s="210"/>
      <c r="V217" s="210"/>
      <c r="W217" s="210"/>
      <c r="X217" s="210"/>
      <c r="Y217" s="210"/>
      <c r="Z217" s="210"/>
      <c r="AA217" s="210"/>
      <c r="AB217" s="210"/>
      <c r="AC217" s="210"/>
      <c r="AI217" s="210"/>
      <c r="AJ217" s="210"/>
    </row>
    <row r="218" ht="12.75" customHeight="1">
      <c r="C218" s="210"/>
      <c r="D218" s="210"/>
      <c r="E218" s="210"/>
      <c r="F218" s="210"/>
      <c r="G218" s="210"/>
      <c r="H218" s="210"/>
      <c r="I218" s="210"/>
      <c r="J218" s="210"/>
      <c r="K218" s="210"/>
      <c r="L218" s="210"/>
      <c r="M218" s="210"/>
      <c r="N218" s="210"/>
      <c r="O218" s="210"/>
      <c r="P218" s="210"/>
      <c r="Q218" s="210"/>
      <c r="R218" s="210"/>
      <c r="S218" s="210"/>
      <c r="T218" s="210"/>
      <c r="U218" s="210"/>
      <c r="V218" s="210"/>
      <c r="W218" s="210"/>
      <c r="X218" s="210"/>
      <c r="Y218" s="210"/>
      <c r="Z218" s="210"/>
      <c r="AA218" s="210"/>
      <c r="AB218" s="210"/>
      <c r="AC218" s="210"/>
      <c r="AI218" s="210"/>
      <c r="AJ218" s="210"/>
    </row>
    <row r="219" ht="12.75" customHeight="1">
      <c r="C219" s="210"/>
      <c r="D219" s="210"/>
      <c r="E219" s="210"/>
      <c r="F219" s="210"/>
      <c r="G219" s="210"/>
      <c r="H219" s="210"/>
      <c r="I219" s="210"/>
      <c r="J219" s="210"/>
      <c r="K219" s="210"/>
      <c r="L219" s="210"/>
      <c r="M219" s="210"/>
      <c r="N219" s="210"/>
      <c r="O219" s="210"/>
      <c r="P219" s="210"/>
      <c r="Q219" s="210"/>
      <c r="R219" s="210"/>
      <c r="S219" s="210"/>
      <c r="T219" s="210"/>
      <c r="U219" s="210"/>
      <c r="V219" s="210"/>
      <c r="W219" s="210"/>
      <c r="X219" s="210"/>
      <c r="Y219" s="210"/>
      <c r="Z219" s="210"/>
      <c r="AA219" s="210"/>
      <c r="AB219" s="210"/>
      <c r="AC219" s="210"/>
      <c r="AI219" s="210"/>
      <c r="AJ219" s="210"/>
    </row>
    <row r="220" ht="12.75" customHeight="1">
      <c r="C220" s="210"/>
      <c r="D220" s="210"/>
      <c r="E220" s="210"/>
      <c r="F220" s="210"/>
      <c r="G220" s="210"/>
      <c r="H220" s="210"/>
      <c r="I220" s="210"/>
      <c r="J220" s="210"/>
      <c r="K220" s="210"/>
      <c r="L220" s="210"/>
      <c r="M220" s="210"/>
      <c r="N220" s="210"/>
      <c r="O220" s="210"/>
      <c r="P220" s="210"/>
      <c r="Q220" s="210"/>
      <c r="R220" s="210"/>
      <c r="S220" s="210"/>
      <c r="T220" s="210"/>
      <c r="U220" s="210"/>
      <c r="V220" s="210"/>
      <c r="W220" s="210"/>
      <c r="X220" s="210"/>
      <c r="Y220" s="210"/>
      <c r="Z220" s="210"/>
      <c r="AA220" s="210"/>
      <c r="AB220" s="210"/>
      <c r="AC220" s="210"/>
      <c r="AI220" s="210"/>
      <c r="AJ220" s="210"/>
    </row>
    <row r="221" ht="12.75" customHeight="1">
      <c r="C221" s="210"/>
      <c r="D221" s="210"/>
      <c r="E221" s="210"/>
      <c r="F221" s="210"/>
      <c r="G221" s="210"/>
      <c r="H221" s="210"/>
      <c r="I221" s="210"/>
      <c r="J221" s="210"/>
      <c r="K221" s="210"/>
      <c r="L221" s="210"/>
      <c r="M221" s="210"/>
      <c r="N221" s="210"/>
      <c r="O221" s="210"/>
      <c r="P221" s="210"/>
      <c r="Q221" s="210"/>
      <c r="R221" s="210"/>
      <c r="S221" s="210"/>
      <c r="T221" s="210"/>
      <c r="U221" s="210"/>
      <c r="V221" s="210"/>
      <c r="W221" s="210"/>
      <c r="X221" s="210"/>
      <c r="Y221" s="210"/>
      <c r="Z221" s="210"/>
      <c r="AA221" s="210"/>
      <c r="AB221" s="210"/>
      <c r="AC221" s="210"/>
      <c r="AI221" s="210"/>
      <c r="AJ221" s="210"/>
    </row>
    <row r="222" ht="12.75" customHeight="1">
      <c r="C222" s="210"/>
      <c r="D222" s="210"/>
      <c r="E222" s="210"/>
      <c r="F222" s="210"/>
      <c r="G222" s="210"/>
      <c r="H222" s="210"/>
      <c r="I222" s="210"/>
      <c r="J222" s="210"/>
      <c r="K222" s="210"/>
      <c r="L222" s="210"/>
      <c r="M222" s="210"/>
      <c r="N222" s="210"/>
      <c r="O222" s="210"/>
      <c r="P222" s="210"/>
      <c r="Q222" s="210"/>
      <c r="R222" s="210"/>
      <c r="S222" s="210"/>
      <c r="T222" s="210"/>
      <c r="U222" s="210"/>
      <c r="V222" s="210"/>
      <c r="W222" s="210"/>
      <c r="X222" s="210"/>
      <c r="Y222" s="210"/>
      <c r="Z222" s="210"/>
      <c r="AA222" s="210"/>
      <c r="AB222" s="210"/>
      <c r="AC222" s="210"/>
      <c r="AI222" s="210"/>
      <c r="AJ222" s="210"/>
    </row>
    <row r="223" ht="12.75" customHeight="1">
      <c r="C223" s="210"/>
      <c r="D223" s="210"/>
      <c r="E223" s="210"/>
      <c r="F223" s="210"/>
      <c r="G223" s="210"/>
      <c r="H223" s="210"/>
      <c r="I223" s="210"/>
      <c r="J223" s="210"/>
      <c r="K223" s="210"/>
      <c r="L223" s="210"/>
      <c r="M223" s="210"/>
      <c r="N223" s="210"/>
      <c r="O223" s="210"/>
      <c r="P223" s="210"/>
      <c r="Q223" s="210"/>
      <c r="R223" s="210"/>
      <c r="S223" s="210"/>
      <c r="T223" s="210"/>
      <c r="U223" s="210"/>
      <c r="V223" s="210"/>
      <c r="W223" s="210"/>
      <c r="X223" s="210"/>
      <c r="Y223" s="210"/>
      <c r="Z223" s="210"/>
      <c r="AA223" s="210"/>
      <c r="AB223" s="210"/>
      <c r="AC223" s="210"/>
      <c r="AI223" s="210"/>
      <c r="AJ223" s="210"/>
    </row>
    <row r="224" ht="12.75" customHeight="1">
      <c r="C224" s="210"/>
      <c r="D224" s="210"/>
      <c r="E224" s="210"/>
      <c r="F224" s="210"/>
      <c r="G224" s="210"/>
      <c r="H224" s="210"/>
      <c r="I224" s="210"/>
      <c r="J224" s="210"/>
      <c r="K224" s="210"/>
      <c r="L224" s="210"/>
      <c r="M224" s="210"/>
      <c r="N224" s="210"/>
      <c r="O224" s="210"/>
      <c r="P224" s="210"/>
      <c r="Q224" s="210"/>
      <c r="R224" s="210"/>
      <c r="S224" s="210"/>
      <c r="T224" s="210"/>
      <c r="U224" s="210"/>
      <c r="V224" s="210"/>
      <c r="W224" s="210"/>
      <c r="X224" s="210"/>
      <c r="Y224" s="210"/>
      <c r="Z224" s="210"/>
      <c r="AA224" s="210"/>
      <c r="AB224" s="210"/>
      <c r="AC224" s="210"/>
      <c r="AI224" s="210"/>
      <c r="AJ224" s="210"/>
    </row>
    <row r="225" ht="12.75" customHeight="1">
      <c r="C225" s="210"/>
      <c r="D225" s="210"/>
      <c r="E225" s="210"/>
      <c r="F225" s="210"/>
      <c r="G225" s="210"/>
      <c r="H225" s="210"/>
      <c r="I225" s="210"/>
      <c r="J225" s="210"/>
      <c r="K225" s="210"/>
      <c r="L225" s="210"/>
      <c r="M225" s="210"/>
      <c r="N225" s="210"/>
      <c r="O225" s="210"/>
      <c r="P225" s="210"/>
      <c r="Q225" s="210"/>
      <c r="R225" s="210"/>
      <c r="S225" s="210"/>
      <c r="T225" s="210"/>
      <c r="U225" s="210"/>
      <c r="V225" s="210"/>
      <c r="W225" s="210"/>
      <c r="X225" s="210"/>
      <c r="Y225" s="210"/>
      <c r="Z225" s="210"/>
      <c r="AA225" s="210"/>
      <c r="AB225" s="210"/>
      <c r="AC225" s="210"/>
      <c r="AI225" s="210"/>
      <c r="AJ225" s="210"/>
    </row>
    <row r="226" ht="12.75" customHeight="1">
      <c r="C226" s="210"/>
      <c r="D226" s="210"/>
      <c r="E226" s="210"/>
      <c r="F226" s="210"/>
      <c r="G226" s="210"/>
      <c r="H226" s="210"/>
      <c r="I226" s="210"/>
      <c r="J226" s="210"/>
      <c r="K226" s="210"/>
      <c r="L226" s="210"/>
      <c r="M226" s="210"/>
      <c r="N226" s="210"/>
      <c r="O226" s="210"/>
      <c r="P226" s="210"/>
      <c r="Q226" s="210"/>
      <c r="R226" s="210"/>
      <c r="S226" s="210"/>
      <c r="T226" s="210"/>
      <c r="U226" s="210"/>
      <c r="V226" s="210"/>
      <c r="W226" s="210"/>
      <c r="X226" s="210"/>
      <c r="Y226" s="210"/>
      <c r="Z226" s="210"/>
      <c r="AA226" s="210"/>
      <c r="AB226" s="210"/>
      <c r="AC226" s="210"/>
      <c r="AI226" s="210"/>
      <c r="AJ226" s="210"/>
    </row>
    <row r="227" ht="12.75" customHeight="1">
      <c r="C227" s="210"/>
      <c r="D227" s="210"/>
      <c r="E227" s="210"/>
      <c r="F227" s="210"/>
      <c r="G227" s="210"/>
      <c r="H227" s="210"/>
      <c r="I227" s="210"/>
      <c r="J227" s="210"/>
      <c r="K227" s="210"/>
      <c r="L227" s="210"/>
      <c r="M227" s="210"/>
      <c r="N227" s="210"/>
      <c r="O227" s="210"/>
      <c r="P227" s="210"/>
      <c r="Q227" s="210"/>
      <c r="R227" s="210"/>
      <c r="S227" s="210"/>
      <c r="T227" s="210"/>
      <c r="U227" s="210"/>
      <c r="V227" s="210"/>
      <c r="W227" s="210"/>
      <c r="X227" s="210"/>
      <c r="Y227" s="210"/>
      <c r="Z227" s="210"/>
      <c r="AA227" s="210"/>
      <c r="AB227" s="210"/>
      <c r="AC227" s="210"/>
      <c r="AI227" s="210"/>
      <c r="AJ227" s="210"/>
    </row>
    <row r="228" ht="12.75" customHeight="1">
      <c r="C228" s="210"/>
      <c r="D228" s="210"/>
      <c r="E228" s="210"/>
      <c r="F228" s="210"/>
      <c r="G228" s="210"/>
      <c r="H228" s="210"/>
      <c r="I228" s="210"/>
      <c r="J228" s="210"/>
      <c r="K228" s="210"/>
      <c r="L228" s="210"/>
      <c r="M228" s="210"/>
      <c r="N228" s="210"/>
      <c r="O228" s="210"/>
      <c r="P228" s="210"/>
      <c r="Q228" s="210"/>
      <c r="R228" s="210"/>
      <c r="S228" s="210"/>
      <c r="T228" s="210"/>
      <c r="U228" s="210"/>
      <c r="V228" s="210"/>
      <c r="W228" s="210"/>
      <c r="X228" s="210"/>
      <c r="Y228" s="210"/>
      <c r="Z228" s="210"/>
      <c r="AA228" s="210"/>
      <c r="AB228" s="210"/>
      <c r="AC228" s="210"/>
      <c r="AI228" s="210"/>
      <c r="AJ228" s="210"/>
    </row>
    <row r="229" ht="12.75" customHeight="1">
      <c r="C229" s="210"/>
      <c r="D229" s="210"/>
      <c r="E229" s="210"/>
      <c r="F229" s="210"/>
      <c r="G229" s="210"/>
      <c r="H229" s="210"/>
      <c r="I229" s="210"/>
      <c r="J229" s="210"/>
      <c r="K229" s="210"/>
      <c r="L229" s="210"/>
      <c r="M229" s="210"/>
      <c r="N229" s="210"/>
      <c r="O229" s="210"/>
      <c r="P229" s="210"/>
      <c r="Q229" s="210"/>
      <c r="R229" s="210"/>
      <c r="S229" s="210"/>
      <c r="T229" s="210"/>
      <c r="U229" s="210"/>
      <c r="V229" s="210"/>
      <c r="W229" s="210"/>
      <c r="X229" s="210"/>
      <c r="Y229" s="210"/>
      <c r="Z229" s="210"/>
      <c r="AA229" s="210"/>
      <c r="AB229" s="210"/>
      <c r="AC229" s="210"/>
      <c r="AI229" s="210"/>
      <c r="AJ229" s="210"/>
    </row>
    <row r="230" ht="12.75" customHeight="1">
      <c r="C230" s="210"/>
      <c r="D230" s="210"/>
      <c r="E230" s="210"/>
      <c r="F230" s="210"/>
      <c r="G230" s="210"/>
      <c r="H230" s="210"/>
      <c r="I230" s="210"/>
      <c r="J230" s="210"/>
      <c r="K230" s="210"/>
      <c r="L230" s="210"/>
      <c r="M230" s="210"/>
      <c r="N230" s="210"/>
      <c r="O230" s="210"/>
      <c r="P230" s="210"/>
      <c r="Q230" s="210"/>
      <c r="R230" s="210"/>
      <c r="S230" s="210"/>
      <c r="T230" s="210"/>
      <c r="U230" s="210"/>
      <c r="V230" s="210"/>
      <c r="W230" s="210"/>
      <c r="X230" s="210"/>
      <c r="Y230" s="210"/>
      <c r="Z230" s="210"/>
      <c r="AA230" s="210"/>
      <c r="AB230" s="210"/>
      <c r="AC230" s="210"/>
      <c r="AI230" s="210"/>
      <c r="AJ230" s="210"/>
    </row>
    <row r="231" ht="12.75" customHeight="1">
      <c r="C231" s="210"/>
      <c r="D231" s="210"/>
      <c r="E231" s="210"/>
      <c r="F231" s="210"/>
      <c r="G231" s="210"/>
      <c r="H231" s="210"/>
      <c r="I231" s="210"/>
      <c r="J231" s="210"/>
      <c r="K231" s="210"/>
      <c r="L231" s="210"/>
      <c r="M231" s="210"/>
      <c r="N231" s="210"/>
      <c r="O231" s="210"/>
      <c r="P231" s="210"/>
      <c r="Q231" s="210"/>
      <c r="R231" s="210"/>
      <c r="S231" s="210"/>
      <c r="T231" s="210"/>
      <c r="U231" s="210"/>
      <c r="V231" s="210"/>
      <c r="W231" s="210"/>
      <c r="X231" s="210"/>
      <c r="Y231" s="210"/>
      <c r="Z231" s="210"/>
      <c r="AA231" s="210"/>
      <c r="AB231" s="210"/>
      <c r="AC231" s="210"/>
      <c r="AI231" s="210"/>
      <c r="AJ231" s="210"/>
    </row>
    <row r="232" ht="12.75" customHeight="1">
      <c r="C232" s="210"/>
      <c r="D232" s="210"/>
      <c r="E232" s="210"/>
      <c r="F232" s="210"/>
      <c r="G232" s="210"/>
      <c r="H232" s="210"/>
      <c r="I232" s="210"/>
      <c r="J232" s="210"/>
      <c r="K232" s="210"/>
      <c r="L232" s="210"/>
      <c r="M232" s="210"/>
      <c r="N232" s="210"/>
      <c r="O232" s="210"/>
      <c r="P232" s="210"/>
      <c r="Q232" s="210"/>
      <c r="R232" s="210"/>
      <c r="S232" s="210"/>
      <c r="T232" s="210"/>
      <c r="U232" s="210"/>
      <c r="V232" s="210"/>
      <c r="W232" s="210"/>
      <c r="X232" s="210"/>
      <c r="Y232" s="210"/>
      <c r="Z232" s="210"/>
      <c r="AA232" s="210"/>
      <c r="AB232" s="210"/>
      <c r="AC232" s="210"/>
      <c r="AI232" s="210"/>
      <c r="AJ232" s="210"/>
    </row>
    <row r="233" ht="12.75" customHeight="1">
      <c r="C233" s="210"/>
      <c r="D233" s="210"/>
      <c r="E233" s="210"/>
      <c r="F233" s="210"/>
      <c r="G233" s="210"/>
      <c r="H233" s="210"/>
      <c r="I233" s="210"/>
      <c r="J233" s="210"/>
      <c r="K233" s="210"/>
      <c r="L233" s="210"/>
      <c r="M233" s="210"/>
      <c r="N233" s="210"/>
      <c r="O233" s="210"/>
      <c r="P233" s="210"/>
      <c r="Q233" s="210"/>
      <c r="R233" s="210"/>
      <c r="S233" s="210"/>
      <c r="T233" s="210"/>
      <c r="U233" s="210"/>
      <c r="V233" s="210"/>
      <c r="W233" s="210"/>
      <c r="X233" s="210"/>
      <c r="Y233" s="210"/>
      <c r="Z233" s="210"/>
      <c r="AA233" s="210"/>
      <c r="AB233" s="210"/>
      <c r="AC233" s="210"/>
      <c r="AI233" s="210"/>
      <c r="AJ233" s="210"/>
    </row>
    <row r="234" ht="12.75" customHeight="1">
      <c r="C234" s="210"/>
      <c r="D234" s="210"/>
      <c r="E234" s="210"/>
      <c r="F234" s="210"/>
      <c r="G234" s="210"/>
      <c r="H234" s="210"/>
      <c r="I234" s="210"/>
      <c r="J234" s="210"/>
      <c r="K234" s="210"/>
      <c r="L234" s="210"/>
      <c r="M234" s="210"/>
      <c r="N234" s="210"/>
      <c r="O234" s="210"/>
      <c r="P234" s="210"/>
      <c r="Q234" s="210"/>
      <c r="R234" s="210"/>
      <c r="S234" s="210"/>
      <c r="T234" s="210"/>
      <c r="U234" s="210"/>
      <c r="V234" s="210"/>
      <c r="W234" s="210"/>
      <c r="X234" s="210"/>
      <c r="Y234" s="210"/>
      <c r="Z234" s="210"/>
      <c r="AA234" s="210"/>
      <c r="AB234" s="210"/>
      <c r="AC234" s="210"/>
      <c r="AI234" s="210"/>
      <c r="AJ234" s="210"/>
    </row>
    <row r="235" ht="12.75" customHeight="1">
      <c r="C235" s="210"/>
      <c r="D235" s="210"/>
      <c r="E235" s="210"/>
      <c r="F235" s="210"/>
      <c r="G235" s="210"/>
      <c r="H235" s="210"/>
      <c r="I235" s="210"/>
      <c r="J235" s="210"/>
      <c r="K235" s="210"/>
      <c r="L235" s="210"/>
      <c r="M235" s="210"/>
      <c r="N235" s="210"/>
      <c r="O235" s="210"/>
      <c r="P235" s="210"/>
      <c r="Q235" s="210"/>
      <c r="R235" s="210"/>
      <c r="S235" s="210"/>
      <c r="T235" s="210"/>
      <c r="U235" s="210"/>
      <c r="V235" s="210"/>
      <c r="W235" s="210"/>
      <c r="X235" s="210"/>
      <c r="Y235" s="210"/>
      <c r="Z235" s="210"/>
      <c r="AA235" s="210"/>
      <c r="AB235" s="210"/>
      <c r="AC235" s="210"/>
      <c r="AI235" s="210"/>
      <c r="AJ235" s="210"/>
    </row>
    <row r="236" ht="12.75" customHeight="1">
      <c r="C236" s="210"/>
      <c r="D236" s="210"/>
      <c r="E236" s="210"/>
      <c r="F236" s="210"/>
      <c r="G236" s="210"/>
      <c r="H236" s="210"/>
      <c r="I236" s="210"/>
      <c r="J236" s="210"/>
      <c r="K236" s="210"/>
      <c r="L236" s="210"/>
      <c r="M236" s="210"/>
      <c r="N236" s="210"/>
      <c r="O236" s="210"/>
      <c r="P236" s="210"/>
      <c r="Q236" s="210"/>
      <c r="R236" s="210"/>
      <c r="S236" s="210"/>
      <c r="T236" s="210"/>
      <c r="U236" s="210"/>
      <c r="V236" s="210"/>
      <c r="W236" s="210"/>
      <c r="X236" s="210"/>
      <c r="Y236" s="210"/>
      <c r="Z236" s="210"/>
      <c r="AA236" s="210"/>
      <c r="AB236" s="210"/>
      <c r="AC236" s="210"/>
      <c r="AI236" s="210"/>
      <c r="AJ236" s="210"/>
    </row>
    <row r="237" ht="12.75" customHeight="1">
      <c r="C237" s="210"/>
      <c r="D237" s="210"/>
      <c r="E237" s="210"/>
      <c r="F237" s="210"/>
      <c r="G237" s="210"/>
      <c r="H237" s="210"/>
      <c r="I237" s="210"/>
      <c r="J237" s="210"/>
      <c r="K237" s="210"/>
      <c r="L237" s="210"/>
      <c r="M237" s="210"/>
      <c r="N237" s="210"/>
      <c r="O237" s="210"/>
      <c r="P237" s="210"/>
      <c r="Q237" s="210"/>
      <c r="R237" s="210"/>
      <c r="S237" s="210"/>
      <c r="T237" s="210"/>
      <c r="U237" s="210"/>
      <c r="V237" s="210"/>
      <c r="W237" s="210"/>
      <c r="X237" s="210"/>
      <c r="Y237" s="210"/>
      <c r="Z237" s="210"/>
      <c r="AA237" s="210"/>
      <c r="AB237" s="210"/>
      <c r="AC237" s="210"/>
      <c r="AI237" s="210"/>
      <c r="AJ237" s="210"/>
    </row>
    <row r="238" ht="12.75" customHeight="1">
      <c r="C238" s="210"/>
      <c r="D238" s="210"/>
      <c r="E238" s="210"/>
      <c r="F238" s="210"/>
      <c r="G238" s="210"/>
      <c r="H238" s="210"/>
      <c r="I238" s="210"/>
      <c r="J238" s="210"/>
      <c r="K238" s="210"/>
      <c r="L238" s="210"/>
      <c r="M238" s="210"/>
      <c r="N238" s="210"/>
      <c r="O238" s="210"/>
      <c r="P238" s="210"/>
      <c r="Q238" s="210"/>
      <c r="R238" s="210"/>
      <c r="S238" s="210"/>
      <c r="T238" s="210"/>
      <c r="U238" s="210"/>
      <c r="V238" s="210"/>
      <c r="W238" s="210"/>
      <c r="X238" s="210"/>
      <c r="Y238" s="210"/>
      <c r="Z238" s="210"/>
      <c r="AA238" s="210"/>
      <c r="AB238" s="210"/>
      <c r="AC238" s="210"/>
      <c r="AI238" s="210"/>
      <c r="AJ238" s="210"/>
    </row>
    <row r="239" ht="12.75" customHeight="1">
      <c r="C239" s="210"/>
      <c r="D239" s="210"/>
      <c r="E239" s="210"/>
      <c r="F239" s="210"/>
      <c r="G239" s="210"/>
      <c r="H239" s="210"/>
      <c r="I239" s="210"/>
      <c r="J239" s="210"/>
      <c r="K239" s="210"/>
      <c r="L239" s="210"/>
      <c r="M239" s="210"/>
      <c r="N239" s="210"/>
      <c r="O239" s="210"/>
      <c r="P239" s="210"/>
      <c r="Q239" s="210"/>
      <c r="R239" s="210"/>
      <c r="S239" s="210"/>
      <c r="T239" s="210"/>
      <c r="U239" s="210"/>
      <c r="V239" s="210"/>
      <c r="W239" s="210"/>
      <c r="X239" s="210"/>
      <c r="Y239" s="210"/>
      <c r="Z239" s="210"/>
      <c r="AA239" s="210"/>
      <c r="AB239" s="210"/>
      <c r="AC239" s="210"/>
      <c r="AI239" s="210"/>
      <c r="AJ239" s="210"/>
    </row>
    <row r="240" ht="12.75" customHeight="1">
      <c r="C240" s="210"/>
      <c r="D240" s="210"/>
      <c r="E240" s="210"/>
      <c r="F240" s="210"/>
      <c r="G240" s="210"/>
      <c r="H240" s="210"/>
      <c r="I240" s="210"/>
      <c r="J240" s="210"/>
      <c r="K240" s="210"/>
      <c r="L240" s="210"/>
      <c r="M240" s="210"/>
      <c r="N240" s="210"/>
      <c r="O240" s="210"/>
      <c r="P240" s="210"/>
      <c r="Q240" s="210"/>
      <c r="R240" s="210"/>
      <c r="S240" s="210"/>
      <c r="T240" s="210"/>
      <c r="U240" s="210"/>
      <c r="V240" s="210"/>
      <c r="W240" s="210"/>
      <c r="X240" s="210"/>
      <c r="Y240" s="210"/>
      <c r="Z240" s="210"/>
      <c r="AA240" s="210"/>
      <c r="AB240" s="210"/>
      <c r="AC240" s="210"/>
      <c r="AI240" s="210"/>
      <c r="AJ240" s="210"/>
    </row>
    <row r="241" ht="12.75" customHeight="1">
      <c r="C241" s="210"/>
      <c r="D241" s="210"/>
      <c r="E241" s="210"/>
      <c r="F241" s="210"/>
      <c r="G241" s="210"/>
      <c r="H241" s="210"/>
      <c r="I241" s="210"/>
      <c r="J241" s="210"/>
      <c r="K241" s="210"/>
      <c r="L241" s="210"/>
      <c r="M241" s="210"/>
      <c r="N241" s="210"/>
      <c r="O241" s="210"/>
      <c r="P241" s="210"/>
      <c r="Q241" s="210"/>
      <c r="R241" s="210"/>
      <c r="S241" s="210"/>
      <c r="T241" s="210"/>
      <c r="U241" s="210"/>
      <c r="V241" s="210"/>
      <c r="W241" s="210"/>
      <c r="X241" s="210"/>
      <c r="Y241" s="210"/>
      <c r="Z241" s="210"/>
      <c r="AA241" s="210"/>
      <c r="AB241" s="210"/>
      <c r="AC241" s="210"/>
      <c r="AI241" s="210"/>
      <c r="AJ241" s="210"/>
    </row>
    <row r="242" ht="12.75" customHeight="1">
      <c r="C242" s="210"/>
      <c r="D242" s="210"/>
      <c r="E242" s="210"/>
      <c r="F242" s="210"/>
      <c r="G242" s="210"/>
      <c r="H242" s="210"/>
      <c r="I242" s="210"/>
      <c r="J242" s="210"/>
      <c r="K242" s="210"/>
      <c r="L242" s="210"/>
      <c r="M242" s="210"/>
      <c r="N242" s="210"/>
      <c r="O242" s="210"/>
      <c r="P242" s="210"/>
      <c r="Q242" s="210"/>
      <c r="R242" s="210"/>
      <c r="S242" s="210"/>
      <c r="T242" s="210"/>
      <c r="U242" s="210"/>
      <c r="V242" s="210"/>
      <c r="W242" s="210"/>
      <c r="X242" s="210"/>
      <c r="Y242" s="210"/>
      <c r="Z242" s="210"/>
      <c r="AA242" s="210"/>
      <c r="AB242" s="210"/>
      <c r="AC242" s="210"/>
      <c r="AI242" s="210"/>
      <c r="AJ242" s="210"/>
    </row>
    <row r="243" ht="12.75" customHeight="1">
      <c r="C243" s="210"/>
      <c r="D243" s="210"/>
      <c r="E243" s="210"/>
      <c r="F243" s="210"/>
      <c r="G243" s="210"/>
      <c r="H243" s="210"/>
      <c r="I243" s="210"/>
      <c r="J243" s="210"/>
      <c r="K243" s="210"/>
      <c r="L243" s="210"/>
      <c r="M243" s="210"/>
      <c r="N243" s="210"/>
      <c r="O243" s="210"/>
      <c r="P243" s="210"/>
      <c r="Q243" s="210"/>
      <c r="R243" s="210"/>
      <c r="S243" s="210"/>
      <c r="T243" s="210"/>
      <c r="U243" s="210"/>
      <c r="V243" s="210"/>
      <c r="W243" s="210"/>
      <c r="X243" s="210"/>
      <c r="Y243" s="210"/>
      <c r="Z243" s="210"/>
      <c r="AA243" s="210"/>
      <c r="AB243" s="210"/>
      <c r="AC243" s="210"/>
      <c r="AI243" s="210"/>
      <c r="AJ243" s="210"/>
    </row>
    <row r="244" ht="12.75" customHeight="1">
      <c r="C244" s="210"/>
      <c r="D244" s="210"/>
      <c r="E244" s="210"/>
      <c r="F244" s="210"/>
      <c r="G244" s="210"/>
      <c r="H244" s="210"/>
      <c r="I244" s="210"/>
      <c r="J244" s="210"/>
      <c r="K244" s="210"/>
      <c r="L244" s="210"/>
      <c r="M244" s="210"/>
      <c r="N244" s="210"/>
      <c r="O244" s="210"/>
      <c r="P244" s="210"/>
      <c r="Q244" s="210"/>
      <c r="R244" s="210"/>
      <c r="S244" s="210"/>
      <c r="T244" s="210"/>
      <c r="U244" s="210"/>
      <c r="V244" s="210"/>
      <c r="W244" s="210"/>
      <c r="X244" s="210"/>
      <c r="Y244" s="210"/>
      <c r="Z244" s="210"/>
      <c r="AA244" s="210"/>
      <c r="AB244" s="210"/>
      <c r="AC244" s="210"/>
      <c r="AI244" s="210"/>
      <c r="AJ244" s="210"/>
    </row>
    <row r="245" ht="12.75" customHeight="1">
      <c r="C245" s="210"/>
      <c r="D245" s="210"/>
      <c r="E245" s="210"/>
      <c r="F245" s="210"/>
      <c r="G245" s="210"/>
      <c r="H245" s="210"/>
      <c r="I245" s="210"/>
      <c r="J245" s="210"/>
      <c r="K245" s="210"/>
      <c r="L245" s="210"/>
      <c r="M245" s="210"/>
      <c r="N245" s="210"/>
      <c r="O245" s="210"/>
      <c r="P245" s="210"/>
      <c r="Q245" s="210"/>
      <c r="R245" s="210"/>
      <c r="S245" s="210"/>
      <c r="T245" s="210"/>
      <c r="U245" s="210"/>
      <c r="V245" s="210"/>
      <c r="W245" s="210"/>
      <c r="X245" s="210"/>
      <c r="Y245" s="210"/>
      <c r="Z245" s="210"/>
      <c r="AA245" s="210"/>
      <c r="AB245" s="210"/>
      <c r="AC245" s="210"/>
      <c r="AI245" s="210"/>
      <c r="AJ245" s="210"/>
    </row>
    <row r="246" ht="12.75" customHeight="1">
      <c r="C246" s="210"/>
      <c r="D246" s="210"/>
      <c r="E246" s="210"/>
      <c r="F246" s="210"/>
      <c r="G246" s="210"/>
      <c r="H246" s="210"/>
      <c r="I246" s="210"/>
      <c r="J246" s="210"/>
      <c r="K246" s="210"/>
      <c r="L246" s="210"/>
      <c r="M246" s="210"/>
      <c r="N246" s="210"/>
      <c r="O246" s="210"/>
      <c r="P246" s="210"/>
      <c r="Q246" s="210"/>
      <c r="R246" s="210"/>
      <c r="S246" s="210"/>
      <c r="T246" s="210"/>
      <c r="U246" s="210"/>
      <c r="V246" s="210"/>
      <c r="W246" s="210"/>
      <c r="X246" s="210"/>
      <c r="Y246" s="210"/>
      <c r="Z246" s="210"/>
      <c r="AA246" s="210"/>
      <c r="AB246" s="210"/>
      <c r="AC246" s="210"/>
      <c r="AI246" s="210"/>
      <c r="AJ246" s="210"/>
    </row>
    <row r="247" ht="12.75" customHeight="1">
      <c r="C247" s="210"/>
      <c r="D247" s="210"/>
      <c r="E247" s="210"/>
      <c r="F247" s="210"/>
      <c r="G247" s="210"/>
      <c r="H247" s="210"/>
      <c r="I247" s="210"/>
      <c r="J247" s="210"/>
      <c r="K247" s="210"/>
      <c r="L247" s="210"/>
      <c r="M247" s="210"/>
      <c r="N247" s="210"/>
      <c r="O247" s="210"/>
      <c r="P247" s="210"/>
      <c r="Q247" s="210"/>
      <c r="R247" s="210"/>
      <c r="S247" s="210"/>
      <c r="T247" s="210"/>
      <c r="U247" s="210"/>
      <c r="V247" s="210"/>
      <c r="W247" s="210"/>
      <c r="X247" s="210"/>
      <c r="Y247" s="210"/>
      <c r="Z247" s="210"/>
      <c r="AA247" s="210"/>
      <c r="AB247" s="210"/>
      <c r="AC247" s="210"/>
      <c r="AI247" s="210"/>
      <c r="AJ247" s="210"/>
    </row>
    <row r="248" ht="12.75" customHeight="1">
      <c r="C248" s="210"/>
      <c r="D248" s="210"/>
      <c r="E248" s="210"/>
      <c r="F248" s="210"/>
      <c r="G248" s="210"/>
      <c r="H248" s="210"/>
      <c r="I248" s="210"/>
      <c r="J248" s="210"/>
      <c r="K248" s="210"/>
      <c r="L248" s="210"/>
      <c r="M248" s="210"/>
      <c r="N248" s="210"/>
      <c r="O248" s="210"/>
      <c r="P248" s="210"/>
      <c r="Q248" s="210"/>
      <c r="R248" s="210"/>
      <c r="S248" s="210"/>
      <c r="T248" s="210"/>
      <c r="U248" s="210"/>
      <c r="V248" s="210"/>
      <c r="W248" s="210"/>
      <c r="X248" s="210"/>
      <c r="Y248" s="210"/>
      <c r="Z248" s="210"/>
      <c r="AA248" s="210"/>
      <c r="AB248" s="210"/>
      <c r="AC248" s="210"/>
      <c r="AI248" s="210"/>
      <c r="AJ248" s="210"/>
    </row>
    <row r="249" ht="12.75" customHeight="1">
      <c r="C249" s="210"/>
      <c r="D249" s="210"/>
      <c r="E249" s="210"/>
      <c r="F249" s="210"/>
      <c r="G249" s="210"/>
      <c r="H249" s="210"/>
      <c r="I249" s="210"/>
      <c r="J249" s="210"/>
      <c r="K249" s="210"/>
      <c r="L249" s="210"/>
      <c r="M249" s="210"/>
      <c r="N249" s="210"/>
      <c r="O249" s="210"/>
      <c r="P249" s="210"/>
      <c r="Q249" s="210"/>
      <c r="R249" s="210"/>
      <c r="S249" s="210"/>
      <c r="T249" s="210"/>
      <c r="U249" s="210"/>
      <c r="V249" s="210"/>
      <c r="W249" s="210"/>
      <c r="X249" s="210"/>
      <c r="Y249" s="210"/>
      <c r="Z249" s="210"/>
      <c r="AA249" s="210"/>
      <c r="AB249" s="210"/>
      <c r="AC249" s="210"/>
      <c r="AI249" s="210"/>
      <c r="AJ249" s="210"/>
    </row>
    <row r="250" ht="12.75" customHeight="1">
      <c r="C250" s="210"/>
      <c r="D250" s="210"/>
      <c r="E250" s="210"/>
      <c r="F250" s="210"/>
      <c r="G250" s="210"/>
      <c r="H250" s="210"/>
      <c r="I250" s="210"/>
      <c r="J250" s="210"/>
      <c r="K250" s="210"/>
      <c r="L250" s="210"/>
      <c r="M250" s="210"/>
      <c r="N250" s="210"/>
      <c r="O250" s="210"/>
      <c r="P250" s="210"/>
      <c r="Q250" s="210"/>
      <c r="R250" s="210"/>
      <c r="S250" s="210"/>
      <c r="T250" s="210"/>
      <c r="U250" s="210"/>
      <c r="V250" s="210"/>
      <c r="W250" s="210"/>
      <c r="X250" s="210"/>
      <c r="Y250" s="210"/>
      <c r="Z250" s="210"/>
      <c r="AA250" s="210"/>
      <c r="AB250" s="210"/>
      <c r="AC250" s="210"/>
      <c r="AI250" s="210"/>
      <c r="AJ250" s="210"/>
    </row>
    <row r="251" ht="12.75" customHeight="1">
      <c r="C251" s="210"/>
      <c r="D251" s="210"/>
      <c r="E251" s="210"/>
      <c r="F251" s="210"/>
      <c r="G251" s="210"/>
      <c r="H251" s="210"/>
      <c r="I251" s="210"/>
      <c r="J251" s="210"/>
      <c r="K251" s="210"/>
      <c r="L251" s="210"/>
      <c r="M251" s="210"/>
      <c r="N251" s="210"/>
      <c r="O251" s="210"/>
      <c r="P251" s="210"/>
      <c r="Q251" s="210"/>
      <c r="R251" s="210"/>
      <c r="S251" s="210"/>
      <c r="T251" s="210"/>
      <c r="U251" s="210"/>
      <c r="V251" s="210"/>
      <c r="W251" s="210"/>
      <c r="X251" s="210"/>
      <c r="Y251" s="210"/>
      <c r="Z251" s="210"/>
      <c r="AA251" s="210"/>
      <c r="AB251" s="210"/>
      <c r="AC251" s="210"/>
      <c r="AI251" s="210"/>
      <c r="AJ251" s="210"/>
    </row>
    <row r="252" ht="12.75" customHeight="1">
      <c r="C252" s="210"/>
      <c r="D252" s="210"/>
      <c r="E252" s="210"/>
      <c r="F252" s="210"/>
      <c r="G252" s="210"/>
      <c r="H252" s="210"/>
      <c r="I252" s="210"/>
      <c r="J252" s="210"/>
      <c r="K252" s="210"/>
      <c r="L252" s="210"/>
      <c r="M252" s="210"/>
      <c r="N252" s="210"/>
      <c r="O252" s="210"/>
      <c r="P252" s="210"/>
      <c r="Q252" s="210"/>
      <c r="R252" s="210"/>
      <c r="S252" s="210"/>
      <c r="T252" s="210"/>
      <c r="U252" s="210"/>
      <c r="V252" s="210"/>
      <c r="W252" s="210"/>
      <c r="X252" s="210"/>
      <c r="Y252" s="210"/>
      <c r="Z252" s="210"/>
      <c r="AA252" s="210"/>
      <c r="AB252" s="210"/>
      <c r="AC252" s="210"/>
      <c r="AI252" s="210"/>
      <c r="AJ252" s="210"/>
    </row>
    <row r="253" ht="12.75" customHeight="1">
      <c r="C253" s="210"/>
      <c r="D253" s="210"/>
      <c r="E253" s="210"/>
      <c r="F253" s="210"/>
      <c r="G253" s="210"/>
      <c r="H253" s="210"/>
      <c r="I253" s="210"/>
      <c r="J253" s="210"/>
      <c r="K253" s="210"/>
      <c r="L253" s="210"/>
      <c r="M253" s="210"/>
      <c r="N253" s="210"/>
      <c r="O253" s="210"/>
      <c r="P253" s="210"/>
      <c r="Q253" s="210"/>
      <c r="R253" s="210"/>
      <c r="S253" s="210"/>
      <c r="T253" s="210"/>
      <c r="U253" s="210"/>
      <c r="V253" s="210"/>
      <c r="W253" s="210"/>
      <c r="X253" s="210"/>
      <c r="Y253" s="210"/>
      <c r="Z253" s="210"/>
      <c r="AA253" s="210"/>
      <c r="AB253" s="210"/>
      <c r="AC253" s="210"/>
      <c r="AI253" s="210"/>
      <c r="AJ253" s="210"/>
    </row>
    <row r="254" ht="12.75" customHeight="1">
      <c r="C254" s="210"/>
      <c r="D254" s="210"/>
      <c r="E254" s="210"/>
      <c r="F254" s="210"/>
      <c r="G254" s="210"/>
      <c r="H254" s="210"/>
      <c r="I254" s="210"/>
      <c r="J254" s="210"/>
      <c r="K254" s="210"/>
      <c r="L254" s="210"/>
      <c r="M254" s="210"/>
      <c r="N254" s="210"/>
      <c r="O254" s="210"/>
      <c r="P254" s="210"/>
      <c r="Q254" s="210"/>
      <c r="R254" s="210"/>
      <c r="S254" s="210"/>
      <c r="T254" s="210"/>
      <c r="U254" s="210"/>
      <c r="V254" s="210"/>
      <c r="W254" s="210"/>
      <c r="X254" s="210"/>
      <c r="Y254" s="210"/>
      <c r="Z254" s="210"/>
      <c r="AA254" s="210"/>
      <c r="AB254" s="210"/>
      <c r="AC254" s="210"/>
      <c r="AI254" s="210"/>
      <c r="AJ254" s="210"/>
    </row>
    <row r="255" ht="12.75" customHeight="1">
      <c r="C255" s="210"/>
      <c r="D255" s="210"/>
      <c r="E255" s="210"/>
      <c r="F255" s="210"/>
      <c r="G255" s="210"/>
      <c r="H255" s="210"/>
      <c r="I255" s="210"/>
      <c r="J255" s="210"/>
      <c r="K255" s="210"/>
      <c r="L255" s="210"/>
      <c r="M255" s="210"/>
      <c r="N255" s="210"/>
      <c r="O255" s="210"/>
      <c r="P255" s="210"/>
      <c r="Q255" s="210"/>
      <c r="R255" s="210"/>
      <c r="S255" s="210"/>
      <c r="T255" s="210"/>
      <c r="U255" s="210"/>
      <c r="V255" s="210"/>
      <c r="W255" s="210"/>
      <c r="X255" s="210"/>
      <c r="Y255" s="210"/>
      <c r="Z255" s="210"/>
      <c r="AA255" s="210"/>
      <c r="AB255" s="210"/>
      <c r="AC255" s="210"/>
      <c r="AI255" s="210"/>
      <c r="AJ255" s="210"/>
    </row>
    <row r="256" ht="12.75" customHeight="1">
      <c r="C256" s="210"/>
      <c r="D256" s="210"/>
      <c r="E256" s="210"/>
      <c r="F256" s="210"/>
      <c r="G256" s="210"/>
      <c r="H256" s="210"/>
      <c r="I256" s="210"/>
      <c r="J256" s="210"/>
      <c r="K256" s="210"/>
      <c r="L256" s="210"/>
      <c r="M256" s="210"/>
      <c r="N256" s="210"/>
      <c r="O256" s="210"/>
      <c r="P256" s="210"/>
      <c r="Q256" s="210"/>
      <c r="R256" s="210"/>
      <c r="S256" s="210"/>
      <c r="T256" s="210"/>
      <c r="U256" s="210"/>
      <c r="V256" s="210"/>
      <c r="W256" s="210"/>
      <c r="X256" s="210"/>
      <c r="Y256" s="210"/>
      <c r="Z256" s="210"/>
      <c r="AA256" s="210"/>
      <c r="AB256" s="210"/>
      <c r="AC256" s="210"/>
      <c r="AI256" s="210"/>
      <c r="AJ256" s="210"/>
    </row>
    <row r="257" ht="12.75" customHeight="1">
      <c r="C257" s="210"/>
      <c r="D257" s="210"/>
      <c r="E257" s="210"/>
      <c r="F257" s="210"/>
      <c r="G257" s="210"/>
      <c r="H257" s="210"/>
      <c r="I257" s="210"/>
      <c r="J257" s="210"/>
      <c r="K257" s="210"/>
      <c r="L257" s="210"/>
      <c r="M257" s="210"/>
      <c r="N257" s="210"/>
      <c r="O257" s="210"/>
      <c r="P257" s="210"/>
      <c r="Q257" s="210"/>
      <c r="R257" s="210"/>
      <c r="S257" s="210"/>
      <c r="T257" s="210"/>
      <c r="U257" s="210"/>
      <c r="V257" s="210"/>
      <c r="W257" s="210"/>
      <c r="X257" s="210"/>
      <c r="Y257" s="210"/>
      <c r="Z257" s="210"/>
      <c r="AA257" s="210"/>
      <c r="AB257" s="210"/>
      <c r="AC257" s="210"/>
      <c r="AI257" s="210"/>
      <c r="AJ257" s="210"/>
    </row>
    <row r="258" ht="12.75" customHeight="1">
      <c r="C258" s="210"/>
      <c r="D258" s="210"/>
      <c r="E258" s="210"/>
      <c r="F258" s="210"/>
      <c r="G258" s="210"/>
      <c r="H258" s="210"/>
      <c r="I258" s="210"/>
      <c r="J258" s="210"/>
      <c r="K258" s="210"/>
      <c r="L258" s="210"/>
      <c r="M258" s="210"/>
      <c r="N258" s="210"/>
      <c r="O258" s="210"/>
      <c r="P258" s="210"/>
      <c r="Q258" s="210"/>
      <c r="R258" s="210"/>
      <c r="S258" s="210"/>
      <c r="T258" s="210"/>
      <c r="U258" s="210"/>
      <c r="V258" s="210"/>
      <c r="W258" s="210"/>
      <c r="X258" s="210"/>
      <c r="Y258" s="210"/>
      <c r="Z258" s="210"/>
      <c r="AA258" s="210"/>
      <c r="AB258" s="210"/>
      <c r="AC258" s="210"/>
      <c r="AI258" s="210"/>
      <c r="AJ258" s="210"/>
    </row>
    <row r="259" ht="12.75" customHeight="1">
      <c r="C259" s="210"/>
      <c r="D259" s="210"/>
      <c r="E259" s="210"/>
      <c r="F259" s="210"/>
      <c r="G259" s="210"/>
      <c r="H259" s="210"/>
      <c r="I259" s="210"/>
      <c r="J259" s="210"/>
      <c r="K259" s="210"/>
      <c r="L259" s="210"/>
      <c r="M259" s="210"/>
      <c r="N259" s="210"/>
      <c r="O259" s="210"/>
      <c r="P259" s="210"/>
      <c r="Q259" s="210"/>
      <c r="R259" s="210"/>
      <c r="S259" s="210"/>
      <c r="T259" s="210"/>
      <c r="U259" s="210"/>
      <c r="V259" s="210"/>
      <c r="W259" s="210"/>
      <c r="X259" s="210"/>
      <c r="Y259" s="210"/>
      <c r="Z259" s="210"/>
      <c r="AA259" s="210"/>
      <c r="AB259" s="210"/>
      <c r="AC259" s="210"/>
      <c r="AI259" s="210"/>
      <c r="AJ259" s="210"/>
    </row>
    <row r="260" ht="12.75" customHeight="1">
      <c r="C260" s="210"/>
      <c r="D260" s="210"/>
      <c r="E260" s="210"/>
      <c r="F260" s="210"/>
      <c r="G260" s="210"/>
      <c r="H260" s="210"/>
      <c r="I260" s="210"/>
      <c r="J260" s="210"/>
      <c r="K260" s="210"/>
      <c r="L260" s="210"/>
      <c r="M260" s="210"/>
      <c r="N260" s="210"/>
      <c r="O260" s="210"/>
      <c r="P260" s="210"/>
      <c r="Q260" s="210"/>
      <c r="R260" s="210"/>
      <c r="S260" s="210"/>
      <c r="T260" s="210"/>
      <c r="U260" s="210"/>
      <c r="V260" s="210"/>
      <c r="W260" s="210"/>
      <c r="X260" s="210"/>
      <c r="Y260" s="210"/>
      <c r="Z260" s="210"/>
      <c r="AA260" s="210"/>
      <c r="AB260" s="210"/>
      <c r="AC260" s="210"/>
      <c r="AI260" s="210"/>
      <c r="AJ260" s="210"/>
    </row>
    <row r="261" ht="12.75" customHeight="1">
      <c r="C261" s="210"/>
      <c r="D261" s="210"/>
      <c r="E261" s="210"/>
      <c r="F261" s="210"/>
      <c r="G261" s="210"/>
      <c r="H261" s="210"/>
      <c r="I261" s="210"/>
      <c r="J261" s="210"/>
      <c r="K261" s="210"/>
      <c r="L261" s="210"/>
      <c r="M261" s="210"/>
      <c r="N261" s="210"/>
      <c r="O261" s="210"/>
      <c r="P261" s="210"/>
      <c r="Q261" s="210"/>
      <c r="R261" s="210"/>
      <c r="S261" s="210"/>
      <c r="T261" s="210"/>
      <c r="U261" s="210"/>
      <c r="V261" s="210"/>
      <c r="W261" s="210"/>
      <c r="X261" s="210"/>
      <c r="Y261" s="210"/>
      <c r="Z261" s="210"/>
      <c r="AA261" s="210"/>
      <c r="AB261" s="210"/>
      <c r="AC261" s="210"/>
      <c r="AI261" s="210"/>
      <c r="AJ261" s="210"/>
    </row>
    <row r="262" ht="12.75" customHeight="1">
      <c r="C262" s="210"/>
      <c r="D262" s="210"/>
      <c r="E262" s="210"/>
      <c r="F262" s="210"/>
      <c r="G262" s="210"/>
      <c r="H262" s="210"/>
      <c r="I262" s="210"/>
      <c r="J262" s="210"/>
      <c r="K262" s="210"/>
      <c r="L262" s="210"/>
      <c r="M262" s="210"/>
      <c r="N262" s="210"/>
      <c r="O262" s="210"/>
      <c r="P262" s="210"/>
      <c r="Q262" s="210"/>
      <c r="R262" s="210"/>
      <c r="S262" s="210"/>
      <c r="T262" s="210"/>
      <c r="U262" s="210"/>
      <c r="V262" s="210"/>
      <c r="W262" s="210"/>
      <c r="X262" s="210"/>
      <c r="Y262" s="210"/>
      <c r="Z262" s="210"/>
      <c r="AA262" s="210"/>
      <c r="AB262" s="210"/>
      <c r="AC262" s="210"/>
      <c r="AI262" s="210"/>
      <c r="AJ262" s="210"/>
    </row>
    <row r="263" ht="12.75" customHeight="1">
      <c r="C263" s="210"/>
      <c r="D263" s="210"/>
      <c r="E263" s="210"/>
      <c r="F263" s="210"/>
      <c r="G263" s="210"/>
      <c r="H263" s="210"/>
      <c r="I263" s="210"/>
      <c r="J263" s="210"/>
      <c r="K263" s="210"/>
      <c r="L263" s="210"/>
      <c r="M263" s="210"/>
      <c r="N263" s="210"/>
      <c r="O263" s="210"/>
      <c r="P263" s="210"/>
      <c r="Q263" s="210"/>
      <c r="R263" s="210"/>
      <c r="S263" s="210"/>
      <c r="T263" s="210"/>
      <c r="U263" s="210"/>
      <c r="V263" s="210"/>
      <c r="W263" s="210"/>
      <c r="X263" s="210"/>
      <c r="Y263" s="210"/>
      <c r="Z263" s="210"/>
      <c r="AA263" s="210"/>
      <c r="AB263" s="210"/>
      <c r="AC263" s="210"/>
      <c r="AI263" s="210"/>
      <c r="AJ263" s="210"/>
    </row>
    <row r="264" ht="12.75" customHeight="1">
      <c r="C264" s="210"/>
      <c r="D264" s="210"/>
      <c r="E264" s="210"/>
      <c r="F264" s="210"/>
      <c r="G264" s="210"/>
      <c r="H264" s="210"/>
      <c r="I264" s="210"/>
      <c r="J264" s="210"/>
      <c r="K264" s="210"/>
      <c r="L264" s="210"/>
      <c r="M264" s="210"/>
      <c r="N264" s="210"/>
      <c r="O264" s="210"/>
      <c r="P264" s="210"/>
      <c r="Q264" s="210"/>
      <c r="R264" s="210"/>
      <c r="S264" s="210"/>
      <c r="T264" s="210"/>
      <c r="U264" s="210"/>
      <c r="V264" s="210"/>
      <c r="W264" s="210"/>
      <c r="X264" s="210"/>
      <c r="Y264" s="210"/>
      <c r="Z264" s="210"/>
      <c r="AA264" s="210"/>
      <c r="AB264" s="210"/>
      <c r="AC264" s="210"/>
      <c r="AI264" s="210"/>
      <c r="AJ264" s="210"/>
    </row>
    <row r="265" ht="12.75" customHeight="1">
      <c r="C265" s="210"/>
      <c r="D265" s="210"/>
      <c r="E265" s="210"/>
      <c r="F265" s="210"/>
      <c r="G265" s="210"/>
      <c r="H265" s="210"/>
      <c r="I265" s="210"/>
      <c r="J265" s="210"/>
      <c r="K265" s="210"/>
      <c r="L265" s="210"/>
      <c r="M265" s="210"/>
      <c r="N265" s="210"/>
      <c r="O265" s="210"/>
      <c r="P265" s="210"/>
      <c r="Q265" s="210"/>
      <c r="R265" s="210"/>
      <c r="S265" s="210"/>
      <c r="T265" s="210"/>
      <c r="U265" s="210"/>
      <c r="V265" s="210"/>
      <c r="W265" s="210"/>
      <c r="X265" s="210"/>
      <c r="Y265" s="210"/>
      <c r="Z265" s="210"/>
      <c r="AA265" s="210"/>
      <c r="AB265" s="210"/>
      <c r="AC265" s="210"/>
      <c r="AI265" s="210"/>
      <c r="AJ265" s="210"/>
    </row>
    <row r="266" ht="12.75" customHeight="1">
      <c r="C266" s="210"/>
      <c r="D266" s="210"/>
      <c r="E266" s="210"/>
      <c r="F266" s="210"/>
      <c r="G266" s="210"/>
      <c r="H266" s="210"/>
      <c r="I266" s="210"/>
      <c r="J266" s="210"/>
      <c r="K266" s="210"/>
      <c r="L266" s="210"/>
      <c r="M266" s="210"/>
      <c r="N266" s="210"/>
      <c r="O266" s="210"/>
      <c r="P266" s="210"/>
      <c r="Q266" s="210"/>
      <c r="R266" s="210"/>
      <c r="S266" s="210"/>
      <c r="T266" s="210"/>
      <c r="U266" s="210"/>
      <c r="V266" s="210"/>
      <c r="W266" s="210"/>
      <c r="X266" s="210"/>
      <c r="Y266" s="210"/>
      <c r="Z266" s="210"/>
      <c r="AA266" s="210"/>
      <c r="AB266" s="210"/>
      <c r="AC266" s="210"/>
      <c r="AI266" s="210"/>
      <c r="AJ266" s="210"/>
    </row>
    <row r="267" ht="12.75" customHeight="1">
      <c r="C267" s="210"/>
      <c r="D267" s="210"/>
      <c r="E267" s="210"/>
      <c r="F267" s="210"/>
      <c r="G267" s="210"/>
      <c r="H267" s="210"/>
      <c r="I267" s="210"/>
      <c r="J267" s="210"/>
      <c r="K267" s="210"/>
      <c r="L267" s="210"/>
      <c r="M267" s="210"/>
      <c r="N267" s="210"/>
      <c r="O267" s="210"/>
      <c r="P267" s="210"/>
      <c r="Q267" s="210"/>
      <c r="R267" s="210"/>
      <c r="S267" s="210"/>
      <c r="T267" s="210"/>
      <c r="U267" s="210"/>
      <c r="V267" s="210"/>
      <c r="W267" s="210"/>
      <c r="X267" s="210"/>
      <c r="Y267" s="210"/>
      <c r="Z267" s="210"/>
      <c r="AA267" s="210"/>
      <c r="AB267" s="210"/>
      <c r="AC267" s="210"/>
      <c r="AI267" s="210"/>
      <c r="AJ267" s="210"/>
    </row>
    <row r="268" ht="12.75" customHeight="1">
      <c r="C268" s="210"/>
      <c r="D268" s="210"/>
      <c r="E268" s="210"/>
      <c r="F268" s="210"/>
      <c r="G268" s="210"/>
      <c r="H268" s="210"/>
      <c r="I268" s="210"/>
      <c r="J268" s="210"/>
      <c r="K268" s="210"/>
      <c r="L268" s="210"/>
      <c r="M268" s="210"/>
      <c r="N268" s="210"/>
      <c r="O268" s="210"/>
      <c r="P268" s="210"/>
      <c r="Q268" s="210"/>
      <c r="R268" s="210"/>
      <c r="S268" s="210"/>
      <c r="T268" s="210"/>
      <c r="U268" s="210"/>
      <c r="V268" s="210"/>
      <c r="W268" s="210"/>
      <c r="X268" s="210"/>
      <c r="Y268" s="210"/>
      <c r="Z268" s="210"/>
      <c r="AA268" s="210"/>
      <c r="AB268" s="210"/>
      <c r="AC268" s="210"/>
      <c r="AI268" s="210"/>
      <c r="AJ268" s="210"/>
    </row>
    <row r="269" ht="12.75" customHeight="1">
      <c r="C269" s="210"/>
      <c r="D269" s="210"/>
      <c r="E269" s="210"/>
      <c r="F269" s="210"/>
      <c r="G269" s="210"/>
      <c r="H269" s="210"/>
      <c r="I269" s="210"/>
      <c r="J269" s="210"/>
      <c r="K269" s="210"/>
      <c r="L269" s="210"/>
      <c r="M269" s="210"/>
      <c r="N269" s="210"/>
      <c r="O269" s="210"/>
      <c r="P269" s="210"/>
      <c r="Q269" s="210"/>
      <c r="R269" s="210"/>
      <c r="S269" s="210"/>
      <c r="T269" s="210"/>
      <c r="U269" s="210"/>
      <c r="V269" s="210"/>
      <c r="W269" s="210"/>
      <c r="X269" s="210"/>
      <c r="Y269" s="210"/>
      <c r="Z269" s="210"/>
      <c r="AA269" s="210"/>
      <c r="AB269" s="210"/>
      <c r="AC269" s="210"/>
      <c r="AI269" s="210"/>
      <c r="AJ269" s="210"/>
    </row>
    <row r="270" ht="12.75" customHeight="1">
      <c r="C270" s="210"/>
      <c r="D270" s="210"/>
      <c r="E270" s="210"/>
      <c r="F270" s="210"/>
      <c r="G270" s="210"/>
      <c r="H270" s="210"/>
      <c r="I270" s="210"/>
      <c r="J270" s="210"/>
      <c r="K270" s="210"/>
      <c r="L270" s="210"/>
      <c r="M270" s="210"/>
      <c r="N270" s="210"/>
      <c r="O270" s="210"/>
      <c r="P270" s="210"/>
      <c r="Q270" s="210"/>
      <c r="R270" s="210"/>
      <c r="S270" s="210"/>
      <c r="T270" s="210"/>
      <c r="U270" s="210"/>
      <c r="V270" s="210"/>
      <c r="W270" s="210"/>
      <c r="X270" s="210"/>
      <c r="Y270" s="210"/>
      <c r="Z270" s="210"/>
      <c r="AA270" s="210"/>
      <c r="AB270" s="210"/>
      <c r="AC270" s="210"/>
      <c r="AI270" s="210"/>
      <c r="AJ270" s="210"/>
    </row>
    <row r="271" ht="12.75" customHeight="1">
      <c r="C271" s="210"/>
      <c r="D271" s="210"/>
      <c r="E271" s="210"/>
      <c r="F271" s="210"/>
      <c r="G271" s="210"/>
      <c r="H271" s="210"/>
      <c r="I271" s="210"/>
      <c r="J271" s="210"/>
      <c r="K271" s="210"/>
      <c r="L271" s="210"/>
      <c r="M271" s="210"/>
      <c r="N271" s="210"/>
      <c r="O271" s="210"/>
      <c r="P271" s="210"/>
      <c r="Q271" s="210"/>
      <c r="R271" s="210"/>
      <c r="S271" s="210"/>
      <c r="T271" s="210"/>
      <c r="U271" s="210"/>
      <c r="V271" s="210"/>
      <c r="W271" s="210"/>
      <c r="X271" s="210"/>
      <c r="Y271" s="210"/>
      <c r="Z271" s="210"/>
      <c r="AA271" s="210"/>
      <c r="AB271" s="210"/>
      <c r="AC271" s="210"/>
      <c r="AI271" s="210"/>
      <c r="AJ271" s="210"/>
    </row>
    <row r="272" ht="12.75" customHeight="1">
      <c r="C272" s="210"/>
      <c r="D272" s="210"/>
      <c r="E272" s="210"/>
      <c r="F272" s="210"/>
      <c r="G272" s="210"/>
      <c r="H272" s="210"/>
      <c r="I272" s="210"/>
      <c r="J272" s="210"/>
      <c r="K272" s="210"/>
      <c r="L272" s="210"/>
      <c r="M272" s="210"/>
      <c r="N272" s="210"/>
      <c r="O272" s="210"/>
      <c r="P272" s="210"/>
      <c r="Q272" s="210"/>
      <c r="R272" s="210"/>
      <c r="S272" s="210"/>
      <c r="T272" s="210"/>
      <c r="U272" s="210"/>
      <c r="V272" s="210"/>
      <c r="W272" s="210"/>
      <c r="X272" s="210"/>
      <c r="Y272" s="210"/>
      <c r="Z272" s="210"/>
      <c r="AA272" s="210"/>
      <c r="AB272" s="210"/>
      <c r="AC272" s="210"/>
      <c r="AI272" s="210"/>
      <c r="AJ272" s="210"/>
    </row>
    <row r="273" ht="12.75" customHeight="1">
      <c r="C273" s="210"/>
      <c r="D273" s="210"/>
      <c r="E273" s="210"/>
      <c r="F273" s="210"/>
      <c r="G273" s="210"/>
      <c r="H273" s="210"/>
      <c r="I273" s="210"/>
      <c r="J273" s="210"/>
      <c r="K273" s="210"/>
      <c r="L273" s="210"/>
      <c r="M273" s="210"/>
      <c r="N273" s="210"/>
      <c r="O273" s="210"/>
      <c r="P273" s="210"/>
      <c r="Q273" s="210"/>
      <c r="R273" s="210"/>
      <c r="S273" s="210"/>
      <c r="T273" s="210"/>
      <c r="U273" s="210"/>
      <c r="V273" s="210"/>
      <c r="W273" s="210"/>
      <c r="X273" s="210"/>
      <c r="Y273" s="210"/>
      <c r="Z273" s="210"/>
      <c r="AA273" s="210"/>
      <c r="AB273" s="210"/>
      <c r="AC273" s="210"/>
      <c r="AI273" s="210"/>
      <c r="AJ273" s="210"/>
    </row>
    <row r="274" ht="12.75" customHeight="1">
      <c r="C274" s="210"/>
      <c r="D274" s="210"/>
      <c r="E274" s="210"/>
      <c r="F274" s="210"/>
      <c r="G274" s="210"/>
      <c r="H274" s="210"/>
      <c r="I274" s="210"/>
      <c r="J274" s="210"/>
      <c r="K274" s="210"/>
      <c r="L274" s="210"/>
      <c r="M274" s="210"/>
      <c r="N274" s="210"/>
      <c r="O274" s="210"/>
      <c r="P274" s="210"/>
      <c r="Q274" s="210"/>
      <c r="R274" s="210"/>
      <c r="S274" s="210"/>
      <c r="T274" s="210"/>
      <c r="U274" s="210"/>
      <c r="V274" s="210"/>
      <c r="W274" s="210"/>
      <c r="X274" s="210"/>
      <c r="Y274" s="210"/>
      <c r="Z274" s="210"/>
      <c r="AA274" s="210"/>
      <c r="AB274" s="210"/>
      <c r="AC274" s="210"/>
      <c r="AI274" s="210"/>
      <c r="AJ274" s="210"/>
    </row>
    <row r="275" ht="12.75" customHeight="1">
      <c r="C275" s="210"/>
      <c r="D275" s="210"/>
      <c r="E275" s="210"/>
      <c r="F275" s="210"/>
      <c r="G275" s="210"/>
      <c r="H275" s="210"/>
      <c r="I275" s="210"/>
      <c r="J275" s="210"/>
      <c r="K275" s="210"/>
      <c r="L275" s="210"/>
      <c r="M275" s="210"/>
      <c r="N275" s="210"/>
      <c r="O275" s="210"/>
      <c r="P275" s="210"/>
      <c r="Q275" s="210"/>
      <c r="R275" s="210"/>
      <c r="S275" s="210"/>
      <c r="T275" s="210"/>
      <c r="U275" s="210"/>
      <c r="V275" s="210"/>
      <c r="W275" s="210"/>
      <c r="X275" s="210"/>
      <c r="Y275" s="210"/>
      <c r="Z275" s="210"/>
      <c r="AA275" s="210"/>
      <c r="AB275" s="210"/>
      <c r="AC275" s="210"/>
      <c r="AI275" s="210"/>
      <c r="AJ275" s="210"/>
    </row>
    <row r="276" ht="12.75" customHeight="1">
      <c r="C276" s="210"/>
      <c r="D276" s="210"/>
      <c r="E276" s="210"/>
      <c r="F276" s="210"/>
      <c r="G276" s="210"/>
      <c r="H276" s="210"/>
      <c r="I276" s="210"/>
      <c r="J276" s="210"/>
      <c r="K276" s="210"/>
      <c r="L276" s="210"/>
      <c r="M276" s="210"/>
      <c r="N276" s="210"/>
      <c r="O276" s="210"/>
      <c r="P276" s="210"/>
      <c r="Q276" s="210"/>
      <c r="R276" s="210"/>
      <c r="S276" s="210"/>
      <c r="T276" s="210"/>
      <c r="U276" s="210"/>
      <c r="V276" s="210"/>
      <c r="W276" s="210"/>
      <c r="X276" s="210"/>
      <c r="Y276" s="210"/>
      <c r="Z276" s="210"/>
      <c r="AA276" s="210"/>
      <c r="AB276" s="210"/>
      <c r="AC276" s="210"/>
      <c r="AI276" s="210"/>
      <c r="AJ276" s="210"/>
    </row>
    <row r="277" ht="12.75" customHeight="1">
      <c r="C277" s="210"/>
      <c r="D277" s="210"/>
      <c r="E277" s="210"/>
      <c r="F277" s="210"/>
      <c r="G277" s="210"/>
      <c r="H277" s="210"/>
      <c r="I277" s="210"/>
      <c r="J277" s="210"/>
      <c r="K277" s="210"/>
      <c r="L277" s="210"/>
      <c r="M277" s="210"/>
      <c r="N277" s="210"/>
      <c r="O277" s="210"/>
      <c r="P277" s="210"/>
      <c r="Q277" s="210"/>
      <c r="R277" s="210"/>
      <c r="S277" s="210"/>
      <c r="T277" s="210"/>
      <c r="U277" s="210"/>
      <c r="V277" s="210"/>
      <c r="W277" s="210"/>
      <c r="X277" s="210"/>
      <c r="Y277" s="210"/>
      <c r="Z277" s="210"/>
      <c r="AA277" s="210"/>
      <c r="AB277" s="210"/>
      <c r="AC277" s="210"/>
      <c r="AI277" s="210"/>
      <c r="AJ277" s="210"/>
    </row>
    <row r="278" ht="12.75" customHeight="1">
      <c r="C278" s="210"/>
      <c r="D278" s="210"/>
      <c r="E278" s="210"/>
      <c r="F278" s="210"/>
      <c r="G278" s="210"/>
      <c r="H278" s="210"/>
      <c r="I278" s="210"/>
      <c r="J278" s="210"/>
      <c r="K278" s="210"/>
      <c r="L278" s="210"/>
      <c r="M278" s="210"/>
      <c r="N278" s="210"/>
      <c r="O278" s="210"/>
      <c r="P278" s="210"/>
      <c r="Q278" s="210"/>
      <c r="R278" s="210"/>
      <c r="S278" s="210"/>
      <c r="T278" s="210"/>
      <c r="U278" s="210"/>
      <c r="V278" s="210"/>
      <c r="W278" s="210"/>
      <c r="X278" s="210"/>
      <c r="Y278" s="210"/>
      <c r="Z278" s="210"/>
      <c r="AA278" s="210"/>
      <c r="AB278" s="210"/>
      <c r="AC278" s="210"/>
      <c r="AI278" s="210"/>
      <c r="AJ278" s="210"/>
    </row>
    <row r="279" ht="12.75" customHeight="1">
      <c r="C279" s="210"/>
      <c r="D279" s="210"/>
      <c r="E279" s="210"/>
      <c r="F279" s="210"/>
      <c r="G279" s="210"/>
      <c r="H279" s="210"/>
      <c r="I279" s="210"/>
      <c r="J279" s="210"/>
      <c r="K279" s="210"/>
      <c r="L279" s="210"/>
      <c r="M279" s="210"/>
      <c r="N279" s="210"/>
      <c r="O279" s="210"/>
      <c r="P279" s="210"/>
      <c r="Q279" s="210"/>
      <c r="R279" s="210"/>
      <c r="S279" s="210"/>
      <c r="T279" s="210"/>
      <c r="U279" s="210"/>
      <c r="V279" s="210"/>
      <c r="W279" s="210"/>
      <c r="X279" s="210"/>
      <c r="Y279" s="210"/>
      <c r="Z279" s="210"/>
      <c r="AA279" s="210"/>
      <c r="AB279" s="210"/>
      <c r="AC279" s="210"/>
      <c r="AI279" s="210"/>
      <c r="AJ279" s="210"/>
    </row>
    <row r="280" ht="12.75" customHeight="1">
      <c r="C280" s="210"/>
      <c r="D280" s="210"/>
      <c r="E280" s="210"/>
      <c r="F280" s="210"/>
      <c r="G280" s="210"/>
      <c r="H280" s="210"/>
      <c r="I280" s="210"/>
      <c r="J280" s="210"/>
      <c r="K280" s="210"/>
      <c r="L280" s="210"/>
      <c r="M280" s="210"/>
      <c r="N280" s="210"/>
      <c r="O280" s="210"/>
      <c r="P280" s="210"/>
      <c r="Q280" s="210"/>
      <c r="R280" s="210"/>
      <c r="S280" s="210"/>
      <c r="T280" s="210"/>
      <c r="U280" s="210"/>
      <c r="V280" s="210"/>
      <c r="W280" s="210"/>
      <c r="X280" s="210"/>
      <c r="Y280" s="210"/>
      <c r="Z280" s="210"/>
      <c r="AA280" s="210"/>
      <c r="AB280" s="210"/>
      <c r="AC280" s="210"/>
      <c r="AI280" s="210"/>
      <c r="AJ280" s="210"/>
    </row>
    <row r="281" ht="12.75" customHeight="1">
      <c r="C281" s="210"/>
      <c r="D281" s="210"/>
      <c r="E281" s="210"/>
      <c r="F281" s="210"/>
      <c r="G281" s="210"/>
      <c r="H281" s="210"/>
      <c r="I281" s="210"/>
      <c r="J281" s="210"/>
      <c r="K281" s="210"/>
      <c r="L281" s="210"/>
      <c r="M281" s="210"/>
      <c r="N281" s="210"/>
      <c r="O281" s="210"/>
      <c r="P281" s="210"/>
      <c r="Q281" s="210"/>
      <c r="R281" s="210"/>
      <c r="S281" s="210"/>
      <c r="T281" s="210"/>
      <c r="U281" s="210"/>
      <c r="V281" s="210"/>
      <c r="W281" s="210"/>
      <c r="X281" s="210"/>
      <c r="Y281" s="210"/>
      <c r="Z281" s="210"/>
      <c r="AA281" s="210"/>
      <c r="AB281" s="210"/>
      <c r="AC281" s="210"/>
      <c r="AI281" s="210"/>
      <c r="AJ281" s="210"/>
    </row>
    <row r="282" ht="12.75" customHeight="1">
      <c r="C282" s="210"/>
      <c r="D282" s="210"/>
      <c r="E282" s="210"/>
      <c r="F282" s="210"/>
      <c r="G282" s="210"/>
      <c r="H282" s="210"/>
      <c r="I282" s="210"/>
      <c r="J282" s="210"/>
      <c r="K282" s="210"/>
      <c r="L282" s="210"/>
      <c r="M282" s="210"/>
      <c r="N282" s="210"/>
      <c r="O282" s="210"/>
      <c r="P282" s="210"/>
      <c r="Q282" s="210"/>
      <c r="R282" s="210"/>
      <c r="S282" s="210"/>
      <c r="T282" s="210"/>
      <c r="U282" s="210"/>
      <c r="V282" s="210"/>
      <c r="W282" s="210"/>
      <c r="X282" s="210"/>
      <c r="Y282" s="210"/>
      <c r="Z282" s="210"/>
      <c r="AA282" s="210"/>
      <c r="AB282" s="210"/>
      <c r="AC282" s="210"/>
      <c r="AI282" s="210"/>
      <c r="AJ282" s="210"/>
    </row>
    <row r="283" ht="12.75" customHeight="1">
      <c r="C283" s="210"/>
      <c r="D283" s="210"/>
      <c r="E283" s="210"/>
      <c r="F283" s="210"/>
      <c r="G283" s="210"/>
      <c r="H283" s="210"/>
      <c r="I283" s="210"/>
      <c r="J283" s="210"/>
      <c r="K283" s="210"/>
      <c r="L283" s="210"/>
      <c r="M283" s="210"/>
      <c r="N283" s="210"/>
      <c r="O283" s="210"/>
      <c r="P283" s="210"/>
      <c r="Q283" s="210"/>
      <c r="R283" s="210"/>
      <c r="S283" s="210"/>
      <c r="T283" s="210"/>
      <c r="U283" s="210"/>
      <c r="V283" s="210"/>
      <c r="W283" s="210"/>
      <c r="X283" s="210"/>
      <c r="Y283" s="210"/>
      <c r="Z283" s="210"/>
      <c r="AA283" s="210"/>
      <c r="AB283" s="210"/>
      <c r="AC283" s="210"/>
      <c r="AI283" s="210"/>
      <c r="AJ283" s="210"/>
    </row>
    <row r="284" ht="12.75" customHeight="1">
      <c r="C284" s="210"/>
      <c r="D284" s="210"/>
      <c r="E284" s="210"/>
      <c r="F284" s="210"/>
      <c r="G284" s="210"/>
      <c r="H284" s="210"/>
      <c r="I284" s="210"/>
      <c r="J284" s="210"/>
      <c r="K284" s="210"/>
      <c r="L284" s="210"/>
      <c r="M284" s="210"/>
      <c r="N284" s="210"/>
      <c r="O284" s="210"/>
      <c r="P284" s="210"/>
      <c r="Q284" s="210"/>
      <c r="R284" s="210"/>
      <c r="S284" s="210"/>
      <c r="T284" s="210"/>
      <c r="U284" s="210"/>
      <c r="V284" s="210"/>
      <c r="W284" s="210"/>
      <c r="X284" s="210"/>
      <c r="Y284" s="210"/>
      <c r="Z284" s="210"/>
      <c r="AA284" s="210"/>
      <c r="AB284" s="210"/>
      <c r="AC284" s="210"/>
      <c r="AI284" s="210"/>
      <c r="AJ284" s="210"/>
    </row>
    <row r="285" ht="12.75" customHeight="1">
      <c r="C285" s="210"/>
      <c r="D285" s="210"/>
      <c r="E285" s="210"/>
      <c r="F285" s="210"/>
      <c r="G285" s="210"/>
      <c r="H285" s="210"/>
      <c r="I285" s="210"/>
      <c r="J285" s="210"/>
      <c r="K285" s="210"/>
      <c r="L285" s="210"/>
      <c r="M285" s="210"/>
      <c r="N285" s="210"/>
      <c r="O285" s="210"/>
      <c r="P285" s="210"/>
      <c r="Q285" s="210"/>
      <c r="R285" s="210"/>
      <c r="S285" s="210"/>
      <c r="T285" s="210"/>
      <c r="U285" s="210"/>
      <c r="V285" s="210"/>
      <c r="W285" s="210"/>
      <c r="X285" s="210"/>
      <c r="Y285" s="210"/>
      <c r="Z285" s="210"/>
      <c r="AA285" s="210"/>
      <c r="AB285" s="210"/>
      <c r="AC285" s="210"/>
      <c r="AI285" s="210"/>
      <c r="AJ285" s="210"/>
    </row>
    <row r="286" ht="12.75" customHeight="1">
      <c r="C286" s="210"/>
      <c r="D286" s="210"/>
      <c r="E286" s="210"/>
      <c r="F286" s="210"/>
      <c r="G286" s="210"/>
      <c r="H286" s="210"/>
      <c r="I286" s="210"/>
      <c r="J286" s="210"/>
      <c r="K286" s="210"/>
      <c r="L286" s="210"/>
      <c r="M286" s="210"/>
      <c r="N286" s="210"/>
      <c r="O286" s="210"/>
      <c r="P286" s="210"/>
      <c r="Q286" s="210"/>
      <c r="R286" s="210"/>
      <c r="S286" s="210"/>
      <c r="T286" s="210"/>
      <c r="U286" s="210"/>
      <c r="V286" s="210"/>
      <c r="W286" s="210"/>
      <c r="X286" s="210"/>
      <c r="Y286" s="210"/>
      <c r="Z286" s="210"/>
      <c r="AA286" s="210"/>
      <c r="AB286" s="210"/>
      <c r="AC286" s="210"/>
      <c r="AI286" s="210"/>
      <c r="AJ286" s="210"/>
    </row>
    <row r="287" ht="12.75" customHeight="1">
      <c r="C287" s="210"/>
      <c r="D287" s="210"/>
      <c r="E287" s="210"/>
      <c r="F287" s="210"/>
      <c r="G287" s="210"/>
      <c r="H287" s="210"/>
      <c r="I287" s="210"/>
      <c r="J287" s="210"/>
      <c r="K287" s="210"/>
      <c r="L287" s="210"/>
      <c r="M287" s="210"/>
      <c r="N287" s="210"/>
      <c r="O287" s="210"/>
      <c r="P287" s="210"/>
      <c r="Q287" s="210"/>
      <c r="R287" s="210"/>
      <c r="S287" s="210"/>
      <c r="T287" s="210"/>
      <c r="U287" s="210"/>
      <c r="V287" s="210"/>
      <c r="W287" s="210"/>
      <c r="X287" s="210"/>
      <c r="Y287" s="210"/>
      <c r="Z287" s="210"/>
      <c r="AA287" s="210"/>
      <c r="AB287" s="210"/>
      <c r="AC287" s="210"/>
      <c r="AI287" s="210"/>
      <c r="AJ287" s="210"/>
    </row>
    <row r="288" ht="12.75" customHeight="1">
      <c r="C288" s="210"/>
      <c r="D288" s="210"/>
      <c r="E288" s="210"/>
      <c r="F288" s="210"/>
      <c r="G288" s="210"/>
      <c r="H288" s="210"/>
      <c r="I288" s="210"/>
      <c r="J288" s="210"/>
      <c r="K288" s="210"/>
      <c r="L288" s="210"/>
      <c r="M288" s="210"/>
      <c r="N288" s="210"/>
      <c r="O288" s="210"/>
      <c r="P288" s="210"/>
      <c r="Q288" s="210"/>
      <c r="R288" s="210"/>
      <c r="S288" s="210"/>
      <c r="T288" s="210"/>
      <c r="U288" s="210"/>
      <c r="V288" s="210"/>
      <c r="W288" s="210"/>
      <c r="X288" s="210"/>
      <c r="Y288" s="210"/>
      <c r="Z288" s="210"/>
      <c r="AA288" s="210"/>
      <c r="AB288" s="210"/>
      <c r="AC288" s="210"/>
      <c r="AI288" s="210"/>
      <c r="AJ288" s="210"/>
    </row>
    <row r="289" ht="12.75" customHeight="1">
      <c r="C289" s="210"/>
      <c r="D289" s="210"/>
      <c r="E289" s="210"/>
      <c r="F289" s="210"/>
      <c r="G289" s="210"/>
      <c r="H289" s="210"/>
      <c r="I289" s="210"/>
      <c r="J289" s="210"/>
      <c r="K289" s="210"/>
      <c r="L289" s="210"/>
      <c r="M289" s="210"/>
      <c r="N289" s="210"/>
      <c r="O289" s="210"/>
      <c r="P289" s="210"/>
      <c r="Q289" s="210"/>
      <c r="R289" s="210"/>
      <c r="S289" s="210"/>
      <c r="T289" s="210"/>
      <c r="U289" s="210"/>
      <c r="V289" s="210"/>
      <c r="W289" s="210"/>
      <c r="X289" s="210"/>
      <c r="Y289" s="210"/>
      <c r="Z289" s="210"/>
      <c r="AA289" s="210"/>
      <c r="AB289" s="210"/>
      <c r="AC289" s="210"/>
      <c r="AI289" s="210"/>
      <c r="AJ289" s="210"/>
    </row>
    <row r="290" ht="12.75" customHeight="1">
      <c r="C290" s="210"/>
      <c r="D290" s="210"/>
      <c r="E290" s="210"/>
      <c r="F290" s="210"/>
      <c r="G290" s="210"/>
      <c r="H290" s="210"/>
      <c r="I290" s="210"/>
      <c r="J290" s="210"/>
      <c r="K290" s="210"/>
      <c r="L290" s="210"/>
      <c r="M290" s="210"/>
      <c r="N290" s="210"/>
      <c r="O290" s="210"/>
      <c r="P290" s="210"/>
      <c r="Q290" s="210"/>
      <c r="R290" s="210"/>
      <c r="S290" s="210"/>
      <c r="T290" s="210"/>
      <c r="U290" s="210"/>
      <c r="V290" s="210"/>
      <c r="W290" s="210"/>
      <c r="X290" s="210"/>
      <c r="Y290" s="210"/>
      <c r="Z290" s="210"/>
      <c r="AA290" s="210"/>
      <c r="AB290" s="210"/>
      <c r="AC290" s="210"/>
      <c r="AI290" s="210"/>
      <c r="AJ290" s="210"/>
    </row>
    <row r="291" ht="12.75" customHeight="1">
      <c r="C291" s="210"/>
      <c r="D291" s="210"/>
      <c r="E291" s="210"/>
      <c r="F291" s="210"/>
      <c r="G291" s="210"/>
      <c r="H291" s="210"/>
      <c r="I291" s="210"/>
      <c r="J291" s="210"/>
      <c r="K291" s="210"/>
      <c r="L291" s="210"/>
      <c r="M291" s="210"/>
      <c r="N291" s="210"/>
      <c r="O291" s="210"/>
      <c r="P291" s="210"/>
      <c r="Q291" s="210"/>
      <c r="R291" s="210"/>
      <c r="S291" s="210"/>
      <c r="T291" s="210"/>
      <c r="U291" s="210"/>
      <c r="V291" s="210"/>
      <c r="W291" s="210"/>
      <c r="X291" s="210"/>
      <c r="Y291" s="210"/>
      <c r="Z291" s="210"/>
      <c r="AA291" s="210"/>
      <c r="AB291" s="210"/>
      <c r="AC291" s="210"/>
      <c r="AI291" s="210"/>
      <c r="AJ291" s="210"/>
    </row>
    <row r="292" ht="12.75" customHeight="1">
      <c r="C292" s="210"/>
      <c r="D292" s="210"/>
      <c r="E292" s="210"/>
      <c r="F292" s="210"/>
      <c r="G292" s="210"/>
      <c r="H292" s="210"/>
      <c r="I292" s="210"/>
      <c r="J292" s="210"/>
      <c r="K292" s="210"/>
      <c r="L292" s="210"/>
      <c r="M292" s="210"/>
      <c r="N292" s="210"/>
      <c r="O292" s="210"/>
      <c r="P292" s="210"/>
      <c r="Q292" s="210"/>
      <c r="R292" s="210"/>
      <c r="S292" s="210"/>
      <c r="T292" s="210"/>
      <c r="U292" s="210"/>
      <c r="V292" s="210"/>
      <c r="W292" s="210"/>
      <c r="X292" s="210"/>
      <c r="Y292" s="210"/>
      <c r="Z292" s="210"/>
      <c r="AA292" s="210"/>
      <c r="AB292" s="210"/>
      <c r="AC292" s="210"/>
      <c r="AI292" s="210"/>
      <c r="AJ292" s="210"/>
    </row>
    <row r="293" ht="12.75" customHeight="1">
      <c r="C293" s="210"/>
      <c r="D293" s="210"/>
      <c r="E293" s="210"/>
      <c r="F293" s="210"/>
      <c r="G293" s="210"/>
      <c r="H293" s="210"/>
      <c r="I293" s="210"/>
      <c r="J293" s="210"/>
      <c r="K293" s="210"/>
      <c r="L293" s="210"/>
      <c r="M293" s="210"/>
      <c r="N293" s="210"/>
      <c r="O293" s="210"/>
      <c r="P293" s="210"/>
      <c r="Q293" s="210"/>
      <c r="R293" s="210"/>
      <c r="S293" s="210"/>
      <c r="T293" s="210"/>
      <c r="U293" s="210"/>
      <c r="V293" s="210"/>
      <c r="W293" s="210"/>
      <c r="X293" s="210"/>
      <c r="Y293" s="210"/>
      <c r="Z293" s="210"/>
      <c r="AA293" s="210"/>
      <c r="AB293" s="210"/>
      <c r="AC293" s="210"/>
      <c r="AI293" s="210"/>
      <c r="AJ293" s="210"/>
    </row>
    <row r="294" ht="12.75" customHeight="1">
      <c r="C294" s="210"/>
      <c r="D294" s="210"/>
      <c r="E294" s="210"/>
      <c r="F294" s="210"/>
      <c r="G294" s="210"/>
      <c r="H294" s="210"/>
      <c r="I294" s="210"/>
      <c r="J294" s="210"/>
      <c r="K294" s="210"/>
      <c r="L294" s="210"/>
      <c r="M294" s="210"/>
      <c r="N294" s="210"/>
      <c r="O294" s="210"/>
      <c r="P294" s="210"/>
      <c r="Q294" s="210"/>
      <c r="R294" s="210"/>
      <c r="S294" s="210"/>
      <c r="T294" s="210"/>
      <c r="U294" s="210"/>
      <c r="V294" s="210"/>
      <c r="W294" s="210"/>
      <c r="X294" s="210"/>
      <c r="Y294" s="210"/>
      <c r="Z294" s="210"/>
      <c r="AA294" s="210"/>
      <c r="AB294" s="210"/>
      <c r="AC294" s="210"/>
      <c r="AI294" s="210"/>
      <c r="AJ294" s="210"/>
    </row>
    <row r="295" ht="12.75" customHeight="1">
      <c r="C295" s="210"/>
      <c r="D295" s="210"/>
      <c r="E295" s="210"/>
      <c r="F295" s="210"/>
      <c r="G295" s="210"/>
      <c r="H295" s="210"/>
      <c r="I295" s="210"/>
      <c r="J295" s="210"/>
      <c r="K295" s="210"/>
      <c r="L295" s="210"/>
      <c r="M295" s="210"/>
      <c r="N295" s="210"/>
      <c r="O295" s="210"/>
      <c r="P295" s="210"/>
      <c r="Q295" s="210"/>
      <c r="R295" s="210"/>
      <c r="S295" s="210"/>
      <c r="T295" s="210"/>
      <c r="U295" s="210"/>
      <c r="V295" s="210"/>
      <c r="W295" s="210"/>
      <c r="X295" s="210"/>
      <c r="Y295" s="210"/>
      <c r="Z295" s="210"/>
      <c r="AA295" s="210"/>
      <c r="AB295" s="210"/>
      <c r="AC295" s="210"/>
      <c r="AI295" s="210"/>
      <c r="AJ295" s="210"/>
    </row>
    <row r="296" ht="12.75" customHeight="1">
      <c r="C296" s="210"/>
      <c r="D296" s="210"/>
      <c r="E296" s="210"/>
      <c r="F296" s="210"/>
      <c r="G296" s="210"/>
      <c r="H296" s="210"/>
      <c r="I296" s="210"/>
      <c r="J296" s="210"/>
      <c r="K296" s="210"/>
      <c r="L296" s="210"/>
      <c r="M296" s="210"/>
      <c r="N296" s="210"/>
      <c r="O296" s="210"/>
      <c r="P296" s="210"/>
      <c r="Q296" s="210"/>
      <c r="R296" s="210"/>
      <c r="S296" s="210"/>
      <c r="T296" s="210"/>
      <c r="U296" s="210"/>
      <c r="V296" s="210"/>
      <c r="W296" s="210"/>
      <c r="X296" s="210"/>
      <c r="Y296" s="210"/>
      <c r="Z296" s="210"/>
      <c r="AA296" s="210"/>
      <c r="AB296" s="210"/>
      <c r="AC296" s="210"/>
      <c r="AI296" s="210"/>
      <c r="AJ296" s="210"/>
    </row>
    <row r="297" ht="12.75" customHeight="1">
      <c r="C297" s="210"/>
      <c r="D297" s="210"/>
      <c r="E297" s="210"/>
      <c r="F297" s="210"/>
      <c r="G297" s="210"/>
      <c r="H297" s="210"/>
      <c r="I297" s="210"/>
      <c r="J297" s="210"/>
      <c r="K297" s="210"/>
      <c r="L297" s="210"/>
      <c r="M297" s="210"/>
      <c r="N297" s="210"/>
      <c r="O297" s="210"/>
      <c r="P297" s="210"/>
      <c r="Q297" s="210"/>
      <c r="R297" s="210"/>
      <c r="S297" s="210"/>
      <c r="T297" s="210"/>
      <c r="U297" s="210"/>
      <c r="V297" s="210"/>
      <c r="W297" s="210"/>
      <c r="X297" s="210"/>
      <c r="Y297" s="210"/>
      <c r="Z297" s="210"/>
      <c r="AA297" s="210"/>
      <c r="AB297" s="210"/>
      <c r="AC297" s="210"/>
      <c r="AI297" s="210"/>
      <c r="AJ297" s="210"/>
    </row>
    <row r="298" ht="12.75" customHeight="1">
      <c r="C298" s="210"/>
      <c r="D298" s="210"/>
      <c r="E298" s="210"/>
      <c r="F298" s="210"/>
      <c r="G298" s="210"/>
      <c r="H298" s="210"/>
      <c r="I298" s="210"/>
      <c r="J298" s="210"/>
      <c r="K298" s="210"/>
      <c r="L298" s="210"/>
      <c r="M298" s="210"/>
      <c r="N298" s="210"/>
      <c r="O298" s="210"/>
      <c r="P298" s="210"/>
      <c r="Q298" s="210"/>
      <c r="R298" s="210"/>
      <c r="S298" s="210"/>
      <c r="T298" s="210"/>
      <c r="U298" s="210"/>
      <c r="V298" s="210"/>
      <c r="W298" s="210"/>
      <c r="X298" s="210"/>
      <c r="Y298" s="210"/>
      <c r="Z298" s="210"/>
      <c r="AA298" s="210"/>
      <c r="AB298" s="210"/>
      <c r="AC298" s="210"/>
      <c r="AI298" s="210"/>
      <c r="AJ298" s="210"/>
    </row>
    <row r="299" ht="12.75" customHeight="1">
      <c r="C299" s="210"/>
      <c r="D299" s="210"/>
      <c r="E299" s="210"/>
      <c r="F299" s="210"/>
      <c r="G299" s="210"/>
      <c r="H299" s="210"/>
      <c r="I299" s="210"/>
      <c r="J299" s="210"/>
      <c r="K299" s="210"/>
      <c r="L299" s="210"/>
      <c r="M299" s="210"/>
      <c r="N299" s="210"/>
      <c r="O299" s="210"/>
      <c r="P299" s="210"/>
      <c r="Q299" s="210"/>
      <c r="R299" s="210"/>
      <c r="S299" s="210"/>
      <c r="T299" s="210"/>
      <c r="U299" s="210"/>
      <c r="V299" s="210"/>
      <c r="W299" s="210"/>
      <c r="X299" s="210"/>
      <c r="Y299" s="210"/>
      <c r="Z299" s="210"/>
      <c r="AA299" s="210"/>
      <c r="AB299" s="210"/>
      <c r="AC299" s="210"/>
      <c r="AI299" s="210"/>
      <c r="AJ299" s="210"/>
    </row>
    <row r="300" ht="12.75" customHeight="1">
      <c r="C300" s="210"/>
      <c r="D300" s="210"/>
      <c r="E300" s="210"/>
      <c r="F300" s="210"/>
      <c r="G300" s="210"/>
      <c r="H300" s="210"/>
      <c r="I300" s="210"/>
      <c r="J300" s="210"/>
      <c r="K300" s="210"/>
      <c r="L300" s="210"/>
      <c r="M300" s="210"/>
      <c r="N300" s="210"/>
      <c r="O300" s="210"/>
      <c r="P300" s="210"/>
      <c r="Q300" s="210"/>
      <c r="R300" s="210"/>
      <c r="S300" s="210"/>
      <c r="T300" s="210"/>
      <c r="U300" s="210"/>
      <c r="V300" s="210"/>
      <c r="W300" s="210"/>
      <c r="X300" s="210"/>
      <c r="Y300" s="210"/>
      <c r="Z300" s="210"/>
      <c r="AA300" s="210"/>
      <c r="AB300" s="210"/>
      <c r="AC300" s="210"/>
      <c r="AI300" s="210"/>
      <c r="AJ300" s="210"/>
    </row>
    <row r="301" ht="12.75" customHeight="1">
      <c r="C301" s="210"/>
      <c r="D301" s="210"/>
      <c r="E301" s="210"/>
      <c r="F301" s="210"/>
      <c r="G301" s="210"/>
      <c r="H301" s="210"/>
      <c r="I301" s="210"/>
      <c r="J301" s="210"/>
      <c r="K301" s="210"/>
      <c r="L301" s="210"/>
      <c r="M301" s="210"/>
      <c r="N301" s="210"/>
      <c r="O301" s="210"/>
      <c r="P301" s="210"/>
      <c r="Q301" s="210"/>
      <c r="R301" s="210"/>
      <c r="S301" s="210"/>
      <c r="T301" s="210"/>
      <c r="U301" s="210"/>
      <c r="V301" s="210"/>
      <c r="W301" s="210"/>
      <c r="X301" s="210"/>
      <c r="Y301" s="210"/>
      <c r="Z301" s="210"/>
      <c r="AA301" s="210"/>
      <c r="AB301" s="210"/>
      <c r="AC301" s="210"/>
      <c r="AI301" s="210"/>
      <c r="AJ301" s="210"/>
    </row>
    <row r="302" ht="12.75" customHeight="1">
      <c r="C302" s="210"/>
      <c r="D302" s="210"/>
      <c r="E302" s="210"/>
      <c r="F302" s="210"/>
      <c r="G302" s="210"/>
      <c r="H302" s="210"/>
      <c r="I302" s="210"/>
      <c r="J302" s="210"/>
      <c r="K302" s="210"/>
      <c r="L302" s="210"/>
      <c r="M302" s="210"/>
      <c r="N302" s="210"/>
      <c r="O302" s="210"/>
      <c r="P302" s="210"/>
      <c r="Q302" s="210"/>
      <c r="R302" s="210"/>
      <c r="S302" s="210"/>
      <c r="T302" s="210"/>
      <c r="U302" s="210"/>
      <c r="V302" s="210"/>
      <c r="W302" s="210"/>
      <c r="X302" s="210"/>
      <c r="Y302" s="210"/>
      <c r="Z302" s="210"/>
      <c r="AA302" s="210"/>
      <c r="AB302" s="210"/>
      <c r="AC302" s="210"/>
      <c r="AI302" s="210"/>
      <c r="AJ302" s="210"/>
    </row>
    <row r="303" ht="12.75" customHeight="1">
      <c r="C303" s="210"/>
      <c r="D303" s="210"/>
      <c r="E303" s="210"/>
      <c r="F303" s="210"/>
      <c r="G303" s="210"/>
      <c r="H303" s="210"/>
      <c r="I303" s="210"/>
      <c r="J303" s="210"/>
      <c r="K303" s="210"/>
      <c r="L303" s="210"/>
      <c r="M303" s="210"/>
      <c r="N303" s="210"/>
      <c r="O303" s="210"/>
      <c r="P303" s="210"/>
      <c r="Q303" s="210"/>
      <c r="R303" s="210"/>
      <c r="S303" s="210"/>
      <c r="T303" s="210"/>
      <c r="U303" s="210"/>
      <c r="V303" s="210"/>
      <c r="W303" s="210"/>
      <c r="X303" s="210"/>
      <c r="Y303" s="210"/>
      <c r="Z303" s="210"/>
      <c r="AA303" s="210"/>
      <c r="AB303" s="210"/>
      <c r="AC303" s="210"/>
      <c r="AI303" s="210"/>
      <c r="AJ303" s="210"/>
    </row>
    <row r="304" ht="12.75" customHeight="1">
      <c r="C304" s="210"/>
      <c r="D304" s="210"/>
      <c r="E304" s="210"/>
      <c r="F304" s="210"/>
      <c r="G304" s="210"/>
      <c r="H304" s="210"/>
      <c r="I304" s="210"/>
      <c r="J304" s="210"/>
      <c r="K304" s="210"/>
      <c r="L304" s="210"/>
      <c r="M304" s="210"/>
      <c r="N304" s="210"/>
      <c r="O304" s="210"/>
      <c r="P304" s="210"/>
      <c r="Q304" s="210"/>
      <c r="R304" s="210"/>
      <c r="S304" s="210"/>
      <c r="T304" s="210"/>
      <c r="U304" s="210"/>
      <c r="V304" s="210"/>
      <c r="W304" s="210"/>
      <c r="X304" s="210"/>
      <c r="Y304" s="210"/>
      <c r="Z304" s="210"/>
      <c r="AA304" s="210"/>
      <c r="AB304" s="210"/>
      <c r="AC304" s="210"/>
      <c r="AI304" s="210"/>
      <c r="AJ304" s="210"/>
    </row>
    <row r="305" ht="12.75" customHeight="1">
      <c r="C305" s="210"/>
      <c r="D305" s="210"/>
      <c r="E305" s="210"/>
      <c r="F305" s="210"/>
      <c r="G305" s="210"/>
      <c r="H305" s="210"/>
      <c r="I305" s="210"/>
      <c r="J305" s="210"/>
      <c r="K305" s="210"/>
      <c r="L305" s="210"/>
      <c r="M305" s="210"/>
      <c r="N305" s="210"/>
      <c r="O305" s="210"/>
      <c r="P305" s="210"/>
      <c r="Q305" s="210"/>
      <c r="R305" s="210"/>
      <c r="S305" s="210"/>
      <c r="T305" s="210"/>
      <c r="U305" s="210"/>
      <c r="V305" s="210"/>
      <c r="W305" s="210"/>
      <c r="X305" s="210"/>
      <c r="Y305" s="210"/>
      <c r="Z305" s="210"/>
      <c r="AA305" s="210"/>
      <c r="AB305" s="210"/>
      <c r="AC305" s="210"/>
      <c r="AI305" s="210"/>
      <c r="AJ305" s="210"/>
    </row>
    <row r="306" ht="12.75" customHeight="1">
      <c r="C306" s="210"/>
      <c r="D306" s="210"/>
      <c r="E306" s="210"/>
      <c r="F306" s="210"/>
      <c r="G306" s="210"/>
      <c r="H306" s="210"/>
      <c r="I306" s="210"/>
      <c r="J306" s="210"/>
      <c r="K306" s="210"/>
      <c r="L306" s="210"/>
      <c r="M306" s="210"/>
      <c r="N306" s="210"/>
      <c r="O306" s="210"/>
      <c r="P306" s="210"/>
      <c r="Q306" s="210"/>
      <c r="R306" s="210"/>
      <c r="S306" s="210"/>
      <c r="T306" s="210"/>
      <c r="U306" s="210"/>
      <c r="V306" s="210"/>
      <c r="W306" s="210"/>
      <c r="X306" s="210"/>
      <c r="Y306" s="210"/>
      <c r="Z306" s="210"/>
      <c r="AA306" s="210"/>
      <c r="AB306" s="210"/>
      <c r="AC306" s="210"/>
      <c r="AI306" s="210"/>
      <c r="AJ306" s="210"/>
    </row>
    <row r="307" ht="12.75" customHeight="1">
      <c r="C307" s="210"/>
      <c r="D307" s="210"/>
      <c r="E307" s="210"/>
      <c r="F307" s="210"/>
      <c r="G307" s="210"/>
      <c r="H307" s="210"/>
      <c r="I307" s="210"/>
      <c r="J307" s="210"/>
      <c r="K307" s="210"/>
      <c r="L307" s="210"/>
      <c r="M307" s="210"/>
      <c r="N307" s="210"/>
      <c r="O307" s="210"/>
      <c r="P307" s="210"/>
      <c r="Q307" s="210"/>
      <c r="R307" s="210"/>
      <c r="S307" s="210"/>
      <c r="T307" s="210"/>
      <c r="U307" s="210"/>
      <c r="V307" s="210"/>
      <c r="W307" s="210"/>
      <c r="X307" s="210"/>
      <c r="Y307" s="210"/>
      <c r="Z307" s="210"/>
      <c r="AA307" s="210"/>
      <c r="AB307" s="210"/>
      <c r="AC307" s="210"/>
      <c r="AI307" s="210"/>
      <c r="AJ307" s="210"/>
    </row>
    <row r="308" ht="12.75" customHeight="1">
      <c r="C308" s="210"/>
      <c r="D308" s="210"/>
      <c r="E308" s="210"/>
      <c r="F308" s="210"/>
      <c r="G308" s="210"/>
      <c r="H308" s="210"/>
      <c r="I308" s="210"/>
      <c r="J308" s="210"/>
      <c r="K308" s="210"/>
      <c r="L308" s="210"/>
      <c r="M308" s="210"/>
      <c r="N308" s="210"/>
      <c r="O308" s="210"/>
      <c r="P308" s="210"/>
      <c r="Q308" s="210"/>
      <c r="R308" s="210"/>
      <c r="S308" s="210"/>
      <c r="T308" s="210"/>
      <c r="U308" s="210"/>
      <c r="V308" s="210"/>
      <c r="W308" s="210"/>
      <c r="X308" s="210"/>
      <c r="Y308" s="210"/>
      <c r="Z308" s="210"/>
      <c r="AA308" s="210"/>
      <c r="AB308" s="210"/>
      <c r="AC308" s="210"/>
      <c r="AI308" s="210"/>
      <c r="AJ308" s="210"/>
    </row>
    <row r="309" ht="12.75" customHeight="1">
      <c r="C309" s="210"/>
      <c r="D309" s="210"/>
      <c r="E309" s="210"/>
      <c r="F309" s="210"/>
      <c r="G309" s="210"/>
      <c r="H309" s="210"/>
      <c r="I309" s="210"/>
      <c r="J309" s="210"/>
      <c r="K309" s="210"/>
      <c r="L309" s="210"/>
      <c r="M309" s="210"/>
      <c r="N309" s="210"/>
      <c r="O309" s="210"/>
      <c r="P309" s="210"/>
      <c r="Q309" s="210"/>
      <c r="R309" s="210"/>
      <c r="S309" s="210"/>
      <c r="T309" s="210"/>
      <c r="U309" s="210"/>
      <c r="V309" s="210"/>
      <c r="W309" s="210"/>
      <c r="X309" s="210"/>
      <c r="Y309" s="210"/>
      <c r="Z309" s="210"/>
      <c r="AA309" s="210"/>
      <c r="AB309" s="210"/>
      <c r="AC309" s="210"/>
      <c r="AI309" s="210"/>
      <c r="AJ309" s="210"/>
    </row>
    <row r="310" ht="12.75" customHeight="1">
      <c r="C310" s="210"/>
      <c r="D310" s="210"/>
      <c r="E310" s="210"/>
      <c r="F310" s="210"/>
      <c r="G310" s="210"/>
      <c r="H310" s="210"/>
      <c r="I310" s="210"/>
      <c r="J310" s="210"/>
      <c r="K310" s="210"/>
      <c r="L310" s="210"/>
      <c r="M310" s="210"/>
      <c r="N310" s="210"/>
      <c r="O310" s="210"/>
      <c r="P310" s="210"/>
      <c r="Q310" s="210"/>
      <c r="R310" s="210"/>
      <c r="S310" s="210"/>
      <c r="T310" s="210"/>
      <c r="U310" s="210"/>
      <c r="V310" s="210"/>
      <c r="W310" s="210"/>
      <c r="X310" s="210"/>
      <c r="Y310" s="210"/>
      <c r="Z310" s="210"/>
      <c r="AA310" s="210"/>
      <c r="AB310" s="210"/>
      <c r="AC310" s="210"/>
      <c r="AI310" s="210"/>
      <c r="AJ310" s="210"/>
    </row>
    <row r="311" ht="12.75" customHeight="1">
      <c r="C311" s="210"/>
      <c r="D311" s="210"/>
      <c r="E311" s="210"/>
      <c r="F311" s="210"/>
      <c r="G311" s="210"/>
      <c r="H311" s="210"/>
      <c r="I311" s="210"/>
      <c r="J311" s="210"/>
      <c r="K311" s="210"/>
      <c r="L311" s="210"/>
      <c r="M311" s="210"/>
      <c r="N311" s="210"/>
      <c r="O311" s="210"/>
      <c r="P311" s="210"/>
      <c r="Q311" s="210"/>
      <c r="R311" s="210"/>
      <c r="S311" s="210"/>
      <c r="T311" s="210"/>
      <c r="U311" s="210"/>
      <c r="V311" s="210"/>
      <c r="W311" s="210"/>
      <c r="X311" s="210"/>
      <c r="Y311" s="210"/>
      <c r="Z311" s="210"/>
      <c r="AA311" s="210"/>
      <c r="AB311" s="210"/>
      <c r="AC311" s="210"/>
      <c r="AI311" s="210"/>
      <c r="AJ311" s="210"/>
    </row>
    <row r="312" ht="12.75" customHeight="1">
      <c r="C312" s="210"/>
      <c r="D312" s="210"/>
      <c r="E312" s="210"/>
      <c r="F312" s="210"/>
      <c r="G312" s="210"/>
      <c r="H312" s="210"/>
      <c r="I312" s="210"/>
      <c r="J312" s="210"/>
      <c r="K312" s="210"/>
      <c r="L312" s="210"/>
      <c r="M312" s="210"/>
      <c r="N312" s="210"/>
      <c r="O312" s="210"/>
      <c r="P312" s="210"/>
      <c r="Q312" s="210"/>
      <c r="R312" s="210"/>
      <c r="S312" s="210"/>
      <c r="T312" s="210"/>
      <c r="U312" s="210"/>
      <c r="V312" s="210"/>
      <c r="W312" s="210"/>
      <c r="X312" s="210"/>
      <c r="Y312" s="210"/>
      <c r="Z312" s="210"/>
      <c r="AA312" s="210"/>
      <c r="AB312" s="210"/>
      <c r="AC312" s="210"/>
      <c r="AI312" s="210"/>
      <c r="AJ312" s="210"/>
    </row>
    <row r="313" ht="12.75" customHeight="1">
      <c r="C313" s="210"/>
      <c r="D313" s="210"/>
      <c r="E313" s="210"/>
      <c r="F313" s="210"/>
      <c r="G313" s="210"/>
      <c r="H313" s="210"/>
      <c r="I313" s="210"/>
      <c r="J313" s="210"/>
      <c r="K313" s="210"/>
      <c r="L313" s="210"/>
      <c r="M313" s="210"/>
      <c r="N313" s="210"/>
      <c r="O313" s="210"/>
      <c r="P313" s="210"/>
      <c r="Q313" s="210"/>
      <c r="R313" s="210"/>
      <c r="S313" s="210"/>
      <c r="T313" s="210"/>
      <c r="U313" s="210"/>
      <c r="V313" s="210"/>
      <c r="W313" s="210"/>
      <c r="X313" s="210"/>
      <c r="Y313" s="210"/>
      <c r="Z313" s="210"/>
      <c r="AA313" s="210"/>
      <c r="AB313" s="210"/>
      <c r="AC313" s="210"/>
      <c r="AI313" s="210"/>
      <c r="AJ313" s="210"/>
    </row>
    <row r="314" ht="12.75" customHeight="1">
      <c r="C314" s="210"/>
      <c r="D314" s="210"/>
      <c r="E314" s="210"/>
      <c r="F314" s="210"/>
      <c r="G314" s="210"/>
      <c r="H314" s="210"/>
      <c r="I314" s="210"/>
      <c r="J314" s="210"/>
      <c r="K314" s="210"/>
      <c r="L314" s="210"/>
      <c r="M314" s="210"/>
      <c r="N314" s="210"/>
      <c r="O314" s="210"/>
      <c r="P314" s="210"/>
      <c r="Q314" s="210"/>
      <c r="R314" s="210"/>
      <c r="S314" s="210"/>
      <c r="T314" s="210"/>
      <c r="U314" s="210"/>
      <c r="V314" s="210"/>
      <c r="W314" s="210"/>
      <c r="X314" s="210"/>
      <c r="Y314" s="210"/>
      <c r="Z314" s="210"/>
      <c r="AA314" s="210"/>
      <c r="AB314" s="210"/>
      <c r="AC314" s="210"/>
      <c r="AI314" s="210"/>
      <c r="AJ314" s="210"/>
    </row>
    <row r="315" ht="12.75" customHeight="1">
      <c r="C315" s="210"/>
      <c r="D315" s="210"/>
      <c r="E315" s="210"/>
      <c r="F315" s="210"/>
      <c r="G315" s="210"/>
      <c r="H315" s="210"/>
      <c r="I315" s="210"/>
      <c r="J315" s="210"/>
      <c r="K315" s="210"/>
      <c r="L315" s="210"/>
      <c r="M315" s="210"/>
      <c r="N315" s="210"/>
      <c r="O315" s="210"/>
      <c r="P315" s="210"/>
      <c r="Q315" s="210"/>
      <c r="R315" s="210"/>
      <c r="S315" s="210"/>
      <c r="T315" s="210"/>
      <c r="U315" s="210"/>
      <c r="V315" s="210"/>
      <c r="W315" s="210"/>
      <c r="X315" s="210"/>
      <c r="Y315" s="210"/>
      <c r="Z315" s="210"/>
      <c r="AA315" s="210"/>
      <c r="AB315" s="210"/>
      <c r="AC315" s="210"/>
      <c r="AI315" s="210"/>
      <c r="AJ315" s="210"/>
    </row>
    <row r="316" ht="12.75" customHeight="1">
      <c r="C316" s="210"/>
      <c r="D316" s="210"/>
      <c r="E316" s="210"/>
      <c r="F316" s="210"/>
      <c r="G316" s="210"/>
      <c r="H316" s="210"/>
      <c r="I316" s="210"/>
      <c r="J316" s="210"/>
      <c r="K316" s="210"/>
      <c r="L316" s="210"/>
      <c r="M316" s="210"/>
      <c r="N316" s="210"/>
      <c r="O316" s="210"/>
      <c r="P316" s="210"/>
      <c r="Q316" s="210"/>
      <c r="R316" s="210"/>
      <c r="S316" s="210"/>
      <c r="T316" s="210"/>
      <c r="U316" s="210"/>
      <c r="V316" s="210"/>
      <c r="W316" s="210"/>
      <c r="X316" s="210"/>
      <c r="Y316" s="210"/>
      <c r="Z316" s="210"/>
      <c r="AA316" s="210"/>
      <c r="AB316" s="210"/>
      <c r="AC316" s="210"/>
      <c r="AI316" s="210"/>
      <c r="AJ316" s="210"/>
    </row>
    <row r="317" ht="12.75" customHeight="1">
      <c r="C317" s="210"/>
      <c r="D317" s="210"/>
      <c r="E317" s="210"/>
      <c r="F317" s="210"/>
      <c r="G317" s="210"/>
      <c r="H317" s="210"/>
      <c r="I317" s="210"/>
      <c r="J317" s="210"/>
      <c r="K317" s="210"/>
      <c r="L317" s="210"/>
      <c r="M317" s="210"/>
      <c r="N317" s="210"/>
      <c r="O317" s="210"/>
      <c r="P317" s="210"/>
      <c r="Q317" s="210"/>
      <c r="R317" s="210"/>
      <c r="S317" s="210"/>
      <c r="T317" s="210"/>
      <c r="U317" s="210"/>
      <c r="V317" s="210"/>
      <c r="W317" s="210"/>
      <c r="X317" s="210"/>
      <c r="Y317" s="210"/>
      <c r="Z317" s="210"/>
      <c r="AA317" s="210"/>
      <c r="AB317" s="210"/>
      <c r="AC317" s="210"/>
      <c r="AI317" s="210"/>
      <c r="AJ317" s="210"/>
    </row>
    <row r="318" ht="12.75" customHeight="1">
      <c r="C318" s="210"/>
      <c r="D318" s="210"/>
      <c r="E318" s="210"/>
      <c r="F318" s="210"/>
      <c r="G318" s="210"/>
      <c r="H318" s="210"/>
      <c r="I318" s="210"/>
      <c r="J318" s="210"/>
      <c r="K318" s="210"/>
      <c r="L318" s="210"/>
      <c r="M318" s="210"/>
      <c r="N318" s="210"/>
      <c r="O318" s="210"/>
      <c r="P318" s="210"/>
      <c r="Q318" s="210"/>
      <c r="R318" s="210"/>
      <c r="S318" s="210"/>
      <c r="T318" s="210"/>
      <c r="U318" s="210"/>
      <c r="V318" s="210"/>
      <c r="W318" s="210"/>
      <c r="X318" s="210"/>
      <c r="Y318" s="210"/>
      <c r="Z318" s="210"/>
      <c r="AA318" s="210"/>
      <c r="AB318" s="210"/>
      <c r="AC318" s="210"/>
      <c r="AI318" s="210"/>
      <c r="AJ318" s="210"/>
    </row>
    <row r="319" ht="12.75" customHeight="1">
      <c r="C319" s="210"/>
      <c r="D319" s="210"/>
      <c r="E319" s="210"/>
      <c r="F319" s="210"/>
      <c r="G319" s="210"/>
      <c r="H319" s="210"/>
      <c r="I319" s="210"/>
      <c r="J319" s="210"/>
      <c r="K319" s="210"/>
      <c r="L319" s="210"/>
      <c r="M319" s="210"/>
      <c r="N319" s="210"/>
      <c r="O319" s="210"/>
      <c r="P319" s="210"/>
      <c r="Q319" s="210"/>
      <c r="R319" s="210"/>
      <c r="S319" s="210"/>
      <c r="T319" s="210"/>
      <c r="U319" s="210"/>
      <c r="V319" s="210"/>
      <c r="W319" s="210"/>
      <c r="X319" s="210"/>
      <c r="Y319" s="210"/>
      <c r="Z319" s="210"/>
      <c r="AA319" s="210"/>
      <c r="AB319" s="210"/>
      <c r="AC319" s="210"/>
      <c r="AI319" s="210"/>
      <c r="AJ319" s="210"/>
    </row>
    <row r="320" ht="12.75" customHeight="1">
      <c r="C320" s="210"/>
      <c r="D320" s="210"/>
      <c r="E320" s="210"/>
      <c r="F320" s="210"/>
      <c r="G320" s="210"/>
      <c r="H320" s="210"/>
      <c r="I320" s="210"/>
      <c r="J320" s="210"/>
      <c r="K320" s="210"/>
      <c r="L320" s="210"/>
      <c r="M320" s="210"/>
      <c r="N320" s="210"/>
      <c r="O320" s="210"/>
      <c r="P320" s="210"/>
      <c r="Q320" s="210"/>
      <c r="R320" s="210"/>
      <c r="S320" s="210"/>
      <c r="T320" s="210"/>
      <c r="U320" s="210"/>
      <c r="V320" s="210"/>
      <c r="W320" s="210"/>
      <c r="X320" s="210"/>
      <c r="Y320" s="210"/>
      <c r="Z320" s="210"/>
      <c r="AA320" s="210"/>
      <c r="AB320" s="210"/>
      <c r="AC320" s="210"/>
      <c r="AI320" s="210"/>
      <c r="AJ320" s="210"/>
    </row>
    <row r="321" ht="12.75" customHeight="1">
      <c r="C321" s="210"/>
      <c r="D321" s="210"/>
      <c r="E321" s="210"/>
      <c r="F321" s="210"/>
      <c r="G321" s="210"/>
      <c r="H321" s="210"/>
      <c r="I321" s="210"/>
      <c r="J321" s="210"/>
      <c r="K321" s="210"/>
      <c r="L321" s="210"/>
      <c r="M321" s="210"/>
      <c r="N321" s="210"/>
      <c r="O321" s="210"/>
      <c r="P321" s="210"/>
      <c r="Q321" s="210"/>
      <c r="R321" s="210"/>
      <c r="S321" s="210"/>
      <c r="T321" s="210"/>
      <c r="U321" s="210"/>
      <c r="V321" s="210"/>
      <c r="W321" s="210"/>
      <c r="X321" s="210"/>
      <c r="Y321" s="210"/>
      <c r="Z321" s="210"/>
      <c r="AA321" s="210"/>
      <c r="AB321" s="210"/>
      <c r="AC321" s="210"/>
      <c r="AI321" s="210"/>
      <c r="AJ321" s="210"/>
    </row>
    <row r="322" ht="12.75" customHeight="1">
      <c r="C322" s="210"/>
      <c r="D322" s="210"/>
      <c r="E322" s="210"/>
      <c r="F322" s="210"/>
      <c r="G322" s="210"/>
      <c r="H322" s="210"/>
      <c r="I322" s="210"/>
      <c r="J322" s="210"/>
      <c r="K322" s="210"/>
      <c r="L322" s="210"/>
      <c r="M322" s="210"/>
      <c r="N322" s="210"/>
      <c r="O322" s="210"/>
      <c r="P322" s="210"/>
      <c r="Q322" s="210"/>
      <c r="R322" s="210"/>
      <c r="S322" s="210"/>
      <c r="T322" s="210"/>
      <c r="U322" s="210"/>
      <c r="V322" s="210"/>
      <c r="W322" s="210"/>
      <c r="X322" s="210"/>
      <c r="Y322" s="210"/>
      <c r="Z322" s="210"/>
      <c r="AA322" s="210"/>
      <c r="AB322" s="210"/>
      <c r="AC322" s="210"/>
      <c r="AI322" s="210"/>
      <c r="AJ322" s="210"/>
    </row>
    <row r="323" ht="12.75" customHeight="1">
      <c r="C323" s="210"/>
      <c r="D323" s="210"/>
      <c r="E323" s="210"/>
      <c r="F323" s="210"/>
      <c r="G323" s="210"/>
      <c r="H323" s="210"/>
      <c r="I323" s="210"/>
      <c r="J323" s="210"/>
      <c r="K323" s="210"/>
      <c r="L323" s="210"/>
      <c r="M323" s="210"/>
      <c r="N323" s="210"/>
      <c r="O323" s="210"/>
      <c r="P323" s="210"/>
      <c r="Q323" s="210"/>
      <c r="R323" s="210"/>
      <c r="S323" s="210"/>
      <c r="T323" s="210"/>
      <c r="U323" s="210"/>
      <c r="V323" s="210"/>
      <c r="W323" s="210"/>
      <c r="X323" s="210"/>
      <c r="Y323" s="210"/>
      <c r="Z323" s="210"/>
      <c r="AA323" s="210"/>
      <c r="AB323" s="210"/>
      <c r="AC323" s="210"/>
      <c r="AI323" s="210"/>
      <c r="AJ323" s="210"/>
    </row>
    <row r="324" ht="12.75" customHeight="1">
      <c r="C324" s="210"/>
      <c r="D324" s="210"/>
      <c r="E324" s="210"/>
      <c r="F324" s="210"/>
      <c r="G324" s="210"/>
      <c r="H324" s="210"/>
      <c r="I324" s="210"/>
      <c r="J324" s="210"/>
      <c r="K324" s="210"/>
      <c r="L324" s="210"/>
      <c r="M324" s="210"/>
      <c r="N324" s="210"/>
      <c r="O324" s="210"/>
      <c r="P324" s="210"/>
      <c r="Q324" s="210"/>
      <c r="R324" s="210"/>
      <c r="S324" s="210"/>
      <c r="T324" s="210"/>
      <c r="U324" s="210"/>
      <c r="V324" s="210"/>
      <c r="W324" s="210"/>
      <c r="X324" s="210"/>
      <c r="Y324" s="210"/>
      <c r="Z324" s="210"/>
      <c r="AA324" s="210"/>
      <c r="AB324" s="210"/>
      <c r="AC324" s="210"/>
      <c r="AI324" s="210"/>
      <c r="AJ324" s="210"/>
    </row>
    <row r="325" ht="12.75" customHeight="1">
      <c r="C325" s="210"/>
      <c r="D325" s="210"/>
      <c r="E325" s="210"/>
      <c r="F325" s="210"/>
      <c r="G325" s="210"/>
      <c r="H325" s="210"/>
      <c r="I325" s="210"/>
      <c r="J325" s="210"/>
      <c r="K325" s="210"/>
      <c r="L325" s="210"/>
      <c r="M325" s="210"/>
      <c r="N325" s="210"/>
      <c r="O325" s="210"/>
      <c r="P325" s="210"/>
      <c r="Q325" s="210"/>
      <c r="R325" s="210"/>
      <c r="S325" s="210"/>
      <c r="T325" s="210"/>
      <c r="U325" s="210"/>
      <c r="V325" s="210"/>
      <c r="W325" s="210"/>
      <c r="X325" s="210"/>
      <c r="Y325" s="210"/>
      <c r="Z325" s="210"/>
      <c r="AA325" s="210"/>
      <c r="AB325" s="210"/>
      <c r="AC325" s="210"/>
      <c r="AI325" s="210"/>
      <c r="AJ325" s="210"/>
    </row>
    <row r="326" ht="12.75" customHeight="1">
      <c r="C326" s="210"/>
      <c r="D326" s="210"/>
      <c r="E326" s="210"/>
      <c r="F326" s="210"/>
      <c r="G326" s="210"/>
      <c r="H326" s="210"/>
      <c r="I326" s="210"/>
      <c r="J326" s="210"/>
      <c r="K326" s="210"/>
      <c r="L326" s="210"/>
      <c r="M326" s="210"/>
      <c r="N326" s="210"/>
      <c r="O326" s="210"/>
      <c r="P326" s="210"/>
      <c r="Q326" s="210"/>
      <c r="R326" s="210"/>
      <c r="S326" s="210"/>
      <c r="T326" s="210"/>
      <c r="U326" s="210"/>
      <c r="V326" s="210"/>
      <c r="W326" s="210"/>
      <c r="X326" s="210"/>
      <c r="Y326" s="210"/>
      <c r="Z326" s="210"/>
      <c r="AA326" s="210"/>
      <c r="AB326" s="210"/>
      <c r="AC326" s="210"/>
      <c r="AI326" s="210"/>
      <c r="AJ326" s="210"/>
    </row>
    <row r="327" ht="12.75" customHeight="1">
      <c r="C327" s="210"/>
      <c r="D327" s="210"/>
      <c r="E327" s="210"/>
      <c r="F327" s="210"/>
      <c r="G327" s="210"/>
      <c r="H327" s="210"/>
      <c r="I327" s="210"/>
      <c r="J327" s="210"/>
      <c r="K327" s="210"/>
      <c r="L327" s="210"/>
      <c r="M327" s="210"/>
      <c r="N327" s="210"/>
      <c r="O327" s="210"/>
      <c r="P327" s="210"/>
      <c r="Q327" s="210"/>
      <c r="R327" s="210"/>
      <c r="S327" s="210"/>
      <c r="T327" s="210"/>
      <c r="U327" s="210"/>
      <c r="V327" s="210"/>
      <c r="W327" s="210"/>
      <c r="X327" s="210"/>
      <c r="Y327" s="210"/>
      <c r="Z327" s="210"/>
      <c r="AA327" s="210"/>
      <c r="AB327" s="210"/>
      <c r="AC327" s="210"/>
      <c r="AI327" s="210"/>
      <c r="AJ327" s="210"/>
    </row>
    <row r="328" ht="12.75" customHeight="1">
      <c r="C328" s="210"/>
      <c r="D328" s="210"/>
      <c r="E328" s="210"/>
      <c r="F328" s="210"/>
      <c r="G328" s="210"/>
      <c r="H328" s="210"/>
      <c r="I328" s="210"/>
      <c r="J328" s="210"/>
      <c r="K328" s="210"/>
      <c r="L328" s="210"/>
      <c r="M328" s="210"/>
      <c r="N328" s="210"/>
      <c r="O328" s="210"/>
      <c r="P328" s="210"/>
      <c r="Q328" s="210"/>
      <c r="R328" s="210"/>
      <c r="S328" s="210"/>
      <c r="T328" s="210"/>
      <c r="U328" s="210"/>
      <c r="V328" s="210"/>
      <c r="W328" s="210"/>
      <c r="X328" s="210"/>
      <c r="Y328" s="210"/>
      <c r="Z328" s="210"/>
      <c r="AA328" s="210"/>
      <c r="AB328" s="210"/>
      <c r="AC328" s="210"/>
      <c r="AI328" s="210"/>
      <c r="AJ328" s="210"/>
    </row>
    <row r="329" ht="12.75" customHeight="1">
      <c r="C329" s="210"/>
      <c r="D329" s="210"/>
      <c r="E329" s="210"/>
      <c r="F329" s="210"/>
      <c r="G329" s="210"/>
      <c r="H329" s="210"/>
      <c r="I329" s="210"/>
      <c r="J329" s="210"/>
      <c r="K329" s="210"/>
      <c r="L329" s="210"/>
      <c r="M329" s="210"/>
      <c r="N329" s="210"/>
      <c r="O329" s="210"/>
      <c r="P329" s="210"/>
      <c r="Q329" s="210"/>
      <c r="R329" s="210"/>
      <c r="S329" s="210"/>
      <c r="T329" s="210"/>
      <c r="U329" s="210"/>
      <c r="V329" s="210"/>
      <c r="W329" s="210"/>
      <c r="X329" s="210"/>
      <c r="Y329" s="210"/>
      <c r="Z329" s="210"/>
      <c r="AA329" s="210"/>
      <c r="AB329" s="210"/>
      <c r="AC329" s="210"/>
      <c r="AI329" s="210"/>
      <c r="AJ329" s="210"/>
    </row>
    <row r="330" ht="12.75" customHeight="1">
      <c r="C330" s="210"/>
      <c r="D330" s="210"/>
      <c r="E330" s="210"/>
      <c r="F330" s="210"/>
      <c r="G330" s="210"/>
      <c r="H330" s="210"/>
      <c r="I330" s="210"/>
      <c r="J330" s="210"/>
      <c r="K330" s="210"/>
      <c r="L330" s="210"/>
      <c r="M330" s="210"/>
      <c r="N330" s="210"/>
      <c r="O330" s="210"/>
      <c r="P330" s="210"/>
      <c r="Q330" s="210"/>
      <c r="R330" s="210"/>
      <c r="S330" s="210"/>
      <c r="T330" s="210"/>
      <c r="U330" s="210"/>
      <c r="V330" s="210"/>
      <c r="W330" s="210"/>
      <c r="X330" s="210"/>
      <c r="Y330" s="210"/>
      <c r="Z330" s="210"/>
      <c r="AA330" s="210"/>
      <c r="AB330" s="210"/>
      <c r="AC330" s="210"/>
      <c r="AI330" s="210"/>
      <c r="AJ330" s="210"/>
    </row>
    <row r="331" ht="12.75" customHeight="1">
      <c r="C331" s="210"/>
      <c r="D331" s="210"/>
      <c r="E331" s="210"/>
      <c r="F331" s="210"/>
      <c r="G331" s="210"/>
      <c r="H331" s="210"/>
      <c r="I331" s="210"/>
      <c r="J331" s="210"/>
      <c r="K331" s="210"/>
      <c r="L331" s="210"/>
      <c r="M331" s="210"/>
      <c r="N331" s="210"/>
      <c r="O331" s="210"/>
      <c r="P331" s="210"/>
      <c r="Q331" s="210"/>
      <c r="R331" s="210"/>
      <c r="S331" s="210"/>
      <c r="T331" s="210"/>
      <c r="U331" s="210"/>
      <c r="V331" s="210"/>
      <c r="W331" s="210"/>
      <c r="X331" s="210"/>
      <c r="Y331" s="210"/>
      <c r="Z331" s="210"/>
      <c r="AA331" s="210"/>
      <c r="AB331" s="210"/>
      <c r="AC331" s="210"/>
      <c r="AI331" s="210"/>
      <c r="AJ331" s="210"/>
    </row>
    <row r="332" ht="12.75" customHeight="1">
      <c r="C332" s="210"/>
      <c r="D332" s="210"/>
      <c r="E332" s="210"/>
      <c r="F332" s="210"/>
      <c r="G332" s="210"/>
      <c r="H332" s="210"/>
      <c r="I332" s="210"/>
      <c r="J332" s="210"/>
      <c r="K332" s="210"/>
      <c r="L332" s="210"/>
      <c r="M332" s="210"/>
      <c r="N332" s="210"/>
      <c r="O332" s="210"/>
      <c r="P332" s="210"/>
      <c r="Q332" s="210"/>
      <c r="R332" s="210"/>
      <c r="S332" s="210"/>
      <c r="T332" s="210"/>
      <c r="U332" s="210"/>
      <c r="V332" s="210"/>
      <c r="W332" s="210"/>
      <c r="X332" s="210"/>
      <c r="Y332" s="210"/>
      <c r="Z332" s="210"/>
      <c r="AA332" s="210"/>
      <c r="AB332" s="210"/>
      <c r="AC332" s="210"/>
      <c r="AI332" s="210"/>
      <c r="AJ332" s="210"/>
    </row>
    <row r="333" ht="12.75" customHeight="1">
      <c r="C333" s="210"/>
      <c r="D333" s="210"/>
      <c r="E333" s="210"/>
      <c r="F333" s="210"/>
      <c r="G333" s="210"/>
      <c r="H333" s="210"/>
      <c r="I333" s="210"/>
      <c r="J333" s="210"/>
      <c r="K333" s="210"/>
      <c r="L333" s="210"/>
      <c r="M333" s="210"/>
      <c r="N333" s="210"/>
      <c r="O333" s="210"/>
      <c r="P333" s="210"/>
      <c r="Q333" s="210"/>
      <c r="R333" s="210"/>
      <c r="S333" s="210"/>
      <c r="T333" s="210"/>
      <c r="U333" s="210"/>
      <c r="V333" s="210"/>
      <c r="W333" s="210"/>
      <c r="X333" s="210"/>
      <c r="Y333" s="210"/>
      <c r="Z333" s="210"/>
      <c r="AA333" s="210"/>
      <c r="AB333" s="210"/>
      <c r="AC333" s="210"/>
      <c r="AI333" s="210"/>
      <c r="AJ333" s="210"/>
    </row>
    <row r="334" ht="12.75" customHeight="1">
      <c r="C334" s="210"/>
      <c r="D334" s="210"/>
      <c r="E334" s="210"/>
      <c r="F334" s="210"/>
      <c r="G334" s="210"/>
      <c r="H334" s="210"/>
      <c r="I334" s="210"/>
      <c r="J334" s="210"/>
      <c r="K334" s="210"/>
      <c r="L334" s="210"/>
      <c r="M334" s="210"/>
      <c r="N334" s="210"/>
      <c r="O334" s="210"/>
      <c r="P334" s="210"/>
      <c r="Q334" s="210"/>
      <c r="R334" s="210"/>
      <c r="S334" s="210"/>
      <c r="T334" s="210"/>
      <c r="U334" s="210"/>
      <c r="V334" s="210"/>
      <c r="W334" s="210"/>
      <c r="X334" s="210"/>
      <c r="Y334" s="210"/>
      <c r="Z334" s="210"/>
      <c r="AA334" s="210"/>
      <c r="AB334" s="210"/>
      <c r="AC334" s="210"/>
      <c r="AI334" s="210"/>
      <c r="AJ334" s="210"/>
    </row>
    <row r="335" ht="12.75" customHeight="1">
      <c r="C335" s="210"/>
      <c r="D335" s="210"/>
      <c r="E335" s="210"/>
      <c r="F335" s="210"/>
      <c r="G335" s="210"/>
      <c r="H335" s="210"/>
      <c r="I335" s="210"/>
      <c r="J335" s="210"/>
      <c r="K335" s="210"/>
      <c r="L335" s="210"/>
      <c r="M335" s="210"/>
      <c r="N335" s="210"/>
      <c r="O335" s="210"/>
      <c r="P335" s="210"/>
      <c r="Q335" s="210"/>
      <c r="R335" s="210"/>
      <c r="S335" s="210"/>
      <c r="T335" s="210"/>
      <c r="U335" s="210"/>
      <c r="V335" s="210"/>
      <c r="W335" s="210"/>
      <c r="X335" s="210"/>
      <c r="Y335" s="210"/>
      <c r="Z335" s="210"/>
      <c r="AA335" s="210"/>
      <c r="AB335" s="210"/>
      <c r="AC335" s="210"/>
      <c r="AI335" s="210"/>
      <c r="AJ335" s="210"/>
    </row>
    <row r="336" ht="12.75" customHeight="1">
      <c r="C336" s="210"/>
      <c r="D336" s="210"/>
      <c r="E336" s="210"/>
      <c r="F336" s="210"/>
      <c r="G336" s="210"/>
      <c r="H336" s="210"/>
      <c r="I336" s="210"/>
      <c r="J336" s="210"/>
      <c r="K336" s="210"/>
      <c r="L336" s="210"/>
      <c r="M336" s="210"/>
      <c r="N336" s="210"/>
      <c r="O336" s="210"/>
      <c r="P336" s="210"/>
      <c r="Q336" s="210"/>
      <c r="R336" s="210"/>
      <c r="S336" s="210"/>
      <c r="T336" s="210"/>
      <c r="U336" s="210"/>
      <c r="V336" s="210"/>
      <c r="W336" s="210"/>
      <c r="X336" s="210"/>
      <c r="Y336" s="210"/>
      <c r="Z336" s="210"/>
      <c r="AA336" s="210"/>
      <c r="AB336" s="210"/>
      <c r="AC336" s="210"/>
      <c r="AI336" s="210"/>
      <c r="AJ336" s="210"/>
    </row>
    <row r="337" ht="12.75" customHeight="1">
      <c r="C337" s="210"/>
      <c r="D337" s="210"/>
      <c r="E337" s="210"/>
      <c r="F337" s="210"/>
      <c r="G337" s="210"/>
      <c r="H337" s="210"/>
      <c r="I337" s="210"/>
      <c r="J337" s="210"/>
      <c r="K337" s="210"/>
      <c r="L337" s="210"/>
      <c r="M337" s="210"/>
      <c r="N337" s="210"/>
      <c r="O337" s="210"/>
      <c r="P337" s="210"/>
      <c r="Q337" s="210"/>
      <c r="R337" s="210"/>
      <c r="S337" s="210"/>
      <c r="T337" s="210"/>
      <c r="U337" s="210"/>
      <c r="V337" s="210"/>
      <c r="W337" s="210"/>
      <c r="X337" s="210"/>
      <c r="Y337" s="210"/>
      <c r="Z337" s="210"/>
      <c r="AA337" s="210"/>
      <c r="AB337" s="210"/>
      <c r="AC337" s="210"/>
      <c r="AI337" s="210"/>
      <c r="AJ337" s="210"/>
    </row>
    <row r="338" ht="12.75" customHeight="1">
      <c r="C338" s="210"/>
      <c r="D338" s="210"/>
      <c r="E338" s="210"/>
      <c r="F338" s="210"/>
      <c r="G338" s="210"/>
      <c r="H338" s="210"/>
      <c r="I338" s="210"/>
      <c r="J338" s="210"/>
      <c r="K338" s="210"/>
      <c r="L338" s="210"/>
      <c r="M338" s="210"/>
      <c r="N338" s="210"/>
      <c r="O338" s="210"/>
      <c r="P338" s="210"/>
      <c r="Q338" s="210"/>
      <c r="R338" s="210"/>
      <c r="S338" s="210"/>
      <c r="T338" s="210"/>
      <c r="U338" s="210"/>
      <c r="V338" s="210"/>
      <c r="W338" s="210"/>
      <c r="X338" s="210"/>
      <c r="Y338" s="210"/>
      <c r="Z338" s="210"/>
      <c r="AA338" s="210"/>
      <c r="AB338" s="210"/>
      <c r="AC338" s="210"/>
      <c r="AI338" s="210"/>
      <c r="AJ338" s="210"/>
    </row>
    <row r="339" ht="12.75" customHeight="1">
      <c r="C339" s="210"/>
      <c r="D339" s="210"/>
      <c r="E339" s="210"/>
      <c r="F339" s="210"/>
      <c r="G339" s="210"/>
      <c r="H339" s="210"/>
      <c r="I339" s="210"/>
      <c r="J339" s="210"/>
      <c r="K339" s="210"/>
      <c r="L339" s="210"/>
      <c r="M339" s="210"/>
      <c r="N339" s="210"/>
      <c r="O339" s="210"/>
      <c r="P339" s="210"/>
      <c r="Q339" s="210"/>
      <c r="R339" s="210"/>
      <c r="S339" s="210"/>
      <c r="T339" s="210"/>
      <c r="U339" s="210"/>
      <c r="V339" s="210"/>
      <c r="W339" s="210"/>
      <c r="X339" s="210"/>
      <c r="Y339" s="210"/>
      <c r="Z339" s="210"/>
      <c r="AA339" s="210"/>
      <c r="AB339" s="210"/>
      <c r="AC339" s="210"/>
      <c r="AI339" s="210"/>
      <c r="AJ339" s="210"/>
    </row>
    <row r="340" ht="12.75" customHeight="1">
      <c r="C340" s="210"/>
      <c r="D340" s="210"/>
      <c r="E340" s="210"/>
      <c r="F340" s="210"/>
      <c r="G340" s="210"/>
      <c r="H340" s="210"/>
      <c r="I340" s="210"/>
      <c r="J340" s="210"/>
      <c r="K340" s="210"/>
      <c r="L340" s="210"/>
      <c r="M340" s="210"/>
      <c r="N340" s="210"/>
      <c r="O340" s="210"/>
      <c r="P340" s="210"/>
      <c r="Q340" s="210"/>
      <c r="R340" s="210"/>
      <c r="S340" s="210"/>
      <c r="T340" s="210"/>
      <c r="U340" s="210"/>
      <c r="V340" s="210"/>
      <c r="W340" s="210"/>
      <c r="X340" s="210"/>
      <c r="Y340" s="210"/>
      <c r="Z340" s="210"/>
      <c r="AA340" s="210"/>
      <c r="AB340" s="210"/>
      <c r="AC340" s="210"/>
      <c r="AI340" s="210"/>
      <c r="AJ340" s="210"/>
    </row>
    <row r="341" ht="12.75" customHeight="1">
      <c r="C341" s="210"/>
      <c r="D341" s="210"/>
      <c r="E341" s="210"/>
      <c r="F341" s="210"/>
      <c r="G341" s="210"/>
      <c r="H341" s="210"/>
      <c r="I341" s="210"/>
      <c r="J341" s="210"/>
      <c r="K341" s="210"/>
      <c r="L341" s="210"/>
      <c r="M341" s="210"/>
      <c r="N341" s="210"/>
      <c r="O341" s="210"/>
      <c r="P341" s="210"/>
      <c r="Q341" s="210"/>
      <c r="R341" s="210"/>
      <c r="S341" s="210"/>
      <c r="T341" s="210"/>
      <c r="U341" s="210"/>
      <c r="V341" s="210"/>
      <c r="W341" s="210"/>
      <c r="X341" s="210"/>
      <c r="Y341" s="210"/>
      <c r="Z341" s="210"/>
      <c r="AA341" s="210"/>
      <c r="AB341" s="210"/>
      <c r="AC341" s="210"/>
      <c r="AI341" s="210"/>
      <c r="AJ341" s="210"/>
    </row>
    <row r="342" ht="12.75" customHeight="1">
      <c r="C342" s="210"/>
      <c r="D342" s="210"/>
      <c r="E342" s="210"/>
      <c r="F342" s="210"/>
      <c r="G342" s="210"/>
      <c r="H342" s="210"/>
      <c r="I342" s="210"/>
      <c r="J342" s="210"/>
      <c r="K342" s="210"/>
      <c r="L342" s="210"/>
      <c r="M342" s="210"/>
      <c r="N342" s="210"/>
      <c r="O342" s="210"/>
      <c r="P342" s="210"/>
      <c r="Q342" s="210"/>
      <c r="R342" s="210"/>
      <c r="S342" s="210"/>
      <c r="T342" s="210"/>
      <c r="U342" s="210"/>
      <c r="V342" s="210"/>
      <c r="W342" s="210"/>
      <c r="X342" s="210"/>
      <c r="Y342" s="210"/>
      <c r="Z342" s="210"/>
      <c r="AA342" s="210"/>
      <c r="AB342" s="210"/>
      <c r="AC342" s="210"/>
      <c r="AI342" s="210"/>
      <c r="AJ342" s="210"/>
    </row>
    <row r="343" ht="12.75" customHeight="1">
      <c r="C343" s="210"/>
      <c r="D343" s="210"/>
      <c r="E343" s="210"/>
      <c r="F343" s="210"/>
      <c r="G343" s="210"/>
      <c r="H343" s="210"/>
      <c r="I343" s="210"/>
      <c r="J343" s="210"/>
      <c r="K343" s="210"/>
      <c r="L343" s="210"/>
      <c r="M343" s="210"/>
      <c r="N343" s="210"/>
      <c r="O343" s="210"/>
      <c r="P343" s="210"/>
      <c r="Q343" s="210"/>
      <c r="R343" s="210"/>
      <c r="S343" s="210"/>
      <c r="T343" s="210"/>
      <c r="U343" s="210"/>
      <c r="V343" s="210"/>
      <c r="W343" s="210"/>
      <c r="X343" s="210"/>
      <c r="Y343" s="210"/>
      <c r="Z343" s="210"/>
      <c r="AA343" s="210"/>
      <c r="AB343" s="210"/>
      <c r="AC343" s="210"/>
      <c r="AI343" s="210"/>
      <c r="AJ343" s="210"/>
    </row>
    <row r="344" ht="12.75" customHeight="1">
      <c r="C344" s="210"/>
      <c r="D344" s="210"/>
      <c r="E344" s="210"/>
      <c r="F344" s="210"/>
      <c r="G344" s="210"/>
      <c r="H344" s="210"/>
      <c r="I344" s="210"/>
      <c r="J344" s="210"/>
      <c r="K344" s="210"/>
      <c r="L344" s="210"/>
      <c r="M344" s="210"/>
      <c r="N344" s="210"/>
      <c r="O344" s="210"/>
      <c r="P344" s="210"/>
      <c r="Q344" s="210"/>
      <c r="R344" s="210"/>
      <c r="S344" s="210"/>
      <c r="T344" s="210"/>
      <c r="U344" s="210"/>
      <c r="V344" s="210"/>
      <c r="W344" s="210"/>
      <c r="X344" s="210"/>
      <c r="Y344" s="210"/>
      <c r="Z344" s="210"/>
      <c r="AA344" s="210"/>
      <c r="AB344" s="210"/>
      <c r="AC344" s="210"/>
      <c r="AI344" s="210"/>
      <c r="AJ344" s="210"/>
    </row>
    <row r="345" ht="12.75" customHeight="1">
      <c r="C345" s="210"/>
      <c r="D345" s="210"/>
      <c r="E345" s="210"/>
      <c r="F345" s="210"/>
      <c r="G345" s="210"/>
      <c r="H345" s="210"/>
      <c r="I345" s="210"/>
      <c r="J345" s="210"/>
      <c r="K345" s="210"/>
      <c r="L345" s="210"/>
      <c r="M345" s="210"/>
      <c r="N345" s="210"/>
      <c r="O345" s="210"/>
      <c r="P345" s="210"/>
      <c r="Q345" s="210"/>
      <c r="R345" s="210"/>
      <c r="S345" s="210"/>
      <c r="T345" s="210"/>
      <c r="U345" s="210"/>
      <c r="V345" s="210"/>
      <c r="W345" s="210"/>
      <c r="X345" s="210"/>
      <c r="Y345" s="210"/>
      <c r="Z345" s="210"/>
      <c r="AA345" s="210"/>
      <c r="AB345" s="210"/>
      <c r="AC345" s="210"/>
      <c r="AI345" s="210"/>
      <c r="AJ345" s="210"/>
    </row>
    <row r="346" ht="12.75" customHeight="1">
      <c r="C346" s="210"/>
      <c r="D346" s="210"/>
      <c r="E346" s="210"/>
      <c r="F346" s="210"/>
      <c r="G346" s="210"/>
      <c r="H346" s="210"/>
      <c r="I346" s="210"/>
      <c r="J346" s="210"/>
      <c r="K346" s="210"/>
      <c r="L346" s="210"/>
      <c r="M346" s="210"/>
      <c r="N346" s="210"/>
      <c r="O346" s="210"/>
      <c r="P346" s="210"/>
      <c r="Q346" s="210"/>
      <c r="R346" s="210"/>
      <c r="S346" s="210"/>
      <c r="T346" s="210"/>
      <c r="U346" s="210"/>
      <c r="V346" s="210"/>
      <c r="W346" s="210"/>
      <c r="X346" s="210"/>
      <c r="Y346" s="210"/>
      <c r="Z346" s="210"/>
      <c r="AA346" s="210"/>
      <c r="AB346" s="210"/>
      <c r="AC346" s="210"/>
      <c r="AI346" s="210"/>
      <c r="AJ346" s="210"/>
    </row>
    <row r="347" ht="12.75" customHeight="1">
      <c r="C347" s="210"/>
      <c r="D347" s="210"/>
      <c r="E347" s="210"/>
      <c r="F347" s="210"/>
      <c r="G347" s="210"/>
      <c r="H347" s="210"/>
      <c r="I347" s="210"/>
      <c r="J347" s="210"/>
      <c r="K347" s="210"/>
      <c r="L347" s="210"/>
      <c r="M347" s="210"/>
      <c r="N347" s="210"/>
      <c r="O347" s="210"/>
      <c r="P347" s="210"/>
      <c r="Q347" s="210"/>
      <c r="R347" s="210"/>
      <c r="S347" s="210"/>
      <c r="T347" s="210"/>
      <c r="U347" s="210"/>
      <c r="V347" s="210"/>
      <c r="W347" s="210"/>
      <c r="X347" s="210"/>
      <c r="Y347" s="210"/>
      <c r="Z347" s="210"/>
      <c r="AA347" s="210"/>
      <c r="AB347" s="210"/>
      <c r="AC347" s="210"/>
      <c r="AI347" s="210"/>
      <c r="AJ347" s="210"/>
    </row>
    <row r="348" ht="12.75" customHeight="1">
      <c r="C348" s="210"/>
      <c r="D348" s="210"/>
      <c r="E348" s="210"/>
      <c r="F348" s="210"/>
      <c r="G348" s="210"/>
      <c r="H348" s="210"/>
      <c r="I348" s="210"/>
      <c r="J348" s="210"/>
      <c r="K348" s="210"/>
      <c r="L348" s="210"/>
      <c r="M348" s="210"/>
      <c r="N348" s="210"/>
      <c r="O348" s="210"/>
      <c r="P348" s="210"/>
      <c r="Q348" s="210"/>
      <c r="R348" s="210"/>
      <c r="S348" s="210"/>
      <c r="T348" s="210"/>
      <c r="U348" s="210"/>
      <c r="V348" s="210"/>
      <c r="W348" s="210"/>
      <c r="X348" s="210"/>
      <c r="Y348" s="210"/>
      <c r="Z348" s="210"/>
      <c r="AA348" s="210"/>
      <c r="AB348" s="210"/>
      <c r="AC348" s="210"/>
      <c r="AI348" s="210"/>
      <c r="AJ348" s="210"/>
    </row>
    <row r="349" ht="12.75" customHeight="1">
      <c r="C349" s="210"/>
      <c r="D349" s="210"/>
      <c r="E349" s="210"/>
      <c r="F349" s="210"/>
      <c r="G349" s="210"/>
      <c r="H349" s="210"/>
      <c r="I349" s="210"/>
      <c r="J349" s="210"/>
      <c r="K349" s="210"/>
      <c r="L349" s="210"/>
      <c r="M349" s="210"/>
      <c r="N349" s="210"/>
      <c r="O349" s="210"/>
      <c r="P349" s="210"/>
      <c r="Q349" s="210"/>
      <c r="R349" s="210"/>
      <c r="S349" s="210"/>
      <c r="T349" s="210"/>
      <c r="U349" s="210"/>
      <c r="V349" s="210"/>
      <c r="W349" s="210"/>
      <c r="X349" s="210"/>
      <c r="Y349" s="210"/>
      <c r="Z349" s="210"/>
      <c r="AA349" s="210"/>
      <c r="AB349" s="210"/>
      <c r="AC349" s="210"/>
      <c r="AI349" s="210"/>
      <c r="AJ349" s="210"/>
    </row>
    <row r="350" ht="12.75" customHeight="1">
      <c r="C350" s="210"/>
      <c r="D350" s="210"/>
      <c r="E350" s="210"/>
      <c r="F350" s="210"/>
      <c r="G350" s="210"/>
      <c r="H350" s="210"/>
      <c r="I350" s="210"/>
      <c r="J350" s="210"/>
      <c r="K350" s="210"/>
      <c r="L350" s="210"/>
      <c r="M350" s="210"/>
      <c r="N350" s="210"/>
      <c r="O350" s="210"/>
      <c r="P350" s="210"/>
      <c r="Q350" s="210"/>
      <c r="R350" s="210"/>
      <c r="S350" s="210"/>
      <c r="T350" s="210"/>
      <c r="U350" s="210"/>
      <c r="V350" s="210"/>
      <c r="W350" s="210"/>
      <c r="X350" s="210"/>
      <c r="Y350" s="210"/>
      <c r="Z350" s="210"/>
      <c r="AA350" s="210"/>
      <c r="AB350" s="210"/>
      <c r="AC350" s="210"/>
      <c r="AI350" s="210"/>
      <c r="AJ350" s="210"/>
    </row>
    <row r="351" ht="12.75" customHeight="1">
      <c r="C351" s="210"/>
      <c r="D351" s="210"/>
      <c r="E351" s="210"/>
      <c r="F351" s="210"/>
      <c r="G351" s="210"/>
      <c r="H351" s="210"/>
      <c r="I351" s="210"/>
      <c r="J351" s="210"/>
      <c r="K351" s="210"/>
      <c r="L351" s="210"/>
      <c r="M351" s="210"/>
      <c r="N351" s="210"/>
      <c r="O351" s="210"/>
      <c r="P351" s="210"/>
      <c r="Q351" s="210"/>
      <c r="R351" s="210"/>
      <c r="S351" s="210"/>
      <c r="T351" s="210"/>
      <c r="U351" s="210"/>
      <c r="V351" s="210"/>
      <c r="W351" s="210"/>
      <c r="X351" s="210"/>
      <c r="Y351" s="210"/>
      <c r="Z351" s="210"/>
      <c r="AA351" s="210"/>
      <c r="AB351" s="210"/>
      <c r="AC351" s="210"/>
      <c r="AI351" s="210"/>
      <c r="AJ351" s="210"/>
    </row>
    <row r="352" ht="12.75" customHeight="1">
      <c r="C352" s="210"/>
      <c r="D352" s="210"/>
      <c r="E352" s="210"/>
      <c r="F352" s="210"/>
      <c r="G352" s="210"/>
      <c r="H352" s="210"/>
      <c r="I352" s="210"/>
      <c r="J352" s="210"/>
      <c r="K352" s="210"/>
      <c r="L352" s="210"/>
      <c r="M352" s="210"/>
      <c r="N352" s="210"/>
      <c r="O352" s="210"/>
      <c r="P352" s="210"/>
      <c r="Q352" s="210"/>
      <c r="R352" s="210"/>
      <c r="S352" s="210"/>
      <c r="T352" s="210"/>
      <c r="U352" s="210"/>
      <c r="V352" s="210"/>
      <c r="W352" s="210"/>
      <c r="X352" s="210"/>
      <c r="Y352" s="210"/>
      <c r="Z352" s="210"/>
      <c r="AA352" s="210"/>
      <c r="AB352" s="210"/>
      <c r="AC352" s="210"/>
      <c r="AI352" s="210"/>
      <c r="AJ352" s="210"/>
    </row>
    <row r="353" ht="12.75" customHeight="1">
      <c r="C353" s="210"/>
      <c r="D353" s="210"/>
      <c r="E353" s="210"/>
      <c r="F353" s="210"/>
      <c r="G353" s="210"/>
      <c r="H353" s="210"/>
      <c r="I353" s="210"/>
      <c r="J353" s="210"/>
      <c r="K353" s="210"/>
      <c r="L353" s="210"/>
      <c r="M353" s="210"/>
      <c r="N353" s="210"/>
      <c r="O353" s="210"/>
      <c r="P353" s="210"/>
      <c r="Q353" s="210"/>
      <c r="R353" s="210"/>
      <c r="S353" s="210"/>
      <c r="T353" s="210"/>
      <c r="U353" s="210"/>
      <c r="V353" s="210"/>
      <c r="W353" s="210"/>
      <c r="X353" s="210"/>
      <c r="Y353" s="210"/>
      <c r="Z353" s="210"/>
      <c r="AA353" s="210"/>
      <c r="AB353" s="210"/>
      <c r="AC353" s="210"/>
      <c r="AI353" s="210"/>
      <c r="AJ353" s="210"/>
    </row>
    <row r="354" ht="12.75" customHeight="1">
      <c r="C354" s="210"/>
      <c r="D354" s="210"/>
      <c r="E354" s="210"/>
      <c r="F354" s="210"/>
      <c r="G354" s="210"/>
      <c r="H354" s="210"/>
      <c r="I354" s="210"/>
      <c r="J354" s="210"/>
      <c r="K354" s="210"/>
      <c r="L354" s="210"/>
      <c r="M354" s="210"/>
      <c r="N354" s="210"/>
      <c r="O354" s="210"/>
      <c r="P354" s="210"/>
      <c r="Q354" s="210"/>
      <c r="R354" s="210"/>
      <c r="S354" s="210"/>
      <c r="T354" s="210"/>
      <c r="U354" s="210"/>
      <c r="V354" s="210"/>
      <c r="W354" s="210"/>
      <c r="X354" s="210"/>
      <c r="Y354" s="210"/>
      <c r="Z354" s="210"/>
      <c r="AA354" s="210"/>
      <c r="AB354" s="210"/>
      <c r="AC354" s="210"/>
      <c r="AI354" s="210"/>
      <c r="AJ354" s="210"/>
    </row>
    <row r="355" ht="12.75" customHeight="1">
      <c r="C355" s="210"/>
      <c r="D355" s="210"/>
      <c r="E355" s="210"/>
      <c r="F355" s="210"/>
      <c r="G355" s="210"/>
      <c r="H355" s="210"/>
      <c r="I355" s="210"/>
      <c r="J355" s="210"/>
      <c r="K355" s="210"/>
      <c r="L355" s="210"/>
      <c r="M355" s="210"/>
      <c r="N355" s="210"/>
      <c r="O355" s="210"/>
      <c r="P355" s="210"/>
      <c r="Q355" s="210"/>
      <c r="R355" s="210"/>
      <c r="S355" s="210"/>
      <c r="T355" s="210"/>
      <c r="U355" s="210"/>
      <c r="V355" s="210"/>
      <c r="W355" s="210"/>
      <c r="X355" s="210"/>
      <c r="Y355" s="210"/>
      <c r="Z355" s="210"/>
      <c r="AA355" s="210"/>
      <c r="AB355" s="210"/>
      <c r="AC355" s="210"/>
      <c r="AI355" s="210"/>
      <c r="AJ355" s="210"/>
    </row>
    <row r="356" ht="12.75" customHeight="1">
      <c r="C356" s="210"/>
      <c r="D356" s="210"/>
      <c r="E356" s="210"/>
      <c r="F356" s="210"/>
      <c r="G356" s="210"/>
      <c r="H356" s="210"/>
      <c r="I356" s="210"/>
      <c r="J356" s="210"/>
      <c r="K356" s="210"/>
      <c r="L356" s="210"/>
      <c r="M356" s="210"/>
      <c r="N356" s="210"/>
      <c r="O356" s="210"/>
      <c r="P356" s="210"/>
      <c r="Q356" s="210"/>
      <c r="R356" s="210"/>
      <c r="S356" s="210"/>
      <c r="T356" s="210"/>
      <c r="U356" s="210"/>
      <c r="V356" s="210"/>
      <c r="W356" s="210"/>
      <c r="X356" s="210"/>
      <c r="Y356" s="210"/>
      <c r="Z356" s="210"/>
      <c r="AA356" s="210"/>
      <c r="AB356" s="210"/>
      <c r="AC356" s="210"/>
      <c r="AI356" s="210"/>
      <c r="AJ356" s="210"/>
    </row>
    <row r="357" ht="12.75" customHeight="1">
      <c r="C357" s="210"/>
      <c r="D357" s="210"/>
      <c r="E357" s="210"/>
      <c r="F357" s="210"/>
      <c r="G357" s="210"/>
      <c r="H357" s="210"/>
      <c r="I357" s="210"/>
      <c r="J357" s="210"/>
      <c r="K357" s="210"/>
      <c r="L357" s="210"/>
      <c r="M357" s="210"/>
      <c r="N357" s="210"/>
      <c r="O357" s="210"/>
      <c r="P357" s="210"/>
      <c r="Q357" s="210"/>
      <c r="R357" s="210"/>
      <c r="S357" s="210"/>
      <c r="T357" s="210"/>
      <c r="U357" s="210"/>
      <c r="V357" s="210"/>
      <c r="W357" s="210"/>
      <c r="X357" s="210"/>
      <c r="Y357" s="210"/>
      <c r="Z357" s="210"/>
      <c r="AA357" s="210"/>
      <c r="AB357" s="210"/>
      <c r="AC357" s="210"/>
      <c r="AI357" s="210"/>
      <c r="AJ357" s="210"/>
    </row>
    <row r="358" ht="12.75" customHeight="1">
      <c r="C358" s="210"/>
      <c r="D358" s="210"/>
      <c r="E358" s="210"/>
      <c r="F358" s="210"/>
      <c r="G358" s="210"/>
      <c r="H358" s="210"/>
      <c r="I358" s="210"/>
      <c r="J358" s="210"/>
      <c r="K358" s="210"/>
      <c r="L358" s="210"/>
      <c r="M358" s="210"/>
      <c r="N358" s="210"/>
      <c r="O358" s="210"/>
      <c r="P358" s="210"/>
      <c r="Q358" s="210"/>
      <c r="R358" s="210"/>
      <c r="S358" s="210"/>
      <c r="T358" s="210"/>
      <c r="U358" s="210"/>
      <c r="V358" s="210"/>
      <c r="W358" s="210"/>
      <c r="X358" s="210"/>
      <c r="Y358" s="210"/>
      <c r="Z358" s="210"/>
      <c r="AA358" s="210"/>
      <c r="AB358" s="210"/>
      <c r="AC358" s="210"/>
      <c r="AI358" s="210"/>
      <c r="AJ358" s="210"/>
    </row>
    <row r="359" ht="12.75" customHeight="1">
      <c r="C359" s="210"/>
      <c r="D359" s="210"/>
      <c r="E359" s="210"/>
      <c r="F359" s="210"/>
      <c r="G359" s="210"/>
      <c r="H359" s="210"/>
      <c r="I359" s="210"/>
      <c r="J359" s="210"/>
      <c r="K359" s="210"/>
      <c r="L359" s="210"/>
      <c r="M359" s="210"/>
      <c r="N359" s="210"/>
      <c r="O359" s="210"/>
      <c r="P359" s="210"/>
      <c r="Q359" s="210"/>
      <c r="R359" s="210"/>
      <c r="S359" s="210"/>
      <c r="T359" s="210"/>
      <c r="U359" s="210"/>
      <c r="V359" s="210"/>
      <c r="W359" s="210"/>
      <c r="X359" s="210"/>
      <c r="Y359" s="210"/>
      <c r="Z359" s="210"/>
      <c r="AA359" s="210"/>
      <c r="AB359" s="210"/>
      <c r="AC359" s="210"/>
      <c r="AI359" s="210"/>
      <c r="AJ359" s="210"/>
    </row>
    <row r="360" ht="12.75" customHeight="1">
      <c r="C360" s="210"/>
      <c r="D360" s="210"/>
      <c r="E360" s="210"/>
      <c r="F360" s="210"/>
      <c r="G360" s="210"/>
      <c r="H360" s="210"/>
      <c r="I360" s="210"/>
      <c r="J360" s="210"/>
      <c r="K360" s="210"/>
      <c r="L360" s="210"/>
      <c r="M360" s="210"/>
      <c r="N360" s="210"/>
      <c r="O360" s="210"/>
      <c r="P360" s="210"/>
      <c r="Q360" s="210"/>
      <c r="R360" s="210"/>
      <c r="S360" s="210"/>
      <c r="T360" s="210"/>
      <c r="U360" s="210"/>
      <c r="V360" s="210"/>
      <c r="W360" s="210"/>
      <c r="X360" s="210"/>
      <c r="Y360" s="210"/>
      <c r="Z360" s="210"/>
      <c r="AA360" s="210"/>
      <c r="AB360" s="210"/>
      <c r="AC360" s="210"/>
      <c r="AI360" s="210"/>
      <c r="AJ360" s="210"/>
    </row>
    <row r="361" ht="12.75" customHeight="1">
      <c r="C361" s="210"/>
      <c r="D361" s="210"/>
      <c r="E361" s="210"/>
      <c r="F361" s="210"/>
      <c r="G361" s="210"/>
      <c r="H361" s="210"/>
      <c r="I361" s="210"/>
      <c r="J361" s="210"/>
      <c r="K361" s="210"/>
      <c r="L361" s="210"/>
      <c r="M361" s="210"/>
      <c r="N361" s="210"/>
      <c r="O361" s="210"/>
      <c r="P361" s="210"/>
      <c r="Q361" s="210"/>
      <c r="R361" s="210"/>
      <c r="S361" s="210"/>
      <c r="T361" s="210"/>
      <c r="U361" s="210"/>
      <c r="V361" s="210"/>
      <c r="W361" s="210"/>
      <c r="X361" s="210"/>
      <c r="Y361" s="210"/>
      <c r="Z361" s="210"/>
      <c r="AA361" s="210"/>
      <c r="AB361" s="210"/>
      <c r="AC361" s="210"/>
      <c r="AI361" s="210"/>
      <c r="AJ361" s="210"/>
    </row>
    <row r="362" ht="12.75" customHeight="1">
      <c r="C362" s="210"/>
      <c r="D362" s="210"/>
      <c r="E362" s="210"/>
      <c r="F362" s="210"/>
      <c r="G362" s="210"/>
      <c r="H362" s="210"/>
      <c r="I362" s="210"/>
      <c r="J362" s="210"/>
      <c r="K362" s="210"/>
      <c r="L362" s="210"/>
      <c r="M362" s="210"/>
      <c r="N362" s="210"/>
      <c r="O362" s="210"/>
      <c r="P362" s="210"/>
      <c r="Q362" s="210"/>
      <c r="R362" s="210"/>
      <c r="S362" s="210"/>
      <c r="T362" s="210"/>
      <c r="U362" s="210"/>
      <c r="V362" s="210"/>
      <c r="W362" s="210"/>
      <c r="X362" s="210"/>
      <c r="Y362" s="210"/>
      <c r="Z362" s="210"/>
      <c r="AA362" s="210"/>
      <c r="AB362" s="210"/>
      <c r="AC362" s="210"/>
      <c r="AI362" s="210"/>
      <c r="AJ362" s="210"/>
    </row>
    <row r="363" ht="12.75" customHeight="1">
      <c r="C363" s="210"/>
      <c r="D363" s="210"/>
      <c r="E363" s="210"/>
      <c r="F363" s="210"/>
      <c r="G363" s="210"/>
      <c r="H363" s="210"/>
      <c r="I363" s="210"/>
      <c r="J363" s="210"/>
      <c r="K363" s="210"/>
      <c r="L363" s="210"/>
      <c r="M363" s="210"/>
      <c r="N363" s="210"/>
      <c r="O363" s="210"/>
      <c r="P363" s="210"/>
      <c r="Q363" s="210"/>
      <c r="R363" s="210"/>
      <c r="S363" s="210"/>
      <c r="T363" s="210"/>
      <c r="U363" s="210"/>
      <c r="V363" s="210"/>
      <c r="W363" s="210"/>
      <c r="X363" s="210"/>
      <c r="Y363" s="210"/>
      <c r="Z363" s="210"/>
      <c r="AA363" s="210"/>
      <c r="AB363" s="210"/>
      <c r="AC363" s="210"/>
      <c r="AI363" s="210"/>
      <c r="AJ363" s="210"/>
    </row>
    <row r="364" ht="12.75" customHeight="1">
      <c r="C364" s="210"/>
      <c r="D364" s="210"/>
      <c r="E364" s="210"/>
      <c r="F364" s="210"/>
      <c r="G364" s="210"/>
      <c r="H364" s="210"/>
      <c r="I364" s="210"/>
      <c r="J364" s="210"/>
      <c r="K364" s="210"/>
      <c r="L364" s="210"/>
      <c r="M364" s="210"/>
      <c r="N364" s="210"/>
      <c r="O364" s="210"/>
      <c r="P364" s="210"/>
      <c r="Q364" s="210"/>
      <c r="R364" s="210"/>
      <c r="S364" s="210"/>
      <c r="T364" s="210"/>
      <c r="U364" s="210"/>
      <c r="V364" s="210"/>
      <c r="W364" s="210"/>
      <c r="X364" s="210"/>
      <c r="Y364" s="210"/>
      <c r="Z364" s="210"/>
      <c r="AA364" s="210"/>
      <c r="AB364" s="210"/>
      <c r="AC364" s="210"/>
      <c r="AI364" s="210"/>
      <c r="AJ364" s="210"/>
    </row>
    <row r="365" ht="12.75" customHeight="1">
      <c r="C365" s="210"/>
      <c r="D365" s="210"/>
      <c r="E365" s="210"/>
      <c r="F365" s="210"/>
      <c r="G365" s="210"/>
      <c r="H365" s="210"/>
      <c r="I365" s="210"/>
      <c r="J365" s="210"/>
      <c r="K365" s="210"/>
      <c r="L365" s="210"/>
      <c r="M365" s="210"/>
      <c r="N365" s="210"/>
      <c r="O365" s="210"/>
      <c r="P365" s="210"/>
      <c r="Q365" s="210"/>
      <c r="R365" s="210"/>
      <c r="S365" s="210"/>
      <c r="T365" s="210"/>
      <c r="U365" s="210"/>
      <c r="V365" s="210"/>
      <c r="W365" s="210"/>
      <c r="X365" s="210"/>
      <c r="Y365" s="210"/>
      <c r="Z365" s="210"/>
      <c r="AA365" s="210"/>
      <c r="AB365" s="210"/>
      <c r="AC365" s="210"/>
      <c r="AI365" s="210"/>
      <c r="AJ365" s="210"/>
    </row>
    <row r="366" ht="12.75" customHeight="1">
      <c r="C366" s="210"/>
      <c r="D366" s="210"/>
      <c r="E366" s="210"/>
      <c r="F366" s="210"/>
      <c r="G366" s="210"/>
      <c r="H366" s="210"/>
      <c r="I366" s="210"/>
      <c r="J366" s="210"/>
      <c r="K366" s="210"/>
      <c r="L366" s="210"/>
      <c r="M366" s="210"/>
      <c r="N366" s="210"/>
      <c r="O366" s="210"/>
      <c r="P366" s="210"/>
      <c r="Q366" s="210"/>
      <c r="R366" s="210"/>
      <c r="S366" s="210"/>
      <c r="T366" s="210"/>
      <c r="U366" s="210"/>
      <c r="V366" s="210"/>
      <c r="W366" s="210"/>
      <c r="X366" s="210"/>
      <c r="Y366" s="210"/>
      <c r="Z366" s="210"/>
      <c r="AA366" s="210"/>
      <c r="AB366" s="210"/>
      <c r="AC366" s="210"/>
      <c r="AI366" s="210"/>
      <c r="AJ366" s="210"/>
    </row>
    <row r="367" ht="12.75" customHeight="1">
      <c r="C367" s="210"/>
      <c r="D367" s="210"/>
      <c r="E367" s="210"/>
      <c r="F367" s="210"/>
      <c r="G367" s="210"/>
      <c r="H367" s="210"/>
      <c r="I367" s="210"/>
      <c r="J367" s="210"/>
      <c r="K367" s="210"/>
      <c r="L367" s="210"/>
      <c r="M367" s="210"/>
      <c r="N367" s="210"/>
      <c r="O367" s="210"/>
      <c r="P367" s="210"/>
      <c r="Q367" s="210"/>
      <c r="R367" s="210"/>
      <c r="S367" s="210"/>
      <c r="T367" s="210"/>
      <c r="U367" s="210"/>
      <c r="V367" s="210"/>
      <c r="W367" s="210"/>
      <c r="X367" s="210"/>
      <c r="Y367" s="210"/>
      <c r="Z367" s="210"/>
      <c r="AA367" s="210"/>
      <c r="AB367" s="210"/>
      <c r="AC367" s="210"/>
      <c r="AI367" s="210"/>
      <c r="AJ367" s="210"/>
    </row>
    <row r="368" ht="12.75" customHeight="1">
      <c r="C368" s="210"/>
      <c r="D368" s="210"/>
      <c r="E368" s="210"/>
      <c r="F368" s="210"/>
      <c r="G368" s="210"/>
      <c r="H368" s="210"/>
      <c r="I368" s="210"/>
      <c r="J368" s="210"/>
      <c r="K368" s="210"/>
      <c r="L368" s="210"/>
      <c r="M368" s="210"/>
      <c r="N368" s="210"/>
      <c r="O368" s="210"/>
      <c r="P368" s="210"/>
      <c r="Q368" s="210"/>
      <c r="R368" s="210"/>
      <c r="S368" s="210"/>
      <c r="T368" s="210"/>
      <c r="U368" s="210"/>
      <c r="V368" s="210"/>
      <c r="W368" s="210"/>
      <c r="X368" s="210"/>
      <c r="Y368" s="210"/>
      <c r="Z368" s="210"/>
      <c r="AA368" s="210"/>
      <c r="AB368" s="210"/>
      <c r="AC368" s="210"/>
      <c r="AI368" s="210"/>
      <c r="AJ368" s="210"/>
    </row>
    <row r="369" ht="12.75" customHeight="1">
      <c r="C369" s="210"/>
      <c r="D369" s="210"/>
      <c r="E369" s="210"/>
      <c r="F369" s="210"/>
      <c r="G369" s="210"/>
      <c r="H369" s="210"/>
      <c r="I369" s="210"/>
      <c r="J369" s="210"/>
      <c r="K369" s="210"/>
      <c r="L369" s="210"/>
      <c r="M369" s="210"/>
      <c r="N369" s="210"/>
      <c r="O369" s="210"/>
      <c r="P369" s="210"/>
      <c r="Q369" s="210"/>
      <c r="R369" s="210"/>
      <c r="S369" s="210"/>
      <c r="T369" s="210"/>
      <c r="U369" s="210"/>
      <c r="V369" s="210"/>
      <c r="W369" s="210"/>
      <c r="X369" s="210"/>
      <c r="Y369" s="210"/>
      <c r="Z369" s="210"/>
      <c r="AA369" s="210"/>
      <c r="AB369" s="210"/>
      <c r="AC369" s="210"/>
      <c r="AI369" s="210"/>
      <c r="AJ369" s="210"/>
    </row>
    <row r="370" ht="12.75" customHeight="1">
      <c r="C370" s="210"/>
      <c r="D370" s="210"/>
      <c r="E370" s="210"/>
      <c r="F370" s="210"/>
      <c r="G370" s="210"/>
      <c r="H370" s="210"/>
      <c r="I370" s="210"/>
      <c r="J370" s="210"/>
      <c r="K370" s="210"/>
      <c r="L370" s="210"/>
      <c r="M370" s="210"/>
      <c r="N370" s="210"/>
      <c r="O370" s="210"/>
      <c r="P370" s="210"/>
      <c r="Q370" s="210"/>
      <c r="R370" s="210"/>
      <c r="S370" s="210"/>
      <c r="T370" s="210"/>
      <c r="U370" s="210"/>
      <c r="V370" s="210"/>
      <c r="W370" s="210"/>
      <c r="X370" s="210"/>
      <c r="Y370" s="210"/>
      <c r="Z370" s="210"/>
      <c r="AA370" s="210"/>
      <c r="AB370" s="210"/>
      <c r="AC370" s="210"/>
      <c r="AI370" s="210"/>
      <c r="AJ370" s="210"/>
    </row>
    <row r="371" ht="12.75" customHeight="1">
      <c r="C371" s="210"/>
      <c r="D371" s="210"/>
      <c r="E371" s="210"/>
      <c r="F371" s="210"/>
      <c r="G371" s="210"/>
      <c r="H371" s="210"/>
      <c r="I371" s="210"/>
      <c r="J371" s="210"/>
      <c r="K371" s="210"/>
      <c r="L371" s="210"/>
      <c r="M371" s="210"/>
      <c r="N371" s="210"/>
      <c r="O371" s="210"/>
      <c r="P371" s="210"/>
      <c r="Q371" s="210"/>
      <c r="R371" s="210"/>
      <c r="S371" s="210"/>
      <c r="T371" s="210"/>
      <c r="U371" s="210"/>
      <c r="V371" s="210"/>
      <c r="W371" s="210"/>
      <c r="X371" s="210"/>
      <c r="Y371" s="210"/>
      <c r="Z371" s="210"/>
      <c r="AA371" s="210"/>
      <c r="AB371" s="210"/>
      <c r="AC371" s="210"/>
      <c r="AI371" s="210"/>
      <c r="AJ371" s="210"/>
    </row>
    <row r="372" ht="12.75" customHeight="1">
      <c r="C372" s="210"/>
      <c r="D372" s="210"/>
      <c r="E372" s="210"/>
      <c r="F372" s="210"/>
      <c r="G372" s="210"/>
      <c r="H372" s="210"/>
      <c r="I372" s="210"/>
      <c r="J372" s="210"/>
      <c r="K372" s="210"/>
      <c r="L372" s="210"/>
      <c r="M372" s="210"/>
      <c r="N372" s="210"/>
      <c r="O372" s="210"/>
      <c r="P372" s="210"/>
      <c r="Q372" s="210"/>
      <c r="R372" s="210"/>
      <c r="S372" s="210"/>
      <c r="T372" s="210"/>
      <c r="U372" s="210"/>
      <c r="V372" s="210"/>
      <c r="W372" s="210"/>
      <c r="X372" s="210"/>
      <c r="Y372" s="210"/>
      <c r="Z372" s="210"/>
      <c r="AA372" s="210"/>
      <c r="AB372" s="210"/>
      <c r="AC372" s="210"/>
      <c r="AI372" s="210"/>
      <c r="AJ372" s="210"/>
    </row>
    <row r="373" ht="12.75" customHeight="1">
      <c r="C373" s="210"/>
      <c r="D373" s="210"/>
      <c r="E373" s="210"/>
      <c r="F373" s="210"/>
      <c r="G373" s="210"/>
      <c r="H373" s="210"/>
      <c r="I373" s="210"/>
      <c r="J373" s="210"/>
      <c r="K373" s="210"/>
      <c r="L373" s="210"/>
      <c r="M373" s="210"/>
      <c r="N373" s="210"/>
      <c r="O373" s="210"/>
      <c r="P373" s="210"/>
      <c r="Q373" s="210"/>
      <c r="R373" s="210"/>
      <c r="S373" s="210"/>
      <c r="T373" s="210"/>
      <c r="U373" s="210"/>
      <c r="V373" s="210"/>
      <c r="W373" s="210"/>
      <c r="X373" s="210"/>
      <c r="Y373" s="210"/>
      <c r="Z373" s="210"/>
      <c r="AA373" s="210"/>
      <c r="AB373" s="210"/>
      <c r="AC373" s="210"/>
      <c r="AI373" s="210"/>
      <c r="AJ373" s="210"/>
    </row>
    <row r="374" ht="12.75" customHeight="1">
      <c r="C374" s="210"/>
      <c r="D374" s="210"/>
      <c r="E374" s="210"/>
      <c r="F374" s="210"/>
      <c r="G374" s="210"/>
      <c r="H374" s="210"/>
      <c r="I374" s="210"/>
      <c r="J374" s="210"/>
      <c r="K374" s="210"/>
      <c r="L374" s="210"/>
      <c r="M374" s="210"/>
      <c r="N374" s="210"/>
      <c r="O374" s="210"/>
      <c r="P374" s="210"/>
      <c r="Q374" s="210"/>
      <c r="R374" s="210"/>
      <c r="S374" s="210"/>
      <c r="T374" s="210"/>
      <c r="U374" s="210"/>
      <c r="V374" s="210"/>
      <c r="W374" s="210"/>
      <c r="X374" s="210"/>
      <c r="Y374" s="210"/>
      <c r="Z374" s="210"/>
      <c r="AA374" s="210"/>
      <c r="AB374" s="210"/>
      <c r="AC374" s="210"/>
      <c r="AI374" s="210"/>
      <c r="AJ374" s="210"/>
    </row>
    <row r="375" ht="12.75" customHeight="1">
      <c r="C375" s="210"/>
      <c r="D375" s="210"/>
      <c r="E375" s="210"/>
      <c r="F375" s="210"/>
      <c r="G375" s="210"/>
      <c r="H375" s="210"/>
      <c r="I375" s="210"/>
      <c r="J375" s="210"/>
      <c r="K375" s="210"/>
      <c r="L375" s="210"/>
      <c r="M375" s="210"/>
      <c r="N375" s="210"/>
      <c r="O375" s="210"/>
      <c r="P375" s="210"/>
      <c r="Q375" s="210"/>
      <c r="R375" s="210"/>
      <c r="S375" s="210"/>
      <c r="T375" s="210"/>
      <c r="U375" s="210"/>
      <c r="V375" s="210"/>
      <c r="W375" s="210"/>
      <c r="X375" s="210"/>
      <c r="Y375" s="210"/>
      <c r="Z375" s="210"/>
      <c r="AA375" s="210"/>
      <c r="AB375" s="210"/>
      <c r="AC375" s="210"/>
      <c r="AI375" s="210"/>
      <c r="AJ375" s="210"/>
    </row>
    <row r="376" ht="12.75" customHeight="1">
      <c r="C376" s="210"/>
      <c r="D376" s="210"/>
      <c r="E376" s="210"/>
      <c r="F376" s="210"/>
      <c r="G376" s="210"/>
      <c r="H376" s="210"/>
      <c r="I376" s="210"/>
      <c r="J376" s="210"/>
      <c r="K376" s="210"/>
      <c r="L376" s="210"/>
      <c r="M376" s="210"/>
      <c r="N376" s="210"/>
      <c r="O376" s="210"/>
      <c r="P376" s="210"/>
      <c r="Q376" s="210"/>
      <c r="R376" s="210"/>
      <c r="S376" s="210"/>
      <c r="T376" s="210"/>
      <c r="U376" s="210"/>
      <c r="V376" s="210"/>
      <c r="W376" s="210"/>
      <c r="X376" s="210"/>
      <c r="Y376" s="210"/>
      <c r="Z376" s="210"/>
      <c r="AA376" s="210"/>
      <c r="AB376" s="210"/>
      <c r="AC376" s="210"/>
      <c r="AI376" s="210"/>
      <c r="AJ376" s="210"/>
    </row>
    <row r="377" ht="12.75" customHeight="1">
      <c r="C377" s="210"/>
      <c r="D377" s="210"/>
      <c r="E377" s="210"/>
      <c r="F377" s="210"/>
      <c r="G377" s="210"/>
      <c r="H377" s="210"/>
      <c r="I377" s="210"/>
      <c r="J377" s="210"/>
      <c r="K377" s="210"/>
      <c r="L377" s="210"/>
      <c r="M377" s="210"/>
      <c r="N377" s="210"/>
      <c r="O377" s="210"/>
      <c r="P377" s="210"/>
      <c r="Q377" s="210"/>
      <c r="R377" s="210"/>
      <c r="S377" s="210"/>
      <c r="T377" s="210"/>
      <c r="U377" s="210"/>
      <c r="V377" s="210"/>
      <c r="W377" s="210"/>
      <c r="X377" s="210"/>
      <c r="Y377" s="210"/>
      <c r="Z377" s="210"/>
      <c r="AA377" s="210"/>
      <c r="AB377" s="210"/>
      <c r="AC377" s="210"/>
      <c r="AI377" s="210"/>
      <c r="AJ377" s="210"/>
    </row>
    <row r="378" ht="12.75" customHeight="1">
      <c r="C378" s="210"/>
      <c r="D378" s="210"/>
      <c r="E378" s="210"/>
      <c r="F378" s="210"/>
      <c r="G378" s="210"/>
      <c r="H378" s="210"/>
      <c r="I378" s="210"/>
      <c r="J378" s="210"/>
      <c r="K378" s="210"/>
      <c r="L378" s="210"/>
      <c r="M378" s="210"/>
      <c r="N378" s="210"/>
      <c r="O378" s="210"/>
      <c r="P378" s="210"/>
      <c r="Q378" s="210"/>
      <c r="R378" s="210"/>
      <c r="S378" s="210"/>
      <c r="T378" s="210"/>
      <c r="U378" s="210"/>
      <c r="V378" s="210"/>
      <c r="W378" s="210"/>
      <c r="X378" s="210"/>
      <c r="Y378" s="210"/>
      <c r="Z378" s="210"/>
      <c r="AA378" s="210"/>
      <c r="AB378" s="210"/>
      <c r="AC378" s="210"/>
      <c r="AI378" s="210"/>
      <c r="AJ378" s="210"/>
    </row>
    <row r="379" ht="12.75" customHeight="1">
      <c r="C379" s="210"/>
      <c r="D379" s="210"/>
      <c r="E379" s="210"/>
      <c r="F379" s="210"/>
      <c r="G379" s="210"/>
      <c r="H379" s="210"/>
      <c r="I379" s="210"/>
      <c r="J379" s="210"/>
      <c r="K379" s="210"/>
      <c r="L379" s="210"/>
      <c r="M379" s="210"/>
      <c r="N379" s="210"/>
      <c r="O379" s="210"/>
      <c r="P379" s="210"/>
      <c r="Q379" s="210"/>
      <c r="R379" s="210"/>
      <c r="S379" s="210"/>
      <c r="T379" s="210"/>
      <c r="U379" s="210"/>
      <c r="V379" s="210"/>
      <c r="W379" s="210"/>
      <c r="X379" s="210"/>
      <c r="Y379" s="210"/>
      <c r="Z379" s="210"/>
      <c r="AA379" s="210"/>
      <c r="AB379" s="210"/>
      <c r="AC379" s="210"/>
      <c r="AI379" s="210"/>
      <c r="AJ379" s="210"/>
    </row>
    <row r="380" ht="12.75" customHeight="1">
      <c r="C380" s="210"/>
      <c r="D380" s="210"/>
      <c r="E380" s="210"/>
      <c r="F380" s="210"/>
      <c r="G380" s="210"/>
      <c r="H380" s="210"/>
      <c r="I380" s="210"/>
      <c r="J380" s="210"/>
      <c r="K380" s="210"/>
      <c r="L380" s="210"/>
      <c r="M380" s="210"/>
      <c r="N380" s="210"/>
      <c r="O380" s="210"/>
      <c r="P380" s="210"/>
      <c r="Q380" s="210"/>
      <c r="R380" s="210"/>
      <c r="S380" s="210"/>
      <c r="T380" s="210"/>
      <c r="U380" s="210"/>
      <c r="V380" s="210"/>
      <c r="W380" s="210"/>
      <c r="X380" s="210"/>
      <c r="Y380" s="210"/>
      <c r="Z380" s="210"/>
      <c r="AA380" s="210"/>
      <c r="AB380" s="210"/>
      <c r="AC380" s="210"/>
      <c r="AI380" s="210"/>
      <c r="AJ380" s="210"/>
    </row>
    <row r="381" ht="12.75" customHeight="1">
      <c r="C381" s="210"/>
      <c r="D381" s="210"/>
      <c r="E381" s="210"/>
      <c r="F381" s="210"/>
      <c r="G381" s="210"/>
      <c r="H381" s="210"/>
      <c r="I381" s="210"/>
      <c r="J381" s="210"/>
      <c r="K381" s="210"/>
      <c r="L381" s="210"/>
      <c r="M381" s="210"/>
      <c r="N381" s="210"/>
      <c r="O381" s="210"/>
      <c r="P381" s="210"/>
      <c r="Q381" s="210"/>
      <c r="R381" s="210"/>
      <c r="S381" s="210"/>
      <c r="T381" s="210"/>
      <c r="U381" s="210"/>
      <c r="V381" s="210"/>
      <c r="W381" s="210"/>
      <c r="X381" s="210"/>
      <c r="Y381" s="210"/>
      <c r="Z381" s="210"/>
      <c r="AA381" s="210"/>
      <c r="AB381" s="210"/>
      <c r="AC381" s="210"/>
      <c r="AI381" s="210"/>
      <c r="AJ381" s="210"/>
    </row>
    <row r="382" ht="12.75" customHeight="1">
      <c r="C382" s="210"/>
      <c r="D382" s="210"/>
      <c r="E382" s="210"/>
      <c r="F382" s="210"/>
      <c r="G382" s="210"/>
      <c r="H382" s="210"/>
      <c r="I382" s="210"/>
      <c r="J382" s="210"/>
      <c r="K382" s="210"/>
      <c r="L382" s="210"/>
      <c r="M382" s="210"/>
      <c r="N382" s="210"/>
      <c r="O382" s="210"/>
      <c r="P382" s="210"/>
      <c r="Q382" s="210"/>
      <c r="R382" s="210"/>
      <c r="S382" s="210"/>
      <c r="T382" s="210"/>
      <c r="U382" s="210"/>
      <c r="V382" s="210"/>
      <c r="W382" s="210"/>
      <c r="X382" s="210"/>
      <c r="Y382" s="210"/>
      <c r="Z382" s="210"/>
      <c r="AA382" s="210"/>
      <c r="AB382" s="210"/>
      <c r="AC382" s="210"/>
      <c r="AI382" s="210"/>
      <c r="AJ382" s="210"/>
    </row>
    <row r="383" ht="12.75" customHeight="1">
      <c r="C383" s="210"/>
      <c r="D383" s="210"/>
      <c r="E383" s="210"/>
      <c r="F383" s="210"/>
      <c r="G383" s="210"/>
      <c r="H383" s="210"/>
      <c r="I383" s="210"/>
      <c r="J383" s="210"/>
      <c r="K383" s="210"/>
      <c r="L383" s="210"/>
      <c r="M383" s="210"/>
      <c r="N383" s="210"/>
      <c r="O383" s="210"/>
      <c r="P383" s="210"/>
      <c r="Q383" s="210"/>
      <c r="R383" s="210"/>
      <c r="S383" s="210"/>
      <c r="T383" s="210"/>
      <c r="U383" s="210"/>
      <c r="V383" s="210"/>
      <c r="W383" s="210"/>
      <c r="X383" s="210"/>
      <c r="Y383" s="210"/>
      <c r="Z383" s="210"/>
      <c r="AA383" s="210"/>
      <c r="AB383" s="210"/>
      <c r="AC383" s="210"/>
      <c r="AI383" s="210"/>
      <c r="AJ383" s="210"/>
    </row>
    <row r="384" ht="12.75" customHeight="1">
      <c r="C384" s="210"/>
      <c r="D384" s="210"/>
      <c r="E384" s="210"/>
      <c r="F384" s="210"/>
      <c r="G384" s="210"/>
      <c r="H384" s="210"/>
      <c r="I384" s="210"/>
      <c r="J384" s="210"/>
      <c r="K384" s="210"/>
      <c r="L384" s="210"/>
      <c r="M384" s="210"/>
      <c r="N384" s="210"/>
      <c r="O384" s="210"/>
      <c r="P384" s="210"/>
      <c r="Q384" s="210"/>
      <c r="R384" s="210"/>
      <c r="S384" s="210"/>
      <c r="T384" s="210"/>
      <c r="U384" s="210"/>
      <c r="V384" s="210"/>
      <c r="W384" s="210"/>
      <c r="X384" s="210"/>
      <c r="Y384" s="210"/>
      <c r="Z384" s="210"/>
      <c r="AA384" s="210"/>
      <c r="AB384" s="210"/>
      <c r="AC384" s="210"/>
      <c r="AI384" s="210"/>
      <c r="AJ384" s="210"/>
    </row>
    <row r="385" ht="12.75" customHeight="1">
      <c r="C385" s="210"/>
      <c r="D385" s="210"/>
      <c r="E385" s="210"/>
      <c r="F385" s="210"/>
      <c r="G385" s="210"/>
      <c r="H385" s="210"/>
      <c r="I385" s="210"/>
      <c r="J385" s="210"/>
      <c r="K385" s="210"/>
      <c r="L385" s="210"/>
      <c r="M385" s="210"/>
      <c r="N385" s="210"/>
      <c r="O385" s="210"/>
      <c r="P385" s="210"/>
      <c r="Q385" s="210"/>
      <c r="R385" s="210"/>
      <c r="S385" s="210"/>
      <c r="T385" s="210"/>
      <c r="U385" s="210"/>
      <c r="V385" s="210"/>
      <c r="W385" s="210"/>
      <c r="X385" s="210"/>
      <c r="Y385" s="210"/>
      <c r="Z385" s="210"/>
      <c r="AA385" s="210"/>
      <c r="AB385" s="210"/>
      <c r="AC385" s="210"/>
      <c r="AI385" s="210"/>
      <c r="AJ385" s="210"/>
    </row>
    <row r="386" ht="12.75" customHeight="1">
      <c r="C386" s="210"/>
      <c r="D386" s="210"/>
      <c r="E386" s="210"/>
      <c r="F386" s="210"/>
      <c r="G386" s="210"/>
      <c r="H386" s="210"/>
      <c r="I386" s="210"/>
      <c r="J386" s="210"/>
      <c r="K386" s="210"/>
      <c r="L386" s="210"/>
      <c r="M386" s="210"/>
      <c r="N386" s="210"/>
      <c r="O386" s="210"/>
      <c r="P386" s="210"/>
      <c r="Q386" s="210"/>
      <c r="R386" s="210"/>
      <c r="S386" s="210"/>
      <c r="T386" s="210"/>
      <c r="U386" s="210"/>
      <c r="V386" s="210"/>
      <c r="W386" s="210"/>
      <c r="X386" s="210"/>
      <c r="Y386" s="210"/>
      <c r="Z386" s="210"/>
      <c r="AA386" s="210"/>
      <c r="AB386" s="210"/>
      <c r="AC386" s="210"/>
      <c r="AI386" s="210"/>
      <c r="AJ386" s="210"/>
    </row>
    <row r="387" ht="12.75" customHeight="1">
      <c r="C387" s="210"/>
      <c r="D387" s="210"/>
      <c r="E387" s="210"/>
      <c r="F387" s="210"/>
      <c r="G387" s="210"/>
      <c r="H387" s="210"/>
      <c r="I387" s="210"/>
      <c r="J387" s="210"/>
      <c r="K387" s="210"/>
      <c r="L387" s="210"/>
      <c r="M387" s="210"/>
      <c r="N387" s="210"/>
      <c r="O387" s="210"/>
      <c r="P387" s="210"/>
      <c r="Q387" s="210"/>
      <c r="R387" s="210"/>
      <c r="S387" s="210"/>
      <c r="T387" s="210"/>
      <c r="U387" s="210"/>
      <c r="V387" s="210"/>
      <c r="W387" s="210"/>
      <c r="X387" s="210"/>
      <c r="Y387" s="210"/>
      <c r="Z387" s="210"/>
      <c r="AA387" s="210"/>
      <c r="AB387" s="210"/>
      <c r="AC387" s="210"/>
      <c r="AI387" s="210"/>
      <c r="AJ387" s="210"/>
    </row>
    <row r="388" ht="12.75" customHeight="1">
      <c r="C388" s="210"/>
      <c r="D388" s="210"/>
      <c r="E388" s="210"/>
      <c r="F388" s="210"/>
      <c r="G388" s="210"/>
      <c r="H388" s="210"/>
      <c r="I388" s="210"/>
      <c r="J388" s="210"/>
      <c r="K388" s="210"/>
      <c r="L388" s="210"/>
      <c r="M388" s="210"/>
      <c r="N388" s="210"/>
      <c r="O388" s="210"/>
      <c r="P388" s="210"/>
      <c r="Q388" s="210"/>
      <c r="R388" s="210"/>
      <c r="S388" s="210"/>
      <c r="T388" s="210"/>
      <c r="U388" s="210"/>
      <c r="V388" s="210"/>
      <c r="W388" s="210"/>
      <c r="X388" s="210"/>
      <c r="Y388" s="210"/>
      <c r="Z388" s="210"/>
      <c r="AA388" s="210"/>
      <c r="AB388" s="210"/>
      <c r="AC388" s="210"/>
      <c r="AI388" s="210"/>
      <c r="AJ388" s="210"/>
    </row>
    <row r="389" ht="12.75" customHeight="1">
      <c r="C389" s="210"/>
      <c r="D389" s="210"/>
      <c r="E389" s="210"/>
      <c r="F389" s="210"/>
      <c r="G389" s="210"/>
      <c r="H389" s="210"/>
      <c r="I389" s="210"/>
      <c r="J389" s="210"/>
      <c r="K389" s="210"/>
      <c r="L389" s="210"/>
      <c r="M389" s="210"/>
      <c r="N389" s="210"/>
      <c r="O389" s="210"/>
      <c r="P389" s="210"/>
      <c r="Q389" s="210"/>
      <c r="R389" s="210"/>
      <c r="S389" s="210"/>
      <c r="T389" s="210"/>
      <c r="U389" s="210"/>
      <c r="V389" s="210"/>
      <c r="W389" s="210"/>
      <c r="X389" s="210"/>
      <c r="Y389" s="210"/>
      <c r="Z389" s="210"/>
      <c r="AA389" s="210"/>
      <c r="AB389" s="210"/>
      <c r="AC389" s="210"/>
      <c r="AI389" s="210"/>
      <c r="AJ389" s="210"/>
    </row>
    <row r="390" ht="12.75" customHeight="1">
      <c r="C390" s="210"/>
      <c r="D390" s="210"/>
      <c r="E390" s="210"/>
      <c r="F390" s="210"/>
      <c r="G390" s="210"/>
      <c r="H390" s="210"/>
      <c r="I390" s="210"/>
      <c r="J390" s="210"/>
      <c r="K390" s="210"/>
      <c r="L390" s="210"/>
      <c r="M390" s="210"/>
      <c r="N390" s="210"/>
      <c r="O390" s="210"/>
      <c r="P390" s="210"/>
      <c r="Q390" s="210"/>
      <c r="R390" s="210"/>
      <c r="S390" s="210"/>
      <c r="T390" s="210"/>
      <c r="U390" s="210"/>
      <c r="V390" s="210"/>
      <c r="W390" s="210"/>
      <c r="X390" s="210"/>
      <c r="Y390" s="210"/>
      <c r="Z390" s="210"/>
      <c r="AA390" s="210"/>
      <c r="AB390" s="210"/>
      <c r="AC390" s="210"/>
      <c r="AI390" s="210"/>
      <c r="AJ390" s="210"/>
    </row>
    <row r="391" ht="12.75" customHeight="1">
      <c r="C391" s="210"/>
      <c r="D391" s="210"/>
      <c r="E391" s="210"/>
      <c r="F391" s="210"/>
      <c r="G391" s="210"/>
      <c r="H391" s="210"/>
      <c r="I391" s="210"/>
      <c r="J391" s="210"/>
      <c r="K391" s="210"/>
      <c r="L391" s="210"/>
      <c r="M391" s="210"/>
      <c r="N391" s="210"/>
      <c r="O391" s="210"/>
      <c r="P391" s="210"/>
      <c r="Q391" s="210"/>
      <c r="R391" s="210"/>
      <c r="S391" s="210"/>
      <c r="T391" s="210"/>
      <c r="U391" s="210"/>
      <c r="V391" s="210"/>
      <c r="W391" s="210"/>
      <c r="X391" s="210"/>
      <c r="Y391" s="210"/>
      <c r="Z391" s="210"/>
      <c r="AA391" s="210"/>
      <c r="AB391" s="210"/>
      <c r="AC391" s="210"/>
      <c r="AI391" s="210"/>
      <c r="AJ391" s="210"/>
    </row>
    <row r="392" ht="12.75" customHeight="1">
      <c r="C392" s="210"/>
      <c r="D392" s="210"/>
      <c r="E392" s="210"/>
      <c r="F392" s="210"/>
      <c r="G392" s="210"/>
      <c r="H392" s="210"/>
      <c r="I392" s="210"/>
      <c r="J392" s="210"/>
      <c r="K392" s="210"/>
      <c r="L392" s="210"/>
      <c r="M392" s="210"/>
      <c r="N392" s="210"/>
      <c r="O392" s="210"/>
      <c r="P392" s="210"/>
      <c r="Q392" s="210"/>
      <c r="R392" s="210"/>
      <c r="S392" s="210"/>
      <c r="T392" s="210"/>
      <c r="U392" s="210"/>
      <c r="V392" s="210"/>
      <c r="W392" s="210"/>
      <c r="X392" s="210"/>
      <c r="Y392" s="210"/>
      <c r="Z392" s="210"/>
      <c r="AA392" s="210"/>
      <c r="AB392" s="210"/>
      <c r="AC392" s="210"/>
      <c r="AI392" s="210"/>
      <c r="AJ392" s="210"/>
    </row>
    <row r="393" ht="12.75" customHeight="1">
      <c r="C393" s="210"/>
      <c r="D393" s="210"/>
      <c r="E393" s="210"/>
      <c r="F393" s="210"/>
      <c r="G393" s="210"/>
      <c r="H393" s="210"/>
      <c r="I393" s="210"/>
      <c r="J393" s="210"/>
      <c r="K393" s="210"/>
      <c r="L393" s="210"/>
      <c r="M393" s="210"/>
      <c r="N393" s="210"/>
      <c r="O393" s="210"/>
      <c r="P393" s="210"/>
      <c r="Q393" s="210"/>
      <c r="R393" s="210"/>
      <c r="S393" s="210"/>
      <c r="T393" s="210"/>
      <c r="U393" s="210"/>
      <c r="V393" s="210"/>
      <c r="W393" s="210"/>
      <c r="X393" s="210"/>
      <c r="Y393" s="210"/>
      <c r="Z393" s="210"/>
      <c r="AA393" s="210"/>
      <c r="AB393" s="210"/>
      <c r="AC393" s="210"/>
      <c r="AI393" s="210"/>
      <c r="AJ393" s="210"/>
    </row>
    <row r="394" ht="12.75" customHeight="1">
      <c r="C394" s="210"/>
      <c r="D394" s="210"/>
      <c r="E394" s="210"/>
      <c r="F394" s="210"/>
      <c r="G394" s="210"/>
      <c r="H394" s="210"/>
      <c r="I394" s="210"/>
      <c r="J394" s="210"/>
      <c r="K394" s="210"/>
      <c r="L394" s="210"/>
      <c r="M394" s="210"/>
      <c r="N394" s="210"/>
      <c r="O394" s="210"/>
      <c r="P394" s="210"/>
      <c r="Q394" s="210"/>
      <c r="R394" s="210"/>
      <c r="S394" s="210"/>
      <c r="T394" s="210"/>
      <c r="U394" s="210"/>
      <c r="V394" s="210"/>
      <c r="W394" s="210"/>
      <c r="X394" s="210"/>
      <c r="Y394" s="210"/>
      <c r="Z394" s="210"/>
      <c r="AA394" s="210"/>
      <c r="AB394" s="210"/>
      <c r="AC394" s="210"/>
      <c r="AI394" s="210"/>
      <c r="AJ394" s="210"/>
    </row>
    <row r="395" ht="12.75" customHeight="1">
      <c r="C395" s="210"/>
      <c r="D395" s="210"/>
      <c r="E395" s="210"/>
      <c r="F395" s="210"/>
      <c r="G395" s="210"/>
      <c r="H395" s="210"/>
      <c r="I395" s="210"/>
      <c r="J395" s="210"/>
      <c r="K395" s="210"/>
      <c r="L395" s="210"/>
      <c r="M395" s="210"/>
      <c r="N395" s="210"/>
      <c r="O395" s="210"/>
      <c r="P395" s="210"/>
      <c r="Q395" s="210"/>
      <c r="R395" s="210"/>
      <c r="S395" s="210"/>
      <c r="T395" s="210"/>
      <c r="U395" s="210"/>
      <c r="V395" s="210"/>
      <c r="W395" s="210"/>
      <c r="X395" s="210"/>
      <c r="Y395" s="210"/>
      <c r="Z395" s="210"/>
      <c r="AA395" s="210"/>
      <c r="AB395" s="210"/>
      <c r="AC395" s="210"/>
      <c r="AI395" s="210"/>
      <c r="AJ395" s="210"/>
    </row>
    <row r="396" ht="12.75" customHeight="1">
      <c r="C396" s="210"/>
      <c r="D396" s="210"/>
      <c r="E396" s="210"/>
      <c r="F396" s="210"/>
      <c r="G396" s="210"/>
      <c r="H396" s="210"/>
      <c r="I396" s="210"/>
      <c r="J396" s="210"/>
      <c r="K396" s="210"/>
      <c r="L396" s="210"/>
      <c r="M396" s="210"/>
      <c r="N396" s="210"/>
      <c r="O396" s="210"/>
      <c r="P396" s="210"/>
      <c r="Q396" s="210"/>
      <c r="R396" s="210"/>
      <c r="S396" s="210"/>
      <c r="T396" s="210"/>
      <c r="U396" s="210"/>
      <c r="V396" s="210"/>
      <c r="W396" s="210"/>
      <c r="X396" s="210"/>
      <c r="Y396" s="210"/>
      <c r="Z396" s="210"/>
      <c r="AA396" s="210"/>
      <c r="AB396" s="210"/>
      <c r="AC396" s="210"/>
      <c r="AI396" s="210"/>
      <c r="AJ396" s="210"/>
    </row>
    <row r="397" ht="12.75" customHeight="1">
      <c r="C397" s="210"/>
      <c r="D397" s="210"/>
      <c r="E397" s="210"/>
      <c r="F397" s="210"/>
      <c r="G397" s="210"/>
      <c r="H397" s="210"/>
      <c r="I397" s="210"/>
      <c r="J397" s="210"/>
      <c r="K397" s="210"/>
      <c r="L397" s="210"/>
      <c r="M397" s="210"/>
      <c r="N397" s="210"/>
      <c r="O397" s="210"/>
      <c r="P397" s="210"/>
      <c r="Q397" s="210"/>
      <c r="R397" s="210"/>
      <c r="S397" s="210"/>
      <c r="T397" s="210"/>
      <c r="U397" s="210"/>
      <c r="V397" s="210"/>
      <c r="W397" s="210"/>
      <c r="X397" s="210"/>
      <c r="Y397" s="210"/>
      <c r="Z397" s="210"/>
      <c r="AA397" s="210"/>
      <c r="AB397" s="210"/>
      <c r="AC397" s="210"/>
      <c r="AI397" s="210"/>
      <c r="AJ397" s="210"/>
    </row>
    <row r="398" ht="12.75" customHeight="1">
      <c r="C398" s="210"/>
      <c r="D398" s="210"/>
      <c r="E398" s="210"/>
      <c r="F398" s="210"/>
      <c r="G398" s="210"/>
      <c r="H398" s="210"/>
      <c r="I398" s="210"/>
      <c r="J398" s="210"/>
      <c r="K398" s="210"/>
      <c r="L398" s="210"/>
      <c r="M398" s="210"/>
      <c r="N398" s="210"/>
      <c r="O398" s="210"/>
      <c r="P398" s="210"/>
      <c r="Q398" s="210"/>
      <c r="R398" s="210"/>
      <c r="S398" s="210"/>
      <c r="T398" s="210"/>
      <c r="U398" s="210"/>
      <c r="V398" s="210"/>
      <c r="W398" s="210"/>
      <c r="X398" s="210"/>
      <c r="Y398" s="210"/>
      <c r="Z398" s="210"/>
      <c r="AA398" s="210"/>
      <c r="AB398" s="210"/>
      <c r="AC398" s="210"/>
      <c r="AI398" s="210"/>
      <c r="AJ398" s="210"/>
    </row>
    <row r="399" ht="12.75" customHeight="1">
      <c r="C399" s="210"/>
      <c r="D399" s="210"/>
      <c r="E399" s="210"/>
      <c r="F399" s="210"/>
      <c r="G399" s="210"/>
      <c r="H399" s="210"/>
      <c r="I399" s="210"/>
      <c r="J399" s="210"/>
      <c r="K399" s="210"/>
      <c r="L399" s="210"/>
      <c r="M399" s="210"/>
      <c r="N399" s="210"/>
      <c r="O399" s="210"/>
      <c r="P399" s="210"/>
      <c r="Q399" s="210"/>
      <c r="R399" s="210"/>
      <c r="S399" s="210"/>
      <c r="T399" s="210"/>
      <c r="U399" s="210"/>
      <c r="V399" s="210"/>
      <c r="W399" s="210"/>
      <c r="X399" s="210"/>
      <c r="Y399" s="210"/>
      <c r="Z399" s="210"/>
      <c r="AA399" s="210"/>
      <c r="AB399" s="210"/>
      <c r="AC399" s="210"/>
      <c r="AI399" s="210"/>
      <c r="AJ399" s="210"/>
    </row>
    <row r="400" ht="12.75" customHeight="1">
      <c r="C400" s="210"/>
      <c r="D400" s="210"/>
      <c r="E400" s="210"/>
      <c r="F400" s="210"/>
      <c r="G400" s="210"/>
      <c r="H400" s="210"/>
      <c r="I400" s="210"/>
      <c r="J400" s="210"/>
      <c r="K400" s="210"/>
      <c r="L400" s="210"/>
      <c r="M400" s="210"/>
      <c r="N400" s="210"/>
      <c r="O400" s="210"/>
      <c r="P400" s="210"/>
      <c r="Q400" s="210"/>
      <c r="R400" s="210"/>
      <c r="S400" s="210"/>
      <c r="T400" s="210"/>
      <c r="U400" s="210"/>
      <c r="V400" s="210"/>
      <c r="W400" s="210"/>
      <c r="X400" s="210"/>
      <c r="Y400" s="210"/>
      <c r="Z400" s="210"/>
      <c r="AA400" s="210"/>
      <c r="AB400" s="210"/>
      <c r="AC400" s="210"/>
      <c r="AI400" s="210"/>
      <c r="AJ400" s="210"/>
    </row>
    <row r="401" ht="12.75" customHeight="1">
      <c r="C401" s="210"/>
      <c r="D401" s="210"/>
      <c r="E401" s="210"/>
      <c r="F401" s="210"/>
      <c r="G401" s="210"/>
      <c r="H401" s="210"/>
      <c r="I401" s="210"/>
      <c r="J401" s="210"/>
      <c r="K401" s="210"/>
      <c r="L401" s="210"/>
      <c r="M401" s="210"/>
      <c r="N401" s="210"/>
      <c r="O401" s="210"/>
      <c r="P401" s="210"/>
      <c r="Q401" s="210"/>
      <c r="R401" s="210"/>
      <c r="S401" s="210"/>
      <c r="T401" s="210"/>
      <c r="U401" s="210"/>
      <c r="V401" s="210"/>
      <c r="W401" s="210"/>
      <c r="X401" s="210"/>
      <c r="Y401" s="210"/>
      <c r="Z401" s="210"/>
      <c r="AA401" s="210"/>
      <c r="AB401" s="210"/>
      <c r="AC401" s="210"/>
      <c r="AI401" s="210"/>
      <c r="AJ401" s="210"/>
    </row>
    <row r="402" ht="12.75" customHeight="1">
      <c r="C402" s="210"/>
      <c r="D402" s="210"/>
      <c r="E402" s="210"/>
      <c r="F402" s="210"/>
      <c r="G402" s="210"/>
      <c r="H402" s="210"/>
      <c r="I402" s="210"/>
      <c r="J402" s="210"/>
      <c r="K402" s="210"/>
      <c r="L402" s="210"/>
      <c r="M402" s="210"/>
      <c r="N402" s="210"/>
      <c r="O402" s="210"/>
      <c r="P402" s="210"/>
      <c r="Q402" s="210"/>
      <c r="R402" s="210"/>
      <c r="S402" s="210"/>
      <c r="T402" s="210"/>
      <c r="U402" s="210"/>
      <c r="V402" s="210"/>
      <c r="W402" s="210"/>
      <c r="X402" s="210"/>
      <c r="Y402" s="210"/>
      <c r="Z402" s="210"/>
      <c r="AA402" s="210"/>
      <c r="AB402" s="210"/>
      <c r="AC402" s="210"/>
      <c r="AI402" s="210"/>
      <c r="AJ402" s="210"/>
    </row>
    <row r="403" ht="12.75" customHeight="1">
      <c r="C403" s="210"/>
      <c r="D403" s="210"/>
      <c r="E403" s="210"/>
      <c r="F403" s="210"/>
      <c r="G403" s="210"/>
      <c r="H403" s="210"/>
      <c r="I403" s="210"/>
      <c r="J403" s="210"/>
      <c r="K403" s="210"/>
      <c r="L403" s="210"/>
      <c r="M403" s="210"/>
      <c r="N403" s="210"/>
      <c r="O403" s="210"/>
      <c r="P403" s="210"/>
      <c r="Q403" s="210"/>
      <c r="R403" s="210"/>
      <c r="S403" s="210"/>
      <c r="T403" s="210"/>
      <c r="U403" s="210"/>
      <c r="V403" s="210"/>
      <c r="W403" s="210"/>
      <c r="X403" s="210"/>
      <c r="Y403" s="210"/>
      <c r="Z403" s="210"/>
      <c r="AA403" s="210"/>
      <c r="AB403" s="210"/>
      <c r="AC403" s="210"/>
      <c r="AI403" s="210"/>
      <c r="AJ403" s="210"/>
    </row>
    <row r="404" ht="12.75" customHeight="1">
      <c r="C404" s="210"/>
      <c r="D404" s="210"/>
      <c r="E404" s="210"/>
      <c r="F404" s="210"/>
      <c r="G404" s="210"/>
      <c r="H404" s="210"/>
      <c r="I404" s="210"/>
      <c r="J404" s="210"/>
      <c r="K404" s="210"/>
      <c r="L404" s="210"/>
      <c r="M404" s="210"/>
      <c r="N404" s="210"/>
      <c r="O404" s="210"/>
      <c r="P404" s="210"/>
      <c r="Q404" s="210"/>
      <c r="R404" s="210"/>
      <c r="S404" s="210"/>
      <c r="T404" s="210"/>
      <c r="U404" s="210"/>
      <c r="V404" s="210"/>
      <c r="W404" s="210"/>
      <c r="X404" s="210"/>
      <c r="Y404" s="210"/>
      <c r="Z404" s="210"/>
      <c r="AA404" s="210"/>
      <c r="AB404" s="210"/>
      <c r="AC404" s="210"/>
      <c r="AI404" s="210"/>
      <c r="AJ404" s="210"/>
    </row>
    <row r="405" ht="12.75" customHeight="1">
      <c r="C405" s="210"/>
      <c r="D405" s="210"/>
      <c r="E405" s="210"/>
      <c r="F405" s="210"/>
      <c r="G405" s="210"/>
      <c r="H405" s="210"/>
      <c r="I405" s="210"/>
      <c r="J405" s="210"/>
      <c r="K405" s="210"/>
      <c r="L405" s="210"/>
      <c r="M405" s="210"/>
      <c r="N405" s="210"/>
      <c r="O405" s="210"/>
      <c r="P405" s="210"/>
      <c r="Q405" s="210"/>
      <c r="R405" s="210"/>
      <c r="S405" s="210"/>
      <c r="T405" s="210"/>
      <c r="U405" s="210"/>
      <c r="V405" s="210"/>
      <c r="W405" s="210"/>
      <c r="X405" s="210"/>
      <c r="Y405" s="210"/>
      <c r="Z405" s="210"/>
      <c r="AA405" s="210"/>
      <c r="AB405" s="210"/>
      <c r="AC405" s="210"/>
      <c r="AI405" s="210"/>
      <c r="AJ405" s="210"/>
    </row>
    <row r="406" ht="12.75" customHeight="1">
      <c r="C406" s="210"/>
      <c r="D406" s="210"/>
      <c r="E406" s="210"/>
      <c r="F406" s="210"/>
      <c r="G406" s="210"/>
      <c r="H406" s="210"/>
      <c r="I406" s="210"/>
      <c r="J406" s="210"/>
      <c r="K406" s="210"/>
      <c r="L406" s="210"/>
      <c r="M406" s="210"/>
      <c r="N406" s="210"/>
      <c r="O406" s="210"/>
      <c r="P406" s="210"/>
      <c r="Q406" s="210"/>
      <c r="R406" s="210"/>
      <c r="S406" s="210"/>
      <c r="T406" s="210"/>
      <c r="U406" s="210"/>
      <c r="V406" s="210"/>
      <c r="W406" s="210"/>
      <c r="X406" s="210"/>
      <c r="Y406" s="210"/>
      <c r="Z406" s="210"/>
      <c r="AA406" s="210"/>
      <c r="AB406" s="210"/>
      <c r="AC406" s="210"/>
      <c r="AI406" s="210"/>
      <c r="AJ406" s="210"/>
    </row>
    <row r="407" ht="12.75" customHeight="1">
      <c r="C407" s="210"/>
      <c r="D407" s="210"/>
      <c r="E407" s="210"/>
      <c r="F407" s="210"/>
      <c r="G407" s="210"/>
      <c r="H407" s="210"/>
      <c r="I407" s="210"/>
      <c r="J407" s="210"/>
      <c r="K407" s="210"/>
      <c r="L407" s="210"/>
      <c r="M407" s="210"/>
      <c r="N407" s="210"/>
      <c r="O407" s="210"/>
      <c r="P407" s="210"/>
      <c r="Q407" s="210"/>
      <c r="R407" s="210"/>
      <c r="S407" s="210"/>
      <c r="T407" s="210"/>
      <c r="U407" s="210"/>
      <c r="V407" s="210"/>
      <c r="W407" s="210"/>
      <c r="X407" s="210"/>
      <c r="Y407" s="210"/>
      <c r="Z407" s="210"/>
      <c r="AA407" s="210"/>
      <c r="AB407" s="210"/>
      <c r="AC407" s="210"/>
      <c r="AI407" s="210"/>
      <c r="AJ407" s="210"/>
    </row>
    <row r="408" ht="12.75" customHeight="1">
      <c r="C408" s="210"/>
      <c r="D408" s="210"/>
      <c r="E408" s="210"/>
      <c r="F408" s="210"/>
      <c r="G408" s="210"/>
      <c r="H408" s="210"/>
      <c r="I408" s="210"/>
      <c r="J408" s="210"/>
      <c r="K408" s="210"/>
      <c r="L408" s="210"/>
      <c r="M408" s="210"/>
      <c r="N408" s="210"/>
      <c r="O408" s="210"/>
      <c r="P408" s="210"/>
      <c r="Q408" s="210"/>
      <c r="R408" s="210"/>
      <c r="S408" s="210"/>
      <c r="T408" s="210"/>
      <c r="U408" s="210"/>
      <c r="V408" s="210"/>
      <c r="W408" s="210"/>
      <c r="X408" s="210"/>
      <c r="Y408" s="210"/>
      <c r="Z408" s="210"/>
      <c r="AA408" s="210"/>
      <c r="AB408" s="210"/>
      <c r="AC408" s="210"/>
      <c r="AI408" s="210"/>
      <c r="AJ408" s="210"/>
    </row>
    <row r="409" ht="12.75" customHeight="1">
      <c r="C409" s="210"/>
      <c r="D409" s="210"/>
      <c r="E409" s="210"/>
      <c r="F409" s="210"/>
      <c r="G409" s="210"/>
      <c r="H409" s="210"/>
      <c r="I409" s="210"/>
      <c r="J409" s="210"/>
      <c r="K409" s="210"/>
      <c r="L409" s="210"/>
      <c r="M409" s="210"/>
      <c r="N409" s="210"/>
      <c r="O409" s="210"/>
      <c r="P409" s="210"/>
      <c r="Q409" s="210"/>
      <c r="R409" s="210"/>
      <c r="S409" s="210"/>
      <c r="T409" s="210"/>
      <c r="U409" s="210"/>
      <c r="V409" s="210"/>
      <c r="W409" s="210"/>
      <c r="X409" s="210"/>
      <c r="Y409" s="210"/>
      <c r="Z409" s="210"/>
      <c r="AA409" s="210"/>
      <c r="AB409" s="210"/>
      <c r="AC409" s="210"/>
      <c r="AI409" s="210"/>
      <c r="AJ409" s="210"/>
    </row>
    <row r="410" ht="12.75" customHeight="1">
      <c r="C410" s="210"/>
      <c r="D410" s="210"/>
      <c r="E410" s="210"/>
      <c r="F410" s="210"/>
      <c r="G410" s="210"/>
      <c r="H410" s="210"/>
      <c r="I410" s="210"/>
      <c r="J410" s="210"/>
      <c r="K410" s="210"/>
      <c r="L410" s="210"/>
      <c r="M410" s="210"/>
      <c r="N410" s="210"/>
      <c r="O410" s="210"/>
      <c r="P410" s="210"/>
      <c r="Q410" s="210"/>
      <c r="R410" s="210"/>
      <c r="S410" s="210"/>
      <c r="T410" s="210"/>
      <c r="U410" s="210"/>
      <c r="V410" s="210"/>
      <c r="W410" s="210"/>
      <c r="X410" s="210"/>
      <c r="Y410" s="210"/>
      <c r="Z410" s="210"/>
      <c r="AA410" s="210"/>
      <c r="AB410" s="210"/>
      <c r="AC410" s="210"/>
      <c r="AI410" s="210"/>
      <c r="AJ410" s="210"/>
    </row>
    <row r="411" ht="12.75" customHeight="1">
      <c r="C411" s="210"/>
      <c r="D411" s="210"/>
      <c r="E411" s="210"/>
      <c r="F411" s="210"/>
      <c r="G411" s="210"/>
      <c r="H411" s="210"/>
      <c r="I411" s="210"/>
      <c r="J411" s="210"/>
      <c r="K411" s="210"/>
      <c r="L411" s="210"/>
      <c r="M411" s="210"/>
      <c r="N411" s="210"/>
      <c r="O411" s="210"/>
      <c r="P411" s="210"/>
      <c r="Q411" s="210"/>
      <c r="R411" s="210"/>
      <c r="S411" s="210"/>
      <c r="T411" s="210"/>
      <c r="U411" s="210"/>
      <c r="V411" s="210"/>
      <c r="W411" s="210"/>
      <c r="X411" s="210"/>
      <c r="Y411" s="210"/>
      <c r="Z411" s="210"/>
      <c r="AA411" s="210"/>
      <c r="AB411" s="210"/>
      <c r="AC411" s="210"/>
      <c r="AI411" s="210"/>
      <c r="AJ411" s="210"/>
    </row>
    <row r="412" ht="12.75" customHeight="1">
      <c r="C412" s="210"/>
      <c r="D412" s="210"/>
      <c r="E412" s="210"/>
      <c r="F412" s="210"/>
      <c r="G412" s="210"/>
      <c r="H412" s="210"/>
      <c r="I412" s="210"/>
      <c r="J412" s="210"/>
      <c r="K412" s="210"/>
      <c r="L412" s="210"/>
      <c r="M412" s="210"/>
      <c r="N412" s="210"/>
      <c r="O412" s="210"/>
      <c r="P412" s="210"/>
      <c r="Q412" s="210"/>
      <c r="R412" s="210"/>
      <c r="S412" s="210"/>
      <c r="T412" s="210"/>
      <c r="U412" s="210"/>
      <c r="V412" s="210"/>
      <c r="W412" s="210"/>
      <c r="X412" s="210"/>
      <c r="Y412" s="210"/>
      <c r="Z412" s="210"/>
      <c r="AA412" s="210"/>
      <c r="AB412" s="210"/>
      <c r="AC412" s="210"/>
      <c r="AI412" s="210"/>
      <c r="AJ412" s="210"/>
    </row>
    <row r="413" ht="12.75" customHeight="1">
      <c r="C413" s="210"/>
      <c r="D413" s="210"/>
      <c r="E413" s="210"/>
      <c r="F413" s="210"/>
      <c r="G413" s="210"/>
      <c r="H413" s="210"/>
      <c r="I413" s="210"/>
      <c r="J413" s="210"/>
      <c r="K413" s="210"/>
      <c r="L413" s="210"/>
      <c r="M413" s="210"/>
      <c r="N413" s="210"/>
      <c r="O413" s="210"/>
      <c r="P413" s="210"/>
      <c r="Q413" s="210"/>
      <c r="R413" s="210"/>
      <c r="S413" s="210"/>
      <c r="T413" s="210"/>
      <c r="U413" s="210"/>
      <c r="V413" s="210"/>
      <c r="W413" s="210"/>
      <c r="X413" s="210"/>
      <c r="Y413" s="210"/>
      <c r="Z413" s="210"/>
      <c r="AA413" s="210"/>
      <c r="AB413" s="210"/>
      <c r="AC413" s="210"/>
      <c r="AI413" s="210"/>
      <c r="AJ413" s="210"/>
    </row>
    <row r="414" ht="12.75" customHeight="1">
      <c r="C414" s="210"/>
      <c r="D414" s="210"/>
      <c r="E414" s="210"/>
      <c r="F414" s="210"/>
      <c r="G414" s="210"/>
      <c r="H414" s="210"/>
      <c r="I414" s="210"/>
      <c r="J414" s="210"/>
      <c r="K414" s="210"/>
      <c r="L414" s="210"/>
      <c r="M414" s="210"/>
      <c r="N414" s="210"/>
      <c r="O414" s="210"/>
      <c r="P414" s="210"/>
      <c r="Q414" s="210"/>
      <c r="R414" s="210"/>
      <c r="S414" s="210"/>
      <c r="T414" s="210"/>
      <c r="U414" s="210"/>
      <c r="V414" s="210"/>
      <c r="W414" s="210"/>
      <c r="X414" s="210"/>
      <c r="Y414" s="210"/>
      <c r="Z414" s="210"/>
      <c r="AA414" s="210"/>
      <c r="AB414" s="210"/>
      <c r="AC414" s="210"/>
      <c r="AI414" s="210"/>
      <c r="AJ414" s="210"/>
    </row>
    <row r="415" ht="12.75" customHeight="1">
      <c r="C415" s="210"/>
      <c r="D415" s="210"/>
      <c r="E415" s="210"/>
      <c r="F415" s="210"/>
      <c r="G415" s="210"/>
      <c r="H415" s="210"/>
      <c r="I415" s="210"/>
      <c r="J415" s="210"/>
      <c r="K415" s="210"/>
      <c r="L415" s="210"/>
      <c r="M415" s="210"/>
      <c r="N415" s="210"/>
      <c r="O415" s="210"/>
      <c r="P415" s="210"/>
      <c r="Q415" s="210"/>
      <c r="R415" s="210"/>
      <c r="S415" s="210"/>
      <c r="T415" s="210"/>
      <c r="U415" s="210"/>
      <c r="V415" s="210"/>
      <c r="W415" s="210"/>
      <c r="X415" s="210"/>
      <c r="Y415" s="210"/>
      <c r="Z415" s="210"/>
      <c r="AA415" s="210"/>
      <c r="AB415" s="210"/>
      <c r="AC415" s="210"/>
      <c r="AI415" s="210"/>
      <c r="AJ415" s="210"/>
    </row>
    <row r="416" ht="12.75" customHeight="1">
      <c r="C416" s="210"/>
      <c r="D416" s="210"/>
      <c r="E416" s="210"/>
      <c r="F416" s="210"/>
      <c r="G416" s="210"/>
      <c r="H416" s="210"/>
      <c r="I416" s="210"/>
      <c r="J416" s="210"/>
      <c r="K416" s="210"/>
      <c r="L416" s="210"/>
      <c r="M416" s="210"/>
      <c r="N416" s="210"/>
      <c r="O416" s="210"/>
      <c r="P416" s="210"/>
      <c r="Q416" s="210"/>
      <c r="R416" s="210"/>
      <c r="S416" s="210"/>
      <c r="T416" s="210"/>
      <c r="U416" s="210"/>
      <c r="V416" s="210"/>
      <c r="W416" s="210"/>
      <c r="X416" s="210"/>
      <c r="Y416" s="210"/>
      <c r="Z416" s="210"/>
      <c r="AA416" s="210"/>
      <c r="AB416" s="210"/>
      <c r="AC416" s="210"/>
      <c r="AI416" s="210"/>
      <c r="AJ416" s="210"/>
    </row>
    <row r="417" ht="12.75" customHeight="1">
      <c r="C417" s="210"/>
      <c r="D417" s="210"/>
      <c r="E417" s="210"/>
      <c r="F417" s="210"/>
      <c r="G417" s="210"/>
      <c r="H417" s="210"/>
      <c r="I417" s="210"/>
      <c r="J417" s="210"/>
      <c r="K417" s="210"/>
      <c r="L417" s="210"/>
      <c r="M417" s="210"/>
      <c r="N417" s="210"/>
      <c r="O417" s="210"/>
      <c r="P417" s="210"/>
      <c r="Q417" s="210"/>
      <c r="R417" s="210"/>
      <c r="S417" s="210"/>
      <c r="T417" s="210"/>
      <c r="U417" s="210"/>
      <c r="V417" s="210"/>
      <c r="W417" s="210"/>
      <c r="X417" s="210"/>
      <c r="Y417" s="210"/>
      <c r="Z417" s="210"/>
      <c r="AA417" s="210"/>
      <c r="AB417" s="210"/>
      <c r="AC417" s="210"/>
      <c r="AI417" s="210"/>
      <c r="AJ417" s="210"/>
    </row>
    <row r="418" ht="12.75" customHeight="1">
      <c r="C418" s="210"/>
      <c r="D418" s="210"/>
      <c r="E418" s="210"/>
      <c r="F418" s="210"/>
      <c r="G418" s="210"/>
      <c r="H418" s="210"/>
      <c r="I418" s="210"/>
      <c r="J418" s="210"/>
      <c r="K418" s="210"/>
      <c r="L418" s="210"/>
      <c r="M418" s="210"/>
      <c r="N418" s="210"/>
      <c r="O418" s="210"/>
      <c r="P418" s="210"/>
      <c r="Q418" s="210"/>
      <c r="R418" s="210"/>
      <c r="S418" s="210"/>
      <c r="T418" s="210"/>
      <c r="U418" s="210"/>
      <c r="V418" s="210"/>
      <c r="W418" s="210"/>
      <c r="X418" s="210"/>
      <c r="Y418" s="210"/>
      <c r="Z418" s="210"/>
      <c r="AA418" s="210"/>
      <c r="AB418" s="210"/>
      <c r="AC418" s="210"/>
      <c r="AI418" s="210"/>
      <c r="AJ418" s="210"/>
    </row>
    <row r="419" ht="12.75" customHeight="1">
      <c r="C419" s="210"/>
      <c r="D419" s="210"/>
      <c r="E419" s="210"/>
      <c r="F419" s="210"/>
      <c r="G419" s="210"/>
      <c r="H419" s="210"/>
      <c r="I419" s="210"/>
      <c r="J419" s="210"/>
      <c r="K419" s="210"/>
      <c r="L419" s="210"/>
      <c r="M419" s="210"/>
      <c r="N419" s="210"/>
      <c r="O419" s="210"/>
      <c r="P419" s="210"/>
      <c r="Q419" s="210"/>
      <c r="R419" s="210"/>
      <c r="S419" s="210"/>
      <c r="T419" s="210"/>
      <c r="U419" s="210"/>
      <c r="V419" s="210"/>
      <c r="W419" s="210"/>
      <c r="X419" s="210"/>
      <c r="Y419" s="210"/>
      <c r="Z419" s="210"/>
      <c r="AA419" s="210"/>
      <c r="AB419" s="210"/>
      <c r="AC419" s="210"/>
      <c r="AI419" s="210"/>
      <c r="AJ419" s="210"/>
    </row>
    <row r="420" ht="12.75" customHeight="1">
      <c r="C420" s="210"/>
      <c r="D420" s="210"/>
      <c r="E420" s="210"/>
      <c r="F420" s="210"/>
      <c r="G420" s="210"/>
      <c r="H420" s="210"/>
      <c r="I420" s="210"/>
      <c r="J420" s="210"/>
      <c r="K420" s="210"/>
      <c r="L420" s="210"/>
      <c r="M420" s="210"/>
      <c r="N420" s="210"/>
      <c r="O420" s="210"/>
      <c r="P420" s="210"/>
      <c r="Q420" s="210"/>
      <c r="R420" s="210"/>
      <c r="S420" s="210"/>
      <c r="T420" s="210"/>
      <c r="U420" s="210"/>
      <c r="V420" s="210"/>
      <c r="W420" s="210"/>
      <c r="X420" s="210"/>
      <c r="Y420" s="210"/>
      <c r="Z420" s="210"/>
      <c r="AA420" s="210"/>
      <c r="AB420" s="210"/>
      <c r="AC420" s="210"/>
      <c r="AI420" s="210"/>
      <c r="AJ420" s="210"/>
    </row>
    <row r="421" ht="12.75" customHeight="1">
      <c r="C421" s="210"/>
      <c r="D421" s="210"/>
      <c r="E421" s="210"/>
      <c r="F421" s="210"/>
      <c r="G421" s="210"/>
      <c r="H421" s="210"/>
      <c r="I421" s="210"/>
      <c r="J421" s="210"/>
      <c r="K421" s="210"/>
      <c r="L421" s="210"/>
      <c r="M421" s="210"/>
      <c r="N421" s="210"/>
      <c r="O421" s="210"/>
      <c r="P421" s="210"/>
      <c r="Q421" s="210"/>
      <c r="R421" s="210"/>
      <c r="S421" s="210"/>
      <c r="T421" s="210"/>
      <c r="U421" s="210"/>
      <c r="V421" s="210"/>
      <c r="W421" s="210"/>
      <c r="X421" s="210"/>
      <c r="Y421" s="210"/>
      <c r="Z421" s="210"/>
      <c r="AA421" s="210"/>
      <c r="AB421" s="210"/>
      <c r="AC421" s="210"/>
      <c r="AI421" s="210"/>
      <c r="AJ421" s="210"/>
    </row>
    <row r="422" ht="12.75" customHeight="1">
      <c r="C422" s="210"/>
      <c r="D422" s="210"/>
      <c r="E422" s="210"/>
      <c r="F422" s="210"/>
      <c r="G422" s="210"/>
      <c r="H422" s="210"/>
      <c r="I422" s="210"/>
      <c r="J422" s="210"/>
      <c r="K422" s="210"/>
      <c r="L422" s="210"/>
      <c r="M422" s="210"/>
      <c r="N422" s="210"/>
      <c r="O422" s="210"/>
      <c r="P422" s="210"/>
      <c r="Q422" s="210"/>
      <c r="R422" s="210"/>
      <c r="S422" s="210"/>
      <c r="T422" s="210"/>
      <c r="U422" s="210"/>
      <c r="V422" s="210"/>
      <c r="W422" s="210"/>
      <c r="X422" s="210"/>
      <c r="Y422" s="210"/>
      <c r="Z422" s="210"/>
      <c r="AA422" s="210"/>
      <c r="AB422" s="210"/>
      <c r="AC422" s="210"/>
      <c r="AI422" s="210"/>
      <c r="AJ422" s="210"/>
    </row>
    <row r="423" ht="12.75" customHeight="1">
      <c r="C423" s="210"/>
      <c r="D423" s="210"/>
      <c r="E423" s="210"/>
      <c r="F423" s="210"/>
      <c r="G423" s="210"/>
      <c r="H423" s="210"/>
      <c r="I423" s="210"/>
      <c r="J423" s="210"/>
      <c r="K423" s="210"/>
      <c r="L423" s="210"/>
      <c r="M423" s="210"/>
      <c r="N423" s="210"/>
      <c r="O423" s="210"/>
      <c r="P423" s="210"/>
      <c r="Q423" s="210"/>
      <c r="R423" s="210"/>
      <c r="S423" s="210"/>
      <c r="T423" s="210"/>
      <c r="U423" s="210"/>
      <c r="V423" s="210"/>
      <c r="W423" s="210"/>
      <c r="X423" s="210"/>
      <c r="Y423" s="210"/>
      <c r="Z423" s="210"/>
      <c r="AA423" s="210"/>
      <c r="AB423" s="210"/>
      <c r="AC423" s="210"/>
      <c r="AI423" s="210"/>
      <c r="AJ423" s="210"/>
    </row>
    <row r="424" ht="12.75" customHeight="1">
      <c r="C424" s="210"/>
      <c r="D424" s="210"/>
      <c r="E424" s="210"/>
      <c r="F424" s="210"/>
      <c r="G424" s="210"/>
      <c r="H424" s="210"/>
      <c r="I424" s="210"/>
      <c r="J424" s="210"/>
      <c r="K424" s="210"/>
      <c r="L424" s="210"/>
      <c r="M424" s="210"/>
      <c r="N424" s="210"/>
      <c r="O424" s="210"/>
      <c r="P424" s="210"/>
      <c r="Q424" s="210"/>
      <c r="R424" s="210"/>
      <c r="S424" s="210"/>
      <c r="T424" s="210"/>
      <c r="U424" s="210"/>
      <c r="V424" s="210"/>
      <c r="W424" s="210"/>
      <c r="X424" s="210"/>
      <c r="Y424" s="210"/>
      <c r="Z424" s="210"/>
      <c r="AA424" s="210"/>
      <c r="AB424" s="210"/>
      <c r="AC424" s="210"/>
      <c r="AI424" s="210"/>
      <c r="AJ424" s="210"/>
    </row>
    <row r="425" ht="12.75" customHeight="1">
      <c r="C425" s="210"/>
      <c r="D425" s="210"/>
      <c r="E425" s="210"/>
      <c r="F425" s="210"/>
      <c r="G425" s="210"/>
      <c r="H425" s="210"/>
      <c r="I425" s="210"/>
      <c r="J425" s="210"/>
      <c r="K425" s="210"/>
      <c r="L425" s="210"/>
      <c r="M425" s="210"/>
      <c r="N425" s="210"/>
      <c r="O425" s="210"/>
      <c r="P425" s="210"/>
      <c r="Q425" s="210"/>
      <c r="R425" s="210"/>
      <c r="S425" s="210"/>
      <c r="T425" s="210"/>
      <c r="U425" s="210"/>
      <c r="V425" s="210"/>
      <c r="W425" s="210"/>
      <c r="X425" s="210"/>
      <c r="Y425" s="210"/>
      <c r="Z425" s="210"/>
      <c r="AA425" s="210"/>
      <c r="AB425" s="210"/>
      <c r="AC425" s="210"/>
      <c r="AI425" s="210"/>
      <c r="AJ425" s="210"/>
    </row>
    <row r="426" ht="12.75" customHeight="1">
      <c r="C426" s="210"/>
      <c r="D426" s="210"/>
      <c r="E426" s="210"/>
      <c r="F426" s="210"/>
      <c r="G426" s="210"/>
      <c r="H426" s="210"/>
      <c r="I426" s="210"/>
      <c r="J426" s="210"/>
      <c r="K426" s="210"/>
      <c r="L426" s="210"/>
      <c r="M426" s="210"/>
      <c r="N426" s="210"/>
      <c r="O426" s="210"/>
      <c r="P426" s="210"/>
      <c r="Q426" s="210"/>
      <c r="R426" s="210"/>
      <c r="S426" s="210"/>
      <c r="T426" s="210"/>
      <c r="U426" s="210"/>
      <c r="V426" s="210"/>
      <c r="W426" s="210"/>
      <c r="X426" s="210"/>
      <c r="Y426" s="210"/>
      <c r="Z426" s="210"/>
      <c r="AA426" s="210"/>
      <c r="AB426" s="210"/>
      <c r="AC426" s="210"/>
      <c r="AI426" s="210"/>
      <c r="AJ426" s="210"/>
    </row>
    <row r="427" ht="12.75" customHeight="1">
      <c r="C427" s="210"/>
      <c r="D427" s="210"/>
      <c r="E427" s="210"/>
      <c r="F427" s="210"/>
      <c r="G427" s="210"/>
      <c r="H427" s="210"/>
      <c r="I427" s="210"/>
      <c r="J427" s="210"/>
      <c r="K427" s="210"/>
      <c r="L427" s="210"/>
      <c r="M427" s="210"/>
      <c r="N427" s="210"/>
      <c r="O427" s="210"/>
      <c r="P427" s="210"/>
      <c r="Q427" s="210"/>
      <c r="R427" s="210"/>
      <c r="S427" s="210"/>
      <c r="T427" s="210"/>
      <c r="U427" s="210"/>
      <c r="V427" s="210"/>
      <c r="W427" s="210"/>
      <c r="X427" s="210"/>
      <c r="Y427" s="210"/>
      <c r="Z427" s="210"/>
      <c r="AA427" s="210"/>
      <c r="AB427" s="210"/>
      <c r="AC427" s="210"/>
      <c r="AI427" s="210"/>
      <c r="AJ427" s="210"/>
    </row>
    <row r="428" ht="12.75" customHeight="1">
      <c r="C428" s="210"/>
      <c r="D428" s="210"/>
      <c r="E428" s="210"/>
      <c r="F428" s="210"/>
      <c r="G428" s="210"/>
      <c r="H428" s="210"/>
      <c r="I428" s="210"/>
      <c r="J428" s="210"/>
      <c r="K428" s="210"/>
      <c r="L428" s="210"/>
      <c r="M428" s="210"/>
      <c r="N428" s="210"/>
      <c r="O428" s="210"/>
      <c r="P428" s="210"/>
      <c r="Q428" s="210"/>
      <c r="R428" s="210"/>
      <c r="S428" s="210"/>
      <c r="T428" s="210"/>
      <c r="U428" s="210"/>
      <c r="V428" s="210"/>
      <c r="W428" s="210"/>
      <c r="X428" s="210"/>
      <c r="Y428" s="210"/>
      <c r="Z428" s="210"/>
      <c r="AA428" s="210"/>
      <c r="AB428" s="210"/>
      <c r="AC428" s="210"/>
      <c r="AI428" s="210"/>
      <c r="AJ428" s="210"/>
    </row>
    <row r="429" ht="12.75" customHeight="1">
      <c r="C429" s="210"/>
      <c r="D429" s="210"/>
      <c r="E429" s="210"/>
      <c r="F429" s="210"/>
      <c r="G429" s="210"/>
      <c r="H429" s="210"/>
      <c r="I429" s="210"/>
      <c r="J429" s="210"/>
      <c r="K429" s="210"/>
      <c r="L429" s="210"/>
      <c r="M429" s="210"/>
      <c r="N429" s="210"/>
      <c r="O429" s="210"/>
      <c r="P429" s="210"/>
      <c r="Q429" s="210"/>
      <c r="R429" s="210"/>
      <c r="S429" s="210"/>
      <c r="T429" s="210"/>
      <c r="U429" s="210"/>
      <c r="V429" s="210"/>
      <c r="W429" s="210"/>
      <c r="X429" s="210"/>
      <c r="Y429" s="210"/>
      <c r="Z429" s="210"/>
      <c r="AA429" s="210"/>
      <c r="AB429" s="210"/>
      <c r="AC429" s="210"/>
      <c r="AI429" s="210"/>
      <c r="AJ429" s="210"/>
    </row>
    <row r="430" ht="12.75" customHeight="1">
      <c r="C430" s="210"/>
      <c r="D430" s="210"/>
      <c r="E430" s="210"/>
      <c r="F430" s="210"/>
      <c r="G430" s="210"/>
      <c r="H430" s="210"/>
      <c r="I430" s="210"/>
      <c r="J430" s="210"/>
      <c r="K430" s="210"/>
      <c r="L430" s="210"/>
      <c r="M430" s="210"/>
      <c r="N430" s="210"/>
      <c r="O430" s="210"/>
      <c r="P430" s="210"/>
      <c r="Q430" s="210"/>
      <c r="R430" s="210"/>
      <c r="S430" s="210"/>
      <c r="T430" s="210"/>
      <c r="U430" s="210"/>
      <c r="V430" s="210"/>
      <c r="W430" s="210"/>
      <c r="X430" s="210"/>
      <c r="Y430" s="210"/>
      <c r="Z430" s="210"/>
      <c r="AA430" s="210"/>
      <c r="AB430" s="210"/>
      <c r="AC430" s="210"/>
      <c r="AI430" s="210"/>
      <c r="AJ430" s="210"/>
    </row>
    <row r="431" ht="12.75" customHeight="1">
      <c r="C431" s="210"/>
      <c r="D431" s="210"/>
      <c r="E431" s="210"/>
      <c r="F431" s="210"/>
      <c r="G431" s="210"/>
      <c r="H431" s="210"/>
      <c r="I431" s="210"/>
      <c r="J431" s="210"/>
      <c r="K431" s="210"/>
      <c r="L431" s="210"/>
      <c r="M431" s="210"/>
      <c r="N431" s="210"/>
      <c r="O431" s="210"/>
      <c r="P431" s="210"/>
      <c r="Q431" s="210"/>
      <c r="R431" s="210"/>
      <c r="S431" s="210"/>
      <c r="T431" s="210"/>
      <c r="U431" s="210"/>
      <c r="V431" s="210"/>
      <c r="W431" s="210"/>
      <c r="X431" s="210"/>
      <c r="Y431" s="210"/>
      <c r="Z431" s="210"/>
      <c r="AA431" s="210"/>
      <c r="AB431" s="210"/>
      <c r="AC431" s="210"/>
      <c r="AI431" s="210"/>
      <c r="AJ431" s="210"/>
    </row>
    <row r="432" ht="12.75" customHeight="1">
      <c r="C432" s="210"/>
      <c r="D432" s="210"/>
      <c r="E432" s="210"/>
      <c r="F432" s="210"/>
      <c r="G432" s="210"/>
      <c r="H432" s="210"/>
      <c r="I432" s="210"/>
      <c r="J432" s="210"/>
      <c r="K432" s="210"/>
      <c r="L432" s="210"/>
      <c r="M432" s="210"/>
      <c r="N432" s="210"/>
      <c r="O432" s="210"/>
      <c r="P432" s="210"/>
      <c r="Q432" s="210"/>
      <c r="R432" s="210"/>
      <c r="S432" s="210"/>
      <c r="T432" s="210"/>
      <c r="U432" s="210"/>
      <c r="V432" s="210"/>
      <c r="W432" s="210"/>
      <c r="X432" s="210"/>
      <c r="Y432" s="210"/>
      <c r="Z432" s="210"/>
      <c r="AA432" s="210"/>
      <c r="AB432" s="210"/>
      <c r="AC432" s="210"/>
      <c r="AI432" s="210"/>
      <c r="AJ432" s="210"/>
    </row>
    <row r="433" ht="12.75" customHeight="1">
      <c r="C433" s="210"/>
      <c r="D433" s="210"/>
      <c r="E433" s="210"/>
      <c r="F433" s="210"/>
      <c r="G433" s="210"/>
      <c r="H433" s="210"/>
      <c r="I433" s="210"/>
      <c r="J433" s="210"/>
      <c r="K433" s="210"/>
      <c r="L433" s="210"/>
      <c r="M433" s="210"/>
      <c r="N433" s="210"/>
      <c r="O433" s="210"/>
      <c r="P433" s="210"/>
      <c r="Q433" s="210"/>
      <c r="R433" s="210"/>
      <c r="S433" s="210"/>
      <c r="T433" s="210"/>
      <c r="U433" s="210"/>
      <c r="V433" s="210"/>
      <c r="W433" s="210"/>
      <c r="X433" s="210"/>
      <c r="Y433" s="210"/>
      <c r="Z433" s="210"/>
      <c r="AA433" s="210"/>
      <c r="AB433" s="210"/>
      <c r="AC433" s="210"/>
      <c r="AI433" s="210"/>
      <c r="AJ433" s="210"/>
    </row>
    <row r="434" ht="12.75" customHeight="1">
      <c r="C434" s="210"/>
      <c r="D434" s="210"/>
      <c r="E434" s="210"/>
      <c r="F434" s="210"/>
      <c r="G434" s="210"/>
      <c r="H434" s="210"/>
      <c r="I434" s="210"/>
      <c r="J434" s="210"/>
      <c r="K434" s="210"/>
      <c r="L434" s="210"/>
      <c r="M434" s="210"/>
      <c r="N434" s="210"/>
      <c r="O434" s="210"/>
      <c r="P434" s="210"/>
      <c r="Q434" s="210"/>
      <c r="R434" s="210"/>
      <c r="S434" s="210"/>
      <c r="T434" s="210"/>
      <c r="U434" s="210"/>
      <c r="V434" s="210"/>
      <c r="W434" s="210"/>
      <c r="X434" s="210"/>
      <c r="Y434" s="210"/>
      <c r="Z434" s="210"/>
      <c r="AA434" s="210"/>
      <c r="AB434" s="210"/>
      <c r="AC434" s="210"/>
      <c r="AI434" s="210"/>
      <c r="AJ434" s="210"/>
    </row>
    <row r="435" ht="12.75" customHeight="1">
      <c r="C435" s="210"/>
      <c r="D435" s="210"/>
      <c r="E435" s="210"/>
      <c r="F435" s="210"/>
      <c r="G435" s="210"/>
      <c r="H435" s="210"/>
      <c r="I435" s="210"/>
      <c r="J435" s="210"/>
      <c r="K435" s="210"/>
      <c r="L435" s="210"/>
      <c r="M435" s="210"/>
      <c r="N435" s="210"/>
      <c r="O435" s="210"/>
      <c r="P435" s="210"/>
      <c r="Q435" s="210"/>
      <c r="R435" s="210"/>
      <c r="S435" s="210"/>
      <c r="T435" s="210"/>
      <c r="U435" s="210"/>
      <c r="V435" s="210"/>
      <c r="W435" s="210"/>
      <c r="X435" s="210"/>
      <c r="Y435" s="210"/>
      <c r="Z435" s="210"/>
      <c r="AA435" s="210"/>
      <c r="AB435" s="210"/>
      <c r="AC435" s="210"/>
      <c r="AI435" s="210"/>
      <c r="AJ435" s="210"/>
    </row>
    <row r="436" ht="12.75" customHeight="1">
      <c r="C436" s="210"/>
      <c r="D436" s="210"/>
      <c r="E436" s="210"/>
      <c r="F436" s="210"/>
      <c r="G436" s="210"/>
      <c r="H436" s="210"/>
      <c r="I436" s="210"/>
      <c r="J436" s="210"/>
      <c r="K436" s="210"/>
      <c r="L436" s="210"/>
      <c r="M436" s="210"/>
      <c r="N436" s="210"/>
      <c r="O436" s="210"/>
      <c r="P436" s="210"/>
      <c r="Q436" s="210"/>
      <c r="R436" s="210"/>
      <c r="S436" s="210"/>
      <c r="T436" s="210"/>
      <c r="U436" s="210"/>
      <c r="V436" s="210"/>
      <c r="W436" s="210"/>
      <c r="X436" s="210"/>
      <c r="Y436" s="210"/>
      <c r="Z436" s="210"/>
      <c r="AA436" s="210"/>
      <c r="AB436" s="210"/>
      <c r="AC436" s="210"/>
      <c r="AI436" s="210"/>
      <c r="AJ436" s="210"/>
    </row>
    <row r="437" ht="12.75" customHeight="1">
      <c r="C437" s="210"/>
      <c r="D437" s="210"/>
      <c r="E437" s="210"/>
      <c r="F437" s="210"/>
      <c r="G437" s="210"/>
      <c r="H437" s="210"/>
      <c r="I437" s="210"/>
      <c r="J437" s="210"/>
      <c r="K437" s="210"/>
      <c r="L437" s="210"/>
      <c r="M437" s="210"/>
      <c r="N437" s="210"/>
      <c r="O437" s="210"/>
      <c r="P437" s="210"/>
      <c r="Q437" s="210"/>
      <c r="R437" s="210"/>
      <c r="S437" s="210"/>
      <c r="T437" s="210"/>
      <c r="U437" s="210"/>
      <c r="V437" s="210"/>
      <c r="W437" s="210"/>
      <c r="X437" s="210"/>
      <c r="Y437" s="210"/>
      <c r="Z437" s="210"/>
      <c r="AA437" s="210"/>
      <c r="AB437" s="210"/>
      <c r="AC437" s="210"/>
      <c r="AI437" s="210"/>
      <c r="AJ437" s="210"/>
    </row>
    <row r="438" ht="12.75" customHeight="1">
      <c r="C438" s="210"/>
      <c r="D438" s="210"/>
      <c r="E438" s="210"/>
      <c r="F438" s="210"/>
      <c r="G438" s="210"/>
      <c r="H438" s="210"/>
      <c r="I438" s="210"/>
      <c r="J438" s="210"/>
      <c r="K438" s="210"/>
      <c r="L438" s="210"/>
      <c r="M438" s="210"/>
      <c r="N438" s="210"/>
      <c r="O438" s="210"/>
      <c r="P438" s="210"/>
      <c r="Q438" s="210"/>
      <c r="R438" s="210"/>
      <c r="S438" s="210"/>
      <c r="T438" s="210"/>
      <c r="U438" s="210"/>
      <c r="V438" s="210"/>
      <c r="W438" s="210"/>
      <c r="X438" s="210"/>
      <c r="Y438" s="210"/>
      <c r="Z438" s="210"/>
      <c r="AA438" s="210"/>
      <c r="AB438" s="210"/>
      <c r="AC438" s="210"/>
      <c r="AI438" s="210"/>
      <c r="AJ438" s="210"/>
    </row>
    <row r="439" ht="12.75" customHeight="1">
      <c r="C439" s="210"/>
      <c r="D439" s="210"/>
      <c r="E439" s="210"/>
      <c r="F439" s="210"/>
      <c r="G439" s="210"/>
      <c r="H439" s="210"/>
      <c r="I439" s="210"/>
      <c r="J439" s="210"/>
      <c r="K439" s="210"/>
      <c r="L439" s="210"/>
      <c r="M439" s="210"/>
      <c r="N439" s="210"/>
      <c r="O439" s="210"/>
      <c r="P439" s="210"/>
      <c r="Q439" s="210"/>
      <c r="R439" s="210"/>
      <c r="S439" s="210"/>
      <c r="T439" s="210"/>
      <c r="U439" s="210"/>
      <c r="V439" s="210"/>
      <c r="W439" s="210"/>
      <c r="X439" s="210"/>
      <c r="Y439" s="210"/>
      <c r="Z439" s="210"/>
      <c r="AA439" s="210"/>
      <c r="AB439" s="210"/>
      <c r="AC439" s="210"/>
      <c r="AI439" s="210"/>
      <c r="AJ439" s="210"/>
    </row>
    <row r="440" ht="12.75" customHeight="1">
      <c r="C440" s="210"/>
      <c r="D440" s="210"/>
      <c r="E440" s="210"/>
      <c r="F440" s="210"/>
      <c r="G440" s="210"/>
      <c r="H440" s="210"/>
      <c r="I440" s="210"/>
      <c r="J440" s="210"/>
      <c r="K440" s="210"/>
      <c r="L440" s="210"/>
      <c r="M440" s="210"/>
      <c r="N440" s="210"/>
      <c r="O440" s="210"/>
      <c r="P440" s="210"/>
      <c r="Q440" s="210"/>
      <c r="R440" s="210"/>
      <c r="S440" s="210"/>
      <c r="T440" s="210"/>
      <c r="U440" s="210"/>
      <c r="V440" s="210"/>
      <c r="W440" s="210"/>
      <c r="X440" s="210"/>
      <c r="Y440" s="210"/>
      <c r="Z440" s="210"/>
      <c r="AA440" s="210"/>
      <c r="AB440" s="210"/>
      <c r="AC440" s="210"/>
      <c r="AI440" s="210"/>
      <c r="AJ440" s="210"/>
    </row>
    <row r="441" ht="12.75" customHeight="1">
      <c r="C441" s="210"/>
      <c r="D441" s="210"/>
      <c r="E441" s="210"/>
      <c r="F441" s="210"/>
      <c r="G441" s="210"/>
      <c r="H441" s="210"/>
      <c r="I441" s="210"/>
      <c r="J441" s="210"/>
      <c r="K441" s="210"/>
      <c r="L441" s="210"/>
      <c r="M441" s="210"/>
      <c r="N441" s="210"/>
      <c r="O441" s="210"/>
      <c r="P441" s="210"/>
      <c r="Q441" s="210"/>
      <c r="R441" s="210"/>
      <c r="S441" s="210"/>
      <c r="T441" s="210"/>
      <c r="U441" s="210"/>
      <c r="V441" s="210"/>
      <c r="W441" s="210"/>
      <c r="X441" s="210"/>
      <c r="Y441" s="210"/>
      <c r="Z441" s="210"/>
      <c r="AA441" s="210"/>
      <c r="AB441" s="210"/>
      <c r="AC441" s="210"/>
      <c r="AI441" s="210"/>
      <c r="AJ441" s="210"/>
    </row>
    <row r="442" ht="12.75" customHeight="1">
      <c r="C442" s="210"/>
      <c r="D442" s="210"/>
      <c r="E442" s="210"/>
      <c r="F442" s="210"/>
      <c r="G442" s="210"/>
      <c r="H442" s="210"/>
      <c r="I442" s="210"/>
      <c r="J442" s="210"/>
      <c r="K442" s="210"/>
      <c r="L442" s="210"/>
      <c r="M442" s="210"/>
      <c r="N442" s="210"/>
      <c r="O442" s="210"/>
      <c r="P442" s="210"/>
      <c r="Q442" s="210"/>
      <c r="R442" s="210"/>
      <c r="S442" s="210"/>
      <c r="T442" s="210"/>
      <c r="U442" s="210"/>
      <c r="V442" s="210"/>
      <c r="W442" s="210"/>
      <c r="X442" s="210"/>
      <c r="Y442" s="210"/>
      <c r="Z442" s="210"/>
      <c r="AA442" s="210"/>
      <c r="AB442" s="210"/>
      <c r="AC442" s="210"/>
      <c r="AI442" s="210"/>
      <c r="AJ442" s="210"/>
    </row>
    <row r="443" ht="12.75" customHeight="1">
      <c r="C443" s="210"/>
      <c r="D443" s="210"/>
      <c r="E443" s="210"/>
      <c r="F443" s="210"/>
      <c r="G443" s="210"/>
      <c r="H443" s="210"/>
      <c r="I443" s="210"/>
      <c r="J443" s="210"/>
      <c r="K443" s="210"/>
      <c r="L443" s="210"/>
      <c r="M443" s="210"/>
      <c r="N443" s="210"/>
      <c r="O443" s="210"/>
      <c r="P443" s="210"/>
      <c r="Q443" s="210"/>
      <c r="R443" s="210"/>
      <c r="S443" s="210"/>
      <c r="T443" s="210"/>
      <c r="U443" s="210"/>
      <c r="V443" s="210"/>
      <c r="W443" s="210"/>
      <c r="X443" s="210"/>
      <c r="Y443" s="210"/>
      <c r="Z443" s="210"/>
      <c r="AA443" s="210"/>
      <c r="AB443" s="210"/>
      <c r="AC443" s="210"/>
      <c r="AI443" s="210"/>
      <c r="AJ443" s="210"/>
    </row>
    <row r="444" ht="12.75" customHeight="1">
      <c r="C444" s="210"/>
      <c r="D444" s="210"/>
      <c r="E444" s="210"/>
      <c r="F444" s="210"/>
      <c r="G444" s="210"/>
      <c r="H444" s="210"/>
      <c r="I444" s="210"/>
      <c r="J444" s="210"/>
      <c r="K444" s="210"/>
      <c r="L444" s="210"/>
      <c r="M444" s="210"/>
      <c r="N444" s="210"/>
      <c r="O444" s="210"/>
      <c r="P444" s="210"/>
      <c r="Q444" s="210"/>
      <c r="R444" s="210"/>
      <c r="S444" s="210"/>
      <c r="T444" s="210"/>
      <c r="U444" s="210"/>
      <c r="V444" s="210"/>
      <c r="W444" s="210"/>
      <c r="X444" s="210"/>
      <c r="Y444" s="210"/>
      <c r="Z444" s="210"/>
      <c r="AA444" s="210"/>
      <c r="AB444" s="210"/>
      <c r="AC444" s="210"/>
      <c r="AI444" s="210"/>
      <c r="AJ444" s="210"/>
    </row>
    <row r="445" ht="12.75" customHeight="1">
      <c r="C445" s="210"/>
      <c r="D445" s="210"/>
      <c r="E445" s="210"/>
      <c r="F445" s="210"/>
      <c r="G445" s="210"/>
      <c r="H445" s="210"/>
      <c r="I445" s="210"/>
      <c r="J445" s="210"/>
      <c r="K445" s="210"/>
      <c r="L445" s="210"/>
      <c r="M445" s="210"/>
      <c r="N445" s="210"/>
      <c r="O445" s="210"/>
      <c r="P445" s="210"/>
      <c r="Q445" s="210"/>
      <c r="R445" s="210"/>
      <c r="S445" s="210"/>
      <c r="T445" s="210"/>
      <c r="U445" s="210"/>
      <c r="V445" s="210"/>
      <c r="W445" s="210"/>
      <c r="X445" s="210"/>
      <c r="Y445" s="210"/>
      <c r="Z445" s="210"/>
      <c r="AA445" s="210"/>
      <c r="AB445" s="210"/>
      <c r="AC445" s="210"/>
      <c r="AI445" s="210"/>
      <c r="AJ445" s="210"/>
    </row>
    <row r="446" ht="12.75" customHeight="1">
      <c r="C446" s="210"/>
      <c r="D446" s="210"/>
      <c r="E446" s="210"/>
      <c r="F446" s="210"/>
      <c r="G446" s="210"/>
      <c r="H446" s="210"/>
      <c r="I446" s="210"/>
      <c r="J446" s="210"/>
      <c r="K446" s="210"/>
      <c r="L446" s="210"/>
      <c r="M446" s="210"/>
      <c r="N446" s="210"/>
      <c r="O446" s="210"/>
      <c r="P446" s="210"/>
      <c r="Q446" s="210"/>
      <c r="R446" s="210"/>
      <c r="S446" s="210"/>
      <c r="T446" s="210"/>
      <c r="U446" s="210"/>
      <c r="V446" s="210"/>
      <c r="W446" s="210"/>
      <c r="X446" s="210"/>
      <c r="Y446" s="210"/>
      <c r="Z446" s="210"/>
      <c r="AA446" s="210"/>
      <c r="AB446" s="210"/>
      <c r="AC446" s="210"/>
      <c r="AI446" s="210"/>
      <c r="AJ446" s="210"/>
    </row>
    <row r="447" ht="12.75" customHeight="1">
      <c r="C447" s="210"/>
      <c r="D447" s="210"/>
      <c r="E447" s="210"/>
      <c r="F447" s="210"/>
      <c r="G447" s="210"/>
      <c r="H447" s="210"/>
      <c r="I447" s="210"/>
      <c r="J447" s="210"/>
      <c r="K447" s="210"/>
      <c r="L447" s="210"/>
      <c r="M447" s="210"/>
      <c r="N447" s="210"/>
      <c r="O447" s="210"/>
      <c r="P447" s="210"/>
      <c r="Q447" s="210"/>
      <c r="R447" s="210"/>
      <c r="S447" s="210"/>
      <c r="T447" s="210"/>
      <c r="U447" s="210"/>
      <c r="V447" s="210"/>
      <c r="W447" s="210"/>
      <c r="X447" s="210"/>
      <c r="Y447" s="210"/>
      <c r="Z447" s="210"/>
      <c r="AA447" s="210"/>
      <c r="AB447" s="210"/>
      <c r="AC447" s="210"/>
      <c r="AI447" s="210"/>
      <c r="AJ447" s="210"/>
    </row>
    <row r="448" ht="12.75" customHeight="1">
      <c r="C448" s="210"/>
      <c r="D448" s="210"/>
      <c r="E448" s="210"/>
      <c r="F448" s="210"/>
      <c r="G448" s="210"/>
      <c r="H448" s="210"/>
      <c r="I448" s="210"/>
      <c r="J448" s="210"/>
      <c r="K448" s="210"/>
      <c r="L448" s="210"/>
      <c r="M448" s="210"/>
      <c r="N448" s="210"/>
      <c r="O448" s="210"/>
      <c r="P448" s="210"/>
      <c r="Q448" s="210"/>
      <c r="R448" s="210"/>
      <c r="S448" s="210"/>
      <c r="T448" s="210"/>
      <c r="U448" s="210"/>
      <c r="V448" s="210"/>
      <c r="W448" s="210"/>
      <c r="X448" s="210"/>
      <c r="Y448" s="210"/>
      <c r="Z448" s="210"/>
      <c r="AA448" s="210"/>
      <c r="AB448" s="210"/>
      <c r="AC448" s="210"/>
      <c r="AI448" s="210"/>
      <c r="AJ448" s="210"/>
    </row>
    <row r="449" ht="12.75" customHeight="1">
      <c r="C449" s="210"/>
      <c r="D449" s="210"/>
      <c r="E449" s="210"/>
      <c r="F449" s="210"/>
      <c r="G449" s="210"/>
      <c r="H449" s="210"/>
      <c r="I449" s="210"/>
      <c r="J449" s="210"/>
      <c r="K449" s="210"/>
      <c r="L449" s="210"/>
      <c r="M449" s="210"/>
      <c r="N449" s="210"/>
      <c r="O449" s="210"/>
      <c r="P449" s="210"/>
      <c r="Q449" s="210"/>
      <c r="R449" s="210"/>
      <c r="S449" s="210"/>
      <c r="T449" s="210"/>
      <c r="U449" s="210"/>
      <c r="V449" s="210"/>
      <c r="W449" s="210"/>
      <c r="X449" s="210"/>
      <c r="Y449" s="210"/>
      <c r="Z449" s="210"/>
      <c r="AA449" s="210"/>
      <c r="AB449" s="210"/>
      <c r="AC449" s="210"/>
      <c r="AI449" s="210"/>
      <c r="AJ449" s="210"/>
    </row>
    <row r="450" ht="12.75" customHeight="1">
      <c r="C450" s="210"/>
      <c r="D450" s="210"/>
      <c r="E450" s="210"/>
      <c r="F450" s="210"/>
      <c r="G450" s="210"/>
      <c r="H450" s="210"/>
      <c r="I450" s="210"/>
      <c r="J450" s="210"/>
      <c r="K450" s="210"/>
      <c r="L450" s="210"/>
      <c r="M450" s="210"/>
      <c r="N450" s="210"/>
      <c r="O450" s="210"/>
      <c r="P450" s="210"/>
      <c r="Q450" s="210"/>
      <c r="R450" s="210"/>
      <c r="S450" s="210"/>
      <c r="T450" s="210"/>
      <c r="U450" s="210"/>
      <c r="V450" s="210"/>
      <c r="W450" s="210"/>
      <c r="X450" s="210"/>
      <c r="Y450" s="210"/>
      <c r="Z450" s="210"/>
      <c r="AA450" s="210"/>
      <c r="AB450" s="210"/>
      <c r="AC450" s="210"/>
      <c r="AI450" s="210"/>
      <c r="AJ450" s="210"/>
    </row>
    <row r="451" ht="12.75" customHeight="1">
      <c r="C451" s="210"/>
      <c r="D451" s="210"/>
      <c r="E451" s="210"/>
      <c r="F451" s="210"/>
      <c r="G451" s="210"/>
      <c r="H451" s="210"/>
      <c r="I451" s="210"/>
      <c r="J451" s="210"/>
      <c r="K451" s="210"/>
      <c r="L451" s="210"/>
      <c r="M451" s="210"/>
      <c r="N451" s="210"/>
      <c r="O451" s="210"/>
      <c r="P451" s="210"/>
      <c r="Q451" s="210"/>
      <c r="R451" s="210"/>
      <c r="S451" s="210"/>
      <c r="T451" s="210"/>
      <c r="U451" s="210"/>
      <c r="V451" s="210"/>
      <c r="W451" s="210"/>
      <c r="X451" s="210"/>
      <c r="Y451" s="210"/>
      <c r="Z451" s="210"/>
      <c r="AA451" s="210"/>
      <c r="AB451" s="210"/>
      <c r="AC451" s="210"/>
      <c r="AI451" s="210"/>
      <c r="AJ451" s="210"/>
    </row>
    <row r="452" ht="12.75" customHeight="1">
      <c r="C452" s="210"/>
      <c r="D452" s="210"/>
      <c r="E452" s="210"/>
      <c r="F452" s="210"/>
      <c r="G452" s="210"/>
      <c r="H452" s="210"/>
      <c r="I452" s="210"/>
      <c r="J452" s="210"/>
      <c r="K452" s="210"/>
      <c r="L452" s="210"/>
      <c r="M452" s="210"/>
      <c r="N452" s="210"/>
      <c r="O452" s="210"/>
      <c r="P452" s="210"/>
      <c r="Q452" s="210"/>
      <c r="R452" s="210"/>
      <c r="S452" s="210"/>
      <c r="T452" s="210"/>
      <c r="U452" s="210"/>
      <c r="V452" s="210"/>
      <c r="W452" s="210"/>
      <c r="X452" s="210"/>
      <c r="Y452" s="210"/>
      <c r="Z452" s="210"/>
      <c r="AA452" s="210"/>
      <c r="AB452" s="210"/>
      <c r="AC452" s="210"/>
      <c r="AI452" s="210"/>
      <c r="AJ452" s="210"/>
    </row>
    <row r="453" ht="12.75" customHeight="1">
      <c r="C453" s="210"/>
      <c r="D453" s="210"/>
      <c r="E453" s="210"/>
      <c r="F453" s="210"/>
      <c r="G453" s="210"/>
      <c r="H453" s="210"/>
      <c r="I453" s="210"/>
      <c r="J453" s="210"/>
      <c r="K453" s="210"/>
      <c r="L453" s="210"/>
      <c r="M453" s="210"/>
      <c r="N453" s="210"/>
      <c r="O453" s="210"/>
      <c r="P453" s="210"/>
      <c r="Q453" s="210"/>
      <c r="R453" s="210"/>
      <c r="S453" s="210"/>
      <c r="T453" s="210"/>
      <c r="U453" s="210"/>
      <c r="V453" s="210"/>
      <c r="W453" s="210"/>
      <c r="X453" s="210"/>
      <c r="Y453" s="210"/>
      <c r="Z453" s="210"/>
      <c r="AA453" s="210"/>
      <c r="AB453" s="210"/>
      <c r="AC453" s="210"/>
      <c r="AI453" s="210"/>
      <c r="AJ453" s="210"/>
    </row>
    <row r="454" ht="12.75" customHeight="1">
      <c r="C454" s="210"/>
      <c r="D454" s="210"/>
      <c r="E454" s="210"/>
      <c r="F454" s="210"/>
      <c r="G454" s="210"/>
      <c r="H454" s="210"/>
      <c r="I454" s="210"/>
      <c r="J454" s="210"/>
      <c r="K454" s="210"/>
      <c r="L454" s="210"/>
      <c r="M454" s="210"/>
      <c r="N454" s="210"/>
      <c r="O454" s="210"/>
      <c r="P454" s="210"/>
      <c r="Q454" s="210"/>
      <c r="R454" s="210"/>
      <c r="S454" s="210"/>
      <c r="T454" s="210"/>
      <c r="U454" s="210"/>
      <c r="V454" s="210"/>
      <c r="W454" s="210"/>
      <c r="X454" s="210"/>
      <c r="Y454" s="210"/>
      <c r="Z454" s="210"/>
      <c r="AA454" s="210"/>
      <c r="AB454" s="210"/>
      <c r="AC454" s="210"/>
      <c r="AI454" s="210"/>
      <c r="AJ454" s="210"/>
    </row>
    <row r="455" ht="12.75" customHeight="1">
      <c r="C455" s="210"/>
      <c r="D455" s="210"/>
      <c r="E455" s="210"/>
      <c r="F455" s="210"/>
      <c r="G455" s="210"/>
      <c r="H455" s="210"/>
      <c r="I455" s="210"/>
      <c r="J455" s="210"/>
      <c r="K455" s="210"/>
      <c r="L455" s="210"/>
      <c r="M455" s="210"/>
      <c r="N455" s="210"/>
      <c r="O455" s="210"/>
      <c r="P455" s="210"/>
      <c r="Q455" s="210"/>
      <c r="R455" s="210"/>
      <c r="S455" s="210"/>
      <c r="T455" s="210"/>
      <c r="U455" s="210"/>
      <c r="V455" s="210"/>
      <c r="W455" s="210"/>
      <c r="X455" s="210"/>
      <c r="Y455" s="210"/>
      <c r="Z455" s="210"/>
      <c r="AA455" s="210"/>
      <c r="AB455" s="210"/>
      <c r="AC455" s="210"/>
      <c r="AI455" s="210"/>
      <c r="AJ455" s="210"/>
    </row>
    <row r="456" ht="12.75" customHeight="1">
      <c r="C456" s="210"/>
      <c r="D456" s="210"/>
      <c r="E456" s="210"/>
      <c r="F456" s="210"/>
      <c r="G456" s="210"/>
      <c r="H456" s="210"/>
      <c r="I456" s="210"/>
      <c r="J456" s="210"/>
      <c r="K456" s="210"/>
      <c r="L456" s="210"/>
      <c r="M456" s="210"/>
      <c r="N456" s="210"/>
      <c r="O456" s="210"/>
      <c r="P456" s="210"/>
      <c r="Q456" s="210"/>
      <c r="R456" s="210"/>
      <c r="S456" s="210"/>
      <c r="T456" s="210"/>
      <c r="U456" s="210"/>
      <c r="V456" s="210"/>
      <c r="W456" s="210"/>
      <c r="X456" s="210"/>
      <c r="Y456" s="210"/>
      <c r="Z456" s="210"/>
      <c r="AA456" s="210"/>
      <c r="AB456" s="210"/>
      <c r="AC456" s="210"/>
      <c r="AI456" s="210"/>
      <c r="AJ456" s="210"/>
    </row>
    <row r="457" ht="12.75" customHeight="1">
      <c r="C457" s="210"/>
      <c r="D457" s="210"/>
      <c r="E457" s="210"/>
      <c r="F457" s="210"/>
      <c r="G457" s="210"/>
      <c r="H457" s="210"/>
      <c r="I457" s="210"/>
      <c r="J457" s="210"/>
      <c r="K457" s="210"/>
      <c r="L457" s="210"/>
      <c r="M457" s="210"/>
      <c r="N457" s="210"/>
      <c r="O457" s="210"/>
      <c r="P457" s="210"/>
      <c r="Q457" s="210"/>
      <c r="R457" s="210"/>
      <c r="S457" s="210"/>
      <c r="T457" s="210"/>
      <c r="U457" s="210"/>
      <c r="V457" s="210"/>
      <c r="W457" s="210"/>
      <c r="X457" s="210"/>
      <c r="Y457" s="210"/>
      <c r="Z457" s="210"/>
      <c r="AA457" s="210"/>
      <c r="AB457" s="210"/>
      <c r="AC457" s="210"/>
      <c r="AI457" s="210"/>
      <c r="AJ457" s="210"/>
    </row>
    <row r="458" ht="12.75" customHeight="1">
      <c r="C458" s="210"/>
      <c r="D458" s="210"/>
      <c r="E458" s="210"/>
      <c r="F458" s="210"/>
      <c r="G458" s="210"/>
      <c r="H458" s="210"/>
      <c r="I458" s="210"/>
      <c r="J458" s="210"/>
      <c r="K458" s="210"/>
      <c r="L458" s="210"/>
      <c r="M458" s="210"/>
      <c r="N458" s="210"/>
      <c r="O458" s="210"/>
      <c r="P458" s="210"/>
      <c r="Q458" s="210"/>
      <c r="R458" s="210"/>
      <c r="S458" s="210"/>
      <c r="T458" s="210"/>
      <c r="U458" s="210"/>
      <c r="V458" s="210"/>
      <c r="W458" s="210"/>
      <c r="X458" s="210"/>
      <c r="Y458" s="210"/>
      <c r="Z458" s="210"/>
      <c r="AA458" s="210"/>
      <c r="AB458" s="210"/>
      <c r="AC458" s="210"/>
      <c r="AI458" s="210"/>
      <c r="AJ458" s="210"/>
    </row>
    <row r="459" ht="12.75" customHeight="1">
      <c r="C459" s="210"/>
      <c r="D459" s="210"/>
      <c r="E459" s="210"/>
      <c r="F459" s="210"/>
      <c r="G459" s="210"/>
      <c r="H459" s="210"/>
      <c r="I459" s="210"/>
      <c r="J459" s="210"/>
      <c r="K459" s="210"/>
      <c r="L459" s="210"/>
      <c r="M459" s="210"/>
      <c r="N459" s="210"/>
      <c r="O459" s="210"/>
      <c r="P459" s="210"/>
      <c r="Q459" s="210"/>
      <c r="R459" s="210"/>
      <c r="S459" s="210"/>
      <c r="T459" s="210"/>
      <c r="U459" s="210"/>
      <c r="V459" s="210"/>
      <c r="W459" s="210"/>
      <c r="X459" s="210"/>
      <c r="Y459" s="210"/>
      <c r="Z459" s="210"/>
      <c r="AA459" s="210"/>
      <c r="AB459" s="210"/>
      <c r="AC459" s="210"/>
      <c r="AI459" s="210"/>
      <c r="AJ459" s="210"/>
    </row>
    <row r="460" ht="12.75" customHeight="1">
      <c r="C460" s="210"/>
      <c r="D460" s="210"/>
      <c r="E460" s="210"/>
      <c r="F460" s="210"/>
      <c r="G460" s="210"/>
      <c r="H460" s="210"/>
      <c r="I460" s="210"/>
      <c r="J460" s="210"/>
      <c r="K460" s="210"/>
      <c r="L460" s="210"/>
      <c r="M460" s="210"/>
      <c r="N460" s="210"/>
      <c r="O460" s="210"/>
      <c r="P460" s="210"/>
      <c r="Q460" s="210"/>
      <c r="R460" s="210"/>
      <c r="S460" s="210"/>
      <c r="T460" s="210"/>
      <c r="U460" s="210"/>
      <c r="V460" s="210"/>
      <c r="W460" s="210"/>
      <c r="X460" s="210"/>
      <c r="Y460" s="210"/>
      <c r="Z460" s="210"/>
      <c r="AA460" s="210"/>
      <c r="AB460" s="210"/>
      <c r="AC460" s="210"/>
      <c r="AI460" s="210"/>
      <c r="AJ460" s="210"/>
    </row>
    <row r="461" ht="12.75" customHeight="1">
      <c r="C461" s="210"/>
      <c r="D461" s="210"/>
      <c r="E461" s="210"/>
      <c r="F461" s="210"/>
      <c r="G461" s="210"/>
      <c r="H461" s="210"/>
      <c r="I461" s="210"/>
      <c r="J461" s="210"/>
      <c r="K461" s="210"/>
      <c r="L461" s="210"/>
      <c r="M461" s="210"/>
      <c r="N461" s="210"/>
      <c r="O461" s="210"/>
      <c r="P461" s="210"/>
      <c r="Q461" s="210"/>
      <c r="R461" s="210"/>
      <c r="S461" s="210"/>
      <c r="T461" s="210"/>
      <c r="U461" s="210"/>
      <c r="V461" s="210"/>
      <c r="W461" s="210"/>
      <c r="X461" s="210"/>
      <c r="Y461" s="210"/>
      <c r="Z461" s="210"/>
      <c r="AA461" s="210"/>
      <c r="AB461" s="210"/>
      <c r="AC461" s="210"/>
      <c r="AI461" s="210"/>
      <c r="AJ461" s="210"/>
    </row>
    <row r="462" ht="12.75" customHeight="1">
      <c r="C462" s="210"/>
      <c r="D462" s="210"/>
      <c r="E462" s="210"/>
      <c r="F462" s="210"/>
      <c r="G462" s="210"/>
      <c r="H462" s="210"/>
      <c r="I462" s="210"/>
      <c r="J462" s="210"/>
      <c r="K462" s="210"/>
      <c r="L462" s="210"/>
      <c r="M462" s="210"/>
      <c r="N462" s="210"/>
      <c r="O462" s="210"/>
      <c r="P462" s="210"/>
      <c r="Q462" s="210"/>
      <c r="R462" s="210"/>
      <c r="S462" s="210"/>
      <c r="T462" s="210"/>
      <c r="U462" s="210"/>
      <c r="V462" s="210"/>
      <c r="W462" s="210"/>
      <c r="X462" s="210"/>
      <c r="Y462" s="210"/>
      <c r="Z462" s="210"/>
      <c r="AA462" s="210"/>
      <c r="AB462" s="210"/>
      <c r="AC462" s="210"/>
      <c r="AI462" s="210"/>
      <c r="AJ462" s="210"/>
    </row>
    <row r="463" ht="12.75" customHeight="1">
      <c r="C463" s="210"/>
      <c r="D463" s="210"/>
      <c r="E463" s="210"/>
      <c r="F463" s="210"/>
      <c r="G463" s="210"/>
      <c r="H463" s="210"/>
      <c r="I463" s="210"/>
      <c r="J463" s="210"/>
      <c r="K463" s="210"/>
      <c r="L463" s="210"/>
      <c r="M463" s="210"/>
      <c r="N463" s="210"/>
      <c r="O463" s="210"/>
      <c r="P463" s="210"/>
      <c r="Q463" s="210"/>
      <c r="R463" s="210"/>
      <c r="S463" s="210"/>
      <c r="T463" s="210"/>
      <c r="U463" s="210"/>
      <c r="V463" s="210"/>
      <c r="W463" s="210"/>
      <c r="X463" s="210"/>
      <c r="Y463" s="210"/>
      <c r="Z463" s="210"/>
      <c r="AA463" s="210"/>
      <c r="AB463" s="210"/>
      <c r="AC463" s="210"/>
      <c r="AI463" s="210"/>
      <c r="AJ463" s="210"/>
    </row>
    <row r="464" ht="12.75" customHeight="1">
      <c r="C464" s="210"/>
      <c r="D464" s="210"/>
      <c r="E464" s="210"/>
      <c r="F464" s="210"/>
      <c r="G464" s="210"/>
      <c r="H464" s="210"/>
      <c r="I464" s="210"/>
      <c r="J464" s="210"/>
      <c r="K464" s="210"/>
      <c r="L464" s="210"/>
      <c r="M464" s="210"/>
      <c r="N464" s="210"/>
      <c r="O464" s="210"/>
      <c r="P464" s="210"/>
      <c r="Q464" s="210"/>
      <c r="R464" s="210"/>
      <c r="S464" s="210"/>
      <c r="T464" s="210"/>
      <c r="U464" s="210"/>
      <c r="V464" s="210"/>
      <c r="W464" s="210"/>
      <c r="X464" s="210"/>
      <c r="Y464" s="210"/>
      <c r="Z464" s="210"/>
      <c r="AA464" s="210"/>
      <c r="AB464" s="210"/>
      <c r="AC464" s="210"/>
      <c r="AI464" s="210"/>
      <c r="AJ464" s="210"/>
    </row>
    <row r="465" ht="12.75" customHeight="1">
      <c r="C465" s="210"/>
      <c r="D465" s="210"/>
      <c r="E465" s="210"/>
      <c r="F465" s="210"/>
      <c r="G465" s="210"/>
      <c r="H465" s="210"/>
      <c r="I465" s="210"/>
      <c r="J465" s="210"/>
      <c r="K465" s="210"/>
      <c r="L465" s="210"/>
      <c r="M465" s="210"/>
      <c r="N465" s="210"/>
      <c r="O465" s="210"/>
      <c r="P465" s="210"/>
      <c r="Q465" s="210"/>
      <c r="R465" s="210"/>
      <c r="S465" s="210"/>
      <c r="T465" s="210"/>
      <c r="U465" s="210"/>
      <c r="V465" s="210"/>
      <c r="W465" s="210"/>
      <c r="X465" s="210"/>
      <c r="Y465" s="210"/>
      <c r="Z465" s="210"/>
      <c r="AA465" s="210"/>
      <c r="AB465" s="210"/>
      <c r="AC465" s="210"/>
      <c r="AI465" s="210"/>
      <c r="AJ465" s="210"/>
    </row>
    <row r="466" ht="12.75" customHeight="1">
      <c r="C466" s="210"/>
      <c r="D466" s="210"/>
      <c r="E466" s="210"/>
      <c r="F466" s="210"/>
      <c r="G466" s="210"/>
      <c r="H466" s="210"/>
      <c r="I466" s="210"/>
      <c r="J466" s="210"/>
      <c r="K466" s="210"/>
      <c r="L466" s="210"/>
      <c r="M466" s="210"/>
      <c r="N466" s="210"/>
      <c r="O466" s="210"/>
      <c r="P466" s="210"/>
      <c r="Q466" s="210"/>
      <c r="R466" s="210"/>
      <c r="S466" s="210"/>
      <c r="T466" s="210"/>
      <c r="U466" s="210"/>
      <c r="V466" s="210"/>
      <c r="W466" s="210"/>
      <c r="X466" s="210"/>
      <c r="Y466" s="210"/>
      <c r="Z466" s="210"/>
      <c r="AA466" s="210"/>
      <c r="AB466" s="210"/>
      <c r="AC466" s="210"/>
      <c r="AI466" s="210"/>
      <c r="AJ466" s="210"/>
    </row>
    <row r="467" ht="12.75" customHeight="1">
      <c r="C467" s="210"/>
      <c r="D467" s="210"/>
      <c r="E467" s="210"/>
      <c r="F467" s="210"/>
      <c r="G467" s="210"/>
      <c r="H467" s="210"/>
      <c r="I467" s="210"/>
      <c r="J467" s="210"/>
      <c r="K467" s="210"/>
      <c r="L467" s="210"/>
      <c r="M467" s="210"/>
      <c r="N467" s="210"/>
      <c r="O467" s="210"/>
      <c r="P467" s="210"/>
      <c r="Q467" s="210"/>
      <c r="R467" s="210"/>
      <c r="S467" s="210"/>
      <c r="T467" s="210"/>
      <c r="U467" s="210"/>
      <c r="V467" s="210"/>
      <c r="W467" s="210"/>
      <c r="X467" s="210"/>
      <c r="Y467" s="210"/>
      <c r="Z467" s="210"/>
      <c r="AA467" s="210"/>
      <c r="AB467" s="210"/>
      <c r="AC467" s="210"/>
      <c r="AI467" s="210"/>
      <c r="AJ467" s="210"/>
    </row>
    <row r="468" ht="12.75" customHeight="1">
      <c r="C468" s="210"/>
      <c r="D468" s="210"/>
      <c r="E468" s="210"/>
      <c r="F468" s="210"/>
      <c r="G468" s="210"/>
      <c r="H468" s="210"/>
      <c r="I468" s="210"/>
      <c r="J468" s="210"/>
      <c r="K468" s="210"/>
      <c r="L468" s="210"/>
      <c r="M468" s="210"/>
      <c r="N468" s="210"/>
      <c r="O468" s="210"/>
      <c r="P468" s="210"/>
      <c r="Q468" s="210"/>
      <c r="R468" s="210"/>
      <c r="S468" s="210"/>
      <c r="T468" s="210"/>
      <c r="U468" s="210"/>
      <c r="V468" s="210"/>
      <c r="W468" s="210"/>
      <c r="X468" s="210"/>
      <c r="Y468" s="210"/>
      <c r="Z468" s="210"/>
      <c r="AA468" s="210"/>
      <c r="AB468" s="210"/>
      <c r="AC468" s="210"/>
      <c r="AI468" s="210"/>
      <c r="AJ468" s="210"/>
    </row>
    <row r="469" ht="12.75" customHeight="1">
      <c r="C469" s="210"/>
      <c r="D469" s="210"/>
      <c r="E469" s="210"/>
      <c r="F469" s="210"/>
      <c r="G469" s="210"/>
      <c r="H469" s="210"/>
      <c r="I469" s="210"/>
      <c r="J469" s="210"/>
      <c r="K469" s="210"/>
      <c r="L469" s="210"/>
      <c r="M469" s="210"/>
      <c r="N469" s="210"/>
      <c r="O469" s="210"/>
      <c r="P469" s="210"/>
      <c r="Q469" s="210"/>
      <c r="R469" s="210"/>
      <c r="S469" s="210"/>
      <c r="T469" s="210"/>
      <c r="U469" s="210"/>
      <c r="V469" s="210"/>
      <c r="W469" s="210"/>
      <c r="X469" s="210"/>
      <c r="Y469" s="210"/>
      <c r="Z469" s="210"/>
      <c r="AA469" s="210"/>
      <c r="AB469" s="210"/>
      <c r="AC469" s="210"/>
      <c r="AI469" s="210"/>
      <c r="AJ469" s="210"/>
    </row>
    <row r="470" ht="12.75" customHeight="1">
      <c r="C470" s="210"/>
      <c r="D470" s="210"/>
      <c r="E470" s="210"/>
      <c r="F470" s="210"/>
      <c r="G470" s="210"/>
      <c r="H470" s="210"/>
      <c r="I470" s="210"/>
      <c r="J470" s="210"/>
      <c r="K470" s="210"/>
      <c r="L470" s="210"/>
      <c r="M470" s="210"/>
      <c r="N470" s="210"/>
      <c r="O470" s="210"/>
      <c r="P470" s="210"/>
      <c r="Q470" s="210"/>
      <c r="R470" s="210"/>
      <c r="S470" s="210"/>
      <c r="T470" s="210"/>
      <c r="U470" s="210"/>
      <c r="V470" s="210"/>
      <c r="W470" s="210"/>
      <c r="X470" s="210"/>
      <c r="Y470" s="210"/>
      <c r="Z470" s="210"/>
      <c r="AA470" s="210"/>
      <c r="AB470" s="210"/>
      <c r="AC470" s="210"/>
      <c r="AI470" s="210"/>
      <c r="AJ470" s="210"/>
    </row>
    <row r="471" ht="12.75" customHeight="1">
      <c r="C471" s="210"/>
      <c r="D471" s="210"/>
      <c r="E471" s="210"/>
      <c r="F471" s="210"/>
      <c r="G471" s="210"/>
      <c r="H471" s="210"/>
      <c r="I471" s="210"/>
      <c r="J471" s="210"/>
      <c r="K471" s="210"/>
      <c r="L471" s="210"/>
      <c r="M471" s="210"/>
      <c r="N471" s="210"/>
      <c r="O471" s="210"/>
      <c r="P471" s="210"/>
      <c r="Q471" s="210"/>
      <c r="R471" s="210"/>
      <c r="S471" s="210"/>
      <c r="T471" s="210"/>
      <c r="U471" s="210"/>
      <c r="V471" s="210"/>
      <c r="W471" s="210"/>
      <c r="X471" s="210"/>
      <c r="Y471" s="210"/>
      <c r="Z471" s="210"/>
      <c r="AA471" s="210"/>
      <c r="AB471" s="210"/>
      <c r="AC471" s="210"/>
      <c r="AI471" s="210"/>
      <c r="AJ471" s="210"/>
    </row>
    <row r="472" ht="12.75" customHeight="1">
      <c r="C472" s="210"/>
      <c r="D472" s="210"/>
      <c r="E472" s="210"/>
      <c r="F472" s="210"/>
      <c r="G472" s="210"/>
      <c r="H472" s="210"/>
      <c r="I472" s="210"/>
      <c r="J472" s="210"/>
      <c r="K472" s="210"/>
      <c r="L472" s="210"/>
      <c r="M472" s="210"/>
      <c r="N472" s="210"/>
      <c r="O472" s="210"/>
      <c r="P472" s="210"/>
      <c r="Q472" s="210"/>
      <c r="R472" s="210"/>
      <c r="S472" s="210"/>
      <c r="T472" s="210"/>
      <c r="U472" s="210"/>
      <c r="V472" s="210"/>
      <c r="W472" s="210"/>
      <c r="X472" s="210"/>
      <c r="Y472" s="210"/>
      <c r="Z472" s="210"/>
      <c r="AA472" s="210"/>
      <c r="AB472" s="210"/>
      <c r="AC472" s="210"/>
      <c r="AI472" s="210"/>
      <c r="AJ472" s="210"/>
    </row>
    <row r="473" ht="12.75" customHeight="1">
      <c r="C473" s="210"/>
      <c r="D473" s="210"/>
      <c r="E473" s="210"/>
      <c r="F473" s="210"/>
      <c r="G473" s="210"/>
      <c r="H473" s="210"/>
      <c r="I473" s="210"/>
      <c r="J473" s="210"/>
      <c r="K473" s="210"/>
      <c r="L473" s="210"/>
      <c r="M473" s="210"/>
      <c r="N473" s="210"/>
      <c r="O473" s="210"/>
      <c r="P473" s="210"/>
      <c r="Q473" s="210"/>
      <c r="R473" s="210"/>
      <c r="S473" s="210"/>
      <c r="T473" s="210"/>
      <c r="U473" s="210"/>
      <c r="V473" s="210"/>
      <c r="W473" s="210"/>
      <c r="X473" s="210"/>
      <c r="Y473" s="210"/>
      <c r="Z473" s="210"/>
      <c r="AA473" s="210"/>
      <c r="AB473" s="210"/>
      <c r="AC473" s="210"/>
      <c r="AI473" s="210"/>
      <c r="AJ473" s="210"/>
    </row>
    <row r="474" ht="12.75" customHeight="1">
      <c r="C474" s="210"/>
      <c r="D474" s="210"/>
      <c r="E474" s="210"/>
      <c r="F474" s="210"/>
      <c r="G474" s="210"/>
      <c r="H474" s="210"/>
      <c r="I474" s="210"/>
      <c r="J474" s="210"/>
      <c r="K474" s="210"/>
      <c r="L474" s="210"/>
      <c r="M474" s="210"/>
      <c r="N474" s="210"/>
      <c r="O474" s="210"/>
      <c r="P474" s="210"/>
      <c r="Q474" s="210"/>
      <c r="R474" s="210"/>
      <c r="S474" s="210"/>
      <c r="T474" s="210"/>
      <c r="U474" s="210"/>
      <c r="V474" s="210"/>
      <c r="W474" s="210"/>
      <c r="X474" s="210"/>
      <c r="Y474" s="210"/>
      <c r="Z474" s="210"/>
      <c r="AA474" s="210"/>
      <c r="AB474" s="210"/>
      <c r="AC474" s="210"/>
      <c r="AI474" s="210"/>
      <c r="AJ474" s="210"/>
    </row>
    <row r="475" ht="12.75" customHeight="1">
      <c r="C475" s="210"/>
      <c r="D475" s="210"/>
      <c r="E475" s="210"/>
      <c r="F475" s="210"/>
      <c r="G475" s="210"/>
      <c r="H475" s="210"/>
      <c r="I475" s="210"/>
      <c r="J475" s="210"/>
      <c r="K475" s="210"/>
      <c r="L475" s="210"/>
      <c r="M475" s="210"/>
      <c r="N475" s="210"/>
      <c r="O475" s="210"/>
      <c r="P475" s="210"/>
      <c r="Q475" s="210"/>
      <c r="R475" s="210"/>
      <c r="S475" s="210"/>
      <c r="T475" s="210"/>
      <c r="U475" s="210"/>
      <c r="V475" s="210"/>
      <c r="W475" s="210"/>
      <c r="X475" s="210"/>
      <c r="Y475" s="210"/>
      <c r="Z475" s="210"/>
      <c r="AA475" s="210"/>
      <c r="AB475" s="210"/>
      <c r="AC475" s="210"/>
      <c r="AI475" s="210"/>
      <c r="AJ475" s="210"/>
    </row>
    <row r="476" ht="12.75" customHeight="1">
      <c r="C476" s="210"/>
      <c r="D476" s="210"/>
      <c r="E476" s="210"/>
      <c r="F476" s="210"/>
      <c r="G476" s="210"/>
      <c r="H476" s="210"/>
      <c r="I476" s="210"/>
      <c r="J476" s="210"/>
      <c r="K476" s="210"/>
      <c r="L476" s="210"/>
      <c r="M476" s="210"/>
      <c r="N476" s="210"/>
      <c r="O476" s="210"/>
      <c r="P476" s="210"/>
      <c r="Q476" s="210"/>
      <c r="R476" s="210"/>
      <c r="S476" s="210"/>
      <c r="T476" s="210"/>
      <c r="U476" s="210"/>
      <c r="V476" s="210"/>
      <c r="W476" s="210"/>
      <c r="X476" s="210"/>
      <c r="Y476" s="210"/>
      <c r="Z476" s="210"/>
      <c r="AA476" s="210"/>
      <c r="AB476" s="210"/>
      <c r="AC476" s="210"/>
      <c r="AI476" s="210"/>
      <c r="AJ476" s="210"/>
    </row>
    <row r="477" ht="12.75" customHeight="1">
      <c r="C477" s="210"/>
      <c r="D477" s="210"/>
      <c r="E477" s="210"/>
      <c r="F477" s="210"/>
      <c r="G477" s="210"/>
      <c r="H477" s="210"/>
      <c r="I477" s="210"/>
      <c r="J477" s="210"/>
      <c r="K477" s="210"/>
      <c r="L477" s="210"/>
      <c r="M477" s="210"/>
      <c r="N477" s="210"/>
      <c r="O477" s="210"/>
      <c r="P477" s="210"/>
      <c r="Q477" s="210"/>
      <c r="R477" s="210"/>
      <c r="S477" s="210"/>
      <c r="T477" s="210"/>
      <c r="U477" s="210"/>
      <c r="V477" s="210"/>
      <c r="W477" s="210"/>
      <c r="X477" s="210"/>
      <c r="Y477" s="210"/>
      <c r="Z477" s="210"/>
      <c r="AA477" s="210"/>
      <c r="AB477" s="210"/>
      <c r="AC477" s="210"/>
      <c r="AI477" s="210"/>
      <c r="AJ477" s="210"/>
    </row>
    <row r="478" ht="12.75" customHeight="1">
      <c r="C478" s="210"/>
      <c r="D478" s="210"/>
      <c r="E478" s="210"/>
      <c r="F478" s="210"/>
      <c r="G478" s="210"/>
      <c r="H478" s="210"/>
      <c r="I478" s="210"/>
      <c r="J478" s="210"/>
      <c r="K478" s="210"/>
      <c r="L478" s="210"/>
      <c r="M478" s="210"/>
      <c r="N478" s="210"/>
      <c r="O478" s="210"/>
      <c r="P478" s="210"/>
      <c r="Q478" s="210"/>
      <c r="R478" s="210"/>
      <c r="S478" s="210"/>
      <c r="T478" s="210"/>
      <c r="U478" s="210"/>
      <c r="V478" s="210"/>
      <c r="W478" s="210"/>
      <c r="X478" s="210"/>
      <c r="Y478" s="210"/>
      <c r="Z478" s="210"/>
      <c r="AA478" s="210"/>
      <c r="AB478" s="210"/>
      <c r="AC478" s="210"/>
      <c r="AI478" s="210"/>
      <c r="AJ478" s="210"/>
    </row>
    <row r="479" ht="12.75" customHeight="1">
      <c r="C479" s="210"/>
      <c r="D479" s="210"/>
      <c r="E479" s="210"/>
      <c r="F479" s="210"/>
      <c r="G479" s="210"/>
      <c r="H479" s="210"/>
      <c r="I479" s="210"/>
      <c r="J479" s="210"/>
      <c r="K479" s="210"/>
      <c r="L479" s="210"/>
      <c r="M479" s="210"/>
      <c r="N479" s="210"/>
      <c r="O479" s="210"/>
      <c r="P479" s="210"/>
      <c r="Q479" s="210"/>
      <c r="R479" s="210"/>
      <c r="S479" s="210"/>
      <c r="T479" s="210"/>
      <c r="U479" s="210"/>
      <c r="V479" s="210"/>
      <c r="W479" s="210"/>
      <c r="X479" s="210"/>
      <c r="Y479" s="210"/>
      <c r="Z479" s="210"/>
      <c r="AA479" s="210"/>
      <c r="AB479" s="210"/>
      <c r="AC479" s="210"/>
      <c r="AI479" s="210"/>
      <c r="AJ479" s="210"/>
    </row>
    <row r="480" ht="12.75" customHeight="1">
      <c r="C480" s="210"/>
      <c r="D480" s="210"/>
      <c r="E480" s="210"/>
      <c r="F480" s="210"/>
      <c r="G480" s="210"/>
      <c r="H480" s="210"/>
      <c r="I480" s="210"/>
      <c r="J480" s="210"/>
      <c r="K480" s="210"/>
      <c r="L480" s="210"/>
      <c r="M480" s="210"/>
      <c r="N480" s="210"/>
      <c r="O480" s="210"/>
      <c r="P480" s="210"/>
      <c r="Q480" s="210"/>
      <c r="R480" s="210"/>
      <c r="S480" s="210"/>
      <c r="T480" s="210"/>
      <c r="U480" s="210"/>
      <c r="V480" s="210"/>
      <c r="W480" s="210"/>
      <c r="X480" s="210"/>
      <c r="Y480" s="210"/>
      <c r="Z480" s="210"/>
      <c r="AA480" s="210"/>
      <c r="AB480" s="210"/>
      <c r="AC480" s="210"/>
      <c r="AI480" s="210"/>
      <c r="AJ480" s="210"/>
    </row>
    <row r="481" ht="12.75" customHeight="1">
      <c r="C481" s="210"/>
      <c r="D481" s="210"/>
      <c r="E481" s="210"/>
      <c r="F481" s="210"/>
      <c r="G481" s="210"/>
      <c r="H481" s="210"/>
      <c r="I481" s="210"/>
      <c r="J481" s="210"/>
      <c r="K481" s="210"/>
      <c r="L481" s="210"/>
      <c r="M481" s="210"/>
      <c r="N481" s="210"/>
      <c r="O481" s="210"/>
      <c r="P481" s="210"/>
      <c r="Q481" s="210"/>
      <c r="R481" s="210"/>
      <c r="S481" s="210"/>
      <c r="T481" s="210"/>
      <c r="U481" s="210"/>
      <c r="V481" s="210"/>
      <c r="W481" s="210"/>
      <c r="X481" s="210"/>
      <c r="Y481" s="210"/>
      <c r="Z481" s="210"/>
      <c r="AA481" s="210"/>
      <c r="AB481" s="210"/>
      <c r="AC481" s="210"/>
      <c r="AI481" s="210"/>
      <c r="AJ481" s="210"/>
    </row>
    <row r="482" ht="12.75" customHeight="1">
      <c r="C482" s="210"/>
      <c r="D482" s="210"/>
      <c r="E482" s="210"/>
      <c r="F482" s="210"/>
      <c r="G482" s="210"/>
      <c r="H482" s="210"/>
      <c r="I482" s="210"/>
      <c r="J482" s="210"/>
      <c r="K482" s="210"/>
      <c r="L482" s="210"/>
      <c r="M482" s="210"/>
      <c r="N482" s="210"/>
      <c r="O482" s="210"/>
      <c r="P482" s="210"/>
      <c r="Q482" s="210"/>
      <c r="R482" s="210"/>
      <c r="S482" s="210"/>
      <c r="T482" s="210"/>
      <c r="U482" s="210"/>
      <c r="V482" s="210"/>
      <c r="W482" s="210"/>
      <c r="X482" s="210"/>
      <c r="Y482" s="210"/>
      <c r="Z482" s="210"/>
      <c r="AA482" s="210"/>
      <c r="AB482" s="210"/>
      <c r="AC482" s="210"/>
      <c r="AI482" s="210"/>
      <c r="AJ482" s="210"/>
    </row>
    <row r="483" ht="12.75" customHeight="1">
      <c r="C483" s="210"/>
      <c r="D483" s="210"/>
      <c r="E483" s="210"/>
      <c r="F483" s="210"/>
      <c r="G483" s="210"/>
      <c r="H483" s="210"/>
      <c r="I483" s="210"/>
      <c r="J483" s="210"/>
      <c r="K483" s="210"/>
      <c r="L483" s="210"/>
      <c r="M483" s="210"/>
      <c r="N483" s="210"/>
      <c r="O483" s="210"/>
      <c r="P483" s="210"/>
      <c r="Q483" s="210"/>
      <c r="R483" s="210"/>
      <c r="S483" s="210"/>
      <c r="T483" s="210"/>
      <c r="U483" s="210"/>
      <c r="V483" s="210"/>
      <c r="W483" s="210"/>
      <c r="X483" s="210"/>
      <c r="Y483" s="210"/>
      <c r="Z483" s="210"/>
      <c r="AA483" s="210"/>
      <c r="AB483" s="210"/>
      <c r="AC483" s="210"/>
      <c r="AI483" s="210"/>
      <c r="AJ483" s="210"/>
    </row>
    <row r="484" ht="12.75" customHeight="1">
      <c r="C484" s="210"/>
      <c r="D484" s="210"/>
      <c r="E484" s="210"/>
      <c r="F484" s="210"/>
      <c r="G484" s="210"/>
      <c r="H484" s="210"/>
      <c r="I484" s="210"/>
      <c r="J484" s="210"/>
      <c r="K484" s="210"/>
      <c r="L484" s="210"/>
      <c r="M484" s="210"/>
      <c r="N484" s="210"/>
      <c r="O484" s="210"/>
      <c r="P484" s="210"/>
      <c r="Q484" s="210"/>
      <c r="R484" s="210"/>
      <c r="S484" s="210"/>
      <c r="T484" s="210"/>
      <c r="U484" s="210"/>
      <c r="V484" s="210"/>
      <c r="W484" s="210"/>
      <c r="X484" s="210"/>
      <c r="Y484" s="210"/>
      <c r="Z484" s="210"/>
      <c r="AA484" s="210"/>
      <c r="AB484" s="210"/>
      <c r="AC484" s="210"/>
      <c r="AI484" s="210"/>
      <c r="AJ484" s="210"/>
    </row>
    <row r="485" ht="12.75" customHeight="1">
      <c r="C485" s="210"/>
      <c r="D485" s="210"/>
      <c r="E485" s="210"/>
      <c r="F485" s="210"/>
      <c r="G485" s="210"/>
      <c r="H485" s="210"/>
      <c r="I485" s="210"/>
      <c r="J485" s="210"/>
      <c r="K485" s="210"/>
      <c r="L485" s="210"/>
      <c r="M485" s="210"/>
      <c r="N485" s="210"/>
      <c r="O485" s="210"/>
      <c r="P485" s="210"/>
      <c r="Q485" s="210"/>
      <c r="R485" s="210"/>
      <c r="S485" s="210"/>
      <c r="T485" s="210"/>
      <c r="U485" s="210"/>
      <c r="V485" s="210"/>
      <c r="W485" s="210"/>
      <c r="X485" s="210"/>
      <c r="Y485" s="210"/>
      <c r="Z485" s="210"/>
      <c r="AA485" s="210"/>
      <c r="AB485" s="210"/>
      <c r="AC485" s="210"/>
      <c r="AI485" s="210"/>
      <c r="AJ485" s="210"/>
    </row>
    <row r="486" ht="12.75" customHeight="1">
      <c r="C486" s="210"/>
      <c r="D486" s="210"/>
      <c r="E486" s="210"/>
      <c r="F486" s="210"/>
      <c r="G486" s="210"/>
      <c r="H486" s="210"/>
      <c r="I486" s="210"/>
      <c r="J486" s="210"/>
      <c r="K486" s="210"/>
      <c r="L486" s="210"/>
      <c r="M486" s="210"/>
      <c r="N486" s="210"/>
      <c r="O486" s="210"/>
      <c r="P486" s="210"/>
      <c r="Q486" s="210"/>
      <c r="R486" s="210"/>
      <c r="S486" s="210"/>
      <c r="T486" s="210"/>
      <c r="U486" s="210"/>
      <c r="V486" s="210"/>
      <c r="W486" s="210"/>
      <c r="X486" s="210"/>
      <c r="Y486" s="210"/>
      <c r="Z486" s="210"/>
      <c r="AA486" s="210"/>
      <c r="AB486" s="210"/>
      <c r="AC486" s="210"/>
      <c r="AI486" s="210"/>
      <c r="AJ486" s="210"/>
    </row>
    <row r="487" ht="12.75" customHeight="1">
      <c r="C487" s="210"/>
      <c r="D487" s="210"/>
      <c r="E487" s="210"/>
      <c r="F487" s="210"/>
      <c r="G487" s="210"/>
      <c r="H487" s="210"/>
      <c r="I487" s="210"/>
      <c r="J487" s="210"/>
      <c r="K487" s="210"/>
      <c r="L487" s="210"/>
      <c r="M487" s="210"/>
      <c r="N487" s="210"/>
      <c r="O487" s="210"/>
      <c r="P487" s="210"/>
      <c r="Q487" s="210"/>
      <c r="R487" s="210"/>
      <c r="S487" s="210"/>
      <c r="T487" s="210"/>
      <c r="U487" s="210"/>
      <c r="V487" s="210"/>
      <c r="W487" s="210"/>
      <c r="X487" s="210"/>
      <c r="Y487" s="210"/>
      <c r="Z487" s="210"/>
      <c r="AA487" s="210"/>
      <c r="AB487" s="210"/>
      <c r="AC487" s="210"/>
      <c r="AI487" s="210"/>
      <c r="AJ487" s="210"/>
    </row>
    <row r="488" ht="12.75" customHeight="1">
      <c r="C488" s="210"/>
      <c r="D488" s="210"/>
      <c r="E488" s="210"/>
      <c r="F488" s="210"/>
      <c r="G488" s="210"/>
      <c r="H488" s="210"/>
      <c r="I488" s="210"/>
      <c r="J488" s="210"/>
      <c r="K488" s="210"/>
      <c r="L488" s="210"/>
      <c r="M488" s="210"/>
      <c r="N488" s="210"/>
      <c r="O488" s="210"/>
      <c r="P488" s="210"/>
      <c r="Q488" s="210"/>
      <c r="R488" s="210"/>
      <c r="S488" s="210"/>
      <c r="T488" s="210"/>
      <c r="U488" s="210"/>
      <c r="V488" s="210"/>
      <c r="W488" s="210"/>
      <c r="X488" s="210"/>
      <c r="Y488" s="210"/>
      <c r="Z488" s="210"/>
      <c r="AA488" s="210"/>
      <c r="AB488" s="210"/>
      <c r="AC488" s="210"/>
      <c r="AI488" s="210"/>
      <c r="AJ488" s="210"/>
    </row>
    <row r="489" ht="12.75" customHeight="1">
      <c r="C489" s="210"/>
      <c r="D489" s="210"/>
      <c r="E489" s="210"/>
      <c r="F489" s="210"/>
      <c r="G489" s="210"/>
      <c r="H489" s="210"/>
      <c r="I489" s="210"/>
      <c r="J489" s="210"/>
      <c r="K489" s="210"/>
      <c r="L489" s="210"/>
      <c r="M489" s="210"/>
      <c r="N489" s="210"/>
      <c r="O489" s="210"/>
      <c r="P489" s="210"/>
      <c r="Q489" s="210"/>
      <c r="R489" s="210"/>
      <c r="S489" s="210"/>
      <c r="T489" s="210"/>
      <c r="U489" s="210"/>
      <c r="V489" s="210"/>
      <c r="W489" s="210"/>
      <c r="X489" s="210"/>
      <c r="Y489" s="210"/>
      <c r="Z489" s="210"/>
      <c r="AA489" s="210"/>
      <c r="AB489" s="210"/>
      <c r="AC489" s="210"/>
      <c r="AI489" s="210"/>
      <c r="AJ489" s="210"/>
    </row>
    <row r="490" ht="12.75" customHeight="1">
      <c r="C490" s="210"/>
      <c r="D490" s="210"/>
      <c r="E490" s="210"/>
      <c r="F490" s="210"/>
      <c r="G490" s="210"/>
      <c r="H490" s="210"/>
      <c r="I490" s="210"/>
      <c r="J490" s="210"/>
      <c r="K490" s="210"/>
      <c r="L490" s="210"/>
      <c r="M490" s="210"/>
      <c r="N490" s="210"/>
      <c r="O490" s="210"/>
      <c r="P490" s="210"/>
      <c r="Q490" s="210"/>
      <c r="R490" s="210"/>
      <c r="S490" s="210"/>
      <c r="T490" s="210"/>
      <c r="U490" s="210"/>
      <c r="V490" s="210"/>
      <c r="W490" s="210"/>
      <c r="X490" s="210"/>
      <c r="Y490" s="210"/>
      <c r="Z490" s="210"/>
      <c r="AA490" s="210"/>
      <c r="AB490" s="210"/>
      <c r="AC490" s="210"/>
      <c r="AI490" s="210"/>
      <c r="AJ490" s="210"/>
    </row>
    <row r="491" ht="12.75" customHeight="1">
      <c r="C491" s="210"/>
      <c r="D491" s="210"/>
      <c r="E491" s="210"/>
      <c r="F491" s="210"/>
      <c r="G491" s="210"/>
      <c r="H491" s="210"/>
      <c r="I491" s="210"/>
      <c r="J491" s="210"/>
      <c r="K491" s="210"/>
      <c r="L491" s="210"/>
      <c r="M491" s="210"/>
      <c r="N491" s="210"/>
      <c r="O491" s="210"/>
      <c r="P491" s="210"/>
      <c r="Q491" s="210"/>
      <c r="R491" s="210"/>
      <c r="S491" s="210"/>
      <c r="T491" s="210"/>
      <c r="U491" s="210"/>
      <c r="V491" s="210"/>
      <c r="W491" s="210"/>
      <c r="X491" s="210"/>
      <c r="Y491" s="210"/>
      <c r="Z491" s="210"/>
      <c r="AA491" s="210"/>
      <c r="AB491" s="210"/>
      <c r="AC491" s="210"/>
      <c r="AI491" s="210"/>
      <c r="AJ491" s="210"/>
    </row>
    <row r="492" ht="12.75" customHeight="1">
      <c r="C492" s="210"/>
      <c r="D492" s="210"/>
      <c r="E492" s="210"/>
      <c r="F492" s="210"/>
      <c r="G492" s="210"/>
      <c r="H492" s="210"/>
      <c r="I492" s="210"/>
      <c r="J492" s="210"/>
      <c r="K492" s="210"/>
      <c r="L492" s="210"/>
      <c r="M492" s="210"/>
      <c r="N492" s="210"/>
      <c r="O492" s="210"/>
      <c r="P492" s="210"/>
      <c r="Q492" s="210"/>
      <c r="R492" s="210"/>
      <c r="S492" s="210"/>
      <c r="T492" s="210"/>
      <c r="U492" s="210"/>
      <c r="V492" s="210"/>
      <c r="W492" s="210"/>
      <c r="X492" s="210"/>
      <c r="Y492" s="210"/>
      <c r="Z492" s="210"/>
      <c r="AA492" s="210"/>
      <c r="AB492" s="210"/>
      <c r="AC492" s="210"/>
      <c r="AI492" s="210"/>
      <c r="AJ492" s="210"/>
    </row>
    <row r="493" ht="12.75" customHeight="1">
      <c r="C493" s="210"/>
      <c r="D493" s="210"/>
      <c r="E493" s="210"/>
      <c r="F493" s="210"/>
      <c r="G493" s="210"/>
      <c r="H493" s="210"/>
      <c r="I493" s="210"/>
      <c r="J493" s="210"/>
      <c r="K493" s="210"/>
      <c r="L493" s="210"/>
      <c r="M493" s="210"/>
      <c r="N493" s="210"/>
      <c r="O493" s="210"/>
      <c r="P493" s="210"/>
      <c r="Q493" s="210"/>
      <c r="R493" s="210"/>
      <c r="S493" s="210"/>
      <c r="T493" s="210"/>
      <c r="U493" s="210"/>
      <c r="V493" s="210"/>
      <c r="W493" s="210"/>
      <c r="X493" s="210"/>
      <c r="Y493" s="210"/>
      <c r="Z493" s="210"/>
      <c r="AA493" s="210"/>
      <c r="AB493" s="210"/>
      <c r="AC493" s="210"/>
      <c r="AI493" s="210"/>
      <c r="AJ493" s="210"/>
    </row>
    <row r="494" ht="12.75" customHeight="1">
      <c r="C494" s="210"/>
      <c r="D494" s="210"/>
      <c r="E494" s="210"/>
      <c r="F494" s="210"/>
      <c r="G494" s="210"/>
      <c r="H494" s="210"/>
      <c r="I494" s="210"/>
      <c r="J494" s="210"/>
      <c r="K494" s="210"/>
      <c r="L494" s="210"/>
      <c r="M494" s="210"/>
      <c r="N494" s="210"/>
      <c r="O494" s="210"/>
      <c r="P494" s="210"/>
      <c r="Q494" s="210"/>
      <c r="R494" s="210"/>
      <c r="S494" s="210"/>
      <c r="T494" s="210"/>
      <c r="U494" s="210"/>
      <c r="V494" s="210"/>
      <c r="W494" s="210"/>
      <c r="X494" s="210"/>
      <c r="Y494" s="210"/>
      <c r="Z494" s="210"/>
      <c r="AA494" s="210"/>
      <c r="AB494" s="210"/>
      <c r="AC494" s="210"/>
      <c r="AI494" s="210"/>
      <c r="AJ494" s="210"/>
    </row>
    <row r="495" ht="12.75" customHeight="1">
      <c r="C495" s="210"/>
      <c r="D495" s="210"/>
      <c r="E495" s="210"/>
      <c r="F495" s="210"/>
      <c r="G495" s="210"/>
      <c r="H495" s="210"/>
      <c r="I495" s="210"/>
      <c r="J495" s="210"/>
      <c r="K495" s="210"/>
      <c r="L495" s="210"/>
      <c r="M495" s="210"/>
      <c r="N495" s="210"/>
      <c r="O495" s="210"/>
      <c r="P495" s="210"/>
      <c r="Q495" s="210"/>
      <c r="R495" s="210"/>
      <c r="S495" s="210"/>
      <c r="T495" s="210"/>
      <c r="U495" s="210"/>
      <c r="V495" s="210"/>
      <c r="W495" s="210"/>
      <c r="X495" s="210"/>
      <c r="Y495" s="210"/>
      <c r="Z495" s="210"/>
      <c r="AA495" s="210"/>
      <c r="AB495" s="210"/>
      <c r="AC495" s="210"/>
      <c r="AI495" s="210"/>
      <c r="AJ495" s="210"/>
    </row>
    <row r="496" ht="12.75" customHeight="1">
      <c r="C496" s="210"/>
      <c r="D496" s="210"/>
      <c r="E496" s="210"/>
      <c r="F496" s="210"/>
      <c r="G496" s="210"/>
      <c r="H496" s="210"/>
      <c r="I496" s="210"/>
      <c r="J496" s="210"/>
      <c r="K496" s="210"/>
      <c r="L496" s="210"/>
      <c r="M496" s="210"/>
      <c r="N496" s="210"/>
      <c r="O496" s="210"/>
      <c r="P496" s="210"/>
      <c r="Q496" s="210"/>
      <c r="R496" s="210"/>
      <c r="S496" s="210"/>
      <c r="T496" s="210"/>
      <c r="U496" s="210"/>
      <c r="V496" s="210"/>
      <c r="W496" s="210"/>
      <c r="X496" s="210"/>
      <c r="Y496" s="210"/>
      <c r="Z496" s="210"/>
      <c r="AA496" s="210"/>
      <c r="AB496" s="210"/>
      <c r="AC496" s="210"/>
      <c r="AI496" s="210"/>
      <c r="AJ496" s="210"/>
    </row>
    <row r="497" ht="12.75" customHeight="1">
      <c r="C497" s="210"/>
      <c r="D497" s="210"/>
      <c r="E497" s="210"/>
      <c r="F497" s="210"/>
      <c r="G497" s="210"/>
      <c r="H497" s="210"/>
      <c r="I497" s="210"/>
      <c r="J497" s="210"/>
      <c r="K497" s="210"/>
      <c r="L497" s="210"/>
      <c r="M497" s="210"/>
      <c r="N497" s="210"/>
      <c r="O497" s="210"/>
      <c r="P497" s="210"/>
      <c r="Q497" s="210"/>
      <c r="R497" s="210"/>
      <c r="S497" s="210"/>
      <c r="T497" s="210"/>
      <c r="U497" s="210"/>
      <c r="V497" s="210"/>
      <c r="W497" s="210"/>
      <c r="X497" s="210"/>
      <c r="Y497" s="210"/>
      <c r="Z497" s="210"/>
      <c r="AA497" s="210"/>
      <c r="AB497" s="210"/>
      <c r="AC497" s="210"/>
      <c r="AI497" s="210"/>
      <c r="AJ497" s="210"/>
    </row>
    <row r="498" ht="12.75" customHeight="1">
      <c r="C498" s="210"/>
      <c r="D498" s="210"/>
      <c r="E498" s="210"/>
      <c r="F498" s="210"/>
      <c r="G498" s="210"/>
      <c r="H498" s="210"/>
      <c r="I498" s="210"/>
      <c r="J498" s="210"/>
      <c r="K498" s="210"/>
      <c r="L498" s="210"/>
      <c r="M498" s="210"/>
      <c r="N498" s="210"/>
      <c r="O498" s="210"/>
      <c r="P498" s="210"/>
      <c r="Q498" s="210"/>
      <c r="R498" s="210"/>
      <c r="S498" s="210"/>
      <c r="T498" s="210"/>
      <c r="U498" s="210"/>
      <c r="V498" s="210"/>
      <c r="W498" s="210"/>
      <c r="X498" s="210"/>
      <c r="Y498" s="210"/>
      <c r="Z498" s="210"/>
      <c r="AA498" s="210"/>
      <c r="AB498" s="210"/>
      <c r="AC498" s="210"/>
      <c r="AI498" s="210"/>
      <c r="AJ498" s="210"/>
    </row>
    <row r="499" ht="12.75" customHeight="1">
      <c r="C499" s="210"/>
      <c r="D499" s="210"/>
      <c r="E499" s="210"/>
      <c r="F499" s="210"/>
      <c r="G499" s="210"/>
      <c r="H499" s="210"/>
      <c r="I499" s="210"/>
      <c r="J499" s="210"/>
      <c r="K499" s="210"/>
      <c r="L499" s="210"/>
      <c r="M499" s="210"/>
      <c r="N499" s="210"/>
      <c r="O499" s="210"/>
      <c r="P499" s="210"/>
      <c r="Q499" s="210"/>
      <c r="R499" s="210"/>
      <c r="S499" s="210"/>
      <c r="T499" s="210"/>
      <c r="U499" s="210"/>
      <c r="V499" s="210"/>
      <c r="W499" s="210"/>
      <c r="X499" s="210"/>
      <c r="Y499" s="210"/>
      <c r="Z499" s="210"/>
      <c r="AA499" s="210"/>
      <c r="AB499" s="210"/>
      <c r="AC499" s="210"/>
      <c r="AI499" s="210"/>
      <c r="AJ499" s="210"/>
    </row>
    <row r="500" ht="12.75" customHeight="1">
      <c r="C500" s="210"/>
      <c r="D500" s="210"/>
      <c r="E500" s="210"/>
      <c r="F500" s="210"/>
      <c r="G500" s="210"/>
      <c r="H500" s="210"/>
      <c r="I500" s="210"/>
      <c r="J500" s="210"/>
      <c r="K500" s="210"/>
      <c r="L500" s="210"/>
      <c r="M500" s="210"/>
      <c r="N500" s="210"/>
      <c r="O500" s="210"/>
      <c r="P500" s="210"/>
      <c r="Q500" s="210"/>
      <c r="R500" s="210"/>
      <c r="S500" s="210"/>
      <c r="T500" s="210"/>
      <c r="U500" s="210"/>
      <c r="V500" s="210"/>
      <c r="W500" s="210"/>
      <c r="X500" s="210"/>
      <c r="Y500" s="210"/>
      <c r="Z500" s="210"/>
      <c r="AA500" s="210"/>
      <c r="AB500" s="210"/>
      <c r="AC500" s="210"/>
      <c r="AI500" s="210"/>
      <c r="AJ500" s="210"/>
    </row>
    <row r="501" ht="12.75" customHeight="1">
      <c r="C501" s="210"/>
      <c r="D501" s="210"/>
      <c r="E501" s="210"/>
      <c r="F501" s="210"/>
      <c r="G501" s="210"/>
      <c r="H501" s="210"/>
      <c r="I501" s="210"/>
      <c r="J501" s="210"/>
      <c r="K501" s="210"/>
      <c r="L501" s="210"/>
      <c r="M501" s="210"/>
      <c r="N501" s="210"/>
      <c r="O501" s="210"/>
      <c r="P501" s="210"/>
      <c r="Q501" s="210"/>
      <c r="R501" s="210"/>
      <c r="S501" s="210"/>
      <c r="T501" s="210"/>
      <c r="U501" s="210"/>
      <c r="V501" s="210"/>
      <c r="W501" s="210"/>
      <c r="X501" s="210"/>
      <c r="Y501" s="210"/>
      <c r="Z501" s="210"/>
      <c r="AA501" s="210"/>
      <c r="AB501" s="210"/>
      <c r="AC501" s="210"/>
      <c r="AI501" s="210"/>
      <c r="AJ501" s="210"/>
    </row>
    <row r="502" ht="12.75" customHeight="1">
      <c r="C502" s="210"/>
      <c r="D502" s="210"/>
      <c r="E502" s="210"/>
      <c r="F502" s="210"/>
      <c r="G502" s="210"/>
      <c r="H502" s="210"/>
      <c r="I502" s="210"/>
      <c r="J502" s="210"/>
      <c r="K502" s="210"/>
      <c r="L502" s="210"/>
      <c r="M502" s="210"/>
      <c r="N502" s="210"/>
      <c r="O502" s="210"/>
      <c r="P502" s="210"/>
      <c r="Q502" s="210"/>
      <c r="R502" s="210"/>
      <c r="S502" s="210"/>
      <c r="T502" s="210"/>
      <c r="U502" s="210"/>
      <c r="V502" s="210"/>
      <c r="W502" s="210"/>
      <c r="X502" s="210"/>
      <c r="Y502" s="210"/>
      <c r="Z502" s="210"/>
      <c r="AA502" s="210"/>
      <c r="AB502" s="210"/>
      <c r="AC502" s="210"/>
      <c r="AI502" s="210"/>
      <c r="AJ502" s="210"/>
    </row>
    <row r="503" ht="12.75" customHeight="1">
      <c r="C503" s="210"/>
      <c r="D503" s="210"/>
      <c r="E503" s="210"/>
      <c r="F503" s="210"/>
      <c r="G503" s="210"/>
      <c r="H503" s="210"/>
      <c r="I503" s="210"/>
      <c r="J503" s="210"/>
      <c r="K503" s="210"/>
      <c r="L503" s="210"/>
      <c r="M503" s="210"/>
      <c r="N503" s="210"/>
      <c r="O503" s="210"/>
      <c r="P503" s="210"/>
      <c r="Q503" s="210"/>
      <c r="R503" s="210"/>
      <c r="S503" s="210"/>
      <c r="T503" s="210"/>
      <c r="U503" s="210"/>
      <c r="V503" s="210"/>
      <c r="W503" s="210"/>
      <c r="X503" s="210"/>
      <c r="Y503" s="210"/>
      <c r="Z503" s="210"/>
      <c r="AA503" s="210"/>
      <c r="AB503" s="210"/>
      <c r="AC503" s="210"/>
      <c r="AI503" s="210"/>
      <c r="AJ503" s="210"/>
    </row>
    <row r="504" ht="12.75" customHeight="1">
      <c r="C504" s="210"/>
      <c r="D504" s="210"/>
      <c r="E504" s="210"/>
      <c r="F504" s="210"/>
      <c r="G504" s="210"/>
      <c r="H504" s="210"/>
      <c r="I504" s="210"/>
      <c r="J504" s="210"/>
      <c r="K504" s="210"/>
      <c r="L504" s="210"/>
      <c r="M504" s="210"/>
      <c r="N504" s="210"/>
      <c r="O504" s="210"/>
      <c r="P504" s="210"/>
      <c r="Q504" s="210"/>
      <c r="R504" s="210"/>
      <c r="S504" s="210"/>
      <c r="T504" s="210"/>
      <c r="U504" s="210"/>
      <c r="V504" s="210"/>
      <c r="W504" s="210"/>
      <c r="X504" s="210"/>
      <c r="Y504" s="210"/>
      <c r="Z504" s="210"/>
      <c r="AA504" s="210"/>
      <c r="AB504" s="210"/>
      <c r="AC504" s="210"/>
      <c r="AI504" s="210"/>
      <c r="AJ504" s="210"/>
    </row>
    <row r="505" ht="12.75" customHeight="1">
      <c r="C505" s="210"/>
      <c r="D505" s="210"/>
      <c r="E505" s="210"/>
      <c r="F505" s="210"/>
      <c r="G505" s="210"/>
      <c r="H505" s="210"/>
      <c r="I505" s="210"/>
      <c r="J505" s="210"/>
      <c r="K505" s="210"/>
      <c r="L505" s="210"/>
      <c r="M505" s="210"/>
      <c r="N505" s="210"/>
      <c r="O505" s="210"/>
      <c r="P505" s="210"/>
      <c r="Q505" s="210"/>
      <c r="R505" s="210"/>
      <c r="S505" s="210"/>
      <c r="T505" s="210"/>
      <c r="U505" s="210"/>
      <c r="V505" s="210"/>
      <c r="W505" s="210"/>
      <c r="X505" s="210"/>
      <c r="Y505" s="210"/>
      <c r="Z505" s="210"/>
      <c r="AA505" s="210"/>
      <c r="AB505" s="210"/>
      <c r="AC505" s="210"/>
      <c r="AI505" s="210"/>
      <c r="AJ505" s="210"/>
    </row>
    <row r="506" ht="12.75" customHeight="1">
      <c r="C506" s="210"/>
      <c r="D506" s="210"/>
      <c r="E506" s="210"/>
      <c r="F506" s="210"/>
      <c r="G506" s="210"/>
      <c r="H506" s="210"/>
      <c r="I506" s="210"/>
      <c r="J506" s="210"/>
      <c r="K506" s="210"/>
      <c r="L506" s="210"/>
      <c r="M506" s="210"/>
      <c r="N506" s="210"/>
      <c r="O506" s="210"/>
      <c r="P506" s="210"/>
      <c r="Q506" s="210"/>
      <c r="R506" s="210"/>
      <c r="S506" s="210"/>
      <c r="T506" s="210"/>
      <c r="U506" s="210"/>
      <c r="V506" s="210"/>
      <c r="W506" s="210"/>
      <c r="X506" s="210"/>
      <c r="Y506" s="210"/>
      <c r="Z506" s="210"/>
      <c r="AA506" s="210"/>
      <c r="AB506" s="210"/>
      <c r="AC506" s="210"/>
      <c r="AI506" s="210"/>
      <c r="AJ506" s="210"/>
    </row>
    <row r="507" ht="12.75" customHeight="1">
      <c r="C507" s="210"/>
      <c r="D507" s="210"/>
      <c r="E507" s="210"/>
      <c r="F507" s="210"/>
      <c r="G507" s="210"/>
      <c r="H507" s="210"/>
      <c r="I507" s="210"/>
      <c r="J507" s="210"/>
      <c r="K507" s="210"/>
      <c r="L507" s="210"/>
      <c r="M507" s="210"/>
      <c r="N507" s="210"/>
      <c r="O507" s="210"/>
      <c r="P507" s="210"/>
      <c r="Q507" s="210"/>
      <c r="R507" s="210"/>
      <c r="S507" s="210"/>
      <c r="T507" s="210"/>
      <c r="U507" s="210"/>
      <c r="V507" s="210"/>
      <c r="W507" s="210"/>
      <c r="X507" s="210"/>
      <c r="Y507" s="210"/>
      <c r="Z507" s="210"/>
      <c r="AA507" s="210"/>
      <c r="AB507" s="210"/>
      <c r="AC507" s="210"/>
      <c r="AI507" s="210"/>
      <c r="AJ507" s="210"/>
    </row>
    <row r="508" ht="12.75" customHeight="1">
      <c r="C508" s="210"/>
      <c r="D508" s="210"/>
      <c r="E508" s="210"/>
      <c r="F508" s="210"/>
      <c r="G508" s="210"/>
      <c r="H508" s="210"/>
      <c r="I508" s="210"/>
      <c r="J508" s="210"/>
      <c r="K508" s="210"/>
      <c r="L508" s="210"/>
      <c r="M508" s="210"/>
      <c r="N508" s="210"/>
      <c r="O508" s="210"/>
      <c r="P508" s="210"/>
      <c r="Q508" s="210"/>
      <c r="R508" s="210"/>
      <c r="S508" s="210"/>
      <c r="T508" s="210"/>
      <c r="U508" s="210"/>
      <c r="V508" s="210"/>
      <c r="W508" s="210"/>
      <c r="X508" s="210"/>
      <c r="Y508" s="210"/>
      <c r="Z508" s="210"/>
      <c r="AA508" s="210"/>
      <c r="AB508" s="210"/>
      <c r="AC508" s="210"/>
      <c r="AI508" s="210"/>
      <c r="AJ508" s="210"/>
    </row>
    <row r="509" ht="12.75" customHeight="1">
      <c r="C509" s="210"/>
      <c r="D509" s="210"/>
      <c r="E509" s="210"/>
      <c r="F509" s="210"/>
      <c r="G509" s="210"/>
      <c r="H509" s="210"/>
      <c r="I509" s="210"/>
      <c r="J509" s="210"/>
      <c r="K509" s="210"/>
      <c r="L509" s="210"/>
      <c r="M509" s="210"/>
      <c r="N509" s="210"/>
      <c r="O509" s="210"/>
      <c r="P509" s="210"/>
      <c r="Q509" s="210"/>
      <c r="R509" s="210"/>
      <c r="S509" s="210"/>
      <c r="T509" s="210"/>
      <c r="U509" s="210"/>
      <c r="V509" s="210"/>
      <c r="W509" s="210"/>
      <c r="X509" s="210"/>
      <c r="Y509" s="210"/>
      <c r="Z509" s="210"/>
      <c r="AA509" s="210"/>
      <c r="AB509" s="210"/>
      <c r="AC509" s="210"/>
      <c r="AI509" s="210"/>
      <c r="AJ509" s="210"/>
    </row>
    <row r="510" ht="12.75" customHeight="1">
      <c r="C510" s="210"/>
      <c r="D510" s="210"/>
      <c r="E510" s="210"/>
      <c r="F510" s="210"/>
      <c r="G510" s="210"/>
      <c r="H510" s="210"/>
      <c r="I510" s="210"/>
      <c r="J510" s="210"/>
      <c r="K510" s="210"/>
      <c r="L510" s="210"/>
      <c r="M510" s="210"/>
      <c r="N510" s="210"/>
      <c r="O510" s="210"/>
      <c r="P510" s="210"/>
      <c r="Q510" s="210"/>
      <c r="R510" s="210"/>
      <c r="S510" s="210"/>
      <c r="T510" s="210"/>
      <c r="U510" s="210"/>
      <c r="V510" s="210"/>
      <c r="W510" s="210"/>
      <c r="X510" s="210"/>
      <c r="Y510" s="210"/>
      <c r="Z510" s="210"/>
      <c r="AA510" s="210"/>
      <c r="AB510" s="210"/>
      <c r="AC510" s="210"/>
      <c r="AI510" s="210"/>
      <c r="AJ510" s="210"/>
    </row>
    <row r="511" ht="12.75" customHeight="1">
      <c r="C511" s="210"/>
      <c r="D511" s="210"/>
      <c r="E511" s="210"/>
      <c r="F511" s="210"/>
      <c r="G511" s="210"/>
      <c r="H511" s="210"/>
      <c r="I511" s="210"/>
      <c r="J511" s="210"/>
      <c r="K511" s="210"/>
      <c r="L511" s="210"/>
      <c r="M511" s="210"/>
      <c r="N511" s="210"/>
      <c r="O511" s="210"/>
      <c r="P511" s="210"/>
      <c r="Q511" s="210"/>
      <c r="R511" s="210"/>
      <c r="S511" s="210"/>
      <c r="T511" s="210"/>
      <c r="U511" s="210"/>
      <c r="V511" s="210"/>
      <c r="W511" s="210"/>
      <c r="X511" s="210"/>
      <c r="Y511" s="210"/>
      <c r="Z511" s="210"/>
      <c r="AA511" s="210"/>
      <c r="AB511" s="210"/>
      <c r="AC511" s="210"/>
      <c r="AI511" s="210"/>
      <c r="AJ511" s="210"/>
    </row>
    <row r="512" ht="12.75" customHeight="1">
      <c r="C512" s="210"/>
      <c r="D512" s="210"/>
      <c r="E512" s="210"/>
      <c r="F512" s="210"/>
      <c r="G512" s="210"/>
      <c r="H512" s="210"/>
      <c r="I512" s="210"/>
      <c r="J512" s="210"/>
      <c r="K512" s="210"/>
      <c r="L512" s="210"/>
      <c r="M512" s="210"/>
      <c r="N512" s="210"/>
      <c r="O512" s="210"/>
      <c r="P512" s="210"/>
      <c r="Q512" s="210"/>
      <c r="R512" s="210"/>
      <c r="S512" s="210"/>
      <c r="T512" s="210"/>
      <c r="U512" s="210"/>
      <c r="V512" s="210"/>
      <c r="W512" s="210"/>
      <c r="X512" s="210"/>
      <c r="Y512" s="210"/>
      <c r="Z512" s="210"/>
      <c r="AA512" s="210"/>
      <c r="AB512" s="210"/>
      <c r="AC512" s="210"/>
      <c r="AI512" s="210"/>
      <c r="AJ512" s="210"/>
    </row>
    <row r="513" ht="12.75" customHeight="1">
      <c r="C513" s="210"/>
      <c r="D513" s="210"/>
      <c r="E513" s="210"/>
      <c r="F513" s="210"/>
      <c r="G513" s="210"/>
      <c r="H513" s="210"/>
      <c r="I513" s="210"/>
      <c r="J513" s="210"/>
      <c r="K513" s="210"/>
      <c r="L513" s="210"/>
      <c r="M513" s="210"/>
      <c r="N513" s="210"/>
      <c r="O513" s="210"/>
      <c r="P513" s="210"/>
      <c r="Q513" s="210"/>
      <c r="R513" s="210"/>
      <c r="S513" s="210"/>
      <c r="T513" s="210"/>
      <c r="U513" s="210"/>
      <c r="V513" s="210"/>
      <c r="W513" s="210"/>
      <c r="X513" s="210"/>
      <c r="Y513" s="210"/>
      <c r="Z513" s="210"/>
      <c r="AA513" s="210"/>
      <c r="AB513" s="210"/>
      <c r="AC513" s="210"/>
      <c r="AI513" s="210"/>
      <c r="AJ513" s="210"/>
    </row>
    <row r="514" ht="12.75" customHeight="1">
      <c r="C514" s="210"/>
      <c r="D514" s="210"/>
      <c r="E514" s="210"/>
      <c r="F514" s="210"/>
      <c r="G514" s="210"/>
      <c r="H514" s="210"/>
      <c r="I514" s="210"/>
      <c r="J514" s="210"/>
      <c r="K514" s="210"/>
      <c r="L514" s="210"/>
      <c r="M514" s="210"/>
      <c r="N514" s="210"/>
      <c r="O514" s="210"/>
      <c r="P514" s="210"/>
      <c r="Q514" s="210"/>
      <c r="R514" s="210"/>
      <c r="S514" s="210"/>
      <c r="T514" s="210"/>
      <c r="U514" s="210"/>
      <c r="V514" s="210"/>
      <c r="W514" s="210"/>
      <c r="X514" s="210"/>
      <c r="Y514" s="210"/>
      <c r="Z514" s="210"/>
      <c r="AA514" s="210"/>
      <c r="AB514" s="210"/>
      <c r="AC514" s="210"/>
      <c r="AI514" s="210"/>
      <c r="AJ514" s="210"/>
    </row>
    <row r="515" ht="12.75" customHeight="1">
      <c r="C515" s="210"/>
      <c r="D515" s="210"/>
      <c r="E515" s="210"/>
      <c r="F515" s="210"/>
      <c r="G515" s="210"/>
      <c r="H515" s="210"/>
      <c r="I515" s="210"/>
      <c r="J515" s="210"/>
      <c r="K515" s="210"/>
      <c r="L515" s="210"/>
      <c r="M515" s="210"/>
      <c r="N515" s="210"/>
      <c r="O515" s="210"/>
      <c r="P515" s="210"/>
      <c r="Q515" s="210"/>
      <c r="R515" s="210"/>
      <c r="S515" s="210"/>
      <c r="T515" s="210"/>
      <c r="U515" s="210"/>
      <c r="V515" s="210"/>
      <c r="W515" s="210"/>
      <c r="X515" s="210"/>
      <c r="Y515" s="210"/>
      <c r="Z515" s="210"/>
      <c r="AA515" s="210"/>
      <c r="AB515" s="210"/>
      <c r="AC515" s="210"/>
      <c r="AI515" s="210"/>
      <c r="AJ515" s="210"/>
    </row>
    <row r="516" ht="12.75" customHeight="1">
      <c r="C516" s="210"/>
      <c r="D516" s="210"/>
      <c r="E516" s="210"/>
      <c r="F516" s="210"/>
      <c r="G516" s="210"/>
      <c r="H516" s="210"/>
      <c r="I516" s="210"/>
      <c r="J516" s="210"/>
      <c r="K516" s="210"/>
      <c r="L516" s="210"/>
      <c r="M516" s="210"/>
      <c r="N516" s="210"/>
      <c r="O516" s="210"/>
      <c r="P516" s="210"/>
      <c r="Q516" s="210"/>
      <c r="R516" s="210"/>
      <c r="S516" s="210"/>
      <c r="T516" s="210"/>
      <c r="U516" s="210"/>
      <c r="V516" s="210"/>
      <c r="W516" s="210"/>
      <c r="X516" s="210"/>
      <c r="Y516" s="210"/>
      <c r="Z516" s="210"/>
      <c r="AA516" s="210"/>
      <c r="AB516" s="210"/>
      <c r="AC516" s="210"/>
      <c r="AI516" s="210"/>
      <c r="AJ516" s="210"/>
    </row>
    <row r="517" ht="12.75" customHeight="1">
      <c r="C517" s="210"/>
      <c r="D517" s="210"/>
      <c r="E517" s="210"/>
      <c r="F517" s="210"/>
      <c r="G517" s="210"/>
      <c r="H517" s="210"/>
      <c r="I517" s="210"/>
      <c r="J517" s="210"/>
      <c r="K517" s="210"/>
      <c r="L517" s="210"/>
      <c r="M517" s="210"/>
      <c r="N517" s="210"/>
      <c r="O517" s="210"/>
      <c r="P517" s="210"/>
      <c r="Q517" s="210"/>
      <c r="R517" s="210"/>
      <c r="S517" s="210"/>
      <c r="T517" s="210"/>
      <c r="U517" s="210"/>
      <c r="V517" s="210"/>
      <c r="W517" s="210"/>
      <c r="X517" s="210"/>
      <c r="Y517" s="210"/>
      <c r="Z517" s="210"/>
      <c r="AA517" s="210"/>
      <c r="AB517" s="210"/>
      <c r="AC517" s="210"/>
      <c r="AI517" s="210"/>
      <c r="AJ517" s="210"/>
    </row>
    <row r="518" ht="12.75" customHeight="1">
      <c r="C518" s="210"/>
      <c r="D518" s="210"/>
      <c r="E518" s="210"/>
      <c r="F518" s="210"/>
      <c r="G518" s="210"/>
      <c r="H518" s="210"/>
      <c r="I518" s="210"/>
      <c r="J518" s="210"/>
      <c r="K518" s="210"/>
      <c r="L518" s="210"/>
      <c r="M518" s="210"/>
      <c r="N518" s="210"/>
      <c r="O518" s="210"/>
      <c r="P518" s="210"/>
      <c r="Q518" s="210"/>
      <c r="R518" s="210"/>
      <c r="S518" s="210"/>
      <c r="T518" s="210"/>
      <c r="U518" s="210"/>
      <c r="V518" s="210"/>
      <c r="W518" s="210"/>
      <c r="X518" s="210"/>
      <c r="Y518" s="210"/>
      <c r="Z518" s="210"/>
      <c r="AA518" s="210"/>
      <c r="AB518" s="210"/>
      <c r="AC518" s="210"/>
      <c r="AI518" s="210"/>
      <c r="AJ518" s="210"/>
    </row>
    <row r="519" ht="12.75" customHeight="1">
      <c r="C519" s="210"/>
      <c r="D519" s="210"/>
      <c r="E519" s="210"/>
      <c r="F519" s="210"/>
      <c r="G519" s="210"/>
      <c r="H519" s="210"/>
      <c r="I519" s="210"/>
      <c r="J519" s="210"/>
      <c r="K519" s="210"/>
      <c r="L519" s="210"/>
      <c r="M519" s="210"/>
      <c r="N519" s="210"/>
      <c r="O519" s="210"/>
      <c r="P519" s="210"/>
      <c r="Q519" s="210"/>
      <c r="R519" s="210"/>
      <c r="S519" s="210"/>
      <c r="T519" s="210"/>
      <c r="U519" s="210"/>
      <c r="V519" s="210"/>
      <c r="W519" s="210"/>
      <c r="X519" s="210"/>
      <c r="Y519" s="210"/>
      <c r="Z519" s="210"/>
      <c r="AA519" s="210"/>
      <c r="AB519" s="210"/>
      <c r="AC519" s="210"/>
      <c r="AI519" s="210"/>
      <c r="AJ519" s="210"/>
    </row>
    <row r="520" ht="12.75" customHeight="1">
      <c r="C520" s="210"/>
      <c r="D520" s="210"/>
      <c r="E520" s="210"/>
      <c r="F520" s="210"/>
      <c r="G520" s="210"/>
      <c r="H520" s="210"/>
      <c r="I520" s="210"/>
      <c r="J520" s="210"/>
      <c r="K520" s="210"/>
      <c r="L520" s="210"/>
      <c r="M520" s="210"/>
      <c r="N520" s="210"/>
      <c r="O520" s="210"/>
      <c r="P520" s="210"/>
      <c r="Q520" s="210"/>
      <c r="R520" s="210"/>
      <c r="S520" s="210"/>
      <c r="T520" s="210"/>
      <c r="U520" s="210"/>
      <c r="V520" s="210"/>
      <c r="W520" s="210"/>
      <c r="X520" s="210"/>
      <c r="Y520" s="210"/>
      <c r="Z520" s="210"/>
      <c r="AA520" s="210"/>
      <c r="AB520" s="210"/>
      <c r="AC520" s="210"/>
      <c r="AI520" s="210"/>
      <c r="AJ520" s="210"/>
    </row>
    <row r="521" ht="12.75" customHeight="1">
      <c r="C521" s="210"/>
      <c r="D521" s="210"/>
      <c r="E521" s="210"/>
      <c r="F521" s="210"/>
      <c r="G521" s="210"/>
      <c r="H521" s="210"/>
      <c r="I521" s="210"/>
      <c r="J521" s="210"/>
      <c r="K521" s="210"/>
      <c r="L521" s="210"/>
      <c r="M521" s="210"/>
      <c r="N521" s="210"/>
      <c r="O521" s="210"/>
      <c r="P521" s="210"/>
      <c r="Q521" s="210"/>
      <c r="R521" s="210"/>
      <c r="S521" s="210"/>
      <c r="T521" s="210"/>
      <c r="U521" s="210"/>
      <c r="V521" s="210"/>
      <c r="W521" s="210"/>
      <c r="X521" s="210"/>
      <c r="Y521" s="210"/>
      <c r="Z521" s="210"/>
      <c r="AA521" s="210"/>
      <c r="AB521" s="210"/>
      <c r="AC521" s="210"/>
      <c r="AI521" s="210"/>
      <c r="AJ521" s="210"/>
    </row>
    <row r="522" ht="12.75" customHeight="1">
      <c r="C522" s="210"/>
      <c r="D522" s="210"/>
      <c r="E522" s="210"/>
      <c r="F522" s="210"/>
      <c r="G522" s="210"/>
      <c r="H522" s="210"/>
      <c r="I522" s="210"/>
      <c r="J522" s="210"/>
      <c r="K522" s="210"/>
      <c r="L522" s="210"/>
      <c r="M522" s="210"/>
      <c r="N522" s="210"/>
      <c r="O522" s="210"/>
      <c r="P522" s="210"/>
      <c r="Q522" s="210"/>
      <c r="R522" s="210"/>
      <c r="S522" s="210"/>
      <c r="T522" s="210"/>
      <c r="U522" s="210"/>
      <c r="V522" s="210"/>
      <c r="W522" s="210"/>
      <c r="X522" s="210"/>
      <c r="Y522" s="210"/>
      <c r="Z522" s="210"/>
      <c r="AA522" s="210"/>
      <c r="AB522" s="210"/>
      <c r="AC522" s="210"/>
      <c r="AI522" s="210"/>
      <c r="AJ522" s="210"/>
    </row>
    <row r="523" ht="12.75" customHeight="1">
      <c r="C523" s="210"/>
      <c r="D523" s="210"/>
      <c r="E523" s="210"/>
      <c r="F523" s="210"/>
      <c r="G523" s="210"/>
      <c r="H523" s="210"/>
      <c r="I523" s="210"/>
      <c r="J523" s="210"/>
      <c r="K523" s="210"/>
      <c r="L523" s="210"/>
      <c r="M523" s="210"/>
      <c r="N523" s="210"/>
      <c r="O523" s="210"/>
      <c r="P523" s="210"/>
      <c r="Q523" s="210"/>
      <c r="R523" s="210"/>
      <c r="S523" s="210"/>
      <c r="T523" s="210"/>
      <c r="U523" s="210"/>
      <c r="V523" s="210"/>
      <c r="W523" s="210"/>
      <c r="X523" s="210"/>
      <c r="Y523" s="210"/>
      <c r="Z523" s="210"/>
      <c r="AA523" s="210"/>
      <c r="AB523" s="210"/>
      <c r="AC523" s="210"/>
      <c r="AI523" s="210"/>
      <c r="AJ523" s="210"/>
    </row>
    <row r="524" ht="12.75" customHeight="1">
      <c r="C524" s="210"/>
      <c r="D524" s="210"/>
      <c r="E524" s="210"/>
      <c r="F524" s="210"/>
      <c r="G524" s="210"/>
      <c r="H524" s="210"/>
      <c r="I524" s="210"/>
      <c r="J524" s="210"/>
      <c r="K524" s="210"/>
      <c r="L524" s="210"/>
      <c r="M524" s="210"/>
      <c r="N524" s="210"/>
      <c r="O524" s="210"/>
      <c r="P524" s="210"/>
      <c r="Q524" s="210"/>
      <c r="R524" s="210"/>
      <c r="S524" s="210"/>
      <c r="T524" s="210"/>
      <c r="U524" s="210"/>
      <c r="V524" s="210"/>
      <c r="W524" s="210"/>
      <c r="X524" s="210"/>
      <c r="Y524" s="210"/>
      <c r="Z524" s="210"/>
      <c r="AA524" s="210"/>
      <c r="AB524" s="210"/>
      <c r="AC524" s="210"/>
      <c r="AI524" s="210"/>
      <c r="AJ524" s="210"/>
    </row>
    <row r="525" ht="12.75" customHeight="1">
      <c r="C525" s="210"/>
      <c r="D525" s="210"/>
      <c r="E525" s="210"/>
      <c r="F525" s="210"/>
      <c r="G525" s="210"/>
      <c r="H525" s="210"/>
      <c r="I525" s="210"/>
      <c r="J525" s="210"/>
      <c r="K525" s="210"/>
      <c r="L525" s="210"/>
      <c r="M525" s="210"/>
      <c r="N525" s="210"/>
      <c r="O525" s="210"/>
      <c r="P525" s="210"/>
      <c r="Q525" s="210"/>
      <c r="R525" s="210"/>
      <c r="S525" s="210"/>
      <c r="T525" s="210"/>
      <c r="U525" s="210"/>
      <c r="V525" s="210"/>
      <c r="W525" s="210"/>
      <c r="X525" s="210"/>
      <c r="Y525" s="210"/>
      <c r="Z525" s="210"/>
      <c r="AA525" s="210"/>
      <c r="AB525" s="210"/>
      <c r="AC525" s="210"/>
      <c r="AI525" s="210"/>
      <c r="AJ525" s="210"/>
    </row>
    <row r="526" ht="12.75" customHeight="1">
      <c r="C526" s="210"/>
      <c r="D526" s="210"/>
      <c r="E526" s="210"/>
      <c r="F526" s="210"/>
      <c r="G526" s="210"/>
      <c r="H526" s="210"/>
      <c r="I526" s="210"/>
      <c r="J526" s="210"/>
      <c r="K526" s="210"/>
      <c r="L526" s="210"/>
      <c r="M526" s="210"/>
      <c r="N526" s="210"/>
      <c r="O526" s="210"/>
      <c r="P526" s="210"/>
      <c r="Q526" s="210"/>
      <c r="R526" s="210"/>
      <c r="S526" s="210"/>
      <c r="T526" s="210"/>
      <c r="U526" s="210"/>
      <c r="V526" s="210"/>
      <c r="W526" s="210"/>
      <c r="X526" s="210"/>
      <c r="Y526" s="210"/>
      <c r="Z526" s="210"/>
      <c r="AA526" s="210"/>
      <c r="AB526" s="210"/>
      <c r="AC526" s="210"/>
      <c r="AI526" s="210"/>
      <c r="AJ526" s="210"/>
    </row>
    <row r="527" ht="12.75" customHeight="1">
      <c r="C527" s="210"/>
      <c r="D527" s="210"/>
      <c r="E527" s="210"/>
      <c r="F527" s="210"/>
      <c r="G527" s="210"/>
      <c r="H527" s="210"/>
      <c r="I527" s="210"/>
      <c r="J527" s="210"/>
      <c r="K527" s="210"/>
      <c r="L527" s="210"/>
      <c r="M527" s="210"/>
      <c r="N527" s="210"/>
      <c r="O527" s="210"/>
      <c r="P527" s="210"/>
      <c r="Q527" s="210"/>
      <c r="R527" s="210"/>
      <c r="S527" s="210"/>
      <c r="T527" s="210"/>
      <c r="U527" s="210"/>
      <c r="V527" s="210"/>
      <c r="W527" s="210"/>
      <c r="X527" s="210"/>
      <c r="Y527" s="210"/>
      <c r="Z527" s="210"/>
      <c r="AA527" s="210"/>
      <c r="AB527" s="210"/>
      <c r="AC527" s="210"/>
      <c r="AI527" s="210"/>
      <c r="AJ527" s="210"/>
    </row>
    <row r="528" ht="12.75" customHeight="1">
      <c r="C528" s="210"/>
      <c r="D528" s="210"/>
      <c r="E528" s="210"/>
      <c r="F528" s="210"/>
      <c r="G528" s="210"/>
      <c r="H528" s="210"/>
      <c r="I528" s="210"/>
      <c r="J528" s="210"/>
      <c r="K528" s="210"/>
      <c r="L528" s="210"/>
      <c r="M528" s="210"/>
      <c r="N528" s="210"/>
      <c r="O528" s="210"/>
      <c r="P528" s="210"/>
      <c r="Q528" s="210"/>
      <c r="R528" s="210"/>
      <c r="S528" s="210"/>
      <c r="T528" s="210"/>
      <c r="U528" s="210"/>
      <c r="V528" s="210"/>
      <c r="W528" s="210"/>
      <c r="X528" s="210"/>
      <c r="Y528" s="210"/>
      <c r="Z528" s="210"/>
      <c r="AA528" s="210"/>
      <c r="AB528" s="210"/>
      <c r="AC528" s="210"/>
      <c r="AI528" s="210"/>
      <c r="AJ528" s="210"/>
    </row>
    <row r="529" ht="12.75" customHeight="1">
      <c r="C529" s="210"/>
      <c r="D529" s="210"/>
      <c r="E529" s="210"/>
      <c r="F529" s="210"/>
      <c r="G529" s="210"/>
      <c r="H529" s="210"/>
      <c r="I529" s="210"/>
      <c r="J529" s="210"/>
      <c r="K529" s="210"/>
      <c r="L529" s="210"/>
      <c r="M529" s="210"/>
      <c r="N529" s="210"/>
      <c r="O529" s="210"/>
      <c r="P529" s="210"/>
      <c r="Q529" s="210"/>
      <c r="R529" s="210"/>
      <c r="S529" s="210"/>
      <c r="T529" s="210"/>
      <c r="U529" s="210"/>
      <c r="V529" s="210"/>
      <c r="W529" s="210"/>
      <c r="X529" s="210"/>
      <c r="Y529" s="210"/>
      <c r="Z529" s="210"/>
      <c r="AA529" s="210"/>
      <c r="AB529" s="210"/>
      <c r="AC529" s="210"/>
      <c r="AI529" s="210"/>
      <c r="AJ529" s="210"/>
    </row>
    <row r="530" ht="12.75" customHeight="1">
      <c r="C530" s="210"/>
      <c r="D530" s="210"/>
      <c r="E530" s="210"/>
      <c r="F530" s="210"/>
      <c r="G530" s="210"/>
      <c r="H530" s="210"/>
      <c r="I530" s="210"/>
      <c r="J530" s="210"/>
      <c r="K530" s="210"/>
      <c r="L530" s="210"/>
      <c r="M530" s="210"/>
      <c r="N530" s="210"/>
      <c r="O530" s="210"/>
      <c r="P530" s="210"/>
      <c r="Q530" s="210"/>
      <c r="R530" s="210"/>
      <c r="S530" s="210"/>
      <c r="T530" s="210"/>
      <c r="U530" s="210"/>
      <c r="V530" s="210"/>
      <c r="W530" s="210"/>
      <c r="X530" s="210"/>
      <c r="Y530" s="210"/>
      <c r="Z530" s="210"/>
      <c r="AA530" s="210"/>
      <c r="AB530" s="210"/>
      <c r="AC530" s="210"/>
      <c r="AI530" s="210"/>
      <c r="AJ530" s="210"/>
    </row>
    <row r="531" ht="12.75" customHeight="1">
      <c r="C531" s="210"/>
      <c r="D531" s="210"/>
      <c r="E531" s="210"/>
      <c r="F531" s="210"/>
      <c r="G531" s="210"/>
      <c r="H531" s="210"/>
      <c r="I531" s="210"/>
      <c r="J531" s="210"/>
      <c r="K531" s="210"/>
      <c r="L531" s="210"/>
      <c r="M531" s="210"/>
      <c r="N531" s="210"/>
      <c r="O531" s="210"/>
      <c r="P531" s="210"/>
      <c r="Q531" s="210"/>
      <c r="R531" s="210"/>
      <c r="S531" s="210"/>
      <c r="T531" s="210"/>
      <c r="U531" s="210"/>
      <c r="V531" s="210"/>
      <c r="W531" s="210"/>
      <c r="X531" s="210"/>
      <c r="Y531" s="210"/>
      <c r="Z531" s="210"/>
      <c r="AA531" s="210"/>
      <c r="AB531" s="210"/>
      <c r="AC531" s="210"/>
      <c r="AI531" s="210"/>
      <c r="AJ531" s="210"/>
    </row>
    <row r="532" ht="12.75" customHeight="1">
      <c r="C532" s="210"/>
      <c r="D532" s="210"/>
      <c r="E532" s="210"/>
      <c r="F532" s="210"/>
      <c r="G532" s="210"/>
      <c r="H532" s="210"/>
      <c r="I532" s="210"/>
      <c r="J532" s="210"/>
      <c r="K532" s="210"/>
      <c r="L532" s="210"/>
      <c r="M532" s="210"/>
      <c r="N532" s="210"/>
      <c r="O532" s="210"/>
      <c r="P532" s="210"/>
      <c r="Q532" s="210"/>
      <c r="R532" s="210"/>
      <c r="S532" s="210"/>
      <c r="T532" s="210"/>
      <c r="U532" s="210"/>
      <c r="V532" s="210"/>
      <c r="W532" s="210"/>
      <c r="X532" s="210"/>
      <c r="Y532" s="210"/>
      <c r="Z532" s="210"/>
      <c r="AA532" s="210"/>
      <c r="AB532" s="210"/>
      <c r="AC532" s="210"/>
      <c r="AI532" s="210"/>
      <c r="AJ532" s="210"/>
    </row>
    <row r="533" ht="12.75" customHeight="1">
      <c r="C533" s="210"/>
      <c r="D533" s="210"/>
      <c r="E533" s="210"/>
      <c r="F533" s="210"/>
      <c r="G533" s="210"/>
      <c r="H533" s="210"/>
      <c r="I533" s="210"/>
      <c r="J533" s="210"/>
      <c r="K533" s="210"/>
      <c r="L533" s="210"/>
      <c r="M533" s="210"/>
      <c r="N533" s="210"/>
      <c r="O533" s="210"/>
      <c r="P533" s="210"/>
      <c r="Q533" s="210"/>
      <c r="R533" s="210"/>
      <c r="S533" s="210"/>
      <c r="T533" s="210"/>
      <c r="U533" s="210"/>
      <c r="V533" s="210"/>
      <c r="W533" s="210"/>
      <c r="X533" s="210"/>
      <c r="Y533" s="210"/>
      <c r="Z533" s="210"/>
      <c r="AA533" s="210"/>
      <c r="AB533" s="210"/>
      <c r="AC533" s="210"/>
      <c r="AI533" s="210"/>
      <c r="AJ533" s="210"/>
    </row>
    <row r="534" ht="12.75" customHeight="1">
      <c r="C534" s="210"/>
      <c r="D534" s="210"/>
      <c r="E534" s="210"/>
      <c r="F534" s="210"/>
      <c r="G534" s="210"/>
      <c r="H534" s="210"/>
      <c r="I534" s="210"/>
      <c r="J534" s="210"/>
      <c r="K534" s="210"/>
      <c r="L534" s="210"/>
      <c r="M534" s="210"/>
      <c r="N534" s="210"/>
      <c r="O534" s="210"/>
      <c r="P534" s="210"/>
      <c r="Q534" s="210"/>
      <c r="R534" s="210"/>
      <c r="S534" s="210"/>
      <c r="T534" s="210"/>
      <c r="U534" s="210"/>
      <c r="V534" s="210"/>
      <c r="W534" s="210"/>
      <c r="X534" s="210"/>
      <c r="Y534" s="210"/>
      <c r="Z534" s="210"/>
      <c r="AA534" s="210"/>
      <c r="AB534" s="210"/>
      <c r="AC534" s="210"/>
      <c r="AI534" s="210"/>
      <c r="AJ534" s="210"/>
    </row>
    <row r="535" ht="12.75" customHeight="1">
      <c r="C535" s="210"/>
      <c r="D535" s="210"/>
      <c r="E535" s="210"/>
      <c r="F535" s="210"/>
      <c r="G535" s="210"/>
      <c r="H535" s="210"/>
      <c r="I535" s="210"/>
      <c r="J535" s="210"/>
      <c r="K535" s="210"/>
      <c r="L535" s="210"/>
      <c r="M535" s="210"/>
      <c r="N535" s="210"/>
      <c r="O535" s="210"/>
      <c r="P535" s="210"/>
      <c r="Q535" s="210"/>
      <c r="R535" s="210"/>
      <c r="S535" s="210"/>
      <c r="T535" s="210"/>
      <c r="U535" s="210"/>
      <c r="V535" s="210"/>
      <c r="W535" s="210"/>
      <c r="X535" s="210"/>
      <c r="Y535" s="210"/>
      <c r="Z535" s="210"/>
      <c r="AA535" s="210"/>
      <c r="AB535" s="210"/>
      <c r="AC535" s="210"/>
      <c r="AI535" s="210"/>
      <c r="AJ535" s="210"/>
    </row>
    <row r="536" ht="12.75" customHeight="1">
      <c r="C536" s="210"/>
      <c r="D536" s="210"/>
      <c r="E536" s="210"/>
      <c r="F536" s="210"/>
      <c r="G536" s="210"/>
      <c r="H536" s="210"/>
      <c r="I536" s="210"/>
      <c r="J536" s="210"/>
      <c r="K536" s="210"/>
      <c r="L536" s="210"/>
      <c r="M536" s="210"/>
      <c r="N536" s="210"/>
      <c r="O536" s="210"/>
      <c r="P536" s="210"/>
      <c r="Q536" s="210"/>
      <c r="R536" s="210"/>
      <c r="S536" s="210"/>
      <c r="T536" s="210"/>
      <c r="U536" s="210"/>
      <c r="V536" s="210"/>
      <c r="W536" s="210"/>
      <c r="X536" s="210"/>
      <c r="Y536" s="210"/>
      <c r="Z536" s="210"/>
      <c r="AA536" s="210"/>
      <c r="AB536" s="210"/>
      <c r="AC536" s="210"/>
      <c r="AI536" s="210"/>
      <c r="AJ536" s="210"/>
    </row>
    <row r="537" ht="12.75" customHeight="1">
      <c r="C537" s="210"/>
      <c r="D537" s="210"/>
      <c r="E537" s="210"/>
      <c r="F537" s="210"/>
      <c r="G537" s="210"/>
      <c r="H537" s="210"/>
      <c r="I537" s="210"/>
      <c r="J537" s="210"/>
      <c r="K537" s="210"/>
      <c r="L537" s="210"/>
      <c r="M537" s="210"/>
      <c r="N537" s="210"/>
      <c r="O537" s="210"/>
      <c r="P537" s="210"/>
      <c r="Q537" s="210"/>
      <c r="R537" s="210"/>
      <c r="S537" s="210"/>
      <c r="T537" s="210"/>
      <c r="U537" s="210"/>
      <c r="V537" s="210"/>
      <c r="W537" s="210"/>
      <c r="X537" s="210"/>
      <c r="Y537" s="210"/>
      <c r="Z537" s="210"/>
      <c r="AA537" s="210"/>
      <c r="AB537" s="210"/>
      <c r="AC537" s="210"/>
      <c r="AI537" s="210"/>
      <c r="AJ537" s="210"/>
    </row>
    <row r="538" ht="12.75" customHeight="1">
      <c r="C538" s="210"/>
      <c r="D538" s="210"/>
      <c r="E538" s="210"/>
      <c r="F538" s="210"/>
      <c r="G538" s="210"/>
      <c r="H538" s="210"/>
      <c r="I538" s="210"/>
      <c r="J538" s="210"/>
      <c r="K538" s="210"/>
      <c r="L538" s="210"/>
      <c r="M538" s="210"/>
      <c r="N538" s="210"/>
      <c r="O538" s="210"/>
      <c r="P538" s="210"/>
      <c r="Q538" s="210"/>
      <c r="R538" s="210"/>
      <c r="S538" s="210"/>
      <c r="T538" s="210"/>
      <c r="U538" s="210"/>
      <c r="V538" s="210"/>
      <c r="W538" s="210"/>
      <c r="X538" s="210"/>
      <c r="Y538" s="210"/>
      <c r="Z538" s="210"/>
      <c r="AA538" s="210"/>
      <c r="AB538" s="210"/>
      <c r="AC538" s="210"/>
      <c r="AI538" s="210"/>
      <c r="AJ538" s="210"/>
    </row>
    <row r="539" ht="12.75" customHeight="1">
      <c r="C539" s="210"/>
      <c r="D539" s="210"/>
      <c r="E539" s="210"/>
      <c r="F539" s="210"/>
      <c r="G539" s="210"/>
      <c r="H539" s="210"/>
      <c r="I539" s="210"/>
      <c r="J539" s="210"/>
      <c r="K539" s="210"/>
      <c r="L539" s="210"/>
      <c r="M539" s="210"/>
      <c r="N539" s="210"/>
      <c r="O539" s="210"/>
      <c r="P539" s="210"/>
      <c r="Q539" s="210"/>
      <c r="R539" s="210"/>
      <c r="S539" s="210"/>
      <c r="T539" s="210"/>
      <c r="U539" s="210"/>
      <c r="V539" s="210"/>
      <c r="W539" s="210"/>
      <c r="X539" s="210"/>
      <c r="Y539" s="210"/>
      <c r="Z539" s="210"/>
      <c r="AA539" s="210"/>
      <c r="AB539" s="210"/>
      <c r="AC539" s="210"/>
      <c r="AI539" s="210"/>
      <c r="AJ539" s="210"/>
    </row>
    <row r="540" ht="12.75" customHeight="1">
      <c r="C540" s="210"/>
      <c r="D540" s="210"/>
      <c r="E540" s="210"/>
      <c r="F540" s="210"/>
      <c r="G540" s="210"/>
      <c r="H540" s="210"/>
      <c r="I540" s="210"/>
      <c r="J540" s="210"/>
      <c r="K540" s="210"/>
      <c r="L540" s="210"/>
      <c r="M540" s="210"/>
      <c r="N540" s="210"/>
      <c r="O540" s="210"/>
      <c r="P540" s="210"/>
      <c r="Q540" s="210"/>
      <c r="R540" s="210"/>
      <c r="S540" s="210"/>
      <c r="T540" s="210"/>
      <c r="U540" s="210"/>
      <c r="V540" s="210"/>
      <c r="W540" s="210"/>
      <c r="X540" s="210"/>
      <c r="Y540" s="210"/>
      <c r="Z540" s="210"/>
      <c r="AA540" s="210"/>
      <c r="AB540" s="210"/>
      <c r="AC540" s="210"/>
      <c r="AI540" s="210"/>
      <c r="AJ540" s="210"/>
    </row>
    <row r="541" ht="12.75" customHeight="1">
      <c r="C541" s="210"/>
      <c r="D541" s="210"/>
      <c r="E541" s="210"/>
      <c r="F541" s="210"/>
      <c r="G541" s="210"/>
      <c r="H541" s="210"/>
      <c r="I541" s="210"/>
      <c r="J541" s="210"/>
      <c r="K541" s="210"/>
      <c r="L541" s="210"/>
      <c r="M541" s="210"/>
      <c r="N541" s="210"/>
      <c r="O541" s="210"/>
      <c r="P541" s="210"/>
      <c r="Q541" s="210"/>
      <c r="R541" s="210"/>
      <c r="S541" s="210"/>
      <c r="T541" s="210"/>
      <c r="U541" s="210"/>
      <c r="V541" s="210"/>
      <c r="W541" s="210"/>
      <c r="X541" s="210"/>
      <c r="Y541" s="210"/>
      <c r="Z541" s="210"/>
      <c r="AA541" s="210"/>
      <c r="AB541" s="210"/>
      <c r="AC541" s="210"/>
      <c r="AI541" s="210"/>
      <c r="AJ541" s="210"/>
    </row>
    <row r="542" ht="12.75" customHeight="1">
      <c r="C542" s="210"/>
      <c r="D542" s="210"/>
      <c r="E542" s="210"/>
      <c r="F542" s="210"/>
      <c r="G542" s="210"/>
      <c r="H542" s="210"/>
      <c r="I542" s="210"/>
      <c r="J542" s="210"/>
      <c r="K542" s="210"/>
      <c r="L542" s="210"/>
      <c r="M542" s="210"/>
      <c r="N542" s="210"/>
      <c r="O542" s="210"/>
      <c r="P542" s="210"/>
      <c r="Q542" s="210"/>
      <c r="R542" s="210"/>
      <c r="S542" s="210"/>
      <c r="T542" s="210"/>
      <c r="U542" s="210"/>
      <c r="V542" s="210"/>
      <c r="W542" s="210"/>
      <c r="X542" s="210"/>
      <c r="Y542" s="210"/>
      <c r="Z542" s="210"/>
      <c r="AA542" s="210"/>
      <c r="AB542" s="210"/>
      <c r="AC542" s="210"/>
      <c r="AI542" s="210"/>
      <c r="AJ542" s="210"/>
    </row>
    <row r="543" ht="12.75" customHeight="1">
      <c r="C543" s="210"/>
      <c r="D543" s="210"/>
      <c r="E543" s="210"/>
      <c r="F543" s="210"/>
      <c r="G543" s="210"/>
      <c r="H543" s="210"/>
      <c r="I543" s="210"/>
      <c r="J543" s="210"/>
      <c r="K543" s="210"/>
      <c r="L543" s="210"/>
      <c r="M543" s="210"/>
      <c r="N543" s="210"/>
      <c r="O543" s="210"/>
      <c r="P543" s="210"/>
      <c r="Q543" s="210"/>
      <c r="R543" s="210"/>
      <c r="S543" s="210"/>
      <c r="T543" s="210"/>
      <c r="U543" s="210"/>
      <c r="V543" s="210"/>
      <c r="W543" s="210"/>
      <c r="X543" s="210"/>
      <c r="Y543" s="210"/>
      <c r="Z543" s="210"/>
      <c r="AA543" s="210"/>
      <c r="AB543" s="210"/>
      <c r="AC543" s="210"/>
      <c r="AI543" s="210"/>
      <c r="AJ543" s="210"/>
    </row>
    <row r="544" ht="12.75" customHeight="1">
      <c r="C544" s="210"/>
      <c r="D544" s="210"/>
      <c r="E544" s="210"/>
      <c r="F544" s="210"/>
      <c r="G544" s="210"/>
      <c r="H544" s="210"/>
      <c r="I544" s="210"/>
      <c r="J544" s="210"/>
      <c r="K544" s="210"/>
      <c r="L544" s="210"/>
      <c r="M544" s="210"/>
      <c r="N544" s="210"/>
      <c r="O544" s="210"/>
      <c r="P544" s="210"/>
      <c r="Q544" s="210"/>
      <c r="R544" s="210"/>
      <c r="S544" s="210"/>
      <c r="T544" s="210"/>
      <c r="U544" s="210"/>
      <c r="V544" s="210"/>
      <c r="W544" s="210"/>
      <c r="X544" s="210"/>
      <c r="Y544" s="210"/>
      <c r="Z544" s="210"/>
      <c r="AA544" s="210"/>
      <c r="AB544" s="210"/>
      <c r="AC544" s="210"/>
      <c r="AI544" s="210"/>
      <c r="AJ544" s="210"/>
    </row>
    <row r="545" ht="12.75" customHeight="1">
      <c r="C545" s="210"/>
      <c r="D545" s="210"/>
      <c r="E545" s="210"/>
      <c r="F545" s="210"/>
      <c r="G545" s="210"/>
      <c r="H545" s="210"/>
      <c r="I545" s="210"/>
      <c r="J545" s="210"/>
      <c r="K545" s="210"/>
      <c r="L545" s="210"/>
      <c r="M545" s="210"/>
      <c r="N545" s="210"/>
      <c r="O545" s="210"/>
      <c r="P545" s="210"/>
      <c r="Q545" s="210"/>
      <c r="R545" s="210"/>
      <c r="S545" s="210"/>
      <c r="T545" s="210"/>
      <c r="U545" s="210"/>
      <c r="V545" s="210"/>
      <c r="W545" s="210"/>
      <c r="X545" s="210"/>
      <c r="Y545" s="210"/>
      <c r="Z545" s="210"/>
      <c r="AA545" s="210"/>
      <c r="AB545" s="210"/>
      <c r="AC545" s="210"/>
      <c r="AI545" s="210"/>
      <c r="AJ545" s="210"/>
    </row>
    <row r="546" ht="12.75" customHeight="1">
      <c r="C546" s="210"/>
      <c r="D546" s="210"/>
      <c r="E546" s="210"/>
      <c r="F546" s="210"/>
      <c r="G546" s="210"/>
      <c r="H546" s="210"/>
      <c r="I546" s="210"/>
      <c r="J546" s="210"/>
      <c r="K546" s="210"/>
      <c r="L546" s="210"/>
      <c r="M546" s="210"/>
      <c r="N546" s="210"/>
      <c r="O546" s="210"/>
      <c r="P546" s="210"/>
      <c r="Q546" s="210"/>
      <c r="R546" s="210"/>
      <c r="S546" s="210"/>
      <c r="T546" s="210"/>
      <c r="U546" s="210"/>
      <c r="V546" s="210"/>
      <c r="W546" s="210"/>
      <c r="X546" s="210"/>
      <c r="Y546" s="210"/>
      <c r="Z546" s="210"/>
      <c r="AA546" s="210"/>
      <c r="AB546" s="210"/>
      <c r="AC546" s="210"/>
      <c r="AI546" s="210"/>
      <c r="AJ546" s="210"/>
    </row>
    <row r="547" ht="12.75" customHeight="1">
      <c r="C547" s="210"/>
      <c r="D547" s="210"/>
      <c r="E547" s="210"/>
      <c r="F547" s="210"/>
      <c r="G547" s="210"/>
      <c r="H547" s="210"/>
      <c r="I547" s="210"/>
      <c r="J547" s="210"/>
      <c r="K547" s="210"/>
      <c r="L547" s="210"/>
      <c r="M547" s="210"/>
      <c r="N547" s="210"/>
      <c r="O547" s="210"/>
      <c r="P547" s="210"/>
      <c r="Q547" s="210"/>
      <c r="R547" s="210"/>
      <c r="S547" s="210"/>
      <c r="T547" s="210"/>
      <c r="U547" s="210"/>
      <c r="V547" s="210"/>
      <c r="W547" s="210"/>
      <c r="X547" s="210"/>
      <c r="Y547" s="210"/>
      <c r="Z547" s="210"/>
      <c r="AA547" s="210"/>
      <c r="AB547" s="210"/>
      <c r="AC547" s="210"/>
      <c r="AI547" s="210"/>
      <c r="AJ547" s="210"/>
    </row>
    <row r="548" ht="12.75" customHeight="1">
      <c r="C548" s="210"/>
      <c r="D548" s="210"/>
      <c r="E548" s="210"/>
      <c r="F548" s="210"/>
      <c r="G548" s="210"/>
      <c r="H548" s="210"/>
      <c r="I548" s="210"/>
      <c r="J548" s="210"/>
      <c r="K548" s="210"/>
      <c r="L548" s="210"/>
      <c r="M548" s="210"/>
      <c r="N548" s="210"/>
      <c r="O548" s="210"/>
      <c r="P548" s="210"/>
      <c r="Q548" s="210"/>
      <c r="R548" s="210"/>
      <c r="S548" s="210"/>
      <c r="T548" s="210"/>
      <c r="U548" s="210"/>
      <c r="V548" s="210"/>
      <c r="W548" s="210"/>
      <c r="X548" s="210"/>
      <c r="Y548" s="210"/>
      <c r="Z548" s="210"/>
      <c r="AA548" s="210"/>
      <c r="AB548" s="210"/>
      <c r="AC548" s="210"/>
      <c r="AI548" s="210"/>
      <c r="AJ548" s="210"/>
    </row>
    <row r="549" ht="12.75" customHeight="1">
      <c r="C549" s="210"/>
      <c r="D549" s="210"/>
      <c r="E549" s="210"/>
      <c r="F549" s="210"/>
      <c r="G549" s="210"/>
      <c r="H549" s="210"/>
      <c r="I549" s="210"/>
      <c r="J549" s="210"/>
      <c r="K549" s="210"/>
      <c r="L549" s="210"/>
      <c r="M549" s="210"/>
      <c r="N549" s="210"/>
      <c r="O549" s="210"/>
      <c r="P549" s="210"/>
      <c r="Q549" s="210"/>
      <c r="R549" s="210"/>
      <c r="S549" s="210"/>
      <c r="T549" s="210"/>
      <c r="U549" s="210"/>
      <c r="V549" s="210"/>
      <c r="W549" s="210"/>
      <c r="X549" s="210"/>
      <c r="Y549" s="210"/>
      <c r="Z549" s="210"/>
      <c r="AA549" s="210"/>
      <c r="AB549" s="210"/>
      <c r="AC549" s="210"/>
      <c r="AI549" s="210"/>
      <c r="AJ549" s="210"/>
    </row>
    <row r="550" ht="12.75" customHeight="1">
      <c r="C550" s="210"/>
      <c r="D550" s="210"/>
      <c r="E550" s="210"/>
      <c r="F550" s="210"/>
      <c r="G550" s="210"/>
      <c r="H550" s="210"/>
      <c r="I550" s="210"/>
      <c r="J550" s="210"/>
      <c r="K550" s="210"/>
      <c r="L550" s="210"/>
      <c r="M550" s="210"/>
      <c r="N550" s="210"/>
      <c r="O550" s="210"/>
      <c r="P550" s="210"/>
      <c r="Q550" s="210"/>
      <c r="R550" s="210"/>
      <c r="S550" s="210"/>
      <c r="T550" s="210"/>
      <c r="U550" s="210"/>
      <c r="V550" s="210"/>
      <c r="W550" s="210"/>
      <c r="X550" s="210"/>
      <c r="Y550" s="210"/>
      <c r="Z550" s="210"/>
      <c r="AA550" s="210"/>
      <c r="AB550" s="210"/>
      <c r="AC550" s="210"/>
      <c r="AI550" s="210"/>
      <c r="AJ550" s="210"/>
    </row>
    <row r="551" ht="12.75" customHeight="1">
      <c r="C551" s="210"/>
      <c r="D551" s="210"/>
      <c r="E551" s="210"/>
      <c r="F551" s="210"/>
      <c r="G551" s="210"/>
      <c r="H551" s="210"/>
      <c r="I551" s="210"/>
      <c r="J551" s="210"/>
      <c r="K551" s="210"/>
      <c r="L551" s="210"/>
      <c r="M551" s="210"/>
      <c r="N551" s="210"/>
      <c r="O551" s="210"/>
      <c r="P551" s="210"/>
      <c r="Q551" s="210"/>
      <c r="R551" s="210"/>
      <c r="S551" s="210"/>
      <c r="T551" s="210"/>
      <c r="U551" s="210"/>
      <c r="V551" s="210"/>
      <c r="W551" s="210"/>
      <c r="X551" s="210"/>
      <c r="Y551" s="210"/>
      <c r="Z551" s="210"/>
      <c r="AA551" s="210"/>
      <c r="AB551" s="210"/>
      <c r="AC551" s="210"/>
      <c r="AI551" s="210"/>
      <c r="AJ551" s="210"/>
    </row>
    <row r="552" ht="12.75" customHeight="1">
      <c r="C552" s="210"/>
      <c r="D552" s="210"/>
      <c r="E552" s="210"/>
      <c r="F552" s="210"/>
      <c r="G552" s="210"/>
      <c r="H552" s="210"/>
      <c r="I552" s="210"/>
      <c r="J552" s="210"/>
      <c r="K552" s="210"/>
      <c r="L552" s="210"/>
      <c r="M552" s="210"/>
      <c r="N552" s="210"/>
      <c r="O552" s="210"/>
      <c r="P552" s="210"/>
      <c r="Q552" s="210"/>
      <c r="R552" s="210"/>
      <c r="S552" s="210"/>
      <c r="T552" s="210"/>
      <c r="U552" s="210"/>
      <c r="V552" s="210"/>
      <c r="W552" s="210"/>
      <c r="X552" s="210"/>
      <c r="Y552" s="210"/>
      <c r="Z552" s="210"/>
      <c r="AA552" s="210"/>
      <c r="AB552" s="210"/>
      <c r="AC552" s="210"/>
      <c r="AI552" s="210"/>
      <c r="AJ552" s="210"/>
    </row>
    <row r="553" ht="12.75" customHeight="1">
      <c r="C553" s="210"/>
      <c r="D553" s="210"/>
      <c r="E553" s="210"/>
      <c r="F553" s="210"/>
      <c r="G553" s="210"/>
      <c r="H553" s="210"/>
      <c r="I553" s="210"/>
      <c r="J553" s="210"/>
      <c r="K553" s="210"/>
      <c r="L553" s="210"/>
      <c r="M553" s="210"/>
      <c r="N553" s="210"/>
      <c r="O553" s="210"/>
      <c r="P553" s="210"/>
      <c r="Q553" s="210"/>
      <c r="R553" s="210"/>
      <c r="S553" s="210"/>
      <c r="T553" s="210"/>
      <c r="U553" s="210"/>
      <c r="V553" s="210"/>
      <c r="W553" s="210"/>
      <c r="X553" s="210"/>
      <c r="Y553" s="210"/>
      <c r="Z553" s="210"/>
      <c r="AA553" s="210"/>
      <c r="AB553" s="210"/>
      <c r="AC553" s="210"/>
      <c r="AI553" s="210"/>
      <c r="AJ553" s="210"/>
    </row>
    <row r="554" ht="12.75" customHeight="1">
      <c r="C554" s="210"/>
      <c r="D554" s="210"/>
      <c r="E554" s="210"/>
      <c r="F554" s="210"/>
      <c r="G554" s="210"/>
      <c r="H554" s="210"/>
      <c r="I554" s="210"/>
      <c r="J554" s="210"/>
      <c r="K554" s="210"/>
      <c r="L554" s="210"/>
      <c r="M554" s="210"/>
      <c r="N554" s="210"/>
      <c r="O554" s="210"/>
      <c r="P554" s="210"/>
      <c r="Q554" s="210"/>
      <c r="R554" s="210"/>
      <c r="S554" s="210"/>
      <c r="T554" s="210"/>
      <c r="U554" s="210"/>
      <c r="V554" s="210"/>
      <c r="W554" s="210"/>
      <c r="X554" s="210"/>
      <c r="Y554" s="210"/>
      <c r="Z554" s="210"/>
      <c r="AA554" s="210"/>
      <c r="AB554" s="210"/>
      <c r="AC554" s="210"/>
      <c r="AI554" s="210"/>
      <c r="AJ554" s="210"/>
    </row>
    <row r="555" ht="12.75" customHeight="1">
      <c r="C555" s="210"/>
      <c r="D555" s="210"/>
      <c r="E555" s="210"/>
      <c r="F555" s="210"/>
      <c r="G555" s="210"/>
      <c r="H555" s="210"/>
      <c r="I555" s="210"/>
      <c r="J555" s="210"/>
      <c r="K555" s="210"/>
      <c r="L555" s="210"/>
      <c r="M555" s="210"/>
      <c r="N555" s="210"/>
      <c r="O555" s="210"/>
      <c r="P555" s="210"/>
      <c r="Q555" s="210"/>
      <c r="R555" s="210"/>
      <c r="S555" s="210"/>
      <c r="T555" s="210"/>
      <c r="U555" s="210"/>
      <c r="V555" s="210"/>
      <c r="W555" s="210"/>
      <c r="X555" s="210"/>
      <c r="Y555" s="210"/>
      <c r="Z555" s="210"/>
      <c r="AA555" s="210"/>
      <c r="AB555" s="210"/>
      <c r="AC555" s="210"/>
      <c r="AI555" s="210"/>
      <c r="AJ555" s="210"/>
    </row>
    <row r="556" ht="12.75" customHeight="1">
      <c r="C556" s="210"/>
      <c r="D556" s="210"/>
      <c r="E556" s="210"/>
      <c r="F556" s="210"/>
      <c r="G556" s="210"/>
      <c r="H556" s="210"/>
      <c r="I556" s="210"/>
      <c r="J556" s="210"/>
      <c r="K556" s="210"/>
      <c r="L556" s="210"/>
      <c r="M556" s="210"/>
      <c r="N556" s="210"/>
      <c r="O556" s="210"/>
      <c r="P556" s="210"/>
      <c r="Q556" s="210"/>
      <c r="R556" s="210"/>
      <c r="S556" s="210"/>
      <c r="T556" s="210"/>
      <c r="U556" s="210"/>
      <c r="V556" s="210"/>
      <c r="W556" s="210"/>
      <c r="X556" s="210"/>
      <c r="Y556" s="210"/>
      <c r="Z556" s="210"/>
      <c r="AA556" s="210"/>
      <c r="AB556" s="210"/>
      <c r="AC556" s="210"/>
      <c r="AI556" s="210"/>
      <c r="AJ556" s="210"/>
    </row>
    <row r="557" ht="12.75" customHeight="1">
      <c r="C557" s="210"/>
      <c r="D557" s="210"/>
      <c r="E557" s="210"/>
      <c r="F557" s="210"/>
      <c r="G557" s="210"/>
      <c r="H557" s="210"/>
      <c r="I557" s="210"/>
      <c r="J557" s="210"/>
      <c r="K557" s="210"/>
      <c r="L557" s="210"/>
      <c r="M557" s="210"/>
      <c r="N557" s="210"/>
      <c r="O557" s="210"/>
      <c r="P557" s="210"/>
      <c r="Q557" s="210"/>
      <c r="R557" s="210"/>
      <c r="S557" s="210"/>
      <c r="T557" s="210"/>
      <c r="U557" s="210"/>
      <c r="V557" s="210"/>
      <c r="W557" s="210"/>
      <c r="X557" s="210"/>
      <c r="Y557" s="210"/>
      <c r="Z557" s="210"/>
      <c r="AA557" s="210"/>
      <c r="AB557" s="210"/>
      <c r="AC557" s="210"/>
      <c r="AI557" s="210"/>
      <c r="AJ557" s="210"/>
    </row>
    <row r="558" ht="12.75" customHeight="1">
      <c r="C558" s="210"/>
      <c r="D558" s="210"/>
      <c r="E558" s="210"/>
      <c r="F558" s="210"/>
      <c r="G558" s="210"/>
      <c r="H558" s="210"/>
      <c r="I558" s="210"/>
      <c r="J558" s="210"/>
      <c r="K558" s="210"/>
      <c r="L558" s="210"/>
      <c r="M558" s="210"/>
      <c r="N558" s="210"/>
      <c r="O558" s="210"/>
      <c r="P558" s="210"/>
      <c r="Q558" s="210"/>
      <c r="R558" s="210"/>
      <c r="S558" s="210"/>
      <c r="T558" s="210"/>
      <c r="U558" s="210"/>
      <c r="V558" s="210"/>
      <c r="W558" s="210"/>
      <c r="X558" s="210"/>
      <c r="Y558" s="210"/>
      <c r="Z558" s="210"/>
      <c r="AA558" s="210"/>
      <c r="AB558" s="210"/>
      <c r="AC558" s="210"/>
      <c r="AI558" s="210"/>
      <c r="AJ558" s="210"/>
    </row>
    <row r="559" ht="12.75" customHeight="1">
      <c r="C559" s="210"/>
      <c r="D559" s="210"/>
      <c r="E559" s="210"/>
      <c r="F559" s="210"/>
      <c r="G559" s="210"/>
      <c r="H559" s="210"/>
      <c r="I559" s="210"/>
      <c r="J559" s="210"/>
      <c r="K559" s="210"/>
      <c r="L559" s="210"/>
      <c r="M559" s="210"/>
      <c r="N559" s="210"/>
      <c r="O559" s="210"/>
      <c r="P559" s="210"/>
      <c r="Q559" s="210"/>
      <c r="R559" s="210"/>
      <c r="S559" s="210"/>
      <c r="T559" s="210"/>
      <c r="U559" s="210"/>
      <c r="V559" s="210"/>
      <c r="W559" s="210"/>
      <c r="X559" s="210"/>
      <c r="Y559" s="210"/>
      <c r="Z559" s="210"/>
      <c r="AA559" s="210"/>
      <c r="AB559" s="210"/>
      <c r="AC559" s="210"/>
      <c r="AI559" s="210"/>
      <c r="AJ559" s="210"/>
    </row>
    <row r="560" ht="12.75" customHeight="1">
      <c r="C560" s="210"/>
      <c r="D560" s="210"/>
      <c r="E560" s="210"/>
      <c r="F560" s="210"/>
      <c r="G560" s="210"/>
      <c r="H560" s="210"/>
      <c r="I560" s="210"/>
      <c r="J560" s="210"/>
      <c r="K560" s="210"/>
      <c r="L560" s="210"/>
      <c r="M560" s="210"/>
      <c r="N560" s="210"/>
      <c r="O560" s="210"/>
      <c r="P560" s="210"/>
      <c r="Q560" s="210"/>
      <c r="R560" s="210"/>
      <c r="S560" s="210"/>
      <c r="T560" s="210"/>
      <c r="U560" s="210"/>
      <c r="V560" s="210"/>
      <c r="W560" s="210"/>
      <c r="X560" s="210"/>
      <c r="Y560" s="210"/>
      <c r="Z560" s="210"/>
      <c r="AA560" s="210"/>
      <c r="AB560" s="210"/>
      <c r="AC560" s="210"/>
      <c r="AI560" s="210"/>
      <c r="AJ560" s="210"/>
    </row>
    <row r="561" ht="12.75" customHeight="1">
      <c r="C561" s="210"/>
      <c r="D561" s="210"/>
      <c r="E561" s="210"/>
      <c r="F561" s="210"/>
      <c r="G561" s="210"/>
      <c r="H561" s="210"/>
      <c r="I561" s="210"/>
      <c r="J561" s="210"/>
      <c r="K561" s="210"/>
      <c r="L561" s="210"/>
      <c r="M561" s="210"/>
      <c r="N561" s="210"/>
      <c r="O561" s="210"/>
      <c r="P561" s="210"/>
      <c r="Q561" s="210"/>
      <c r="R561" s="210"/>
      <c r="S561" s="210"/>
      <c r="T561" s="210"/>
      <c r="U561" s="210"/>
      <c r="V561" s="210"/>
      <c r="W561" s="210"/>
      <c r="X561" s="210"/>
      <c r="Y561" s="210"/>
      <c r="Z561" s="210"/>
      <c r="AA561" s="210"/>
      <c r="AB561" s="210"/>
      <c r="AC561" s="210"/>
      <c r="AI561" s="210"/>
      <c r="AJ561" s="210"/>
    </row>
    <row r="562" ht="12.75" customHeight="1">
      <c r="C562" s="210"/>
      <c r="D562" s="210"/>
      <c r="E562" s="210"/>
      <c r="F562" s="210"/>
      <c r="G562" s="210"/>
      <c r="H562" s="210"/>
      <c r="I562" s="210"/>
      <c r="J562" s="210"/>
      <c r="K562" s="210"/>
      <c r="L562" s="210"/>
      <c r="M562" s="210"/>
      <c r="N562" s="210"/>
      <c r="O562" s="210"/>
      <c r="P562" s="210"/>
      <c r="Q562" s="210"/>
      <c r="R562" s="210"/>
      <c r="S562" s="210"/>
      <c r="T562" s="210"/>
      <c r="U562" s="210"/>
      <c r="V562" s="210"/>
      <c r="W562" s="210"/>
      <c r="X562" s="210"/>
      <c r="Y562" s="210"/>
      <c r="Z562" s="210"/>
      <c r="AA562" s="210"/>
      <c r="AB562" s="210"/>
      <c r="AC562" s="210"/>
      <c r="AI562" s="210"/>
      <c r="AJ562" s="210"/>
    </row>
    <row r="563" ht="12.75" customHeight="1">
      <c r="C563" s="210"/>
      <c r="D563" s="210"/>
      <c r="E563" s="210"/>
      <c r="F563" s="210"/>
      <c r="G563" s="210"/>
      <c r="H563" s="210"/>
      <c r="I563" s="210"/>
      <c r="J563" s="210"/>
      <c r="K563" s="210"/>
      <c r="L563" s="210"/>
      <c r="M563" s="210"/>
      <c r="N563" s="210"/>
      <c r="O563" s="210"/>
      <c r="P563" s="210"/>
      <c r="Q563" s="210"/>
      <c r="R563" s="210"/>
      <c r="S563" s="210"/>
      <c r="T563" s="210"/>
      <c r="U563" s="210"/>
      <c r="V563" s="210"/>
      <c r="W563" s="210"/>
      <c r="X563" s="210"/>
      <c r="Y563" s="210"/>
      <c r="Z563" s="210"/>
      <c r="AA563" s="210"/>
      <c r="AB563" s="210"/>
      <c r="AC563" s="210"/>
      <c r="AI563" s="210"/>
      <c r="AJ563" s="210"/>
    </row>
    <row r="564" ht="12.75" customHeight="1">
      <c r="C564" s="210"/>
      <c r="D564" s="210"/>
      <c r="E564" s="210"/>
      <c r="F564" s="210"/>
      <c r="G564" s="210"/>
      <c r="H564" s="210"/>
      <c r="I564" s="210"/>
      <c r="J564" s="210"/>
      <c r="K564" s="210"/>
      <c r="L564" s="210"/>
      <c r="M564" s="210"/>
      <c r="N564" s="210"/>
      <c r="O564" s="210"/>
      <c r="P564" s="210"/>
      <c r="Q564" s="210"/>
      <c r="R564" s="210"/>
      <c r="S564" s="210"/>
      <c r="T564" s="210"/>
      <c r="U564" s="210"/>
      <c r="V564" s="210"/>
      <c r="W564" s="210"/>
      <c r="X564" s="210"/>
      <c r="Y564" s="210"/>
      <c r="Z564" s="210"/>
      <c r="AA564" s="210"/>
      <c r="AB564" s="210"/>
      <c r="AC564" s="210"/>
      <c r="AI564" s="210"/>
      <c r="AJ564" s="210"/>
    </row>
    <row r="565" ht="12.75" customHeight="1">
      <c r="C565" s="210"/>
      <c r="D565" s="210"/>
      <c r="E565" s="210"/>
      <c r="F565" s="210"/>
      <c r="G565" s="210"/>
      <c r="H565" s="210"/>
      <c r="I565" s="210"/>
      <c r="J565" s="210"/>
      <c r="K565" s="210"/>
      <c r="L565" s="210"/>
      <c r="M565" s="210"/>
      <c r="N565" s="210"/>
      <c r="O565" s="210"/>
      <c r="P565" s="210"/>
      <c r="Q565" s="210"/>
      <c r="R565" s="210"/>
      <c r="S565" s="210"/>
      <c r="T565" s="210"/>
      <c r="U565" s="210"/>
      <c r="V565" s="210"/>
      <c r="W565" s="210"/>
      <c r="X565" s="210"/>
      <c r="Y565" s="210"/>
      <c r="Z565" s="210"/>
      <c r="AA565" s="210"/>
      <c r="AB565" s="210"/>
      <c r="AC565" s="210"/>
      <c r="AI565" s="210"/>
      <c r="AJ565" s="210"/>
    </row>
    <row r="566" ht="12.75" customHeight="1">
      <c r="C566" s="210"/>
      <c r="D566" s="210"/>
      <c r="E566" s="210"/>
      <c r="F566" s="210"/>
      <c r="G566" s="210"/>
      <c r="H566" s="210"/>
      <c r="I566" s="210"/>
      <c r="J566" s="210"/>
      <c r="K566" s="210"/>
      <c r="L566" s="210"/>
      <c r="M566" s="210"/>
      <c r="N566" s="210"/>
      <c r="O566" s="210"/>
      <c r="P566" s="210"/>
      <c r="Q566" s="210"/>
      <c r="R566" s="210"/>
      <c r="S566" s="210"/>
      <c r="T566" s="210"/>
      <c r="U566" s="210"/>
      <c r="V566" s="210"/>
      <c r="W566" s="210"/>
      <c r="X566" s="210"/>
      <c r="Y566" s="210"/>
      <c r="Z566" s="210"/>
      <c r="AA566" s="210"/>
      <c r="AB566" s="210"/>
      <c r="AC566" s="210"/>
      <c r="AI566" s="210"/>
      <c r="AJ566" s="210"/>
    </row>
    <row r="567" ht="12.75" customHeight="1">
      <c r="C567" s="210"/>
      <c r="D567" s="210"/>
      <c r="E567" s="210"/>
      <c r="F567" s="210"/>
      <c r="G567" s="210"/>
      <c r="H567" s="210"/>
      <c r="I567" s="210"/>
      <c r="J567" s="210"/>
      <c r="K567" s="210"/>
      <c r="L567" s="210"/>
      <c r="M567" s="210"/>
      <c r="N567" s="210"/>
      <c r="O567" s="210"/>
      <c r="P567" s="210"/>
      <c r="Q567" s="210"/>
      <c r="R567" s="210"/>
      <c r="S567" s="210"/>
      <c r="T567" s="210"/>
      <c r="U567" s="210"/>
      <c r="V567" s="210"/>
      <c r="W567" s="210"/>
      <c r="X567" s="210"/>
      <c r="Y567" s="210"/>
      <c r="Z567" s="210"/>
      <c r="AA567" s="210"/>
      <c r="AB567" s="210"/>
      <c r="AC567" s="210"/>
      <c r="AI567" s="210"/>
      <c r="AJ567" s="210"/>
    </row>
    <row r="568" ht="12.75" customHeight="1">
      <c r="C568" s="210"/>
      <c r="D568" s="210"/>
      <c r="E568" s="210"/>
      <c r="F568" s="210"/>
      <c r="G568" s="210"/>
      <c r="H568" s="210"/>
      <c r="I568" s="210"/>
      <c r="J568" s="210"/>
      <c r="K568" s="210"/>
      <c r="L568" s="210"/>
      <c r="M568" s="210"/>
      <c r="N568" s="210"/>
      <c r="O568" s="210"/>
      <c r="P568" s="210"/>
      <c r="Q568" s="210"/>
      <c r="R568" s="210"/>
      <c r="S568" s="210"/>
      <c r="T568" s="210"/>
      <c r="U568" s="210"/>
      <c r="V568" s="210"/>
      <c r="W568" s="210"/>
      <c r="X568" s="210"/>
      <c r="Y568" s="210"/>
      <c r="Z568" s="210"/>
      <c r="AA568" s="210"/>
      <c r="AB568" s="210"/>
      <c r="AC568" s="210"/>
      <c r="AI568" s="210"/>
      <c r="AJ568" s="210"/>
    </row>
    <row r="569" ht="12.75" customHeight="1">
      <c r="C569" s="210"/>
      <c r="D569" s="210"/>
      <c r="E569" s="210"/>
      <c r="F569" s="210"/>
      <c r="G569" s="210"/>
      <c r="H569" s="210"/>
      <c r="I569" s="210"/>
      <c r="J569" s="210"/>
      <c r="K569" s="210"/>
      <c r="L569" s="210"/>
      <c r="M569" s="210"/>
      <c r="N569" s="210"/>
      <c r="O569" s="210"/>
      <c r="P569" s="210"/>
      <c r="Q569" s="210"/>
      <c r="R569" s="210"/>
      <c r="S569" s="210"/>
      <c r="T569" s="210"/>
      <c r="U569" s="210"/>
      <c r="V569" s="210"/>
      <c r="W569" s="210"/>
      <c r="X569" s="210"/>
      <c r="Y569" s="210"/>
      <c r="Z569" s="210"/>
      <c r="AA569" s="210"/>
      <c r="AB569" s="210"/>
      <c r="AC569" s="210"/>
      <c r="AI569" s="210"/>
      <c r="AJ569" s="210"/>
    </row>
    <row r="570" ht="12.75" customHeight="1">
      <c r="C570" s="210"/>
      <c r="D570" s="210"/>
      <c r="E570" s="210"/>
      <c r="F570" s="210"/>
      <c r="G570" s="210"/>
      <c r="H570" s="210"/>
      <c r="I570" s="210"/>
      <c r="J570" s="210"/>
      <c r="K570" s="210"/>
      <c r="L570" s="210"/>
      <c r="M570" s="210"/>
      <c r="N570" s="210"/>
      <c r="O570" s="210"/>
      <c r="P570" s="210"/>
      <c r="Q570" s="210"/>
      <c r="R570" s="210"/>
      <c r="S570" s="210"/>
      <c r="T570" s="210"/>
      <c r="U570" s="210"/>
      <c r="V570" s="210"/>
      <c r="W570" s="210"/>
      <c r="X570" s="210"/>
      <c r="Y570" s="210"/>
      <c r="Z570" s="210"/>
      <c r="AA570" s="210"/>
      <c r="AB570" s="210"/>
      <c r="AC570" s="210"/>
      <c r="AI570" s="210"/>
      <c r="AJ570" s="210"/>
    </row>
    <row r="571" ht="12.75" customHeight="1">
      <c r="C571" s="210"/>
      <c r="D571" s="210"/>
      <c r="E571" s="210"/>
      <c r="F571" s="210"/>
      <c r="G571" s="210"/>
      <c r="H571" s="210"/>
      <c r="I571" s="210"/>
      <c r="J571" s="210"/>
      <c r="K571" s="210"/>
      <c r="L571" s="210"/>
      <c r="M571" s="210"/>
      <c r="N571" s="210"/>
      <c r="O571" s="210"/>
      <c r="P571" s="210"/>
      <c r="Q571" s="210"/>
      <c r="R571" s="210"/>
      <c r="S571" s="210"/>
      <c r="T571" s="210"/>
      <c r="U571" s="210"/>
      <c r="V571" s="210"/>
      <c r="W571" s="210"/>
      <c r="X571" s="210"/>
      <c r="Y571" s="210"/>
      <c r="Z571" s="210"/>
      <c r="AA571" s="210"/>
      <c r="AB571" s="210"/>
      <c r="AC571" s="210"/>
      <c r="AI571" s="210"/>
      <c r="AJ571" s="210"/>
    </row>
    <row r="572" ht="12.75" customHeight="1">
      <c r="C572" s="210"/>
      <c r="D572" s="210"/>
      <c r="E572" s="210"/>
      <c r="F572" s="210"/>
      <c r="G572" s="210"/>
      <c r="H572" s="210"/>
      <c r="I572" s="210"/>
      <c r="J572" s="210"/>
      <c r="K572" s="210"/>
      <c r="L572" s="210"/>
      <c r="M572" s="210"/>
      <c r="N572" s="210"/>
      <c r="O572" s="210"/>
      <c r="P572" s="210"/>
      <c r="Q572" s="210"/>
      <c r="R572" s="210"/>
      <c r="S572" s="210"/>
      <c r="T572" s="210"/>
      <c r="U572" s="210"/>
      <c r="V572" s="210"/>
      <c r="W572" s="210"/>
      <c r="X572" s="210"/>
      <c r="Y572" s="210"/>
      <c r="Z572" s="210"/>
      <c r="AA572" s="210"/>
      <c r="AB572" s="210"/>
      <c r="AC572" s="210"/>
      <c r="AI572" s="210"/>
      <c r="AJ572" s="210"/>
    </row>
    <row r="573" ht="12.75" customHeight="1">
      <c r="C573" s="210"/>
      <c r="D573" s="210"/>
      <c r="E573" s="210"/>
      <c r="F573" s="210"/>
      <c r="G573" s="210"/>
      <c r="H573" s="210"/>
      <c r="I573" s="210"/>
      <c r="J573" s="210"/>
      <c r="K573" s="210"/>
      <c r="L573" s="210"/>
      <c r="M573" s="210"/>
      <c r="N573" s="210"/>
      <c r="O573" s="210"/>
      <c r="P573" s="210"/>
      <c r="Q573" s="210"/>
      <c r="R573" s="210"/>
      <c r="S573" s="210"/>
      <c r="T573" s="210"/>
      <c r="U573" s="210"/>
      <c r="V573" s="210"/>
      <c r="W573" s="210"/>
      <c r="X573" s="210"/>
      <c r="Y573" s="210"/>
      <c r="Z573" s="210"/>
      <c r="AA573" s="210"/>
      <c r="AB573" s="210"/>
      <c r="AC573" s="210"/>
      <c r="AI573" s="210"/>
      <c r="AJ573" s="210"/>
    </row>
    <row r="574" ht="12.75" customHeight="1">
      <c r="C574" s="210"/>
      <c r="D574" s="210"/>
      <c r="E574" s="210"/>
      <c r="F574" s="210"/>
      <c r="G574" s="210"/>
      <c r="H574" s="210"/>
      <c r="I574" s="210"/>
      <c r="J574" s="210"/>
      <c r="K574" s="210"/>
      <c r="L574" s="210"/>
      <c r="M574" s="210"/>
      <c r="N574" s="210"/>
      <c r="O574" s="210"/>
      <c r="P574" s="210"/>
      <c r="Q574" s="210"/>
      <c r="R574" s="210"/>
      <c r="S574" s="210"/>
      <c r="T574" s="210"/>
      <c r="U574" s="210"/>
      <c r="V574" s="210"/>
      <c r="W574" s="210"/>
      <c r="X574" s="210"/>
      <c r="Y574" s="210"/>
      <c r="Z574" s="210"/>
      <c r="AA574" s="210"/>
      <c r="AB574" s="210"/>
      <c r="AC574" s="210"/>
      <c r="AI574" s="210"/>
      <c r="AJ574" s="210"/>
    </row>
    <row r="575" ht="12.75" customHeight="1">
      <c r="C575" s="210"/>
      <c r="D575" s="210"/>
      <c r="E575" s="210"/>
      <c r="F575" s="210"/>
      <c r="G575" s="210"/>
      <c r="H575" s="210"/>
      <c r="I575" s="210"/>
      <c r="J575" s="210"/>
      <c r="K575" s="210"/>
      <c r="L575" s="210"/>
      <c r="M575" s="210"/>
      <c r="N575" s="210"/>
      <c r="O575" s="210"/>
      <c r="P575" s="210"/>
      <c r="Q575" s="210"/>
      <c r="R575" s="210"/>
      <c r="S575" s="210"/>
      <c r="T575" s="210"/>
      <c r="U575" s="210"/>
      <c r="V575" s="210"/>
      <c r="W575" s="210"/>
      <c r="X575" s="210"/>
      <c r="Y575" s="210"/>
      <c r="Z575" s="210"/>
      <c r="AA575" s="210"/>
      <c r="AB575" s="210"/>
      <c r="AC575" s="210"/>
      <c r="AI575" s="210"/>
      <c r="AJ575" s="210"/>
    </row>
    <row r="576" ht="12.75" customHeight="1">
      <c r="C576" s="210"/>
      <c r="D576" s="210"/>
      <c r="E576" s="210"/>
      <c r="F576" s="210"/>
      <c r="G576" s="210"/>
      <c r="H576" s="210"/>
      <c r="I576" s="210"/>
      <c r="J576" s="210"/>
      <c r="K576" s="210"/>
      <c r="L576" s="210"/>
      <c r="M576" s="210"/>
      <c r="N576" s="210"/>
      <c r="O576" s="210"/>
      <c r="P576" s="210"/>
      <c r="Q576" s="210"/>
      <c r="R576" s="210"/>
      <c r="S576" s="210"/>
      <c r="T576" s="210"/>
      <c r="U576" s="210"/>
      <c r="V576" s="210"/>
      <c r="W576" s="210"/>
      <c r="X576" s="210"/>
      <c r="Y576" s="210"/>
      <c r="Z576" s="210"/>
      <c r="AA576" s="210"/>
      <c r="AB576" s="210"/>
      <c r="AC576" s="210"/>
      <c r="AI576" s="210"/>
      <c r="AJ576" s="210"/>
    </row>
    <row r="577" ht="12.75" customHeight="1">
      <c r="C577" s="210"/>
      <c r="D577" s="210"/>
      <c r="E577" s="210"/>
      <c r="F577" s="210"/>
      <c r="G577" s="210"/>
      <c r="H577" s="210"/>
      <c r="I577" s="210"/>
      <c r="J577" s="210"/>
      <c r="K577" s="210"/>
      <c r="L577" s="210"/>
      <c r="M577" s="210"/>
      <c r="N577" s="210"/>
      <c r="O577" s="210"/>
      <c r="P577" s="210"/>
      <c r="Q577" s="210"/>
      <c r="R577" s="210"/>
      <c r="S577" s="210"/>
      <c r="T577" s="210"/>
      <c r="U577" s="210"/>
      <c r="V577" s="210"/>
      <c r="W577" s="210"/>
      <c r="X577" s="210"/>
      <c r="Y577" s="210"/>
      <c r="Z577" s="210"/>
      <c r="AA577" s="210"/>
      <c r="AB577" s="210"/>
      <c r="AC577" s="210"/>
      <c r="AI577" s="210"/>
      <c r="AJ577" s="210"/>
    </row>
    <row r="578" ht="12.75" customHeight="1">
      <c r="C578" s="210"/>
      <c r="D578" s="210"/>
      <c r="E578" s="210"/>
      <c r="F578" s="210"/>
      <c r="G578" s="210"/>
      <c r="H578" s="210"/>
      <c r="I578" s="210"/>
      <c r="J578" s="210"/>
      <c r="K578" s="210"/>
      <c r="L578" s="210"/>
      <c r="M578" s="210"/>
      <c r="N578" s="210"/>
      <c r="O578" s="210"/>
      <c r="P578" s="210"/>
      <c r="Q578" s="210"/>
      <c r="R578" s="210"/>
      <c r="S578" s="210"/>
      <c r="T578" s="210"/>
      <c r="U578" s="210"/>
      <c r="V578" s="210"/>
      <c r="W578" s="210"/>
      <c r="X578" s="210"/>
      <c r="Y578" s="210"/>
      <c r="Z578" s="210"/>
      <c r="AA578" s="210"/>
      <c r="AB578" s="210"/>
      <c r="AC578" s="210"/>
      <c r="AI578" s="210"/>
      <c r="AJ578" s="210"/>
    </row>
    <row r="579" ht="12.75" customHeight="1">
      <c r="C579" s="210"/>
      <c r="D579" s="210"/>
      <c r="E579" s="210"/>
      <c r="F579" s="210"/>
      <c r="G579" s="210"/>
      <c r="H579" s="210"/>
      <c r="I579" s="210"/>
      <c r="J579" s="210"/>
      <c r="K579" s="210"/>
      <c r="L579" s="210"/>
      <c r="M579" s="210"/>
      <c r="N579" s="210"/>
      <c r="O579" s="210"/>
      <c r="P579" s="210"/>
      <c r="Q579" s="210"/>
      <c r="R579" s="210"/>
      <c r="S579" s="210"/>
      <c r="T579" s="210"/>
      <c r="U579" s="210"/>
      <c r="V579" s="210"/>
      <c r="W579" s="210"/>
      <c r="X579" s="210"/>
      <c r="Y579" s="210"/>
      <c r="Z579" s="210"/>
      <c r="AA579" s="210"/>
      <c r="AB579" s="210"/>
      <c r="AC579" s="210"/>
      <c r="AI579" s="210"/>
      <c r="AJ579" s="210"/>
    </row>
    <row r="580" ht="12.75" customHeight="1">
      <c r="C580" s="210"/>
      <c r="D580" s="210"/>
      <c r="E580" s="210"/>
      <c r="F580" s="210"/>
      <c r="G580" s="210"/>
      <c r="H580" s="210"/>
      <c r="I580" s="210"/>
      <c r="J580" s="210"/>
      <c r="K580" s="210"/>
      <c r="L580" s="210"/>
      <c r="M580" s="210"/>
      <c r="N580" s="210"/>
      <c r="O580" s="210"/>
      <c r="P580" s="210"/>
      <c r="Q580" s="210"/>
      <c r="R580" s="210"/>
      <c r="S580" s="210"/>
      <c r="T580" s="210"/>
      <c r="U580" s="210"/>
      <c r="V580" s="210"/>
      <c r="W580" s="210"/>
      <c r="X580" s="210"/>
      <c r="Y580" s="210"/>
      <c r="Z580" s="210"/>
      <c r="AA580" s="210"/>
      <c r="AB580" s="210"/>
      <c r="AC580" s="210"/>
      <c r="AI580" s="210"/>
      <c r="AJ580" s="210"/>
    </row>
    <row r="581" ht="12.75" customHeight="1">
      <c r="C581" s="210"/>
      <c r="D581" s="210"/>
      <c r="E581" s="210"/>
      <c r="F581" s="210"/>
      <c r="G581" s="210"/>
      <c r="H581" s="210"/>
      <c r="I581" s="210"/>
      <c r="J581" s="210"/>
      <c r="K581" s="210"/>
      <c r="L581" s="210"/>
      <c r="M581" s="210"/>
      <c r="N581" s="210"/>
      <c r="O581" s="210"/>
      <c r="P581" s="210"/>
      <c r="Q581" s="210"/>
      <c r="R581" s="210"/>
      <c r="S581" s="210"/>
      <c r="T581" s="210"/>
      <c r="U581" s="210"/>
      <c r="V581" s="210"/>
      <c r="W581" s="210"/>
      <c r="X581" s="210"/>
      <c r="Y581" s="210"/>
      <c r="Z581" s="210"/>
      <c r="AA581" s="210"/>
      <c r="AB581" s="210"/>
      <c r="AC581" s="210"/>
      <c r="AI581" s="210"/>
      <c r="AJ581" s="210"/>
    </row>
    <row r="582" ht="12.75" customHeight="1">
      <c r="C582" s="210"/>
      <c r="D582" s="210"/>
      <c r="E582" s="210"/>
      <c r="F582" s="210"/>
      <c r="G582" s="210"/>
      <c r="H582" s="210"/>
      <c r="I582" s="210"/>
      <c r="J582" s="210"/>
      <c r="K582" s="210"/>
      <c r="L582" s="210"/>
      <c r="M582" s="210"/>
      <c r="N582" s="210"/>
      <c r="O582" s="210"/>
      <c r="P582" s="210"/>
      <c r="Q582" s="210"/>
      <c r="R582" s="210"/>
      <c r="S582" s="210"/>
      <c r="T582" s="210"/>
      <c r="U582" s="210"/>
      <c r="V582" s="210"/>
      <c r="W582" s="210"/>
      <c r="X582" s="210"/>
      <c r="Y582" s="210"/>
      <c r="Z582" s="210"/>
      <c r="AA582" s="210"/>
      <c r="AB582" s="210"/>
      <c r="AC582" s="210"/>
      <c r="AI582" s="210"/>
      <c r="AJ582" s="210"/>
    </row>
    <row r="583" ht="12.75" customHeight="1">
      <c r="C583" s="210"/>
      <c r="D583" s="210"/>
      <c r="E583" s="210"/>
      <c r="F583" s="210"/>
      <c r="G583" s="210"/>
      <c r="H583" s="210"/>
      <c r="I583" s="210"/>
      <c r="J583" s="210"/>
      <c r="K583" s="210"/>
      <c r="L583" s="210"/>
      <c r="M583" s="210"/>
      <c r="N583" s="210"/>
      <c r="O583" s="210"/>
      <c r="P583" s="210"/>
      <c r="Q583" s="210"/>
      <c r="R583" s="210"/>
      <c r="S583" s="210"/>
      <c r="T583" s="210"/>
      <c r="U583" s="210"/>
      <c r="V583" s="210"/>
      <c r="W583" s="210"/>
      <c r="X583" s="210"/>
      <c r="Y583" s="210"/>
      <c r="Z583" s="210"/>
      <c r="AA583" s="210"/>
      <c r="AB583" s="210"/>
      <c r="AC583" s="210"/>
      <c r="AI583" s="210"/>
      <c r="AJ583" s="210"/>
    </row>
    <row r="584" ht="12.75" customHeight="1">
      <c r="C584" s="210"/>
      <c r="D584" s="210"/>
      <c r="E584" s="210"/>
      <c r="F584" s="210"/>
      <c r="G584" s="210"/>
      <c r="H584" s="210"/>
      <c r="I584" s="210"/>
      <c r="J584" s="210"/>
      <c r="K584" s="210"/>
      <c r="L584" s="210"/>
      <c r="M584" s="210"/>
      <c r="N584" s="210"/>
      <c r="O584" s="210"/>
      <c r="P584" s="210"/>
      <c r="Q584" s="210"/>
      <c r="R584" s="210"/>
      <c r="S584" s="210"/>
      <c r="T584" s="210"/>
      <c r="U584" s="210"/>
      <c r="V584" s="210"/>
      <c r="W584" s="210"/>
      <c r="X584" s="210"/>
      <c r="Y584" s="210"/>
      <c r="Z584" s="210"/>
      <c r="AA584" s="210"/>
      <c r="AB584" s="210"/>
      <c r="AC584" s="210"/>
      <c r="AI584" s="210"/>
      <c r="AJ584" s="210"/>
    </row>
    <row r="585" ht="12.75" customHeight="1">
      <c r="C585" s="210"/>
      <c r="D585" s="210"/>
      <c r="E585" s="210"/>
      <c r="F585" s="210"/>
      <c r="G585" s="210"/>
      <c r="H585" s="210"/>
      <c r="I585" s="210"/>
      <c r="J585" s="210"/>
      <c r="K585" s="210"/>
      <c r="L585" s="210"/>
      <c r="M585" s="210"/>
      <c r="N585" s="210"/>
      <c r="O585" s="210"/>
      <c r="P585" s="210"/>
      <c r="Q585" s="210"/>
      <c r="R585" s="210"/>
      <c r="S585" s="210"/>
      <c r="T585" s="210"/>
      <c r="U585" s="210"/>
      <c r="V585" s="210"/>
      <c r="W585" s="210"/>
      <c r="X585" s="210"/>
      <c r="Y585" s="210"/>
      <c r="Z585" s="210"/>
      <c r="AA585" s="210"/>
      <c r="AB585" s="210"/>
      <c r="AC585" s="210"/>
      <c r="AI585" s="210"/>
      <c r="AJ585" s="210"/>
    </row>
    <row r="586" ht="12.75" customHeight="1">
      <c r="C586" s="210"/>
      <c r="D586" s="210"/>
      <c r="E586" s="210"/>
      <c r="F586" s="210"/>
      <c r="G586" s="210"/>
      <c r="H586" s="210"/>
      <c r="I586" s="210"/>
      <c r="J586" s="210"/>
      <c r="K586" s="210"/>
      <c r="L586" s="210"/>
      <c r="M586" s="210"/>
      <c r="N586" s="210"/>
      <c r="O586" s="210"/>
      <c r="P586" s="210"/>
      <c r="Q586" s="210"/>
      <c r="R586" s="210"/>
      <c r="S586" s="210"/>
      <c r="T586" s="210"/>
      <c r="U586" s="210"/>
      <c r="V586" s="210"/>
      <c r="W586" s="210"/>
      <c r="X586" s="210"/>
      <c r="Y586" s="210"/>
      <c r="Z586" s="210"/>
      <c r="AA586" s="210"/>
      <c r="AB586" s="210"/>
      <c r="AC586" s="210"/>
      <c r="AI586" s="210"/>
      <c r="AJ586" s="210"/>
    </row>
    <row r="587" ht="12.75" customHeight="1">
      <c r="C587" s="210"/>
      <c r="D587" s="210"/>
      <c r="E587" s="210"/>
      <c r="F587" s="210"/>
      <c r="G587" s="210"/>
      <c r="H587" s="210"/>
      <c r="I587" s="210"/>
      <c r="J587" s="210"/>
      <c r="K587" s="210"/>
      <c r="L587" s="210"/>
      <c r="M587" s="210"/>
      <c r="N587" s="210"/>
      <c r="O587" s="210"/>
      <c r="P587" s="210"/>
      <c r="Q587" s="210"/>
      <c r="R587" s="210"/>
      <c r="S587" s="210"/>
      <c r="T587" s="210"/>
      <c r="U587" s="210"/>
      <c r="V587" s="210"/>
      <c r="W587" s="210"/>
      <c r="X587" s="210"/>
      <c r="Y587" s="210"/>
      <c r="Z587" s="210"/>
      <c r="AA587" s="210"/>
      <c r="AB587" s="210"/>
      <c r="AC587" s="210"/>
      <c r="AI587" s="210"/>
      <c r="AJ587" s="210"/>
    </row>
    <row r="588" ht="12.75" customHeight="1">
      <c r="C588" s="210"/>
      <c r="D588" s="210"/>
      <c r="E588" s="210"/>
      <c r="F588" s="210"/>
      <c r="G588" s="210"/>
      <c r="H588" s="210"/>
      <c r="I588" s="210"/>
      <c r="J588" s="210"/>
      <c r="K588" s="210"/>
      <c r="L588" s="210"/>
      <c r="M588" s="210"/>
      <c r="N588" s="210"/>
      <c r="O588" s="210"/>
      <c r="P588" s="210"/>
      <c r="Q588" s="210"/>
      <c r="R588" s="210"/>
      <c r="S588" s="210"/>
      <c r="T588" s="210"/>
      <c r="U588" s="210"/>
      <c r="V588" s="210"/>
      <c r="W588" s="210"/>
      <c r="X588" s="210"/>
      <c r="Y588" s="210"/>
      <c r="Z588" s="210"/>
      <c r="AA588" s="210"/>
      <c r="AB588" s="210"/>
      <c r="AC588" s="210"/>
      <c r="AI588" s="210"/>
      <c r="AJ588" s="210"/>
    </row>
    <row r="589" ht="12.75" customHeight="1">
      <c r="C589" s="210"/>
      <c r="D589" s="210"/>
      <c r="E589" s="210"/>
      <c r="F589" s="210"/>
      <c r="G589" s="210"/>
      <c r="H589" s="210"/>
      <c r="I589" s="210"/>
      <c r="J589" s="210"/>
      <c r="K589" s="210"/>
      <c r="L589" s="210"/>
      <c r="M589" s="210"/>
      <c r="N589" s="210"/>
      <c r="O589" s="210"/>
      <c r="P589" s="210"/>
      <c r="Q589" s="210"/>
      <c r="R589" s="210"/>
      <c r="S589" s="210"/>
      <c r="T589" s="210"/>
      <c r="U589" s="210"/>
      <c r="V589" s="210"/>
      <c r="W589" s="210"/>
      <c r="X589" s="210"/>
      <c r="Y589" s="210"/>
      <c r="Z589" s="210"/>
      <c r="AA589" s="210"/>
      <c r="AB589" s="210"/>
      <c r="AC589" s="210"/>
      <c r="AI589" s="210"/>
      <c r="AJ589" s="210"/>
    </row>
    <row r="590" ht="12.75" customHeight="1">
      <c r="C590" s="210"/>
      <c r="D590" s="210"/>
      <c r="E590" s="210"/>
      <c r="F590" s="210"/>
      <c r="G590" s="210"/>
      <c r="H590" s="210"/>
      <c r="I590" s="210"/>
      <c r="J590" s="210"/>
      <c r="K590" s="210"/>
      <c r="L590" s="210"/>
      <c r="M590" s="210"/>
      <c r="N590" s="210"/>
      <c r="O590" s="210"/>
      <c r="P590" s="210"/>
      <c r="Q590" s="210"/>
      <c r="R590" s="210"/>
      <c r="S590" s="210"/>
      <c r="T590" s="210"/>
      <c r="U590" s="210"/>
      <c r="V590" s="210"/>
      <c r="W590" s="210"/>
      <c r="X590" s="210"/>
      <c r="Y590" s="210"/>
      <c r="Z590" s="210"/>
      <c r="AA590" s="210"/>
      <c r="AB590" s="210"/>
      <c r="AC590" s="210"/>
      <c r="AI590" s="210"/>
      <c r="AJ590" s="210"/>
    </row>
    <row r="591" ht="12.75" customHeight="1">
      <c r="C591" s="210"/>
      <c r="D591" s="210"/>
      <c r="E591" s="210"/>
      <c r="F591" s="210"/>
      <c r="G591" s="210"/>
      <c r="H591" s="210"/>
      <c r="I591" s="210"/>
      <c r="J591" s="210"/>
      <c r="K591" s="210"/>
      <c r="L591" s="210"/>
      <c r="M591" s="210"/>
      <c r="N591" s="210"/>
      <c r="O591" s="210"/>
      <c r="P591" s="210"/>
      <c r="Q591" s="210"/>
      <c r="R591" s="210"/>
      <c r="S591" s="210"/>
      <c r="T591" s="210"/>
      <c r="U591" s="210"/>
      <c r="V591" s="210"/>
      <c r="W591" s="210"/>
      <c r="X591" s="210"/>
      <c r="Y591" s="210"/>
      <c r="Z591" s="210"/>
      <c r="AA591" s="210"/>
      <c r="AB591" s="210"/>
      <c r="AC591" s="210"/>
      <c r="AI591" s="210"/>
      <c r="AJ591" s="210"/>
    </row>
    <row r="592" ht="12.75" customHeight="1">
      <c r="C592" s="210"/>
      <c r="D592" s="210"/>
      <c r="E592" s="210"/>
      <c r="F592" s="210"/>
      <c r="G592" s="210"/>
      <c r="H592" s="210"/>
      <c r="I592" s="210"/>
      <c r="J592" s="210"/>
      <c r="K592" s="210"/>
      <c r="L592" s="210"/>
      <c r="M592" s="210"/>
      <c r="N592" s="210"/>
      <c r="O592" s="210"/>
      <c r="P592" s="210"/>
      <c r="Q592" s="210"/>
      <c r="R592" s="210"/>
      <c r="S592" s="210"/>
      <c r="T592" s="210"/>
      <c r="U592" s="210"/>
      <c r="V592" s="210"/>
      <c r="W592" s="210"/>
      <c r="X592" s="210"/>
      <c r="Y592" s="210"/>
      <c r="Z592" s="210"/>
      <c r="AA592" s="210"/>
      <c r="AB592" s="210"/>
      <c r="AC592" s="210"/>
      <c r="AI592" s="210"/>
      <c r="AJ592" s="210"/>
    </row>
    <row r="593" ht="12.75" customHeight="1">
      <c r="C593" s="210"/>
      <c r="D593" s="210"/>
      <c r="E593" s="210"/>
      <c r="F593" s="210"/>
      <c r="G593" s="210"/>
      <c r="H593" s="210"/>
      <c r="I593" s="210"/>
      <c r="J593" s="210"/>
      <c r="K593" s="210"/>
      <c r="L593" s="210"/>
      <c r="M593" s="210"/>
      <c r="N593" s="210"/>
      <c r="O593" s="210"/>
      <c r="P593" s="210"/>
      <c r="Q593" s="210"/>
      <c r="R593" s="210"/>
      <c r="S593" s="210"/>
      <c r="T593" s="210"/>
      <c r="U593" s="210"/>
      <c r="V593" s="210"/>
      <c r="W593" s="210"/>
      <c r="X593" s="210"/>
      <c r="Y593" s="210"/>
      <c r="Z593" s="210"/>
      <c r="AA593" s="210"/>
      <c r="AB593" s="210"/>
      <c r="AC593" s="210"/>
      <c r="AI593" s="210"/>
      <c r="AJ593" s="210"/>
    </row>
    <row r="594" ht="12.75" customHeight="1">
      <c r="C594" s="210"/>
      <c r="D594" s="210"/>
      <c r="E594" s="210"/>
      <c r="F594" s="210"/>
      <c r="G594" s="210"/>
      <c r="H594" s="210"/>
      <c r="I594" s="210"/>
      <c r="J594" s="210"/>
      <c r="K594" s="210"/>
      <c r="L594" s="210"/>
      <c r="M594" s="210"/>
      <c r="N594" s="210"/>
      <c r="O594" s="210"/>
      <c r="P594" s="210"/>
      <c r="Q594" s="210"/>
      <c r="R594" s="210"/>
      <c r="S594" s="210"/>
      <c r="T594" s="210"/>
      <c r="U594" s="210"/>
      <c r="V594" s="210"/>
      <c r="W594" s="210"/>
      <c r="X594" s="210"/>
      <c r="Y594" s="210"/>
      <c r="Z594" s="210"/>
      <c r="AA594" s="210"/>
      <c r="AB594" s="210"/>
      <c r="AC594" s="210"/>
      <c r="AI594" s="210"/>
      <c r="AJ594" s="210"/>
    </row>
    <row r="595" ht="12.75" customHeight="1">
      <c r="C595" s="210"/>
      <c r="D595" s="210"/>
      <c r="E595" s="210"/>
      <c r="F595" s="210"/>
      <c r="G595" s="210"/>
      <c r="H595" s="210"/>
      <c r="I595" s="210"/>
      <c r="J595" s="210"/>
      <c r="K595" s="210"/>
      <c r="L595" s="210"/>
      <c r="M595" s="210"/>
      <c r="N595" s="210"/>
      <c r="O595" s="210"/>
      <c r="P595" s="210"/>
      <c r="Q595" s="210"/>
      <c r="R595" s="210"/>
      <c r="S595" s="210"/>
      <c r="T595" s="210"/>
      <c r="U595" s="210"/>
      <c r="V595" s="210"/>
      <c r="W595" s="210"/>
      <c r="X595" s="210"/>
      <c r="Y595" s="210"/>
      <c r="Z595" s="210"/>
      <c r="AA595" s="210"/>
      <c r="AB595" s="210"/>
      <c r="AC595" s="210"/>
      <c r="AI595" s="210"/>
      <c r="AJ595" s="210"/>
    </row>
    <row r="596" ht="12.75" customHeight="1">
      <c r="C596" s="210"/>
      <c r="D596" s="210"/>
      <c r="E596" s="210"/>
      <c r="F596" s="210"/>
      <c r="G596" s="210"/>
      <c r="H596" s="210"/>
      <c r="I596" s="210"/>
      <c r="J596" s="210"/>
      <c r="K596" s="210"/>
      <c r="L596" s="210"/>
      <c r="M596" s="210"/>
      <c r="N596" s="210"/>
      <c r="O596" s="210"/>
      <c r="P596" s="210"/>
      <c r="Q596" s="210"/>
      <c r="R596" s="210"/>
      <c r="S596" s="210"/>
      <c r="T596" s="210"/>
      <c r="U596" s="210"/>
      <c r="V596" s="210"/>
      <c r="W596" s="210"/>
      <c r="X596" s="210"/>
      <c r="Y596" s="210"/>
      <c r="Z596" s="210"/>
      <c r="AA596" s="210"/>
      <c r="AB596" s="210"/>
      <c r="AC596" s="210"/>
      <c r="AI596" s="210"/>
      <c r="AJ596" s="210"/>
    </row>
    <row r="597" ht="12.75" customHeight="1">
      <c r="C597" s="210"/>
      <c r="D597" s="210"/>
      <c r="E597" s="210"/>
      <c r="F597" s="210"/>
      <c r="G597" s="210"/>
      <c r="H597" s="210"/>
      <c r="I597" s="210"/>
      <c r="J597" s="210"/>
      <c r="K597" s="210"/>
      <c r="L597" s="210"/>
      <c r="M597" s="210"/>
      <c r="N597" s="210"/>
      <c r="O597" s="210"/>
      <c r="P597" s="210"/>
      <c r="Q597" s="210"/>
      <c r="R597" s="210"/>
      <c r="S597" s="210"/>
      <c r="T597" s="210"/>
      <c r="U597" s="210"/>
      <c r="V597" s="210"/>
      <c r="W597" s="210"/>
      <c r="X597" s="210"/>
      <c r="Y597" s="210"/>
      <c r="Z597" s="210"/>
      <c r="AA597" s="210"/>
      <c r="AB597" s="210"/>
      <c r="AC597" s="210"/>
      <c r="AI597" s="210"/>
      <c r="AJ597" s="210"/>
    </row>
    <row r="598" ht="12.75" customHeight="1">
      <c r="C598" s="210"/>
      <c r="D598" s="210"/>
      <c r="E598" s="210"/>
      <c r="F598" s="210"/>
      <c r="G598" s="210"/>
      <c r="H598" s="210"/>
      <c r="I598" s="210"/>
      <c r="J598" s="210"/>
      <c r="K598" s="210"/>
      <c r="L598" s="210"/>
      <c r="M598" s="210"/>
      <c r="N598" s="210"/>
      <c r="O598" s="210"/>
      <c r="P598" s="210"/>
      <c r="Q598" s="210"/>
      <c r="R598" s="210"/>
      <c r="S598" s="210"/>
      <c r="T598" s="210"/>
      <c r="U598" s="210"/>
      <c r="V598" s="210"/>
      <c r="W598" s="210"/>
      <c r="X598" s="210"/>
      <c r="Y598" s="210"/>
      <c r="Z598" s="210"/>
      <c r="AA598" s="210"/>
      <c r="AB598" s="210"/>
      <c r="AC598" s="210"/>
      <c r="AI598" s="210"/>
      <c r="AJ598" s="210"/>
    </row>
    <row r="599" ht="12.75" customHeight="1">
      <c r="C599" s="210"/>
      <c r="D599" s="210"/>
      <c r="E599" s="210"/>
      <c r="F599" s="210"/>
      <c r="G599" s="210"/>
      <c r="H599" s="210"/>
      <c r="I599" s="210"/>
      <c r="J599" s="210"/>
      <c r="K599" s="210"/>
      <c r="L599" s="210"/>
      <c r="M599" s="210"/>
      <c r="N599" s="210"/>
      <c r="O599" s="210"/>
      <c r="P599" s="210"/>
      <c r="Q599" s="210"/>
      <c r="R599" s="210"/>
      <c r="S599" s="210"/>
      <c r="T599" s="210"/>
      <c r="U599" s="210"/>
      <c r="V599" s="210"/>
      <c r="W599" s="210"/>
      <c r="X599" s="210"/>
      <c r="Y599" s="210"/>
      <c r="Z599" s="210"/>
      <c r="AA599" s="210"/>
      <c r="AB599" s="210"/>
      <c r="AC599" s="210"/>
      <c r="AI599" s="210"/>
      <c r="AJ599" s="210"/>
    </row>
    <row r="600" ht="12.75" customHeight="1">
      <c r="C600" s="210"/>
      <c r="D600" s="210"/>
      <c r="E600" s="210"/>
      <c r="F600" s="210"/>
      <c r="G600" s="210"/>
      <c r="H600" s="210"/>
      <c r="I600" s="210"/>
      <c r="J600" s="210"/>
      <c r="K600" s="210"/>
      <c r="L600" s="210"/>
      <c r="M600" s="210"/>
      <c r="N600" s="210"/>
      <c r="O600" s="210"/>
      <c r="P600" s="210"/>
      <c r="Q600" s="210"/>
      <c r="R600" s="210"/>
      <c r="S600" s="210"/>
      <c r="T600" s="210"/>
      <c r="U600" s="210"/>
      <c r="V600" s="210"/>
      <c r="W600" s="210"/>
      <c r="X600" s="210"/>
      <c r="Y600" s="210"/>
      <c r="Z600" s="210"/>
      <c r="AA600" s="210"/>
      <c r="AB600" s="210"/>
      <c r="AC600" s="210"/>
      <c r="AI600" s="210"/>
      <c r="AJ600" s="210"/>
    </row>
    <row r="601" ht="12.75" customHeight="1">
      <c r="C601" s="210"/>
      <c r="D601" s="210"/>
      <c r="E601" s="210"/>
      <c r="F601" s="210"/>
      <c r="G601" s="210"/>
      <c r="H601" s="210"/>
      <c r="I601" s="210"/>
      <c r="J601" s="210"/>
      <c r="K601" s="210"/>
      <c r="L601" s="210"/>
      <c r="M601" s="210"/>
      <c r="N601" s="210"/>
      <c r="O601" s="210"/>
      <c r="P601" s="210"/>
      <c r="Q601" s="210"/>
      <c r="R601" s="210"/>
      <c r="S601" s="210"/>
      <c r="T601" s="210"/>
      <c r="U601" s="210"/>
      <c r="V601" s="210"/>
      <c r="W601" s="210"/>
      <c r="X601" s="210"/>
      <c r="Y601" s="210"/>
      <c r="Z601" s="210"/>
      <c r="AA601" s="210"/>
      <c r="AB601" s="210"/>
      <c r="AC601" s="210"/>
      <c r="AI601" s="210"/>
      <c r="AJ601" s="210"/>
    </row>
    <row r="602" ht="12.75" customHeight="1">
      <c r="C602" s="210"/>
      <c r="D602" s="210"/>
      <c r="E602" s="210"/>
      <c r="F602" s="210"/>
      <c r="G602" s="210"/>
      <c r="H602" s="210"/>
      <c r="I602" s="210"/>
      <c r="J602" s="210"/>
      <c r="K602" s="210"/>
      <c r="L602" s="210"/>
      <c r="M602" s="210"/>
      <c r="N602" s="210"/>
      <c r="O602" s="210"/>
      <c r="P602" s="210"/>
      <c r="Q602" s="210"/>
      <c r="R602" s="210"/>
      <c r="S602" s="210"/>
      <c r="T602" s="210"/>
      <c r="U602" s="210"/>
      <c r="V602" s="210"/>
      <c r="W602" s="210"/>
      <c r="X602" s="210"/>
      <c r="Y602" s="210"/>
      <c r="Z602" s="210"/>
      <c r="AA602" s="210"/>
      <c r="AB602" s="210"/>
      <c r="AC602" s="210"/>
      <c r="AI602" s="210"/>
      <c r="AJ602" s="210"/>
    </row>
    <row r="603" ht="12.75" customHeight="1">
      <c r="C603" s="210"/>
      <c r="D603" s="210"/>
      <c r="E603" s="210"/>
      <c r="F603" s="210"/>
      <c r="G603" s="210"/>
      <c r="H603" s="210"/>
      <c r="I603" s="210"/>
      <c r="J603" s="210"/>
      <c r="K603" s="210"/>
      <c r="L603" s="210"/>
      <c r="M603" s="210"/>
      <c r="N603" s="210"/>
      <c r="O603" s="210"/>
      <c r="P603" s="210"/>
      <c r="Q603" s="210"/>
      <c r="R603" s="210"/>
      <c r="S603" s="210"/>
      <c r="T603" s="210"/>
      <c r="U603" s="210"/>
      <c r="V603" s="210"/>
      <c r="W603" s="210"/>
      <c r="X603" s="210"/>
      <c r="Y603" s="210"/>
      <c r="Z603" s="210"/>
      <c r="AA603" s="210"/>
      <c r="AB603" s="210"/>
      <c r="AC603" s="210"/>
      <c r="AI603" s="210"/>
      <c r="AJ603" s="210"/>
    </row>
    <row r="604" ht="12.75" customHeight="1">
      <c r="C604" s="210"/>
      <c r="D604" s="210"/>
      <c r="E604" s="210"/>
      <c r="F604" s="210"/>
      <c r="G604" s="210"/>
      <c r="H604" s="210"/>
      <c r="I604" s="210"/>
      <c r="J604" s="210"/>
      <c r="K604" s="210"/>
      <c r="L604" s="210"/>
      <c r="M604" s="210"/>
      <c r="N604" s="210"/>
      <c r="O604" s="210"/>
      <c r="P604" s="210"/>
      <c r="Q604" s="210"/>
      <c r="R604" s="210"/>
      <c r="S604" s="210"/>
      <c r="T604" s="210"/>
      <c r="U604" s="210"/>
      <c r="V604" s="210"/>
      <c r="W604" s="210"/>
      <c r="X604" s="210"/>
      <c r="Y604" s="210"/>
      <c r="Z604" s="210"/>
      <c r="AA604" s="210"/>
      <c r="AB604" s="210"/>
      <c r="AC604" s="210"/>
      <c r="AI604" s="210"/>
      <c r="AJ604" s="210"/>
    </row>
    <row r="605" ht="12.75" customHeight="1">
      <c r="C605" s="210"/>
      <c r="D605" s="210"/>
      <c r="E605" s="210"/>
      <c r="F605" s="210"/>
      <c r="G605" s="210"/>
      <c r="H605" s="210"/>
      <c r="I605" s="210"/>
      <c r="J605" s="210"/>
      <c r="K605" s="210"/>
      <c r="L605" s="210"/>
      <c r="M605" s="210"/>
      <c r="N605" s="210"/>
      <c r="O605" s="210"/>
      <c r="P605" s="210"/>
      <c r="Q605" s="210"/>
      <c r="R605" s="210"/>
      <c r="S605" s="210"/>
      <c r="T605" s="210"/>
      <c r="U605" s="210"/>
      <c r="V605" s="210"/>
      <c r="W605" s="210"/>
      <c r="X605" s="210"/>
      <c r="Y605" s="210"/>
      <c r="Z605" s="210"/>
      <c r="AA605" s="210"/>
      <c r="AB605" s="210"/>
      <c r="AC605" s="210"/>
      <c r="AI605" s="210"/>
      <c r="AJ605" s="210"/>
    </row>
    <row r="606" ht="12.75" customHeight="1">
      <c r="C606" s="210"/>
      <c r="D606" s="210"/>
      <c r="E606" s="210"/>
      <c r="F606" s="210"/>
      <c r="G606" s="210"/>
      <c r="H606" s="210"/>
      <c r="I606" s="210"/>
      <c r="J606" s="210"/>
      <c r="K606" s="210"/>
      <c r="L606" s="210"/>
      <c r="M606" s="210"/>
      <c r="N606" s="210"/>
      <c r="O606" s="210"/>
      <c r="P606" s="210"/>
      <c r="Q606" s="210"/>
      <c r="R606" s="210"/>
      <c r="S606" s="210"/>
      <c r="T606" s="210"/>
      <c r="U606" s="210"/>
      <c r="V606" s="210"/>
      <c r="W606" s="210"/>
      <c r="X606" s="210"/>
      <c r="Y606" s="210"/>
      <c r="Z606" s="210"/>
      <c r="AA606" s="210"/>
      <c r="AB606" s="210"/>
      <c r="AC606" s="210"/>
      <c r="AI606" s="210"/>
      <c r="AJ606" s="210"/>
    </row>
    <row r="607" ht="12.75" customHeight="1">
      <c r="C607" s="210"/>
      <c r="D607" s="210"/>
      <c r="E607" s="210"/>
      <c r="F607" s="210"/>
      <c r="G607" s="210"/>
      <c r="H607" s="210"/>
      <c r="I607" s="210"/>
      <c r="J607" s="210"/>
      <c r="K607" s="210"/>
      <c r="L607" s="210"/>
      <c r="M607" s="210"/>
      <c r="N607" s="210"/>
      <c r="O607" s="210"/>
      <c r="P607" s="210"/>
      <c r="Q607" s="210"/>
      <c r="R607" s="210"/>
      <c r="S607" s="210"/>
      <c r="T607" s="210"/>
      <c r="U607" s="210"/>
      <c r="V607" s="210"/>
      <c r="W607" s="210"/>
      <c r="X607" s="210"/>
      <c r="Y607" s="210"/>
      <c r="Z607" s="210"/>
      <c r="AA607" s="210"/>
      <c r="AB607" s="210"/>
      <c r="AC607" s="210"/>
      <c r="AI607" s="210"/>
      <c r="AJ607" s="210"/>
    </row>
    <row r="608" ht="12.75" customHeight="1">
      <c r="C608" s="210"/>
      <c r="D608" s="210"/>
      <c r="E608" s="210"/>
      <c r="F608" s="210"/>
      <c r="G608" s="210"/>
      <c r="H608" s="210"/>
      <c r="I608" s="210"/>
      <c r="J608" s="210"/>
      <c r="K608" s="210"/>
      <c r="L608" s="210"/>
      <c r="M608" s="210"/>
      <c r="N608" s="210"/>
      <c r="O608" s="210"/>
      <c r="P608" s="210"/>
      <c r="Q608" s="210"/>
      <c r="R608" s="210"/>
      <c r="S608" s="210"/>
      <c r="T608" s="210"/>
      <c r="U608" s="210"/>
      <c r="V608" s="210"/>
      <c r="W608" s="210"/>
      <c r="X608" s="210"/>
      <c r="Y608" s="210"/>
      <c r="Z608" s="210"/>
      <c r="AA608" s="210"/>
      <c r="AB608" s="210"/>
      <c r="AC608" s="210"/>
      <c r="AI608" s="210"/>
      <c r="AJ608" s="210"/>
    </row>
    <row r="609" ht="12.75" customHeight="1">
      <c r="C609" s="210"/>
      <c r="D609" s="210"/>
      <c r="E609" s="210"/>
      <c r="F609" s="210"/>
      <c r="G609" s="210"/>
      <c r="H609" s="210"/>
      <c r="I609" s="210"/>
      <c r="J609" s="210"/>
      <c r="K609" s="210"/>
      <c r="L609" s="210"/>
      <c r="M609" s="210"/>
      <c r="N609" s="210"/>
      <c r="O609" s="210"/>
      <c r="P609" s="210"/>
      <c r="Q609" s="210"/>
      <c r="R609" s="210"/>
      <c r="S609" s="210"/>
      <c r="T609" s="210"/>
      <c r="U609" s="210"/>
      <c r="V609" s="210"/>
      <c r="W609" s="210"/>
      <c r="X609" s="210"/>
      <c r="Y609" s="210"/>
      <c r="Z609" s="210"/>
      <c r="AA609" s="210"/>
      <c r="AB609" s="210"/>
      <c r="AC609" s="210"/>
      <c r="AI609" s="210"/>
      <c r="AJ609" s="210"/>
    </row>
    <row r="610" ht="12.75" customHeight="1">
      <c r="C610" s="210"/>
      <c r="D610" s="210"/>
      <c r="E610" s="210"/>
      <c r="F610" s="210"/>
      <c r="G610" s="210"/>
      <c r="H610" s="210"/>
      <c r="I610" s="210"/>
      <c r="J610" s="210"/>
      <c r="K610" s="210"/>
      <c r="L610" s="210"/>
      <c r="M610" s="210"/>
      <c r="N610" s="210"/>
      <c r="O610" s="210"/>
      <c r="P610" s="210"/>
      <c r="Q610" s="210"/>
      <c r="R610" s="210"/>
      <c r="S610" s="210"/>
      <c r="T610" s="210"/>
      <c r="U610" s="210"/>
      <c r="V610" s="210"/>
      <c r="W610" s="210"/>
      <c r="X610" s="210"/>
      <c r="Y610" s="210"/>
      <c r="Z610" s="210"/>
      <c r="AA610" s="210"/>
      <c r="AB610" s="210"/>
      <c r="AC610" s="210"/>
      <c r="AI610" s="210"/>
      <c r="AJ610" s="210"/>
    </row>
    <row r="611" ht="12.75" customHeight="1">
      <c r="C611" s="210"/>
      <c r="D611" s="210"/>
      <c r="E611" s="210"/>
      <c r="F611" s="210"/>
      <c r="G611" s="210"/>
      <c r="H611" s="210"/>
      <c r="I611" s="210"/>
      <c r="J611" s="210"/>
      <c r="K611" s="210"/>
      <c r="L611" s="210"/>
      <c r="M611" s="210"/>
      <c r="N611" s="210"/>
      <c r="O611" s="210"/>
      <c r="P611" s="210"/>
      <c r="Q611" s="210"/>
      <c r="R611" s="210"/>
      <c r="S611" s="210"/>
      <c r="T611" s="210"/>
      <c r="U611" s="210"/>
      <c r="V611" s="210"/>
      <c r="W611" s="210"/>
      <c r="X611" s="210"/>
      <c r="Y611" s="210"/>
      <c r="Z611" s="210"/>
      <c r="AA611" s="210"/>
      <c r="AB611" s="210"/>
      <c r="AC611" s="210"/>
      <c r="AI611" s="210"/>
      <c r="AJ611" s="210"/>
    </row>
    <row r="612" ht="12.75" customHeight="1">
      <c r="C612" s="210"/>
      <c r="D612" s="210"/>
      <c r="E612" s="210"/>
      <c r="F612" s="210"/>
      <c r="G612" s="210"/>
      <c r="H612" s="210"/>
      <c r="I612" s="210"/>
      <c r="J612" s="210"/>
      <c r="K612" s="210"/>
      <c r="L612" s="210"/>
      <c r="M612" s="210"/>
      <c r="N612" s="210"/>
      <c r="O612" s="210"/>
      <c r="P612" s="210"/>
      <c r="Q612" s="210"/>
      <c r="R612" s="210"/>
      <c r="S612" s="210"/>
      <c r="T612" s="210"/>
      <c r="U612" s="210"/>
      <c r="V612" s="210"/>
      <c r="W612" s="210"/>
      <c r="X612" s="210"/>
      <c r="Y612" s="210"/>
      <c r="Z612" s="210"/>
      <c r="AA612" s="210"/>
      <c r="AB612" s="210"/>
      <c r="AC612" s="210"/>
      <c r="AI612" s="210"/>
      <c r="AJ612" s="210"/>
    </row>
    <row r="613" ht="12.75" customHeight="1">
      <c r="C613" s="210"/>
      <c r="D613" s="210"/>
      <c r="E613" s="210"/>
      <c r="F613" s="210"/>
      <c r="G613" s="210"/>
      <c r="H613" s="210"/>
      <c r="I613" s="210"/>
      <c r="J613" s="210"/>
      <c r="K613" s="210"/>
      <c r="L613" s="210"/>
      <c r="M613" s="210"/>
      <c r="N613" s="210"/>
      <c r="O613" s="210"/>
      <c r="P613" s="210"/>
      <c r="Q613" s="210"/>
      <c r="R613" s="210"/>
      <c r="S613" s="210"/>
      <c r="T613" s="210"/>
      <c r="U613" s="210"/>
      <c r="V613" s="210"/>
      <c r="W613" s="210"/>
      <c r="X613" s="210"/>
      <c r="Y613" s="210"/>
      <c r="Z613" s="210"/>
      <c r="AA613" s="210"/>
      <c r="AB613" s="210"/>
      <c r="AC613" s="210"/>
      <c r="AI613" s="210"/>
      <c r="AJ613" s="210"/>
    </row>
    <row r="614" ht="12.75" customHeight="1">
      <c r="C614" s="210"/>
      <c r="D614" s="210"/>
      <c r="E614" s="210"/>
      <c r="F614" s="210"/>
      <c r="G614" s="210"/>
      <c r="H614" s="210"/>
      <c r="I614" s="210"/>
      <c r="J614" s="210"/>
      <c r="K614" s="210"/>
      <c r="L614" s="210"/>
      <c r="M614" s="210"/>
      <c r="N614" s="210"/>
      <c r="O614" s="210"/>
      <c r="P614" s="210"/>
      <c r="Q614" s="210"/>
      <c r="R614" s="210"/>
      <c r="S614" s="210"/>
      <c r="T614" s="210"/>
      <c r="U614" s="210"/>
      <c r="V614" s="210"/>
      <c r="W614" s="210"/>
      <c r="X614" s="210"/>
      <c r="Y614" s="210"/>
      <c r="Z614" s="210"/>
      <c r="AA614" s="210"/>
      <c r="AB614" s="210"/>
      <c r="AC614" s="210"/>
      <c r="AI614" s="210"/>
      <c r="AJ614" s="210"/>
    </row>
    <row r="615" ht="12.75" customHeight="1">
      <c r="C615" s="210"/>
      <c r="D615" s="210"/>
      <c r="E615" s="210"/>
      <c r="F615" s="210"/>
      <c r="G615" s="210"/>
      <c r="H615" s="210"/>
      <c r="I615" s="210"/>
      <c r="J615" s="210"/>
      <c r="K615" s="210"/>
      <c r="L615" s="210"/>
      <c r="M615" s="210"/>
      <c r="N615" s="210"/>
      <c r="O615" s="210"/>
      <c r="P615" s="210"/>
      <c r="Q615" s="210"/>
      <c r="R615" s="210"/>
      <c r="S615" s="210"/>
      <c r="T615" s="210"/>
      <c r="U615" s="210"/>
      <c r="V615" s="210"/>
      <c r="W615" s="210"/>
      <c r="X615" s="210"/>
      <c r="Y615" s="210"/>
      <c r="Z615" s="210"/>
      <c r="AA615" s="210"/>
      <c r="AB615" s="210"/>
      <c r="AC615" s="210"/>
      <c r="AI615" s="210"/>
      <c r="AJ615" s="210"/>
    </row>
    <row r="616" ht="12.75" customHeight="1">
      <c r="C616" s="210"/>
      <c r="D616" s="210"/>
      <c r="E616" s="210"/>
      <c r="F616" s="210"/>
      <c r="G616" s="210"/>
      <c r="H616" s="210"/>
      <c r="I616" s="210"/>
      <c r="J616" s="210"/>
      <c r="K616" s="210"/>
      <c r="L616" s="210"/>
      <c r="M616" s="210"/>
      <c r="N616" s="210"/>
      <c r="O616" s="210"/>
      <c r="P616" s="210"/>
      <c r="Q616" s="210"/>
      <c r="R616" s="210"/>
      <c r="S616" s="210"/>
      <c r="T616" s="210"/>
      <c r="U616" s="210"/>
      <c r="V616" s="210"/>
      <c r="W616" s="210"/>
      <c r="X616" s="210"/>
      <c r="Y616" s="210"/>
      <c r="Z616" s="210"/>
      <c r="AA616" s="210"/>
      <c r="AB616" s="210"/>
      <c r="AC616" s="210"/>
      <c r="AI616" s="210"/>
      <c r="AJ616" s="210"/>
    </row>
    <row r="617" ht="12.75" customHeight="1">
      <c r="C617" s="210"/>
      <c r="D617" s="210"/>
      <c r="E617" s="210"/>
      <c r="F617" s="210"/>
      <c r="G617" s="210"/>
      <c r="H617" s="210"/>
      <c r="I617" s="210"/>
      <c r="J617" s="210"/>
      <c r="K617" s="210"/>
      <c r="L617" s="210"/>
      <c r="M617" s="210"/>
      <c r="N617" s="210"/>
      <c r="O617" s="210"/>
      <c r="P617" s="210"/>
      <c r="Q617" s="210"/>
      <c r="R617" s="210"/>
      <c r="S617" s="210"/>
      <c r="T617" s="210"/>
      <c r="U617" s="210"/>
      <c r="V617" s="210"/>
      <c r="W617" s="210"/>
      <c r="X617" s="210"/>
      <c r="Y617" s="210"/>
      <c r="Z617" s="210"/>
      <c r="AA617" s="210"/>
      <c r="AB617" s="210"/>
      <c r="AC617" s="210"/>
      <c r="AI617" s="210"/>
      <c r="AJ617" s="210"/>
    </row>
    <row r="618" ht="12.75" customHeight="1">
      <c r="C618" s="210"/>
      <c r="D618" s="210"/>
      <c r="E618" s="210"/>
      <c r="F618" s="210"/>
      <c r="G618" s="210"/>
      <c r="H618" s="210"/>
      <c r="I618" s="210"/>
      <c r="J618" s="210"/>
      <c r="K618" s="210"/>
      <c r="L618" s="210"/>
      <c r="M618" s="210"/>
      <c r="N618" s="210"/>
      <c r="O618" s="210"/>
      <c r="P618" s="210"/>
      <c r="Q618" s="210"/>
      <c r="R618" s="210"/>
      <c r="S618" s="210"/>
      <c r="T618" s="210"/>
      <c r="U618" s="210"/>
      <c r="V618" s="210"/>
      <c r="W618" s="210"/>
      <c r="X618" s="210"/>
      <c r="Y618" s="210"/>
      <c r="Z618" s="210"/>
      <c r="AA618" s="210"/>
      <c r="AB618" s="210"/>
      <c r="AC618" s="210"/>
      <c r="AI618" s="210"/>
      <c r="AJ618" s="210"/>
    </row>
    <row r="619" ht="12.75" customHeight="1">
      <c r="C619" s="210"/>
      <c r="D619" s="210"/>
      <c r="E619" s="210"/>
      <c r="F619" s="210"/>
      <c r="G619" s="210"/>
      <c r="H619" s="210"/>
      <c r="I619" s="210"/>
      <c r="J619" s="210"/>
      <c r="K619" s="210"/>
      <c r="L619" s="210"/>
      <c r="M619" s="210"/>
      <c r="N619" s="210"/>
      <c r="O619" s="210"/>
      <c r="P619" s="210"/>
      <c r="Q619" s="210"/>
      <c r="R619" s="210"/>
      <c r="S619" s="210"/>
      <c r="T619" s="210"/>
      <c r="U619" s="210"/>
      <c r="V619" s="210"/>
      <c r="W619" s="210"/>
      <c r="X619" s="210"/>
      <c r="Y619" s="210"/>
      <c r="Z619" s="210"/>
      <c r="AA619" s="210"/>
      <c r="AB619" s="210"/>
      <c r="AC619" s="210"/>
      <c r="AI619" s="210"/>
      <c r="AJ619" s="210"/>
    </row>
    <row r="620" ht="12.75" customHeight="1">
      <c r="C620" s="210"/>
      <c r="D620" s="210"/>
      <c r="E620" s="210"/>
      <c r="F620" s="210"/>
      <c r="G620" s="210"/>
      <c r="H620" s="210"/>
      <c r="I620" s="210"/>
      <c r="J620" s="210"/>
      <c r="K620" s="210"/>
      <c r="L620" s="210"/>
      <c r="M620" s="210"/>
      <c r="N620" s="210"/>
      <c r="O620" s="210"/>
      <c r="P620" s="210"/>
      <c r="Q620" s="210"/>
      <c r="R620" s="210"/>
      <c r="S620" s="210"/>
      <c r="T620" s="210"/>
      <c r="U620" s="210"/>
      <c r="V620" s="210"/>
      <c r="W620" s="210"/>
      <c r="X620" s="210"/>
      <c r="Y620" s="210"/>
      <c r="Z620" s="210"/>
      <c r="AA620" s="210"/>
      <c r="AB620" s="210"/>
      <c r="AC620" s="210"/>
      <c r="AI620" s="210"/>
      <c r="AJ620" s="210"/>
    </row>
    <row r="621" ht="12.75" customHeight="1">
      <c r="C621" s="210"/>
      <c r="D621" s="210"/>
      <c r="E621" s="210"/>
      <c r="F621" s="210"/>
      <c r="G621" s="210"/>
      <c r="H621" s="210"/>
      <c r="I621" s="210"/>
      <c r="J621" s="210"/>
      <c r="K621" s="210"/>
      <c r="L621" s="210"/>
      <c r="M621" s="210"/>
      <c r="N621" s="210"/>
      <c r="O621" s="210"/>
      <c r="P621" s="210"/>
      <c r="Q621" s="210"/>
      <c r="R621" s="210"/>
      <c r="S621" s="210"/>
      <c r="T621" s="210"/>
      <c r="U621" s="210"/>
      <c r="V621" s="210"/>
      <c r="W621" s="210"/>
      <c r="X621" s="210"/>
      <c r="Y621" s="210"/>
      <c r="Z621" s="210"/>
      <c r="AA621" s="210"/>
      <c r="AB621" s="210"/>
      <c r="AC621" s="210"/>
      <c r="AI621" s="210"/>
      <c r="AJ621" s="210"/>
    </row>
    <row r="622" ht="12.75" customHeight="1">
      <c r="C622" s="210"/>
      <c r="D622" s="210"/>
      <c r="E622" s="210"/>
      <c r="F622" s="210"/>
      <c r="G622" s="210"/>
      <c r="H622" s="210"/>
      <c r="I622" s="210"/>
      <c r="J622" s="210"/>
      <c r="K622" s="210"/>
      <c r="L622" s="210"/>
      <c r="M622" s="210"/>
      <c r="N622" s="210"/>
      <c r="O622" s="210"/>
      <c r="P622" s="210"/>
      <c r="Q622" s="210"/>
      <c r="R622" s="210"/>
      <c r="S622" s="210"/>
      <c r="T622" s="210"/>
      <c r="U622" s="210"/>
      <c r="V622" s="210"/>
      <c r="W622" s="210"/>
      <c r="X622" s="210"/>
      <c r="Y622" s="210"/>
      <c r="Z622" s="210"/>
      <c r="AA622" s="210"/>
      <c r="AB622" s="210"/>
      <c r="AC622" s="210"/>
      <c r="AI622" s="210"/>
      <c r="AJ622" s="210"/>
    </row>
    <row r="623" ht="12.75" customHeight="1">
      <c r="C623" s="210"/>
      <c r="D623" s="210"/>
      <c r="E623" s="210"/>
      <c r="F623" s="210"/>
      <c r="G623" s="210"/>
      <c r="H623" s="210"/>
      <c r="I623" s="210"/>
      <c r="J623" s="210"/>
      <c r="K623" s="210"/>
      <c r="L623" s="210"/>
      <c r="M623" s="210"/>
      <c r="N623" s="210"/>
      <c r="O623" s="210"/>
      <c r="P623" s="210"/>
      <c r="Q623" s="210"/>
      <c r="R623" s="210"/>
      <c r="S623" s="210"/>
      <c r="T623" s="210"/>
      <c r="U623" s="210"/>
      <c r="V623" s="210"/>
      <c r="W623" s="210"/>
      <c r="X623" s="210"/>
      <c r="Y623" s="210"/>
      <c r="Z623" s="210"/>
      <c r="AA623" s="210"/>
      <c r="AB623" s="210"/>
      <c r="AC623" s="210"/>
      <c r="AI623" s="210"/>
      <c r="AJ623" s="210"/>
    </row>
    <row r="624" ht="12.75" customHeight="1">
      <c r="C624" s="210"/>
      <c r="D624" s="210"/>
      <c r="E624" s="210"/>
      <c r="F624" s="210"/>
      <c r="G624" s="210"/>
      <c r="H624" s="210"/>
      <c r="I624" s="210"/>
      <c r="J624" s="210"/>
      <c r="K624" s="210"/>
      <c r="L624" s="210"/>
      <c r="M624" s="210"/>
      <c r="N624" s="210"/>
      <c r="O624" s="210"/>
      <c r="P624" s="210"/>
      <c r="Q624" s="210"/>
      <c r="R624" s="210"/>
      <c r="S624" s="210"/>
      <c r="T624" s="210"/>
      <c r="U624" s="210"/>
      <c r="V624" s="210"/>
      <c r="W624" s="210"/>
      <c r="X624" s="210"/>
      <c r="Y624" s="210"/>
      <c r="Z624" s="210"/>
      <c r="AA624" s="210"/>
      <c r="AB624" s="210"/>
      <c r="AC624" s="210"/>
      <c r="AI624" s="210"/>
      <c r="AJ624" s="210"/>
    </row>
    <row r="625" ht="12.75" customHeight="1">
      <c r="C625" s="210"/>
      <c r="D625" s="210"/>
      <c r="E625" s="210"/>
      <c r="F625" s="210"/>
      <c r="G625" s="210"/>
      <c r="H625" s="210"/>
      <c r="I625" s="210"/>
      <c r="J625" s="210"/>
      <c r="K625" s="210"/>
      <c r="L625" s="210"/>
      <c r="M625" s="210"/>
      <c r="N625" s="210"/>
      <c r="O625" s="210"/>
      <c r="P625" s="210"/>
      <c r="Q625" s="210"/>
      <c r="R625" s="210"/>
      <c r="S625" s="210"/>
      <c r="T625" s="210"/>
      <c r="U625" s="210"/>
      <c r="V625" s="210"/>
      <c r="W625" s="210"/>
      <c r="X625" s="210"/>
      <c r="Y625" s="210"/>
      <c r="Z625" s="210"/>
      <c r="AA625" s="210"/>
      <c r="AB625" s="210"/>
      <c r="AC625" s="210"/>
      <c r="AI625" s="210"/>
      <c r="AJ625" s="210"/>
    </row>
    <row r="626" ht="12.75" customHeight="1">
      <c r="C626" s="210"/>
      <c r="D626" s="210"/>
      <c r="E626" s="210"/>
      <c r="F626" s="210"/>
      <c r="G626" s="210"/>
      <c r="H626" s="210"/>
      <c r="I626" s="210"/>
      <c r="J626" s="210"/>
      <c r="K626" s="210"/>
      <c r="L626" s="210"/>
      <c r="M626" s="210"/>
      <c r="N626" s="210"/>
      <c r="O626" s="210"/>
      <c r="P626" s="210"/>
      <c r="Q626" s="210"/>
      <c r="R626" s="210"/>
      <c r="S626" s="210"/>
      <c r="T626" s="210"/>
      <c r="U626" s="210"/>
      <c r="V626" s="210"/>
      <c r="W626" s="210"/>
      <c r="X626" s="210"/>
      <c r="Y626" s="210"/>
      <c r="Z626" s="210"/>
      <c r="AA626" s="210"/>
      <c r="AB626" s="210"/>
      <c r="AC626" s="210"/>
      <c r="AI626" s="210"/>
      <c r="AJ626" s="210"/>
    </row>
    <row r="627" ht="12.75" customHeight="1">
      <c r="C627" s="210"/>
      <c r="D627" s="210"/>
      <c r="E627" s="210"/>
      <c r="F627" s="210"/>
      <c r="G627" s="210"/>
      <c r="H627" s="210"/>
      <c r="I627" s="210"/>
      <c r="J627" s="210"/>
      <c r="K627" s="210"/>
      <c r="L627" s="210"/>
      <c r="M627" s="210"/>
      <c r="N627" s="210"/>
      <c r="O627" s="210"/>
      <c r="P627" s="210"/>
      <c r="Q627" s="210"/>
      <c r="R627" s="210"/>
      <c r="S627" s="210"/>
      <c r="T627" s="210"/>
      <c r="U627" s="210"/>
      <c r="V627" s="210"/>
      <c r="W627" s="210"/>
      <c r="X627" s="210"/>
      <c r="Y627" s="210"/>
      <c r="Z627" s="210"/>
      <c r="AA627" s="210"/>
      <c r="AB627" s="210"/>
      <c r="AC627" s="210"/>
      <c r="AI627" s="210"/>
      <c r="AJ627" s="210"/>
    </row>
    <row r="628" ht="12.75" customHeight="1">
      <c r="C628" s="210"/>
      <c r="D628" s="210"/>
      <c r="E628" s="210"/>
      <c r="F628" s="210"/>
      <c r="G628" s="210"/>
      <c r="H628" s="210"/>
      <c r="I628" s="210"/>
      <c r="J628" s="210"/>
      <c r="K628" s="210"/>
      <c r="L628" s="210"/>
      <c r="M628" s="210"/>
      <c r="N628" s="210"/>
      <c r="O628" s="210"/>
      <c r="P628" s="210"/>
      <c r="Q628" s="210"/>
      <c r="R628" s="210"/>
      <c r="S628" s="210"/>
      <c r="T628" s="210"/>
      <c r="U628" s="210"/>
      <c r="V628" s="210"/>
      <c r="W628" s="210"/>
      <c r="X628" s="210"/>
      <c r="Y628" s="210"/>
      <c r="Z628" s="210"/>
      <c r="AA628" s="210"/>
      <c r="AB628" s="210"/>
      <c r="AC628" s="210"/>
      <c r="AI628" s="210"/>
      <c r="AJ628" s="210"/>
    </row>
    <row r="629" ht="12.75" customHeight="1">
      <c r="C629" s="210"/>
      <c r="D629" s="210"/>
      <c r="E629" s="210"/>
      <c r="F629" s="210"/>
      <c r="G629" s="210"/>
      <c r="H629" s="210"/>
      <c r="I629" s="210"/>
      <c r="J629" s="210"/>
      <c r="K629" s="210"/>
      <c r="L629" s="210"/>
      <c r="M629" s="210"/>
      <c r="N629" s="210"/>
      <c r="O629" s="210"/>
      <c r="P629" s="210"/>
      <c r="Q629" s="210"/>
      <c r="R629" s="210"/>
      <c r="S629" s="210"/>
      <c r="T629" s="210"/>
      <c r="U629" s="210"/>
      <c r="V629" s="210"/>
      <c r="W629" s="210"/>
      <c r="X629" s="210"/>
      <c r="Y629" s="210"/>
      <c r="Z629" s="210"/>
      <c r="AA629" s="210"/>
      <c r="AB629" s="210"/>
      <c r="AC629" s="210"/>
      <c r="AI629" s="210"/>
      <c r="AJ629" s="210"/>
    </row>
    <row r="630" ht="12.75" customHeight="1">
      <c r="C630" s="210"/>
      <c r="D630" s="210"/>
      <c r="E630" s="210"/>
      <c r="F630" s="210"/>
      <c r="G630" s="210"/>
      <c r="H630" s="210"/>
      <c r="I630" s="210"/>
      <c r="J630" s="210"/>
      <c r="K630" s="210"/>
      <c r="L630" s="210"/>
      <c r="M630" s="210"/>
      <c r="N630" s="210"/>
      <c r="O630" s="210"/>
      <c r="P630" s="210"/>
      <c r="Q630" s="210"/>
      <c r="R630" s="210"/>
      <c r="S630" s="210"/>
      <c r="T630" s="210"/>
      <c r="U630" s="210"/>
      <c r="V630" s="210"/>
      <c r="W630" s="210"/>
      <c r="X630" s="210"/>
      <c r="Y630" s="210"/>
      <c r="Z630" s="210"/>
      <c r="AA630" s="210"/>
      <c r="AB630" s="210"/>
      <c r="AC630" s="210"/>
      <c r="AI630" s="210"/>
      <c r="AJ630" s="210"/>
    </row>
    <row r="631" ht="12.75" customHeight="1">
      <c r="C631" s="210"/>
      <c r="D631" s="210"/>
      <c r="E631" s="210"/>
      <c r="F631" s="210"/>
      <c r="G631" s="210"/>
      <c r="H631" s="210"/>
      <c r="I631" s="210"/>
      <c r="J631" s="210"/>
      <c r="K631" s="210"/>
      <c r="L631" s="210"/>
      <c r="M631" s="210"/>
      <c r="N631" s="210"/>
      <c r="O631" s="210"/>
      <c r="P631" s="210"/>
      <c r="Q631" s="210"/>
      <c r="R631" s="210"/>
      <c r="S631" s="210"/>
      <c r="T631" s="210"/>
      <c r="U631" s="210"/>
      <c r="V631" s="210"/>
      <c r="W631" s="210"/>
      <c r="X631" s="210"/>
      <c r="Y631" s="210"/>
      <c r="Z631" s="210"/>
      <c r="AA631" s="210"/>
      <c r="AB631" s="210"/>
      <c r="AC631" s="210"/>
      <c r="AI631" s="210"/>
      <c r="AJ631" s="210"/>
    </row>
    <row r="632" ht="12.75" customHeight="1">
      <c r="C632" s="210"/>
      <c r="D632" s="210"/>
      <c r="E632" s="210"/>
      <c r="F632" s="210"/>
      <c r="G632" s="210"/>
      <c r="H632" s="210"/>
      <c r="I632" s="210"/>
      <c r="J632" s="210"/>
      <c r="K632" s="210"/>
      <c r="L632" s="210"/>
      <c r="M632" s="210"/>
      <c r="N632" s="210"/>
      <c r="O632" s="210"/>
      <c r="P632" s="210"/>
      <c r="Q632" s="210"/>
      <c r="R632" s="210"/>
      <c r="S632" s="210"/>
      <c r="T632" s="210"/>
      <c r="U632" s="210"/>
      <c r="V632" s="210"/>
      <c r="W632" s="210"/>
      <c r="X632" s="210"/>
      <c r="Y632" s="210"/>
      <c r="Z632" s="210"/>
      <c r="AA632" s="210"/>
      <c r="AB632" s="210"/>
      <c r="AC632" s="210"/>
      <c r="AI632" s="210"/>
      <c r="AJ632" s="210"/>
    </row>
    <row r="633" ht="12.75" customHeight="1">
      <c r="C633" s="210"/>
      <c r="D633" s="210"/>
      <c r="E633" s="210"/>
      <c r="F633" s="210"/>
      <c r="G633" s="210"/>
      <c r="H633" s="210"/>
      <c r="I633" s="210"/>
      <c r="J633" s="210"/>
      <c r="K633" s="210"/>
      <c r="L633" s="210"/>
      <c r="M633" s="210"/>
      <c r="N633" s="210"/>
      <c r="O633" s="210"/>
      <c r="P633" s="210"/>
      <c r="Q633" s="210"/>
      <c r="R633" s="210"/>
      <c r="S633" s="210"/>
      <c r="T633" s="210"/>
      <c r="U633" s="210"/>
      <c r="V633" s="210"/>
      <c r="W633" s="210"/>
      <c r="X633" s="210"/>
      <c r="Y633" s="210"/>
      <c r="Z633" s="210"/>
      <c r="AA633" s="210"/>
      <c r="AB633" s="210"/>
      <c r="AC633" s="210"/>
      <c r="AI633" s="210"/>
      <c r="AJ633" s="210"/>
    </row>
    <row r="634" ht="12.75" customHeight="1">
      <c r="C634" s="210"/>
      <c r="D634" s="210"/>
      <c r="E634" s="210"/>
      <c r="F634" s="210"/>
      <c r="G634" s="210"/>
      <c r="H634" s="210"/>
      <c r="I634" s="210"/>
      <c r="J634" s="210"/>
      <c r="K634" s="210"/>
      <c r="L634" s="210"/>
      <c r="M634" s="210"/>
      <c r="N634" s="210"/>
      <c r="O634" s="210"/>
      <c r="P634" s="210"/>
      <c r="Q634" s="210"/>
      <c r="R634" s="210"/>
      <c r="S634" s="210"/>
      <c r="T634" s="210"/>
      <c r="U634" s="210"/>
      <c r="V634" s="210"/>
      <c r="W634" s="210"/>
      <c r="X634" s="210"/>
      <c r="Y634" s="210"/>
      <c r="Z634" s="210"/>
      <c r="AA634" s="210"/>
      <c r="AB634" s="210"/>
      <c r="AC634" s="210"/>
      <c r="AI634" s="210"/>
      <c r="AJ634" s="210"/>
    </row>
    <row r="635" ht="12.75" customHeight="1">
      <c r="C635" s="210"/>
      <c r="D635" s="210"/>
      <c r="E635" s="210"/>
      <c r="F635" s="210"/>
      <c r="G635" s="210"/>
      <c r="H635" s="210"/>
      <c r="I635" s="210"/>
      <c r="J635" s="210"/>
      <c r="K635" s="210"/>
      <c r="L635" s="210"/>
      <c r="M635" s="210"/>
      <c r="N635" s="210"/>
      <c r="O635" s="210"/>
      <c r="P635" s="210"/>
      <c r="Q635" s="210"/>
      <c r="R635" s="210"/>
      <c r="S635" s="210"/>
      <c r="T635" s="210"/>
      <c r="U635" s="210"/>
      <c r="V635" s="210"/>
      <c r="W635" s="210"/>
      <c r="X635" s="210"/>
      <c r="Y635" s="210"/>
      <c r="Z635" s="210"/>
      <c r="AA635" s="210"/>
      <c r="AB635" s="210"/>
      <c r="AC635" s="210"/>
      <c r="AI635" s="210"/>
      <c r="AJ635" s="210"/>
    </row>
    <row r="636" ht="12.75" customHeight="1">
      <c r="C636" s="210"/>
      <c r="D636" s="210"/>
      <c r="E636" s="210"/>
      <c r="F636" s="210"/>
      <c r="G636" s="210"/>
      <c r="H636" s="210"/>
      <c r="I636" s="210"/>
      <c r="J636" s="210"/>
      <c r="K636" s="210"/>
      <c r="L636" s="210"/>
      <c r="M636" s="210"/>
      <c r="N636" s="210"/>
      <c r="O636" s="210"/>
      <c r="P636" s="210"/>
      <c r="Q636" s="210"/>
      <c r="R636" s="210"/>
      <c r="S636" s="210"/>
      <c r="T636" s="210"/>
      <c r="U636" s="210"/>
      <c r="V636" s="210"/>
      <c r="W636" s="210"/>
      <c r="X636" s="210"/>
      <c r="Y636" s="210"/>
      <c r="Z636" s="210"/>
      <c r="AA636" s="210"/>
      <c r="AB636" s="210"/>
      <c r="AC636" s="210"/>
      <c r="AI636" s="210"/>
      <c r="AJ636" s="210"/>
    </row>
    <row r="637" ht="12.75" customHeight="1">
      <c r="C637" s="210"/>
      <c r="D637" s="210"/>
      <c r="E637" s="210"/>
      <c r="F637" s="210"/>
      <c r="G637" s="210"/>
      <c r="H637" s="210"/>
      <c r="I637" s="210"/>
      <c r="J637" s="210"/>
      <c r="K637" s="210"/>
      <c r="L637" s="210"/>
      <c r="M637" s="210"/>
      <c r="N637" s="210"/>
      <c r="O637" s="210"/>
      <c r="P637" s="210"/>
      <c r="Q637" s="210"/>
      <c r="R637" s="210"/>
      <c r="S637" s="210"/>
      <c r="T637" s="210"/>
      <c r="U637" s="210"/>
      <c r="V637" s="210"/>
      <c r="W637" s="210"/>
      <c r="X637" s="210"/>
      <c r="Y637" s="210"/>
      <c r="Z637" s="210"/>
      <c r="AA637" s="210"/>
      <c r="AB637" s="210"/>
      <c r="AC637" s="210"/>
      <c r="AI637" s="210"/>
      <c r="AJ637" s="210"/>
    </row>
    <row r="638" ht="12.75" customHeight="1">
      <c r="C638" s="210"/>
      <c r="D638" s="210"/>
      <c r="E638" s="210"/>
      <c r="F638" s="210"/>
      <c r="G638" s="210"/>
      <c r="H638" s="210"/>
      <c r="I638" s="210"/>
      <c r="J638" s="210"/>
      <c r="K638" s="210"/>
      <c r="L638" s="210"/>
      <c r="M638" s="210"/>
      <c r="N638" s="210"/>
      <c r="O638" s="210"/>
      <c r="P638" s="210"/>
      <c r="Q638" s="210"/>
      <c r="R638" s="210"/>
      <c r="S638" s="210"/>
      <c r="T638" s="210"/>
      <c r="U638" s="210"/>
      <c r="V638" s="210"/>
      <c r="W638" s="210"/>
      <c r="X638" s="210"/>
      <c r="Y638" s="210"/>
      <c r="Z638" s="210"/>
      <c r="AA638" s="210"/>
      <c r="AB638" s="210"/>
      <c r="AC638" s="210"/>
      <c r="AI638" s="210"/>
      <c r="AJ638" s="210"/>
    </row>
    <row r="639" ht="12.75" customHeight="1">
      <c r="C639" s="210"/>
      <c r="D639" s="210"/>
      <c r="E639" s="210"/>
      <c r="F639" s="210"/>
      <c r="G639" s="210"/>
      <c r="H639" s="210"/>
      <c r="I639" s="210"/>
      <c r="J639" s="210"/>
      <c r="K639" s="210"/>
      <c r="L639" s="210"/>
      <c r="M639" s="210"/>
      <c r="N639" s="210"/>
      <c r="O639" s="210"/>
      <c r="P639" s="210"/>
      <c r="Q639" s="210"/>
      <c r="R639" s="210"/>
      <c r="S639" s="210"/>
      <c r="T639" s="210"/>
      <c r="U639" s="210"/>
      <c r="V639" s="210"/>
      <c r="W639" s="210"/>
      <c r="X639" s="210"/>
      <c r="Y639" s="210"/>
      <c r="Z639" s="210"/>
      <c r="AA639" s="210"/>
      <c r="AB639" s="210"/>
      <c r="AC639" s="210"/>
      <c r="AI639" s="210"/>
      <c r="AJ639" s="210"/>
    </row>
    <row r="640" ht="12.75" customHeight="1">
      <c r="C640" s="210"/>
      <c r="D640" s="210"/>
      <c r="E640" s="210"/>
      <c r="F640" s="210"/>
      <c r="G640" s="210"/>
      <c r="H640" s="210"/>
      <c r="I640" s="210"/>
      <c r="J640" s="210"/>
      <c r="K640" s="210"/>
      <c r="L640" s="210"/>
      <c r="M640" s="210"/>
      <c r="N640" s="210"/>
      <c r="O640" s="210"/>
      <c r="P640" s="210"/>
      <c r="Q640" s="210"/>
      <c r="R640" s="210"/>
      <c r="S640" s="210"/>
      <c r="T640" s="210"/>
      <c r="U640" s="210"/>
      <c r="V640" s="210"/>
      <c r="W640" s="210"/>
      <c r="X640" s="210"/>
      <c r="Y640" s="210"/>
      <c r="Z640" s="210"/>
      <c r="AA640" s="210"/>
      <c r="AB640" s="210"/>
      <c r="AC640" s="210"/>
      <c r="AI640" s="210"/>
      <c r="AJ640" s="210"/>
    </row>
    <row r="641" ht="12.75" customHeight="1">
      <c r="C641" s="210"/>
      <c r="D641" s="210"/>
      <c r="E641" s="210"/>
      <c r="F641" s="210"/>
      <c r="G641" s="210"/>
      <c r="H641" s="210"/>
      <c r="I641" s="210"/>
      <c r="J641" s="210"/>
      <c r="K641" s="210"/>
      <c r="L641" s="210"/>
      <c r="M641" s="210"/>
      <c r="N641" s="210"/>
      <c r="O641" s="210"/>
      <c r="P641" s="210"/>
      <c r="Q641" s="210"/>
      <c r="R641" s="210"/>
      <c r="S641" s="210"/>
      <c r="T641" s="210"/>
      <c r="U641" s="210"/>
      <c r="V641" s="210"/>
      <c r="W641" s="210"/>
      <c r="X641" s="210"/>
      <c r="Y641" s="210"/>
      <c r="Z641" s="210"/>
      <c r="AA641" s="210"/>
      <c r="AB641" s="210"/>
      <c r="AC641" s="210"/>
      <c r="AI641" s="210"/>
      <c r="AJ641" s="210"/>
    </row>
    <row r="642" ht="12.75" customHeight="1">
      <c r="C642" s="210"/>
      <c r="D642" s="210"/>
      <c r="E642" s="210"/>
      <c r="F642" s="210"/>
      <c r="G642" s="210"/>
      <c r="H642" s="210"/>
      <c r="I642" s="210"/>
      <c r="J642" s="210"/>
      <c r="K642" s="210"/>
      <c r="L642" s="210"/>
      <c r="M642" s="210"/>
      <c r="N642" s="210"/>
      <c r="O642" s="210"/>
      <c r="P642" s="210"/>
      <c r="Q642" s="210"/>
      <c r="R642" s="210"/>
      <c r="S642" s="210"/>
      <c r="T642" s="210"/>
      <c r="U642" s="210"/>
      <c r="V642" s="210"/>
      <c r="W642" s="210"/>
      <c r="X642" s="210"/>
      <c r="Y642" s="210"/>
      <c r="Z642" s="210"/>
      <c r="AA642" s="210"/>
      <c r="AB642" s="210"/>
      <c r="AC642" s="210"/>
      <c r="AI642" s="210"/>
      <c r="AJ642" s="210"/>
    </row>
    <row r="643" ht="12.75" customHeight="1">
      <c r="C643" s="210"/>
      <c r="D643" s="210"/>
      <c r="E643" s="210"/>
      <c r="F643" s="210"/>
      <c r="G643" s="210"/>
      <c r="H643" s="210"/>
      <c r="I643" s="210"/>
      <c r="J643" s="210"/>
      <c r="K643" s="210"/>
      <c r="L643" s="210"/>
      <c r="M643" s="210"/>
      <c r="N643" s="210"/>
      <c r="O643" s="210"/>
      <c r="P643" s="210"/>
      <c r="Q643" s="210"/>
      <c r="R643" s="210"/>
      <c r="S643" s="210"/>
      <c r="T643" s="210"/>
      <c r="U643" s="210"/>
      <c r="V643" s="210"/>
      <c r="W643" s="210"/>
      <c r="X643" s="210"/>
      <c r="Y643" s="210"/>
      <c r="Z643" s="210"/>
      <c r="AA643" s="210"/>
      <c r="AB643" s="210"/>
      <c r="AC643" s="210"/>
      <c r="AI643" s="210"/>
      <c r="AJ643" s="210"/>
    </row>
    <row r="644" ht="12.75" customHeight="1">
      <c r="C644" s="210"/>
      <c r="D644" s="210"/>
      <c r="E644" s="210"/>
      <c r="F644" s="210"/>
      <c r="G644" s="210"/>
      <c r="H644" s="210"/>
      <c r="I644" s="210"/>
      <c r="J644" s="210"/>
      <c r="K644" s="210"/>
      <c r="L644" s="210"/>
      <c r="M644" s="210"/>
      <c r="N644" s="210"/>
      <c r="O644" s="210"/>
      <c r="P644" s="210"/>
      <c r="Q644" s="210"/>
      <c r="R644" s="210"/>
      <c r="S644" s="210"/>
      <c r="T644" s="210"/>
      <c r="U644" s="210"/>
      <c r="V644" s="210"/>
      <c r="W644" s="210"/>
      <c r="X644" s="210"/>
      <c r="Y644" s="210"/>
      <c r="Z644" s="210"/>
      <c r="AA644" s="210"/>
      <c r="AB644" s="210"/>
      <c r="AC644" s="210"/>
      <c r="AI644" s="210"/>
      <c r="AJ644" s="210"/>
    </row>
    <row r="645" ht="12.75" customHeight="1">
      <c r="C645" s="210"/>
      <c r="D645" s="210"/>
      <c r="E645" s="210"/>
      <c r="F645" s="210"/>
      <c r="G645" s="210"/>
      <c r="H645" s="210"/>
      <c r="I645" s="210"/>
      <c r="J645" s="210"/>
      <c r="K645" s="210"/>
      <c r="L645" s="210"/>
      <c r="M645" s="210"/>
      <c r="N645" s="210"/>
      <c r="O645" s="210"/>
      <c r="P645" s="210"/>
      <c r="Q645" s="210"/>
      <c r="R645" s="210"/>
      <c r="S645" s="210"/>
      <c r="T645" s="210"/>
      <c r="U645" s="210"/>
      <c r="V645" s="210"/>
      <c r="W645" s="210"/>
      <c r="X645" s="210"/>
      <c r="Y645" s="210"/>
      <c r="Z645" s="210"/>
      <c r="AA645" s="210"/>
      <c r="AB645" s="210"/>
      <c r="AC645" s="210"/>
      <c r="AI645" s="210"/>
      <c r="AJ645" s="210"/>
    </row>
    <row r="646" ht="12.75" customHeight="1">
      <c r="C646" s="210"/>
      <c r="D646" s="210"/>
      <c r="E646" s="210"/>
      <c r="F646" s="210"/>
      <c r="G646" s="210"/>
      <c r="H646" s="210"/>
      <c r="I646" s="210"/>
      <c r="J646" s="210"/>
      <c r="K646" s="210"/>
      <c r="L646" s="210"/>
      <c r="M646" s="210"/>
      <c r="N646" s="210"/>
      <c r="O646" s="210"/>
      <c r="P646" s="210"/>
      <c r="Q646" s="210"/>
      <c r="R646" s="210"/>
      <c r="S646" s="210"/>
      <c r="T646" s="210"/>
      <c r="U646" s="210"/>
      <c r="V646" s="210"/>
      <c r="W646" s="210"/>
      <c r="X646" s="210"/>
      <c r="Y646" s="210"/>
      <c r="Z646" s="210"/>
      <c r="AA646" s="210"/>
      <c r="AB646" s="210"/>
      <c r="AC646" s="210"/>
      <c r="AI646" s="210"/>
      <c r="AJ646" s="210"/>
    </row>
    <row r="647" ht="12.75" customHeight="1">
      <c r="C647" s="210"/>
      <c r="D647" s="210"/>
      <c r="E647" s="210"/>
      <c r="F647" s="210"/>
      <c r="G647" s="210"/>
      <c r="H647" s="210"/>
      <c r="I647" s="210"/>
      <c r="J647" s="210"/>
      <c r="K647" s="210"/>
      <c r="L647" s="210"/>
      <c r="M647" s="210"/>
      <c r="N647" s="210"/>
      <c r="O647" s="210"/>
      <c r="P647" s="210"/>
      <c r="Q647" s="210"/>
      <c r="R647" s="210"/>
      <c r="S647" s="210"/>
      <c r="T647" s="210"/>
      <c r="U647" s="210"/>
      <c r="V647" s="210"/>
      <c r="W647" s="210"/>
      <c r="X647" s="210"/>
      <c r="Y647" s="210"/>
      <c r="Z647" s="210"/>
      <c r="AA647" s="210"/>
      <c r="AB647" s="210"/>
      <c r="AC647" s="210"/>
      <c r="AI647" s="210"/>
      <c r="AJ647" s="210"/>
    </row>
    <row r="648" ht="12.75" customHeight="1">
      <c r="C648" s="210"/>
      <c r="D648" s="210"/>
      <c r="E648" s="210"/>
      <c r="F648" s="210"/>
      <c r="G648" s="210"/>
      <c r="H648" s="210"/>
      <c r="I648" s="210"/>
      <c r="J648" s="210"/>
      <c r="K648" s="210"/>
      <c r="L648" s="210"/>
      <c r="M648" s="210"/>
      <c r="N648" s="210"/>
      <c r="O648" s="210"/>
      <c r="P648" s="210"/>
      <c r="Q648" s="210"/>
      <c r="R648" s="210"/>
      <c r="S648" s="210"/>
      <c r="T648" s="210"/>
      <c r="U648" s="210"/>
      <c r="V648" s="210"/>
      <c r="W648" s="210"/>
      <c r="X648" s="210"/>
      <c r="Y648" s="210"/>
      <c r="Z648" s="210"/>
      <c r="AA648" s="210"/>
      <c r="AB648" s="210"/>
      <c r="AC648" s="210"/>
      <c r="AI648" s="210"/>
      <c r="AJ648" s="210"/>
    </row>
    <row r="649" ht="12.75" customHeight="1">
      <c r="C649" s="210"/>
      <c r="D649" s="210"/>
      <c r="E649" s="210"/>
      <c r="F649" s="210"/>
      <c r="G649" s="210"/>
      <c r="H649" s="210"/>
      <c r="I649" s="210"/>
      <c r="J649" s="210"/>
      <c r="K649" s="210"/>
      <c r="L649" s="210"/>
      <c r="M649" s="210"/>
      <c r="N649" s="210"/>
      <c r="O649" s="210"/>
      <c r="P649" s="210"/>
      <c r="Q649" s="210"/>
      <c r="R649" s="210"/>
      <c r="S649" s="210"/>
      <c r="T649" s="210"/>
      <c r="U649" s="210"/>
      <c r="V649" s="210"/>
      <c r="W649" s="210"/>
      <c r="X649" s="210"/>
      <c r="Y649" s="210"/>
      <c r="Z649" s="210"/>
      <c r="AA649" s="210"/>
      <c r="AB649" s="210"/>
      <c r="AC649" s="210"/>
      <c r="AI649" s="210"/>
      <c r="AJ649" s="210"/>
    </row>
    <row r="650" ht="12.75" customHeight="1">
      <c r="C650" s="210"/>
      <c r="D650" s="210"/>
      <c r="E650" s="210"/>
      <c r="F650" s="210"/>
      <c r="G650" s="210"/>
      <c r="H650" s="210"/>
      <c r="I650" s="210"/>
      <c r="J650" s="210"/>
      <c r="K650" s="210"/>
      <c r="L650" s="210"/>
      <c r="M650" s="210"/>
      <c r="N650" s="210"/>
      <c r="O650" s="210"/>
      <c r="P650" s="210"/>
      <c r="Q650" s="210"/>
      <c r="R650" s="210"/>
      <c r="S650" s="210"/>
      <c r="T650" s="210"/>
      <c r="U650" s="210"/>
      <c r="V650" s="210"/>
      <c r="W650" s="210"/>
      <c r="X650" s="210"/>
      <c r="Y650" s="210"/>
      <c r="Z650" s="210"/>
      <c r="AA650" s="210"/>
      <c r="AB650" s="210"/>
      <c r="AC650" s="210"/>
      <c r="AI650" s="210"/>
      <c r="AJ650" s="210"/>
    </row>
    <row r="651" ht="12.75" customHeight="1">
      <c r="C651" s="210"/>
      <c r="D651" s="210"/>
      <c r="E651" s="210"/>
      <c r="F651" s="210"/>
      <c r="G651" s="210"/>
      <c r="H651" s="210"/>
      <c r="I651" s="210"/>
      <c r="J651" s="210"/>
      <c r="K651" s="210"/>
      <c r="L651" s="210"/>
      <c r="M651" s="210"/>
      <c r="N651" s="210"/>
      <c r="O651" s="210"/>
      <c r="P651" s="210"/>
      <c r="Q651" s="210"/>
      <c r="R651" s="210"/>
      <c r="S651" s="210"/>
      <c r="T651" s="210"/>
      <c r="U651" s="210"/>
      <c r="V651" s="210"/>
      <c r="W651" s="210"/>
      <c r="X651" s="210"/>
      <c r="Y651" s="210"/>
      <c r="Z651" s="210"/>
      <c r="AA651" s="210"/>
      <c r="AB651" s="210"/>
      <c r="AC651" s="210"/>
      <c r="AI651" s="210"/>
      <c r="AJ651" s="210"/>
    </row>
    <row r="652" ht="12.75" customHeight="1">
      <c r="C652" s="210"/>
      <c r="D652" s="210"/>
      <c r="E652" s="210"/>
      <c r="F652" s="210"/>
      <c r="G652" s="210"/>
      <c r="H652" s="210"/>
      <c r="I652" s="210"/>
      <c r="J652" s="210"/>
      <c r="K652" s="210"/>
      <c r="L652" s="210"/>
      <c r="M652" s="210"/>
      <c r="N652" s="210"/>
      <c r="O652" s="210"/>
      <c r="P652" s="210"/>
      <c r="Q652" s="210"/>
      <c r="R652" s="210"/>
      <c r="S652" s="210"/>
      <c r="T652" s="210"/>
      <c r="U652" s="210"/>
      <c r="V652" s="210"/>
      <c r="W652" s="210"/>
      <c r="X652" s="210"/>
      <c r="Y652" s="210"/>
      <c r="Z652" s="210"/>
      <c r="AA652" s="210"/>
      <c r="AB652" s="210"/>
      <c r="AC652" s="210"/>
      <c r="AI652" s="210"/>
      <c r="AJ652" s="210"/>
    </row>
    <row r="653" ht="12.75" customHeight="1">
      <c r="C653" s="210"/>
      <c r="D653" s="210"/>
      <c r="E653" s="210"/>
      <c r="F653" s="210"/>
      <c r="G653" s="210"/>
      <c r="H653" s="210"/>
      <c r="I653" s="210"/>
      <c r="J653" s="210"/>
      <c r="K653" s="210"/>
      <c r="L653" s="210"/>
      <c r="M653" s="210"/>
      <c r="N653" s="210"/>
      <c r="O653" s="210"/>
      <c r="P653" s="210"/>
      <c r="Q653" s="210"/>
      <c r="R653" s="210"/>
      <c r="S653" s="210"/>
      <c r="T653" s="210"/>
      <c r="U653" s="210"/>
      <c r="V653" s="210"/>
      <c r="W653" s="210"/>
      <c r="X653" s="210"/>
      <c r="Y653" s="210"/>
      <c r="Z653" s="210"/>
      <c r="AA653" s="210"/>
      <c r="AB653" s="210"/>
      <c r="AC653" s="210"/>
      <c r="AI653" s="210"/>
      <c r="AJ653" s="210"/>
    </row>
    <row r="654" ht="12.75" customHeight="1">
      <c r="C654" s="210"/>
      <c r="D654" s="210"/>
      <c r="E654" s="210"/>
      <c r="F654" s="210"/>
      <c r="G654" s="210"/>
      <c r="H654" s="210"/>
      <c r="I654" s="210"/>
      <c r="J654" s="210"/>
      <c r="K654" s="210"/>
      <c r="L654" s="210"/>
      <c r="M654" s="210"/>
      <c r="N654" s="210"/>
      <c r="O654" s="210"/>
      <c r="P654" s="210"/>
      <c r="Q654" s="210"/>
      <c r="R654" s="210"/>
      <c r="S654" s="210"/>
      <c r="T654" s="210"/>
      <c r="U654" s="210"/>
      <c r="V654" s="210"/>
      <c r="W654" s="210"/>
      <c r="X654" s="210"/>
      <c r="Y654" s="210"/>
      <c r="Z654" s="210"/>
      <c r="AA654" s="210"/>
      <c r="AB654" s="210"/>
      <c r="AC654" s="210"/>
      <c r="AI654" s="210"/>
      <c r="AJ654" s="210"/>
    </row>
    <row r="655" ht="12.75" customHeight="1">
      <c r="C655" s="210"/>
      <c r="D655" s="210"/>
      <c r="E655" s="210"/>
      <c r="F655" s="210"/>
      <c r="G655" s="210"/>
      <c r="H655" s="210"/>
      <c r="I655" s="210"/>
      <c r="J655" s="210"/>
      <c r="K655" s="210"/>
      <c r="L655" s="210"/>
      <c r="M655" s="210"/>
      <c r="N655" s="210"/>
      <c r="O655" s="210"/>
      <c r="P655" s="210"/>
      <c r="Q655" s="210"/>
      <c r="R655" s="210"/>
      <c r="S655" s="210"/>
      <c r="T655" s="210"/>
      <c r="U655" s="210"/>
      <c r="V655" s="210"/>
      <c r="W655" s="210"/>
      <c r="X655" s="210"/>
      <c r="Y655" s="210"/>
      <c r="Z655" s="210"/>
      <c r="AA655" s="210"/>
      <c r="AB655" s="210"/>
      <c r="AC655" s="210"/>
      <c r="AI655" s="210"/>
      <c r="AJ655" s="210"/>
    </row>
    <row r="656" ht="12.75" customHeight="1">
      <c r="C656" s="210"/>
      <c r="D656" s="210"/>
      <c r="E656" s="210"/>
      <c r="F656" s="210"/>
      <c r="G656" s="210"/>
      <c r="H656" s="210"/>
      <c r="I656" s="210"/>
      <c r="J656" s="210"/>
      <c r="K656" s="210"/>
      <c r="L656" s="210"/>
      <c r="M656" s="210"/>
      <c r="N656" s="210"/>
      <c r="O656" s="210"/>
      <c r="P656" s="210"/>
      <c r="Q656" s="210"/>
      <c r="R656" s="210"/>
      <c r="S656" s="210"/>
      <c r="T656" s="210"/>
      <c r="U656" s="210"/>
      <c r="V656" s="210"/>
      <c r="W656" s="210"/>
      <c r="X656" s="210"/>
      <c r="Y656" s="210"/>
      <c r="Z656" s="210"/>
      <c r="AA656" s="210"/>
      <c r="AB656" s="210"/>
      <c r="AC656" s="210"/>
      <c r="AI656" s="210"/>
      <c r="AJ656" s="210"/>
    </row>
    <row r="657" ht="12.75" customHeight="1">
      <c r="C657" s="210"/>
      <c r="D657" s="210"/>
      <c r="E657" s="210"/>
      <c r="F657" s="210"/>
      <c r="G657" s="210"/>
      <c r="H657" s="210"/>
      <c r="I657" s="210"/>
      <c r="J657" s="210"/>
      <c r="K657" s="210"/>
      <c r="L657" s="210"/>
      <c r="M657" s="210"/>
      <c r="N657" s="210"/>
      <c r="O657" s="210"/>
      <c r="P657" s="210"/>
      <c r="Q657" s="210"/>
      <c r="R657" s="210"/>
      <c r="S657" s="210"/>
      <c r="T657" s="210"/>
      <c r="U657" s="210"/>
      <c r="V657" s="210"/>
      <c r="W657" s="210"/>
      <c r="X657" s="210"/>
      <c r="Y657" s="210"/>
      <c r="Z657" s="210"/>
      <c r="AA657" s="210"/>
      <c r="AB657" s="210"/>
      <c r="AC657" s="210"/>
      <c r="AI657" s="210"/>
      <c r="AJ657" s="210"/>
    </row>
    <row r="658" ht="12.75" customHeight="1">
      <c r="C658" s="210"/>
      <c r="D658" s="210"/>
      <c r="E658" s="210"/>
      <c r="F658" s="210"/>
      <c r="G658" s="210"/>
      <c r="H658" s="210"/>
      <c r="I658" s="210"/>
      <c r="J658" s="210"/>
      <c r="K658" s="210"/>
      <c r="L658" s="210"/>
      <c r="M658" s="210"/>
      <c r="N658" s="210"/>
      <c r="O658" s="210"/>
      <c r="P658" s="210"/>
      <c r="Q658" s="210"/>
      <c r="R658" s="210"/>
      <c r="S658" s="210"/>
      <c r="T658" s="210"/>
      <c r="U658" s="210"/>
      <c r="V658" s="210"/>
      <c r="W658" s="210"/>
      <c r="X658" s="210"/>
      <c r="Y658" s="210"/>
      <c r="Z658" s="210"/>
      <c r="AA658" s="210"/>
      <c r="AB658" s="210"/>
      <c r="AC658" s="210"/>
      <c r="AI658" s="210"/>
      <c r="AJ658" s="210"/>
    </row>
    <row r="659" ht="12.75" customHeight="1">
      <c r="C659" s="210"/>
      <c r="D659" s="210"/>
      <c r="E659" s="210"/>
      <c r="F659" s="210"/>
      <c r="G659" s="210"/>
      <c r="H659" s="210"/>
      <c r="I659" s="210"/>
      <c r="J659" s="210"/>
      <c r="K659" s="210"/>
      <c r="L659" s="210"/>
      <c r="M659" s="210"/>
      <c r="N659" s="210"/>
      <c r="O659" s="210"/>
      <c r="P659" s="210"/>
      <c r="Q659" s="210"/>
      <c r="R659" s="210"/>
      <c r="S659" s="210"/>
      <c r="T659" s="210"/>
      <c r="U659" s="210"/>
      <c r="V659" s="210"/>
      <c r="W659" s="210"/>
      <c r="X659" s="210"/>
      <c r="Y659" s="210"/>
      <c r="Z659" s="210"/>
      <c r="AA659" s="210"/>
      <c r="AB659" s="210"/>
      <c r="AC659" s="210"/>
      <c r="AI659" s="210"/>
      <c r="AJ659" s="210"/>
    </row>
    <row r="660" ht="12.75" customHeight="1">
      <c r="C660" s="210"/>
      <c r="D660" s="210"/>
      <c r="E660" s="210"/>
      <c r="F660" s="210"/>
      <c r="G660" s="210"/>
      <c r="H660" s="210"/>
      <c r="I660" s="210"/>
      <c r="J660" s="210"/>
      <c r="K660" s="210"/>
      <c r="L660" s="210"/>
      <c r="M660" s="210"/>
      <c r="N660" s="210"/>
      <c r="O660" s="210"/>
      <c r="P660" s="210"/>
      <c r="Q660" s="210"/>
      <c r="R660" s="210"/>
      <c r="S660" s="210"/>
      <c r="T660" s="210"/>
      <c r="U660" s="210"/>
      <c r="V660" s="210"/>
      <c r="W660" s="210"/>
      <c r="X660" s="210"/>
      <c r="Y660" s="210"/>
      <c r="Z660" s="210"/>
      <c r="AA660" s="210"/>
      <c r="AB660" s="210"/>
      <c r="AC660" s="210"/>
      <c r="AI660" s="210"/>
      <c r="AJ660" s="210"/>
    </row>
    <row r="661" ht="12.75" customHeight="1">
      <c r="C661" s="210"/>
      <c r="D661" s="210"/>
      <c r="E661" s="210"/>
      <c r="F661" s="210"/>
      <c r="G661" s="210"/>
      <c r="H661" s="210"/>
      <c r="I661" s="210"/>
      <c r="J661" s="210"/>
      <c r="K661" s="210"/>
      <c r="L661" s="210"/>
      <c r="M661" s="210"/>
      <c r="N661" s="210"/>
      <c r="O661" s="210"/>
      <c r="P661" s="210"/>
      <c r="Q661" s="210"/>
      <c r="R661" s="210"/>
      <c r="S661" s="210"/>
      <c r="T661" s="210"/>
      <c r="U661" s="210"/>
      <c r="V661" s="210"/>
      <c r="W661" s="210"/>
      <c r="X661" s="210"/>
      <c r="Y661" s="210"/>
      <c r="Z661" s="210"/>
      <c r="AA661" s="210"/>
      <c r="AB661" s="210"/>
      <c r="AC661" s="210"/>
      <c r="AI661" s="210"/>
      <c r="AJ661" s="210"/>
    </row>
    <row r="662" ht="12.75" customHeight="1">
      <c r="C662" s="210"/>
      <c r="D662" s="210"/>
      <c r="E662" s="210"/>
      <c r="F662" s="210"/>
      <c r="G662" s="210"/>
      <c r="H662" s="210"/>
      <c r="I662" s="210"/>
      <c r="J662" s="210"/>
      <c r="K662" s="210"/>
      <c r="L662" s="210"/>
      <c r="M662" s="210"/>
      <c r="N662" s="210"/>
      <c r="O662" s="210"/>
      <c r="P662" s="210"/>
      <c r="Q662" s="210"/>
      <c r="R662" s="210"/>
      <c r="S662" s="210"/>
      <c r="T662" s="210"/>
      <c r="U662" s="210"/>
      <c r="V662" s="210"/>
      <c r="W662" s="210"/>
      <c r="X662" s="210"/>
      <c r="Y662" s="210"/>
      <c r="Z662" s="210"/>
      <c r="AA662" s="210"/>
      <c r="AB662" s="210"/>
      <c r="AC662" s="210"/>
      <c r="AI662" s="210"/>
      <c r="AJ662" s="210"/>
    </row>
    <row r="663" ht="12.75" customHeight="1">
      <c r="C663" s="210"/>
      <c r="D663" s="210"/>
      <c r="E663" s="210"/>
      <c r="F663" s="210"/>
      <c r="G663" s="210"/>
      <c r="H663" s="210"/>
      <c r="I663" s="210"/>
      <c r="J663" s="210"/>
      <c r="K663" s="210"/>
      <c r="L663" s="210"/>
      <c r="M663" s="210"/>
      <c r="N663" s="210"/>
      <c r="O663" s="210"/>
      <c r="P663" s="210"/>
      <c r="Q663" s="210"/>
      <c r="R663" s="210"/>
      <c r="S663" s="210"/>
      <c r="T663" s="210"/>
      <c r="U663" s="210"/>
      <c r="V663" s="210"/>
      <c r="W663" s="210"/>
      <c r="X663" s="210"/>
      <c r="Y663" s="210"/>
      <c r="Z663" s="210"/>
      <c r="AA663" s="210"/>
      <c r="AB663" s="210"/>
      <c r="AC663" s="210"/>
      <c r="AI663" s="210"/>
      <c r="AJ663" s="210"/>
    </row>
    <row r="664" ht="12.75" customHeight="1">
      <c r="C664" s="210"/>
      <c r="D664" s="210"/>
      <c r="E664" s="210"/>
      <c r="F664" s="210"/>
      <c r="G664" s="210"/>
      <c r="H664" s="210"/>
      <c r="I664" s="210"/>
      <c r="J664" s="210"/>
      <c r="K664" s="210"/>
      <c r="L664" s="210"/>
      <c r="M664" s="210"/>
      <c r="N664" s="210"/>
      <c r="O664" s="210"/>
      <c r="P664" s="210"/>
      <c r="Q664" s="210"/>
      <c r="R664" s="210"/>
      <c r="S664" s="210"/>
      <c r="T664" s="210"/>
      <c r="U664" s="210"/>
      <c r="V664" s="210"/>
      <c r="W664" s="210"/>
      <c r="X664" s="210"/>
      <c r="Y664" s="210"/>
      <c r="Z664" s="210"/>
      <c r="AA664" s="210"/>
      <c r="AB664" s="210"/>
      <c r="AC664" s="210"/>
      <c r="AI664" s="210"/>
      <c r="AJ664" s="210"/>
    </row>
    <row r="665" ht="12.75" customHeight="1">
      <c r="C665" s="210"/>
      <c r="D665" s="210"/>
      <c r="E665" s="210"/>
      <c r="F665" s="210"/>
      <c r="G665" s="210"/>
      <c r="H665" s="210"/>
      <c r="I665" s="210"/>
      <c r="J665" s="210"/>
      <c r="K665" s="210"/>
      <c r="L665" s="210"/>
      <c r="M665" s="210"/>
      <c r="N665" s="210"/>
      <c r="O665" s="210"/>
      <c r="P665" s="210"/>
      <c r="Q665" s="210"/>
      <c r="R665" s="210"/>
      <c r="S665" s="210"/>
      <c r="T665" s="210"/>
      <c r="U665" s="210"/>
      <c r="V665" s="210"/>
      <c r="W665" s="210"/>
      <c r="X665" s="210"/>
      <c r="Y665" s="210"/>
      <c r="Z665" s="210"/>
      <c r="AA665" s="210"/>
      <c r="AB665" s="210"/>
      <c r="AC665" s="210"/>
      <c r="AI665" s="210"/>
      <c r="AJ665" s="210"/>
    </row>
    <row r="666" ht="12.75" customHeight="1">
      <c r="C666" s="210"/>
      <c r="D666" s="210"/>
      <c r="E666" s="210"/>
      <c r="F666" s="210"/>
      <c r="G666" s="210"/>
      <c r="H666" s="210"/>
      <c r="I666" s="210"/>
      <c r="J666" s="210"/>
      <c r="K666" s="210"/>
      <c r="L666" s="210"/>
      <c r="M666" s="210"/>
      <c r="N666" s="210"/>
      <c r="O666" s="210"/>
      <c r="P666" s="210"/>
      <c r="Q666" s="210"/>
      <c r="R666" s="210"/>
      <c r="S666" s="210"/>
      <c r="T666" s="210"/>
      <c r="U666" s="210"/>
      <c r="V666" s="210"/>
      <c r="W666" s="210"/>
      <c r="X666" s="210"/>
      <c r="Y666" s="210"/>
      <c r="Z666" s="210"/>
      <c r="AA666" s="210"/>
      <c r="AB666" s="210"/>
      <c r="AC666" s="210"/>
      <c r="AI666" s="210"/>
      <c r="AJ666" s="210"/>
    </row>
    <row r="667" ht="12.75" customHeight="1">
      <c r="C667" s="210"/>
      <c r="D667" s="210"/>
      <c r="E667" s="210"/>
      <c r="F667" s="210"/>
      <c r="G667" s="210"/>
      <c r="H667" s="210"/>
      <c r="I667" s="210"/>
      <c r="J667" s="210"/>
      <c r="K667" s="210"/>
      <c r="L667" s="210"/>
      <c r="M667" s="210"/>
      <c r="N667" s="210"/>
      <c r="O667" s="210"/>
      <c r="P667" s="210"/>
      <c r="Q667" s="210"/>
      <c r="R667" s="210"/>
      <c r="S667" s="210"/>
      <c r="T667" s="210"/>
      <c r="U667" s="210"/>
      <c r="V667" s="210"/>
      <c r="W667" s="210"/>
      <c r="X667" s="210"/>
      <c r="Y667" s="210"/>
      <c r="Z667" s="210"/>
      <c r="AA667" s="210"/>
      <c r="AB667" s="210"/>
      <c r="AC667" s="210"/>
      <c r="AI667" s="210"/>
      <c r="AJ667" s="210"/>
    </row>
    <row r="668" ht="12.75" customHeight="1">
      <c r="C668" s="210"/>
      <c r="D668" s="210"/>
      <c r="E668" s="210"/>
      <c r="F668" s="210"/>
      <c r="G668" s="210"/>
      <c r="H668" s="210"/>
      <c r="I668" s="210"/>
      <c r="J668" s="210"/>
      <c r="K668" s="210"/>
      <c r="L668" s="210"/>
      <c r="M668" s="210"/>
      <c r="N668" s="210"/>
      <c r="O668" s="210"/>
      <c r="P668" s="210"/>
      <c r="Q668" s="210"/>
      <c r="R668" s="210"/>
      <c r="S668" s="210"/>
      <c r="T668" s="210"/>
      <c r="U668" s="210"/>
      <c r="V668" s="210"/>
      <c r="W668" s="210"/>
      <c r="X668" s="210"/>
      <c r="Y668" s="210"/>
      <c r="Z668" s="210"/>
      <c r="AA668" s="210"/>
      <c r="AB668" s="210"/>
      <c r="AC668" s="210"/>
      <c r="AI668" s="210"/>
      <c r="AJ668" s="210"/>
    </row>
    <row r="669" ht="12.75" customHeight="1">
      <c r="C669" s="210"/>
      <c r="D669" s="210"/>
      <c r="E669" s="210"/>
      <c r="F669" s="210"/>
      <c r="G669" s="210"/>
      <c r="H669" s="210"/>
      <c r="I669" s="210"/>
      <c r="J669" s="210"/>
      <c r="K669" s="210"/>
      <c r="L669" s="210"/>
      <c r="M669" s="210"/>
      <c r="N669" s="210"/>
      <c r="O669" s="210"/>
      <c r="P669" s="210"/>
      <c r="Q669" s="210"/>
      <c r="R669" s="210"/>
      <c r="S669" s="210"/>
      <c r="T669" s="210"/>
      <c r="U669" s="210"/>
      <c r="V669" s="210"/>
      <c r="W669" s="210"/>
      <c r="X669" s="210"/>
      <c r="Y669" s="210"/>
      <c r="Z669" s="210"/>
      <c r="AA669" s="210"/>
      <c r="AB669" s="210"/>
      <c r="AC669" s="210"/>
      <c r="AI669" s="210"/>
      <c r="AJ669" s="210"/>
    </row>
    <row r="670" ht="12.75" customHeight="1">
      <c r="C670" s="210"/>
      <c r="D670" s="210"/>
      <c r="E670" s="210"/>
      <c r="F670" s="210"/>
      <c r="G670" s="210"/>
      <c r="H670" s="210"/>
      <c r="I670" s="210"/>
      <c r="J670" s="210"/>
      <c r="K670" s="210"/>
      <c r="L670" s="210"/>
      <c r="M670" s="210"/>
      <c r="N670" s="210"/>
      <c r="O670" s="210"/>
      <c r="P670" s="210"/>
      <c r="Q670" s="210"/>
      <c r="R670" s="210"/>
      <c r="S670" s="210"/>
      <c r="T670" s="210"/>
      <c r="U670" s="210"/>
      <c r="V670" s="210"/>
      <c r="W670" s="210"/>
      <c r="X670" s="210"/>
      <c r="Y670" s="210"/>
      <c r="Z670" s="210"/>
      <c r="AA670" s="210"/>
      <c r="AB670" s="210"/>
      <c r="AC670" s="210"/>
      <c r="AI670" s="210"/>
      <c r="AJ670" s="210"/>
    </row>
    <row r="671" ht="12.75" customHeight="1">
      <c r="C671" s="210"/>
      <c r="D671" s="210"/>
      <c r="E671" s="210"/>
      <c r="F671" s="210"/>
      <c r="G671" s="210"/>
      <c r="H671" s="210"/>
      <c r="I671" s="210"/>
      <c r="J671" s="210"/>
      <c r="K671" s="210"/>
      <c r="L671" s="210"/>
      <c r="M671" s="210"/>
      <c r="N671" s="210"/>
      <c r="O671" s="210"/>
      <c r="P671" s="210"/>
      <c r="Q671" s="210"/>
      <c r="R671" s="210"/>
      <c r="S671" s="210"/>
      <c r="T671" s="210"/>
      <c r="U671" s="210"/>
      <c r="V671" s="210"/>
      <c r="W671" s="210"/>
      <c r="X671" s="210"/>
      <c r="Y671" s="210"/>
      <c r="Z671" s="210"/>
      <c r="AA671" s="210"/>
      <c r="AB671" s="210"/>
      <c r="AC671" s="210"/>
      <c r="AI671" s="210"/>
      <c r="AJ671" s="210"/>
    </row>
    <row r="672" ht="12.75" customHeight="1">
      <c r="C672" s="210"/>
      <c r="D672" s="210"/>
      <c r="E672" s="210"/>
      <c r="F672" s="210"/>
      <c r="G672" s="210"/>
      <c r="H672" s="210"/>
      <c r="I672" s="210"/>
      <c r="J672" s="210"/>
      <c r="K672" s="210"/>
      <c r="L672" s="210"/>
      <c r="M672" s="210"/>
      <c r="N672" s="210"/>
      <c r="O672" s="210"/>
      <c r="P672" s="210"/>
      <c r="Q672" s="210"/>
      <c r="R672" s="210"/>
      <c r="S672" s="210"/>
      <c r="T672" s="210"/>
      <c r="U672" s="210"/>
      <c r="V672" s="210"/>
      <c r="W672" s="210"/>
      <c r="X672" s="210"/>
      <c r="Y672" s="210"/>
      <c r="Z672" s="210"/>
      <c r="AA672" s="210"/>
      <c r="AB672" s="210"/>
      <c r="AC672" s="210"/>
      <c r="AI672" s="210"/>
      <c r="AJ672" s="210"/>
    </row>
    <row r="673" ht="12.75" customHeight="1">
      <c r="C673" s="210"/>
      <c r="D673" s="210"/>
      <c r="E673" s="210"/>
      <c r="F673" s="210"/>
      <c r="G673" s="210"/>
      <c r="H673" s="210"/>
      <c r="I673" s="210"/>
      <c r="J673" s="210"/>
      <c r="K673" s="210"/>
      <c r="L673" s="210"/>
      <c r="M673" s="210"/>
      <c r="N673" s="210"/>
      <c r="O673" s="210"/>
      <c r="P673" s="210"/>
      <c r="Q673" s="210"/>
      <c r="R673" s="210"/>
      <c r="S673" s="210"/>
      <c r="T673" s="210"/>
      <c r="U673" s="210"/>
      <c r="V673" s="210"/>
      <c r="W673" s="210"/>
      <c r="X673" s="210"/>
      <c r="Y673" s="210"/>
      <c r="Z673" s="210"/>
      <c r="AA673" s="210"/>
      <c r="AB673" s="210"/>
      <c r="AC673" s="210"/>
      <c r="AI673" s="210"/>
      <c r="AJ673" s="210"/>
    </row>
    <row r="674" ht="12.75" customHeight="1">
      <c r="C674" s="210"/>
      <c r="D674" s="210"/>
      <c r="E674" s="210"/>
      <c r="F674" s="210"/>
      <c r="G674" s="210"/>
      <c r="H674" s="210"/>
      <c r="I674" s="210"/>
      <c r="J674" s="210"/>
      <c r="K674" s="210"/>
      <c r="L674" s="210"/>
      <c r="M674" s="210"/>
      <c r="N674" s="210"/>
      <c r="O674" s="210"/>
      <c r="P674" s="210"/>
      <c r="Q674" s="210"/>
      <c r="R674" s="210"/>
      <c r="S674" s="210"/>
      <c r="T674" s="210"/>
      <c r="U674" s="210"/>
      <c r="V674" s="210"/>
      <c r="W674" s="210"/>
      <c r="X674" s="210"/>
      <c r="Y674" s="210"/>
      <c r="Z674" s="210"/>
      <c r="AA674" s="210"/>
      <c r="AB674" s="210"/>
      <c r="AC674" s="210"/>
      <c r="AI674" s="210"/>
      <c r="AJ674" s="210"/>
    </row>
    <row r="675" ht="12.75" customHeight="1">
      <c r="C675" s="210"/>
      <c r="D675" s="210"/>
      <c r="E675" s="210"/>
      <c r="F675" s="210"/>
      <c r="G675" s="210"/>
      <c r="H675" s="210"/>
      <c r="I675" s="210"/>
      <c r="J675" s="210"/>
      <c r="K675" s="210"/>
      <c r="L675" s="210"/>
      <c r="M675" s="210"/>
      <c r="N675" s="210"/>
      <c r="O675" s="210"/>
      <c r="P675" s="210"/>
      <c r="Q675" s="210"/>
      <c r="R675" s="210"/>
      <c r="S675" s="210"/>
      <c r="T675" s="210"/>
      <c r="U675" s="210"/>
      <c r="V675" s="210"/>
      <c r="W675" s="210"/>
      <c r="X675" s="210"/>
      <c r="Y675" s="210"/>
      <c r="Z675" s="210"/>
      <c r="AA675" s="210"/>
      <c r="AB675" s="210"/>
      <c r="AC675" s="210"/>
      <c r="AI675" s="210"/>
      <c r="AJ675" s="210"/>
    </row>
    <row r="676" ht="12.75" customHeight="1">
      <c r="C676" s="210"/>
      <c r="D676" s="210"/>
      <c r="E676" s="210"/>
      <c r="F676" s="210"/>
      <c r="G676" s="210"/>
      <c r="H676" s="210"/>
      <c r="I676" s="210"/>
      <c r="J676" s="210"/>
      <c r="K676" s="210"/>
      <c r="L676" s="210"/>
      <c r="M676" s="210"/>
      <c r="N676" s="210"/>
      <c r="O676" s="210"/>
      <c r="P676" s="210"/>
      <c r="Q676" s="210"/>
      <c r="R676" s="210"/>
      <c r="S676" s="210"/>
      <c r="T676" s="210"/>
      <c r="U676" s="210"/>
      <c r="V676" s="210"/>
      <c r="W676" s="210"/>
      <c r="X676" s="210"/>
      <c r="Y676" s="210"/>
      <c r="Z676" s="210"/>
      <c r="AA676" s="210"/>
      <c r="AB676" s="210"/>
      <c r="AC676" s="210"/>
      <c r="AI676" s="210"/>
      <c r="AJ676" s="210"/>
    </row>
    <row r="677" ht="12.75" customHeight="1">
      <c r="C677" s="210"/>
      <c r="D677" s="210"/>
      <c r="E677" s="210"/>
      <c r="F677" s="210"/>
      <c r="G677" s="210"/>
      <c r="H677" s="210"/>
      <c r="I677" s="210"/>
      <c r="J677" s="210"/>
      <c r="K677" s="210"/>
      <c r="L677" s="210"/>
      <c r="M677" s="210"/>
      <c r="N677" s="210"/>
      <c r="O677" s="210"/>
      <c r="P677" s="210"/>
      <c r="Q677" s="210"/>
      <c r="R677" s="210"/>
      <c r="S677" s="210"/>
      <c r="T677" s="210"/>
      <c r="U677" s="210"/>
      <c r="V677" s="210"/>
      <c r="W677" s="210"/>
      <c r="X677" s="210"/>
      <c r="Y677" s="210"/>
      <c r="Z677" s="210"/>
      <c r="AA677" s="210"/>
      <c r="AB677" s="210"/>
      <c r="AC677" s="210"/>
      <c r="AI677" s="210"/>
      <c r="AJ677" s="210"/>
    </row>
    <row r="678" ht="12.75" customHeight="1">
      <c r="C678" s="210"/>
      <c r="D678" s="210"/>
      <c r="E678" s="210"/>
      <c r="F678" s="210"/>
      <c r="G678" s="210"/>
      <c r="H678" s="210"/>
      <c r="I678" s="210"/>
      <c r="J678" s="210"/>
      <c r="K678" s="210"/>
      <c r="L678" s="210"/>
      <c r="M678" s="210"/>
      <c r="N678" s="210"/>
      <c r="O678" s="210"/>
      <c r="P678" s="210"/>
      <c r="Q678" s="210"/>
      <c r="R678" s="210"/>
      <c r="S678" s="210"/>
      <c r="T678" s="210"/>
      <c r="U678" s="210"/>
      <c r="V678" s="210"/>
      <c r="W678" s="210"/>
      <c r="X678" s="210"/>
      <c r="Y678" s="210"/>
      <c r="Z678" s="210"/>
      <c r="AA678" s="210"/>
      <c r="AB678" s="210"/>
      <c r="AC678" s="210"/>
      <c r="AI678" s="210"/>
      <c r="AJ678" s="210"/>
    </row>
    <row r="679" ht="12.75" customHeight="1">
      <c r="C679" s="210"/>
      <c r="D679" s="210"/>
      <c r="E679" s="210"/>
      <c r="F679" s="210"/>
      <c r="G679" s="210"/>
      <c r="H679" s="210"/>
      <c r="I679" s="210"/>
      <c r="J679" s="210"/>
      <c r="K679" s="210"/>
      <c r="L679" s="210"/>
      <c r="M679" s="210"/>
      <c r="N679" s="210"/>
      <c r="O679" s="210"/>
      <c r="P679" s="210"/>
      <c r="Q679" s="210"/>
      <c r="R679" s="210"/>
      <c r="S679" s="210"/>
      <c r="T679" s="210"/>
      <c r="U679" s="210"/>
      <c r="V679" s="210"/>
      <c r="W679" s="210"/>
      <c r="X679" s="210"/>
      <c r="Y679" s="210"/>
      <c r="Z679" s="210"/>
      <c r="AA679" s="210"/>
      <c r="AB679" s="210"/>
      <c r="AC679" s="210"/>
      <c r="AI679" s="210"/>
      <c r="AJ679" s="210"/>
    </row>
    <row r="680" ht="12.75" customHeight="1">
      <c r="C680" s="210"/>
      <c r="D680" s="210"/>
      <c r="E680" s="210"/>
      <c r="F680" s="210"/>
      <c r="G680" s="210"/>
      <c r="H680" s="210"/>
      <c r="I680" s="210"/>
      <c r="J680" s="210"/>
      <c r="K680" s="210"/>
      <c r="L680" s="210"/>
      <c r="M680" s="210"/>
      <c r="N680" s="210"/>
      <c r="O680" s="210"/>
      <c r="P680" s="210"/>
      <c r="Q680" s="210"/>
      <c r="R680" s="210"/>
      <c r="S680" s="210"/>
      <c r="T680" s="210"/>
      <c r="U680" s="210"/>
      <c r="V680" s="210"/>
      <c r="W680" s="210"/>
      <c r="X680" s="210"/>
      <c r="Y680" s="210"/>
      <c r="Z680" s="210"/>
      <c r="AA680" s="210"/>
      <c r="AB680" s="210"/>
      <c r="AC680" s="210"/>
      <c r="AI680" s="210"/>
      <c r="AJ680" s="210"/>
    </row>
    <row r="681" ht="12.75" customHeight="1">
      <c r="C681" s="210"/>
      <c r="D681" s="210"/>
      <c r="E681" s="210"/>
      <c r="F681" s="210"/>
      <c r="G681" s="210"/>
      <c r="H681" s="210"/>
      <c r="I681" s="210"/>
      <c r="J681" s="210"/>
      <c r="K681" s="210"/>
      <c r="L681" s="210"/>
      <c r="M681" s="210"/>
      <c r="N681" s="210"/>
      <c r="O681" s="210"/>
      <c r="P681" s="210"/>
      <c r="Q681" s="210"/>
      <c r="R681" s="210"/>
      <c r="S681" s="210"/>
      <c r="T681" s="210"/>
      <c r="U681" s="210"/>
      <c r="V681" s="210"/>
      <c r="W681" s="210"/>
      <c r="X681" s="210"/>
      <c r="Y681" s="210"/>
      <c r="Z681" s="210"/>
      <c r="AA681" s="210"/>
      <c r="AB681" s="210"/>
      <c r="AC681" s="210"/>
      <c r="AI681" s="210"/>
      <c r="AJ681" s="210"/>
    </row>
    <row r="682" ht="12.75" customHeight="1">
      <c r="C682" s="210"/>
      <c r="D682" s="210"/>
      <c r="E682" s="210"/>
      <c r="F682" s="210"/>
      <c r="G682" s="210"/>
      <c r="H682" s="210"/>
      <c r="I682" s="210"/>
      <c r="J682" s="210"/>
      <c r="K682" s="210"/>
      <c r="L682" s="210"/>
      <c r="M682" s="210"/>
      <c r="N682" s="210"/>
      <c r="O682" s="210"/>
      <c r="P682" s="210"/>
      <c r="Q682" s="210"/>
      <c r="R682" s="210"/>
      <c r="S682" s="210"/>
      <c r="T682" s="210"/>
      <c r="U682" s="210"/>
      <c r="V682" s="210"/>
      <c r="W682" s="210"/>
      <c r="X682" s="210"/>
      <c r="Y682" s="210"/>
      <c r="Z682" s="210"/>
      <c r="AA682" s="210"/>
      <c r="AB682" s="210"/>
      <c r="AC682" s="210"/>
      <c r="AI682" s="210"/>
      <c r="AJ682" s="210"/>
    </row>
    <row r="683" ht="12.75" customHeight="1">
      <c r="C683" s="210"/>
      <c r="D683" s="210"/>
      <c r="E683" s="210"/>
      <c r="F683" s="210"/>
      <c r="G683" s="210"/>
      <c r="H683" s="210"/>
      <c r="I683" s="210"/>
      <c r="J683" s="210"/>
      <c r="K683" s="210"/>
      <c r="L683" s="210"/>
      <c r="M683" s="210"/>
      <c r="N683" s="210"/>
      <c r="O683" s="210"/>
      <c r="P683" s="210"/>
      <c r="Q683" s="210"/>
      <c r="R683" s="210"/>
      <c r="S683" s="210"/>
      <c r="T683" s="210"/>
      <c r="U683" s="210"/>
      <c r="V683" s="210"/>
      <c r="W683" s="210"/>
      <c r="X683" s="210"/>
      <c r="Y683" s="210"/>
      <c r="Z683" s="210"/>
      <c r="AA683" s="210"/>
      <c r="AB683" s="210"/>
      <c r="AC683" s="210"/>
      <c r="AI683" s="210"/>
      <c r="AJ683" s="210"/>
    </row>
    <row r="684" ht="12.75" customHeight="1">
      <c r="C684" s="210"/>
      <c r="D684" s="210"/>
      <c r="E684" s="210"/>
      <c r="F684" s="210"/>
      <c r="G684" s="210"/>
      <c r="H684" s="210"/>
      <c r="I684" s="210"/>
      <c r="J684" s="210"/>
      <c r="K684" s="210"/>
      <c r="L684" s="210"/>
      <c r="M684" s="210"/>
      <c r="N684" s="210"/>
      <c r="O684" s="210"/>
      <c r="P684" s="210"/>
      <c r="Q684" s="210"/>
      <c r="R684" s="210"/>
      <c r="S684" s="210"/>
      <c r="T684" s="210"/>
      <c r="U684" s="210"/>
      <c r="V684" s="210"/>
      <c r="W684" s="210"/>
      <c r="X684" s="210"/>
      <c r="Y684" s="210"/>
      <c r="Z684" s="210"/>
      <c r="AA684" s="210"/>
      <c r="AB684" s="210"/>
      <c r="AC684" s="210"/>
      <c r="AI684" s="210"/>
      <c r="AJ684" s="210"/>
    </row>
    <row r="685" ht="12.75" customHeight="1">
      <c r="C685" s="210"/>
      <c r="D685" s="210"/>
      <c r="E685" s="210"/>
      <c r="F685" s="210"/>
      <c r="G685" s="210"/>
      <c r="H685" s="210"/>
      <c r="I685" s="210"/>
      <c r="J685" s="210"/>
      <c r="K685" s="210"/>
      <c r="L685" s="210"/>
      <c r="M685" s="210"/>
      <c r="N685" s="210"/>
      <c r="O685" s="210"/>
      <c r="P685" s="210"/>
      <c r="Q685" s="210"/>
      <c r="R685" s="210"/>
      <c r="S685" s="210"/>
      <c r="T685" s="210"/>
      <c r="U685" s="210"/>
      <c r="V685" s="210"/>
      <c r="W685" s="210"/>
      <c r="X685" s="210"/>
      <c r="Y685" s="210"/>
      <c r="Z685" s="210"/>
      <c r="AA685" s="210"/>
      <c r="AB685" s="210"/>
      <c r="AC685" s="210"/>
      <c r="AI685" s="210"/>
      <c r="AJ685" s="210"/>
    </row>
    <row r="686" ht="12.75" customHeight="1">
      <c r="C686" s="210"/>
      <c r="D686" s="210"/>
      <c r="E686" s="210"/>
      <c r="F686" s="210"/>
      <c r="G686" s="210"/>
      <c r="H686" s="210"/>
      <c r="I686" s="210"/>
      <c r="J686" s="210"/>
      <c r="K686" s="210"/>
      <c r="L686" s="210"/>
      <c r="M686" s="210"/>
      <c r="N686" s="210"/>
      <c r="O686" s="210"/>
      <c r="P686" s="210"/>
      <c r="Q686" s="210"/>
      <c r="R686" s="210"/>
      <c r="S686" s="210"/>
      <c r="T686" s="210"/>
      <c r="U686" s="210"/>
      <c r="V686" s="210"/>
      <c r="W686" s="210"/>
      <c r="X686" s="210"/>
      <c r="Y686" s="210"/>
      <c r="Z686" s="210"/>
      <c r="AA686" s="210"/>
      <c r="AB686" s="210"/>
      <c r="AC686" s="210"/>
      <c r="AI686" s="210"/>
      <c r="AJ686" s="210"/>
    </row>
    <row r="687" ht="12.75" customHeight="1">
      <c r="C687" s="210"/>
      <c r="D687" s="210"/>
      <c r="E687" s="210"/>
      <c r="F687" s="210"/>
      <c r="G687" s="210"/>
      <c r="H687" s="210"/>
      <c r="I687" s="210"/>
      <c r="J687" s="210"/>
      <c r="K687" s="210"/>
      <c r="L687" s="210"/>
      <c r="M687" s="210"/>
      <c r="N687" s="210"/>
      <c r="O687" s="210"/>
      <c r="P687" s="210"/>
      <c r="Q687" s="210"/>
      <c r="R687" s="210"/>
      <c r="S687" s="210"/>
      <c r="T687" s="210"/>
      <c r="U687" s="210"/>
      <c r="V687" s="210"/>
      <c r="W687" s="210"/>
      <c r="X687" s="210"/>
      <c r="Y687" s="210"/>
      <c r="Z687" s="210"/>
      <c r="AA687" s="210"/>
      <c r="AB687" s="210"/>
      <c r="AC687" s="210"/>
      <c r="AI687" s="210"/>
      <c r="AJ687" s="210"/>
    </row>
    <row r="688" ht="12.75" customHeight="1">
      <c r="C688" s="210"/>
      <c r="D688" s="210"/>
      <c r="E688" s="210"/>
      <c r="F688" s="210"/>
      <c r="G688" s="210"/>
      <c r="H688" s="210"/>
      <c r="I688" s="210"/>
      <c r="J688" s="210"/>
      <c r="K688" s="210"/>
      <c r="L688" s="210"/>
      <c r="M688" s="210"/>
      <c r="N688" s="210"/>
      <c r="O688" s="210"/>
      <c r="P688" s="210"/>
      <c r="Q688" s="210"/>
      <c r="R688" s="210"/>
      <c r="S688" s="210"/>
      <c r="T688" s="210"/>
      <c r="U688" s="210"/>
      <c r="V688" s="210"/>
      <c r="W688" s="210"/>
      <c r="X688" s="210"/>
      <c r="Y688" s="210"/>
      <c r="Z688" s="210"/>
      <c r="AA688" s="210"/>
      <c r="AB688" s="210"/>
      <c r="AC688" s="210"/>
      <c r="AI688" s="210"/>
      <c r="AJ688" s="210"/>
    </row>
    <row r="689" ht="12.75" customHeight="1">
      <c r="C689" s="210"/>
      <c r="D689" s="210"/>
      <c r="E689" s="210"/>
      <c r="F689" s="210"/>
      <c r="G689" s="210"/>
      <c r="H689" s="210"/>
      <c r="I689" s="210"/>
      <c r="J689" s="210"/>
      <c r="K689" s="210"/>
      <c r="L689" s="210"/>
      <c r="M689" s="210"/>
      <c r="N689" s="210"/>
      <c r="O689" s="210"/>
      <c r="P689" s="210"/>
      <c r="Q689" s="210"/>
      <c r="R689" s="210"/>
      <c r="S689" s="210"/>
      <c r="T689" s="210"/>
      <c r="U689" s="210"/>
      <c r="V689" s="210"/>
      <c r="W689" s="210"/>
      <c r="X689" s="210"/>
      <c r="Y689" s="210"/>
      <c r="Z689" s="210"/>
      <c r="AA689" s="210"/>
      <c r="AB689" s="210"/>
      <c r="AC689" s="210"/>
      <c r="AI689" s="210"/>
      <c r="AJ689" s="210"/>
    </row>
    <row r="690" ht="12.75" customHeight="1">
      <c r="C690" s="210"/>
      <c r="D690" s="210"/>
      <c r="E690" s="210"/>
      <c r="F690" s="210"/>
      <c r="G690" s="210"/>
      <c r="H690" s="210"/>
      <c r="I690" s="210"/>
      <c r="J690" s="210"/>
      <c r="K690" s="210"/>
      <c r="L690" s="210"/>
      <c r="M690" s="210"/>
      <c r="N690" s="210"/>
      <c r="O690" s="210"/>
      <c r="P690" s="210"/>
      <c r="Q690" s="210"/>
      <c r="R690" s="210"/>
      <c r="S690" s="210"/>
      <c r="T690" s="210"/>
      <c r="U690" s="210"/>
      <c r="V690" s="210"/>
      <c r="W690" s="210"/>
      <c r="X690" s="210"/>
      <c r="Y690" s="210"/>
      <c r="Z690" s="210"/>
      <c r="AA690" s="210"/>
      <c r="AB690" s="210"/>
      <c r="AC690" s="210"/>
      <c r="AI690" s="210"/>
      <c r="AJ690" s="210"/>
    </row>
    <row r="691" ht="12.75" customHeight="1">
      <c r="C691" s="210"/>
      <c r="D691" s="210"/>
      <c r="E691" s="210"/>
      <c r="F691" s="210"/>
      <c r="G691" s="210"/>
      <c r="H691" s="210"/>
      <c r="I691" s="210"/>
      <c r="J691" s="210"/>
      <c r="K691" s="210"/>
      <c r="L691" s="210"/>
      <c r="M691" s="210"/>
      <c r="N691" s="210"/>
      <c r="O691" s="210"/>
      <c r="P691" s="210"/>
      <c r="Q691" s="210"/>
      <c r="R691" s="210"/>
      <c r="S691" s="210"/>
      <c r="T691" s="210"/>
      <c r="U691" s="210"/>
      <c r="V691" s="210"/>
      <c r="W691" s="210"/>
      <c r="X691" s="210"/>
      <c r="Y691" s="210"/>
      <c r="Z691" s="210"/>
      <c r="AA691" s="210"/>
      <c r="AB691" s="210"/>
      <c r="AC691" s="210"/>
      <c r="AI691" s="210"/>
      <c r="AJ691" s="210"/>
    </row>
    <row r="692" ht="12.75" customHeight="1">
      <c r="C692" s="210"/>
      <c r="D692" s="210"/>
      <c r="E692" s="210"/>
      <c r="F692" s="210"/>
      <c r="G692" s="210"/>
      <c r="H692" s="210"/>
      <c r="I692" s="210"/>
      <c r="J692" s="210"/>
      <c r="K692" s="210"/>
      <c r="L692" s="210"/>
      <c r="M692" s="210"/>
      <c r="N692" s="210"/>
      <c r="O692" s="210"/>
      <c r="P692" s="210"/>
      <c r="Q692" s="210"/>
      <c r="R692" s="210"/>
      <c r="S692" s="210"/>
      <c r="T692" s="210"/>
      <c r="U692" s="210"/>
      <c r="V692" s="210"/>
      <c r="W692" s="210"/>
      <c r="X692" s="210"/>
      <c r="Y692" s="210"/>
      <c r="Z692" s="210"/>
      <c r="AA692" s="210"/>
      <c r="AB692" s="210"/>
      <c r="AC692" s="210"/>
      <c r="AI692" s="210"/>
      <c r="AJ692" s="210"/>
    </row>
    <row r="693" ht="12.75" customHeight="1">
      <c r="C693" s="210"/>
      <c r="D693" s="210"/>
      <c r="E693" s="210"/>
      <c r="F693" s="210"/>
      <c r="G693" s="210"/>
      <c r="H693" s="210"/>
      <c r="I693" s="210"/>
      <c r="J693" s="210"/>
      <c r="K693" s="210"/>
      <c r="L693" s="210"/>
      <c r="M693" s="210"/>
      <c r="N693" s="210"/>
      <c r="O693" s="210"/>
      <c r="P693" s="210"/>
      <c r="Q693" s="210"/>
      <c r="R693" s="210"/>
      <c r="S693" s="210"/>
      <c r="T693" s="210"/>
      <c r="U693" s="210"/>
      <c r="V693" s="210"/>
      <c r="W693" s="210"/>
      <c r="X693" s="210"/>
      <c r="Y693" s="210"/>
      <c r="Z693" s="210"/>
      <c r="AA693" s="210"/>
      <c r="AB693" s="210"/>
      <c r="AC693" s="210"/>
      <c r="AI693" s="210"/>
      <c r="AJ693" s="210"/>
    </row>
    <row r="694" ht="12.75" customHeight="1">
      <c r="C694" s="210"/>
      <c r="D694" s="210"/>
      <c r="E694" s="210"/>
      <c r="F694" s="210"/>
      <c r="G694" s="210"/>
      <c r="H694" s="210"/>
      <c r="I694" s="210"/>
      <c r="J694" s="210"/>
      <c r="K694" s="210"/>
      <c r="L694" s="210"/>
      <c r="M694" s="210"/>
      <c r="N694" s="210"/>
      <c r="O694" s="210"/>
      <c r="P694" s="210"/>
      <c r="Q694" s="210"/>
      <c r="R694" s="210"/>
      <c r="S694" s="210"/>
      <c r="T694" s="210"/>
      <c r="U694" s="210"/>
      <c r="V694" s="210"/>
      <c r="W694" s="210"/>
      <c r="X694" s="210"/>
      <c r="Y694" s="210"/>
      <c r="Z694" s="210"/>
      <c r="AA694" s="210"/>
      <c r="AB694" s="210"/>
      <c r="AC694" s="210"/>
      <c r="AI694" s="210"/>
      <c r="AJ694" s="210"/>
    </row>
    <row r="695" ht="12.75" customHeight="1">
      <c r="C695" s="210"/>
      <c r="D695" s="210"/>
      <c r="E695" s="210"/>
      <c r="F695" s="210"/>
      <c r="G695" s="210"/>
      <c r="H695" s="210"/>
      <c r="I695" s="210"/>
      <c r="J695" s="210"/>
      <c r="K695" s="210"/>
      <c r="L695" s="210"/>
      <c r="M695" s="210"/>
      <c r="N695" s="210"/>
      <c r="O695" s="210"/>
      <c r="P695" s="210"/>
      <c r="Q695" s="210"/>
      <c r="R695" s="210"/>
      <c r="S695" s="210"/>
      <c r="T695" s="210"/>
      <c r="U695" s="210"/>
      <c r="V695" s="210"/>
      <c r="W695" s="210"/>
      <c r="X695" s="210"/>
      <c r="Y695" s="210"/>
      <c r="Z695" s="210"/>
      <c r="AA695" s="210"/>
      <c r="AB695" s="210"/>
      <c r="AC695" s="210"/>
      <c r="AI695" s="210"/>
      <c r="AJ695" s="210"/>
    </row>
    <row r="696" ht="12.75" customHeight="1">
      <c r="C696" s="210"/>
      <c r="D696" s="210"/>
      <c r="E696" s="210"/>
      <c r="F696" s="210"/>
      <c r="G696" s="210"/>
      <c r="H696" s="210"/>
      <c r="I696" s="210"/>
      <c r="J696" s="210"/>
      <c r="K696" s="210"/>
      <c r="L696" s="210"/>
      <c r="M696" s="210"/>
      <c r="N696" s="210"/>
      <c r="O696" s="210"/>
      <c r="P696" s="210"/>
      <c r="Q696" s="210"/>
      <c r="R696" s="210"/>
      <c r="S696" s="210"/>
      <c r="T696" s="210"/>
      <c r="U696" s="210"/>
      <c r="V696" s="210"/>
      <c r="W696" s="210"/>
      <c r="X696" s="210"/>
      <c r="Y696" s="210"/>
      <c r="Z696" s="210"/>
      <c r="AA696" s="210"/>
      <c r="AB696" s="210"/>
      <c r="AC696" s="210"/>
      <c r="AI696" s="210"/>
      <c r="AJ696" s="210"/>
    </row>
    <row r="697" ht="12.75" customHeight="1">
      <c r="C697" s="210"/>
      <c r="D697" s="210"/>
      <c r="E697" s="210"/>
      <c r="F697" s="210"/>
      <c r="G697" s="210"/>
      <c r="H697" s="210"/>
      <c r="I697" s="210"/>
      <c r="J697" s="210"/>
      <c r="K697" s="210"/>
      <c r="L697" s="210"/>
      <c r="M697" s="210"/>
      <c r="N697" s="210"/>
      <c r="O697" s="210"/>
      <c r="P697" s="210"/>
      <c r="Q697" s="210"/>
      <c r="R697" s="210"/>
      <c r="S697" s="210"/>
      <c r="T697" s="210"/>
      <c r="U697" s="210"/>
      <c r="V697" s="210"/>
      <c r="W697" s="210"/>
      <c r="X697" s="210"/>
      <c r="Y697" s="210"/>
      <c r="Z697" s="210"/>
      <c r="AA697" s="210"/>
      <c r="AB697" s="210"/>
      <c r="AC697" s="210"/>
      <c r="AI697" s="210"/>
      <c r="AJ697" s="210"/>
    </row>
    <row r="698" ht="12.75" customHeight="1">
      <c r="C698" s="210"/>
      <c r="D698" s="210"/>
      <c r="E698" s="210"/>
      <c r="F698" s="210"/>
      <c r="G698" s="210"/>
      <c r="H698" s="210"/>
      <c r="I698" s="210"/>
      <c r="J698" s="210"/>
      <c r="K698" s="210"/>
      <c r="L698" s="210"/>
      <c r="M698" s="210"/>
      <c r="N698" s="210"/>
      <c r="O698" s="210"/>
      <c r="P698" s="210"/>
      <c r="Q698" s="210"/>
      <c r="R698" s="210"/>
      <c r="S698" s="210"/>
      <c r="T698" s="210"/>
      <c r="U698" s="210"/>
      <c r="V698" s="210"/>
      <c r="W698" s="210"/>
      <c r="X698" s="210"/>
      <c r="Y698" s="210"/>
      <c r="Z698" s="210"/>
      <c r="AA698" s="210"/>
      <c r="AB698" s="210"/>
      <c r="AC698" s="210"/>
      <c r="AI698" s="210"/>
      <c r="AJ698" s="210"/>
    </row>
    <row r="699" ht="12.75" customHeight="1">
      <c r="C699" s="210"/>
      <c r="D699" s="210"/>
      <c r="E699" s="210"/>
      <c r="F699" s="210"/>
      <c r="G699" s="210"/>
      <c r="H699" s="210"/>
      <c r="I699" s="210"/>
      <c r="J699" s="210"/>
      <c r="K699" s="210"/>
      <c r="L699" s="210"/>
      <c r="M699" s="210"/>
      <c r="N699" s="210"/>
      <c r="O699" s="210"/>
      <c r="P699" s="210"/>
      <c r="Q699" s="210"/>
      <c r="R699" s="210"/>
      <c r="S699" s="210"/>
      <c r="T699" s="210"/>
      <c r="U699" s="210"/>
      <c r="V699" s="210"/>
      <c r="W699" s="210"/>
      <c r="X699" s="210"/>
      <c r="Y699" s="210"/>
      <c r="Z699" s="210"/>
      <c r="AA699" s="210"/>
      <c r="AB699" s="210"/>
      <c r="AC699" s="210"/>
      <c r="AI699" s="210"/>
      <c r="AJ699" s="210"/>
    </row>
    <row r="700" ht="12.75" customHeight="1">
      <c r="C700" s="210"/>
      <c r="D700" s="210"/>
      <c r="E700" s="210"/>
      <c r="F700" s="210"/>
      <c r="G700" s="210"/>
      <c r="H700" s="210"/>
      <c r="I700" s="210"/>
      <c r="J700" s="210"/>
      <c r="K700" s="210"/>
      <c r="L700" s="210"/>
      <c r="M700" s="210"/>
      <c r="N700" s="210"/>
      <c r="O700" s="210"/>
      <c r="P700" s="210"/>
      <c r="Q700" s="210"/>
      <c r="R700" s="210"/>
      <c r="S700" s="210"/>
      <c r="T700" s="210"/>
      <c r="U700" s="210"/>
      <c r="V700" s="210"/>
      <c r="W700" s="210"/>
      <c r="X700" s="210"/>
      <c r="Y700" s="210"/>
      <c r="Z700" s="210"/>
      <c r="AA700" s="210"/>
      <c r="AB700" s="210"/>
      <c r="AC700" s="210"/>
      <c r="AI700" s="210"/>
      <c r="AJ700" s="210"/>
    </row>
    <row r="701" ht="12.75" customHeight="1">
      <c r="C701" s="210"/>
      <c r="D701" s="210"/>
      <c r="E701" s="210"/>
      <c r="F701" s="210"/>
      <c r="G701" s="210"/>
      <c r="H701" s="210"/>
      <c r="I701" s="210"/>
      <c r="J701" s="210"/>
      <c r="K701" s="210"/>
      <c r="L701" s="210"/>
      <c r="M701" s="210"/>
      <c r="N701" s="210"/>
      <c r="O701" s="210"/>
      <c r="P701" s="210"/>
      <c r="Q701" s="210"/>
      <c r="R701" s="210"/>
      <c r="S701" s="210"/>
      <c r="T701" s="210"/>
      <c r="U701" s="210"/>
      <c r="V701" s="210"/>
      <c r="W701" s="210"/>
      <c r="X701" s="210"/>
      <c r="Y701" s="210"/>
      <c r="Z701" s="210"/>
      <c r="AA701" s="210"/>
      <c r="AB701" s="210"/>
      <c r="AC701" s="210"/>
      <c r="AI701" s="210"/>
      <c r="AJ701" s="210"/>
    </row>
    <row r="702" ht="12.75" customHeight="1">
      <c r="C702" s="210"/>
      <c r="D702" s="210"/>
      <c r="E702" s="210"/>
      <c r="F702" s="210"/>
      <c r="G702" s="210"/>
      <c r="H702" s="210"/>
      <c r="I702" s="210"/>
      <c r="J702" s="210"/>
      <c r="K702" s="210"/>
      <c r="L702" s="210"/>
      <c r="M702" s="210"/>
      <c r="N702" s="210"/>
      <c r="O702" s="210"/>
      <c r="P702" s="210"/>
      <c r="Q702" s="210"/>
      <c r="R702" s="210"/>
      <c r="S702" s="210"/>
      <c r="T702" s="210"/>
      <c r="U702" s="210"/>
      <c r="V702" s="210"/>
      <c r="W702" s="210"/>
      <c r="X702" s="210"/>
      <c r="Y702" s="210"/>
      <c r="Z702" s="210"/>
      <c r="AA702" s="210"/>
      <c r="AB702" s="210"/>
      <c r="AC702" s="210"/>
      <c r="AI702" s="210"/>
      <c r="AJ702" s="210"/>
    </row>
    <row r="703" ht="12.75" customHeight="1">
      <c r="C703" s="210"/>
      <c r="D703" s="210"/>
      <c r="E703" s="210"/>
      <c r="F703" s="210"/>
      <c r="G703" s="210"/>
      <c r="H703" s="210"/>
      <c r="I703" s="210"/>
      <c r="J703" s="210"/>
      <c r="K703" s="210"/>
      <c r="L703" s="210"/>
      <c r="M703" s="210"/>
      <c r="N703" s="210"/>
      <c r="O703" s="210"/>
      <c r="P703" s="210"/>
      <c r="Q703" s="210"/>
      <c r="R703" s="210"/>
      <c r="S703" s="210"/>
      <c r="T703" s="210"/>
      <c r="U703" s="210"/>
      <c r="V703" s="210"/>
      <c r="W703" s="210"/>
      <c r="X703" s="210"/>
      <c r="Y703" s="210"/>
      <c r="Z703" s="210"/>
      <c r="AA703" s="210"/>
      <c r="AB703" s="210"/>
      <c r="AC703" s="210"/>
      <c r="AI703" s="210"/>
      <c r="AJ703" s="210"/>
    </row>
    <row r="704" ht="12.75" customHeight="1">
      <c r="C704" s="210"/>
      <c r="D704" s="210"/>
      <c r="E704" s="210"/>
      <c r="F704" s="210"/>
      <c r="G704" s="210"/>
      <c r="H704" s="210"/>
      <c r="I704" s="210"/>
      <c r="J704" s="210"/>
      <c r="K704" s="210"/>
      <c r="L704" s="210"/>
      <c r="M704" s="210"/>
      <c r="N704" s="210"/>
      <c r="O704" s="210"/>
      <c r="P704" s="210"/>
      <c r="Q704" s="210"/>
      <c r="R704" s="210"/>
      <c r="S704" s="210"/>
      <c r="T704" s="210"/>
      <c r="U704" s="210"/>
      <c r="V704" s="210"/>
      <c r="W704" s="210"/>
      <c r="X704" s="210"/>
      <c r="Y704" s="210"/>
      <c r="Z704" s="210"/>
      <c r="AA704" s="210"/>
      <c r="AB704" s="210"/>
      <c r="AC704" s="210"/>
      <c r="AI704" s="210"/>
      <c r="AJ704" s="210"/>
    </row>
    <row r="705" ht="12.75" customHeight="1">
      <c r="C705" s="210"/>
      <c r="D705" s="210"/>
      <c r="E705" s="210"/>
      <c r="F705" s="210"/>
      <c r="G705" s="210"/>
      <c r="H705" s="210"/>
      <c r="I705" s="210"/>
      <c r="J705" s="210"/>
      <c r="K705" s="210"/>
      <c r="L705" s="210"/>
      <c r="M705" s="210"/>
      <c r="N705" s="210"/>
      <c r="O705" s="210"/>
      <c r="P705" s="210"/>
      <c r="Q705" s="210"/>
      <c r="R705" s="210"/>
      <c r="S705" s="210"/>
      <c r="T705" s="210"/>
      <c r="U705" s="210"/>
      <c r="V705" s="210"/>
      <c r="W705" s="210"/>
      <c r="X705" s="210"/>
      <c r="Y705" s="210"/>
      <c r="Z705" s="210"/>
      <c r="AA705" s="210"/>
      <c r="AB705" s="210"/>
      <c r="AC705" s="210"/>
      <c r="AI705" s="210"/>
      <c r="AJ705" s="210"/>
    </row>
    <row r="706" ht="12.75" customHeight="1">
      <c r="C706" s="210"/>
      <c r="D706" s="210"/>
      <c r="E706" s="210"/>
      <c r="F706" s="210"/>
      <c r="G706" s="210"/>
      <c r="H706" s="210"/>
      <c r="I706" s="210"/>
      <c r="J706" s="210"/>
      <c r="K706" s="210"/>
      <c r="L706" s="210"/>
      <c r="M706" s="210"/>
      <c r="N706" s="210"/>
      <c r="O706" s="210"/>
      <c r="P706" s="210"/>
      <c r="Q706" s="210"/>
      <c r="R706" s="210"/>
      <c r="S706" s="210"/>
      <c r="T706" s="210"/>
      <c r="U706" s="210"/>
      <c r="V706" s="210"/>
      <c r="W706" s="210"/>
      <c r="X706" s="210"/>
      <c r="Y706" s="210"/>
      <c r="Z706" s="210"/>
      <c r="AA706" s="210"/>
      <c r="AB706" s="210"/>
      <c r="AC706" s="210"/>
      <c r="AI706" s="210"/>
      <c r="AJ706" s="210"/>
    </row>
    <row r="707" ht="12.75" customHeight="1">
      <c r="C707" s="210"/>
      <c r="D707" s="210"/>
      <c r="E707" s="210"/>
      <c r="F707" s="210"/>
      <c r="G707" s="210"/>
      <c r="H707" s="210"/>
      <c r="I707" s="210"/>
      <c r="J707" s="210"/>
      <c r="K707" s="210"/>
      <c r="L707" s="210"/>
      <c r="M707" s="210"/>
      <c r="N707" s="210"/>
      <c r="O707" s="210"/>
      <c r="P707" s="210"/>
      <c r="Q707" s="210"/>
      <c r="R707" s="210"/>
      <c r="S707" s="210"/>
      <c r="T707" s="210"/>
      <c r="U707" s="210"/>
      <c r="V707" s="210"/>
      <c r="W707" s="210"/>
      <c r="X707" s="210"/>
      <c r="Y707" s="210"/>
      <c r="Z707" s="210"/>
      <c r="AA707" s="210"/>
      <c r="AB707" s="210"/>
      <c r="AC707" s="210"/>
      <c r="AI707" s="210"/>
      <c r="AJ707" s="210"/>
    </row>
    <row r="708" ht="12.75" customHeight="1">
      <c r="C708" s="210"/>
      <c r="D708" s="210"/>
      <c r="E708" s="210"/>
      <c r="F708" s="210"/>
      <c r="G708" s="210"/>
      <c r="H708" s="210"/>
      <c r="I708" s="210"/>
      <c r="J708" s="210"/>
      <c r="K708" s="210"/>
      <c r="L708" s="210"/>
      <c r="M708" s="210"/>
      <c r="N708" s="210"/>
      <c r="O708" s="210"/>
      <c r="P708" s="210"/>
      <c r="Q708" s="210"/>
      <c r="R708" s="210"/>
      <c r="S708" s="210"/>
      <c r="T708" s="210"/>
      <c r="U708" s="210"/>
      <c r="V708" s="210"/>
      <c r="W708" s="210"/>
      <c r="X708" s="210"/>
      <c r="Y708" s="210"/>
      <c r="Z708" s="210"/>
      <c r="AA708" s="210"/>
      <c r="AB708" s="210"/>
      <c r="AC708" s="210"/>
      <c r="AI708" s="210"/>
      <c r="AJ708" s="210"/>
    </row>
    <row r="709" ht="12.75" customHeight="1">
      <c r="C709" s="210"/>
      <c r="D709" s="210"/>
      <c r="E709" s="210"/>
      <c r="F709" s="210"/>
      <c r="G709" s="210"/>
      <c r="H709" s="210"/>
      <c r="I709" s="210"/>
      <c r="J709" s="210"/>
      <c r="K709" s="210"/>
      <c r="L709" s="210"/>
      <c r="M709" s="210"/>
      <c r="N709" s="210"/>
      <c r="O709" s="210"/>
      <c r="P709" s="210"/>
      <c r="Q709" s="210"/>
      <c r="R709" s="210"/>
      <c r="S709" s="210"/>
      <c r="T709" s="210"/>
      <c r="U709" s="210"/>
      <c r="V709" s="210"/>
      <c r="W709" s="210"/>
      <c r="X709" s="210"/>
      <c r="Y709" s="210"/>
      <c r="Z709" s="210"/>
      <c r="AA709" s="210"/>
      <c r="AB709" s="210"/>
      <c r="AC709" s="210"/>
      <c r="AI709" s="210"/>
      <c r="AJ709" s="210"/>
    </row>
    <row r="710" ht="12.75" customHeight="1">
      <c r="C710" s="210"/>
      <c r="D710" s="210"/>
      <c r="E710" s="210"/>
      <c r="F710" s="210"/>
      <c r="G710" s="210"/>
      <c r="H710" s="210"/>
      <c r="I710" s="210"/>
      <c r="J710" s="210"/>
      <c r="K710" s="210"/>
      <c r="L710" s="210"/>
      <c r="M710" s="210"/>
      <c r="N710" s="210"/>
      <c r="O710" s="210"/>
      <c r="P710" s="210"/>
      <c r="Q710" s="210"/>
      <c r="R710" s="210"/>
      <c r="S710" s="210"/>
      <c r="T710" s="210"/>
      <c r="U710" s="210"/>
      <c r="V710" s="210"/>
      <c r="W710" s="210"/>
      <c r="X710" s="210"/>
      <c r="Y710" s="210"/>
      <c r="Z710" s="210"/>
      <c r="AA710" s="210"/>
      <c r="AB710" s="210"/>
      <c r="AC710" s="210"/>
      <c r="AI710" s="210"/>
      <c r="AJ710" s="210"/>
    </row>
    <row r="711" ht="12.75" customHeight="1">
      <c r="C711" s="210"/>
      <c r="D711" s="210"/>
      <c r="E711" s="210"/>
      <c r="F711" s="210"/>
      <c r="G711" s="210"/>
      <c r="H711" s="210"/>
      <c r="I711" s="210"/>
      <c r="J711" s="210"/>
      <c r="K711" s="210"/>
      <c r="L711" s="210"/>
      <c r="M711" s="210"/>
      <c r="N711" s="210"/>
      <c r="O711" s="210"/>
      <c r="P711" s="210"/>
      <c r="Q711" s="210"/>
      <c r="R711" s="210"/>
      <c r="S711" s="210"/>
      <c r="T711" s="210"/>
      <c r="U711" s="210"/>
      <c r="V711" s="210"/>
      <c r="W711" s="210"/>
      <c r="X711" s="210"/>
      <c r="Y711" s="210"/>
      <c r="Z711" s="210"/>
      <c r="AA711" s="210"/>
      <c r="AB711" s="210"/>
      <c r="AC711" s="210"/>
      <c r="AI711" s="210"/>
      <c r="AJ711" s="210"/>
    </row>
    <row r="712" ht="12.75" customHeight="1">
      <c r="C712" s="210"/>
      <c r="D712" s="210"/>
      <c r="E712" s="210"/>
      <c r="F712" s="210"/>
      <c r="G712" s="210"/>
      <c r="H712" s="210"/>
      <c r="I712" s="210"/>
      <c r="J712" s="210"/>
      <c r="K712" s="210"/>
      <c r="L712" s="210"/>
      <c r="M712" s="210"/>
      <c r="N712" s="210"/>
      <c r="O712" s="210"/>
      <c r="P712" s="210"/>
      <c r="Q712" s="210"/>
      <c r="R712" s="210"/>
      <c r="S712" s="210"/>
      <c r="T712" s="210"/>
      <c r="U712" s="210"/>
      <c r="V712" s="210"/>
      <c r="W712" s="210"/>
      <c r="X712" s="210"/>
      <c r="Y712" s="210"/>
      <c r="Z712" s="210"/>
      <c r="AA712" s="210"/>
      <c r="AB712" s="210"/>
      <c r="AC712" s="210"/>
      <c r="AI712" s="210"/>
      <c r="AJ712" s="210"/>
    </row>
    <row r="713" ht="12.75" customHeight="1">
      <c r="C713" s="210"/>
      <c r="D713" s="210"/>
      <c r="E713" s="210"/>
      <c r="F713" s="210"/>
      <c r="G713" s="210"/>
      <c r="H713" s="210"/>
      <c r="I713" s="210"/>
      <c r="J713" s="210"/>
      <c r="K713" s="210"/>
      <c r="L713" s="210"/>
      <c r="M713" s="210"/>
      <c r="N713" s="210"/>
      <c r="O713" s="210"/>
      <c r="P713" s="210"/>
      <c r="Q713" s="210"/>
      <c r="R713" s="210"/>
      <c r="S713" s="210"/>
      <c r="T713" s="210"/>
      <c r="U713" s="210"/>
      <c r="V713" s="210"/>
      <c r="W713" s="210"/>
      <c r="X713" s="210"/>
      <c r="Y713" s="210"/>
      <c r="Z713" s="210"/>
      <c r="AA713" s="210"/>
      <c r="AB713" s="210"/>
      <c r="AC713" s="210"/>
      <c r="AI713" s="210"/>
      <c r="AJ713" s="210"/>
    </row>
    <row r="714" ht="12.75" customHeight="1">
      <c r="C714" s="210"/>
      <c r="D714" s="210"/>
      <c r="E714" s="210"/>
      <c r="F714" s="210"/>
      <c r="G714" s="210"/>
      <c r="H714" s="210"/>
      <c r="I714" s="210"/>
      <c r="J714" s="210"/>
      <c r="K714" s="210"/>
      <c r="L714" s="210"/>
      <c r="M714" s="210"/>
      <c r="N714" s="210"/>
      <c r="O714" s="210"/>
      <c r="P714" s="210"/>
      <c r="Q714" s="210"/>
      <c r="R714" s="210"/>
      <c r="S714" s="210"/>
      <c r="T714" s="210"/>
      <c r="U714" s="210"/>
      <c r="V714" s="210"/>
      <c r="W714" s="210"/>
      <c r="X714" s="210"/>
      <c r="Y714" s="210"/>
      <c r="Z714" s="210"/>
      <c r="AA714" s="210"/>
      <c r="AB714" s="210"/>
      <c r="AC714" s="210"/>
      <c r="AI714" s="210"/>
      <c r="AJ714" s="210"/>
    </row>
    <row r="715" ht="12.75" customHeight="1">
      <c r="C715" s="210"/>
      <c r="D715" s="210"/>
      <c r="E715" s="210"/>
      <c r="F715" s="210"/>
      <c r="G715" s="210"/>
      <c r="H715" s="210"/>
      <c r="I715" s="210"/>
      <c r="J715" s="210"/>
      <c r="K715" s="210"/>
      <c r="L715" s="210"/>
      <c r="M715" s="210"/>
      <c r="N715" s="210"/>
      <c r="O715" s="210"/>
      <c r="P715" s="210"/>
      <c r="Q715" s="210"/>
      <c r="R715" s="210"/>
      <c r="S715" s="210"/>
      <c r="T715" s="210"/>
      <c r="U715" s="210"/>
      <c r="V715" s="210"/>
      <c r="W715" s="210"/>
      <c r="X715" s="210"/>
      <c r="Y715" s="210"/>
      <c r="Z715" s="210"/>
      <c r="AA715" s="210"/>
      <c r="AB715" s="210"/>
      <c r="AC715" s="210"/>
      <c r="AI715" s="210"/>
      <c r="AJ715" s="210"/>
    </row>
    <row r="716" ht="12.75" customHeight="1">
      <c r="C716" s="210"/>
      <c r="D716" s="210"/>
      <c r="E716" s="210"/>
      <c r="F716" s="210"/>
      <c r="G716" s="210"/>
      <c r="H716" s="210"/>
      <c r="I716" s="210"/>
      <c r="J716" s="210"/>
      <c r="K716" s="210"/>
      <c r="L716" s="210"/>
      <c r="M716" s="210"/>
      <c r="N716" s="210"/>
      <c r="O716" s="210"/>
      <c r="P716" s="210"/>
      <c r="Q716" s="210"/>
      <c r="R716" s="210"/>
      <c r="S716" s="210"/>
      <c r="T716" s="210"/>
      <c r="U716" s="210"/>
      <c r="V716" s="210"/>
      <c r="W716" s="210"/>
      <c r="X716" s="210"/>
      <c r="Y716" s="210"/>
      <c r="Z716" s="210"/>
      <c r="AA716" s="210"/>
      <c r="AB716" s="210"/>
      <c r="AC716" s="210"/>
      <c r="AI716" s="210"/>
      <c r="AJ716" s="210"/>
    </row>
    <row r="717" ht="12.75" customHeight="1">
      <c r="C717" s="210"/>
      <c r="D717" s="210"/>
      <c r="E717" s="210"/>
      <c r="F717" s="210"/>
      <c r="G717" s="210"/>
      <c r="H717" s="210"/>
      <c r="I717" s="210"/>
      <c r="J717" s="210"/>
      <c r="K717" s="210"/>
      <c r="L717" s="210"/>
      <c r="M717" s="210"/>
      <c r="N717" s="210"/>
      <c r="O717" s="210"/>
      <c r="P717" s="210"/>
      <c r="Q717" s="210"/>
      <c r="R717" s="210"/>
      <c r="S717" s="210"/>
      <c r="T717" s="210"/>
      <c r="U717" s="210"/>
      <c r="V717" s="210"/>
      <c r="W717" s="210"/>
      <c r="X717" s="210"/>
      <c r="Y717" s="210"/>
      <c r="Z717" s="210"/>
      <c r="AA717" s="210"/>
      <c r="AB717" s="210"/>
      <c r="AC717" s="210"/>
      <c r="AI717" s="210"/>
      <c r="AJ717" s="210"/>
    </row>
    <row r="718" ht="12.75" customHeight="1">
      <c r="C718" s="210"/>
      <c r="D718" s="210"/>
      <c r="E718" s="210"/>
      <c r="F718" s="210"/>
      <c r="G718" s="210"/>
      <c r="H718" s="210"/>
      <c r="I718" s="210"/>
      <c r="J718" s="210"/>
      <c r="K718" s="210"/>
      <c r="L718" s="210"/>
      <c r="M718" s="210"/>
      <c r="N718" s="210"/>
      <c r="O718" s="210"/>
      <c r="P718" s="210"/>
      <c r="Q718" s="210"/>
      <c r="R718" s="210"/>
      <c r="S718" s="210"/>
      <c r="T718" s="210"/>
      <c r="U718" s="210"/>
      <c r="V718" s="210"/>
      <c r="W718" s="210"/>
      <c r="X718" s="210"/>
      <c r="Y718" s="210"/>
      <c r="Z718" s="210"/>
      <c r="AA718" s="210"/>
      <c r="AB718" s="210"/>
      <c r="AC718" s="210"/>
      <c r="AI718" s="210"/>
      <c r="AJ718" s="210"/>
    </row>
    <row r="719" ht="12.75" customHeight="1">
      <c r="C719" s="210"/>
      <c r="D719" s="210"/>
      <c r="E719" s="210"/>
      <c r="F719" s="210"/>
      <c r="G719" s="210"/>
      <c r="H719" s="210"/>
      <c r="I719" s="210"/>
      <c r="J719" s="210"/>
      <c r="K719" s="210"/>
      <c r="L719" s="210"/>
      <c r="M719" s="210"/>
      <c r="N719" s="210"/>
      <c r="O719" s="210"/>
      <c r="P719" s="210"/>
      <c r="Q719" s="210"/>
      <c r="R719" s="210"/>
      <c r="S719" s="210"/>
      <c r="T719" s="210"/>
      <c r="U719" s="210"/>
      <c r="V719" s="210"/>
      <c r="W719" s="210"/>
      <c r="X719" s="210"/>
      <c r="Y719" s="210"/>
      <c r="Z719" s="210"/>
      <c r="AA719" s="210"/>
      <c r="AB719" s="210"/>
      <c r="AC719" s="210"/>
      <c r="AI719" s="210"/>
      <c r="AJ719" s="210"/>
    </row>
    <row r="720" ht="12.75" customHeight="1">
      <c r="C720" s="210"/>
      <c r="D720" s="210"/>
      <c r="E720" s="210"/>
      <c r="F720" s="210"/>
      <c r="G720" s="210"/>
      <c r="H720" s="210"/>
      <c r="I720" s="210"/>
      <c r="J720" s="210"/>
      <c r="K720" s="210"/>
      <c r="L720" s="210"/>
      <c r="M720" s="210"/>
      <c r="N720" s="210"/>
      <c r="O720" s="210"/>
      <c r="P720" s="210"/>
      <c r="Q720" s="210"/>
      <c r="R720" s="210"/>
      <c r="S720" s="210"/>
      <c r="T720" s="210"/>
      <c r="U720" s="210"/>
      <c r="V720" s="210"/>
      <c r="W720" s="210"/>
      <c r="X720" s="210"/>
      <c r="Y720" s="210"/>
      <c r="Z720" s="210"/>
      <c r="AA720" s="210"/>
      <c r="AB720" s="210"/>
      <c r="AC720" s="210"/>
      <c r="AI720" s="210"/>
      <c r="AJ720" s="210"/>
    </row>
    <row r="721" ht="12.75" customHeight="1">
      <c r="C721" s="210"/>
      <c r="D721" s="210"/>
      <c r="E721" s="210"/>
      <c r="F721" s="210"/>
      <c r="G721" s="210"/>
      <c r="H721" s="210"/>
      <c r="I721" s="210"/>
      <c r="J721" s="210"/>
      <c r="K721" s="210"/>
      <c r="L721" s="210"/>
      <c r="M721" s="210"/>
      <c r="N721" s="210"/>
      <c r="O721" s="210"/>
      <c r="P721" s="210"/>
      <c r="Q721" s="210"/>
      <c r="R721" s="210"/>
      <c r="S721" s="210"/>
      <c r="T721" s="210"/>
      <c r="U721" s="210"/>
      <c r="V721" s="210"/>
      <c r="W721" s="210"/>
      <c r="X721" s="210"/>
      <c r="Y721" s="210"/>
      <c r="Z721" s="210"/>
      <c r="AA721" s="210"/>
      <c r="AB721" s="210"/>
      <c r="AC721" s="210"/>
      <c r="AI721" s="210"/>
      <c r="AJ721" s="210"/>
    </row>
    <row r="722" ht="12.75" customHeight="1">
      <c r="C722" s="210"/>
      <c r="D722" s="210"/>
      <c r="E722" s="210"/>
      <c r="F722" s="210"/>
      <c r="G722" s="210"/>
      <c r="H722" s="210"/>
      <c r="I722" s="210"/>
      <c r="J722" s="210"/>
      <c r="K722" s="210"/>
      <c r="L722" s="210"/>
      <c r="M722" s="210"/>
      <c r="N722" s="210"/>
      <c r="O722" s="210"/>
      <c r="P722" s="210"/>
      <c r="Q722" s="210"/>
      <c r="R722" s="210"/>
      <c r="S722" s="210"/>
      <c r="T722" s="210"/>
      <c r="U722" s="210"/>
      <c r="V722" s="210"/>
      <c r="W722" s="210"/>
      <c r="X722" s="210"/>
      <c r="Y722" s="210"/>
      <c r="Z722" s="210"/>
      <c r="AA722" s="210"/>
      <c r="AB722" s="210"/>
      <c r="AC722" s="210"/>
      <c r="AI722" s="210"/>
      <c r="AJ722" s="210"/>
    </row>
    <row r="723" ht="12.75" customHeight="1">
      <c r="C723" s="210"/>
      <c r="D723" s="210"/>
      <c r="E723" s="210"/>
      <c r="F723" s="210"/>
      <c r="G723" s="210"/>
      <c r="H723" s="210"/>
      <c r="I723" s="210"/>
      <c r="J723" s="210"/>
      <c r="K723" s="210"/>
      <c r="L723" s="210"/>
      <c r="M723" s="210"/>
      <c r="N723" s="210"/>
      <c r="O723" s="210"/>
      <c r="P723" s="210"/>
      <c r="Q723" s="210"/>
      <c r="R723" s="210"/>
      <c r="S723" s="210"/>
      <c r="T723" s="210"/>
      <c r="U723" s="210"/>
      <c r="V723" s="210"/>
      <c r="W723" s="210"/>
      <c r="X723" s="210"/>
      <c r="Y723" s="210"/>
      <c r="Z723" s="210"/>
      <c r="AA723" s="210"/>
      <c r="AB723" s="210"/>
      <c r="AC723" s="210"/>
      <c r="AI723" s="210"/>
      <c r="AJ723" s="210"/>
    </row>
    <row r="724" ht="12.75" customHeight="1">
      <c r="C724" s="210"/>
      <c r="D724" s="210"/>
      <c r="E724" s="210"/>
      <c r="F724" s="210"/>
      <c r="G724" s="210"/>
      <c r="H724" s="210"/>
      <c r="I724" s="210"/>
      <c r="J724" s="210"/>
      <c r="K724" s="210"/>
      <c r="L724" s="210"/>
      <c r="M724" s="210"/>
      <c r="N724" s="210"/>
      <c r="O724" s="210"/>
      <c r="P724" s="210"/>
      <c r="Q724" s="210"/>
      <c r="R724" s="210"/>
      <c r="S724" s="210"/>
      <c r="T724" s="210"/>
      <c r="U724" s="210"/>
      <c r="V724" s="210"/>
      <c r="W724" s="210"/>
      <c r="X724" s="210"/>
      <c r="Y724" s="210"/>
      <c r="Z724" s="210"/>
      <c r="AA724" s="210"/>
      <c r="AB724" s="210"/>
      <c r="AC724" s="210"/>
      <c r="AI724" s="210"/>
      <c r="AJ724" s="210"/>
    </row>
    <row r="725" ht="12.75" customHeight="1">
      <c r="C725" s="210"/>
      <c r="D725" s="210"/>
      <c r="E725" s="210"/>
      <c r="F725" s="210"/>
      <c r="G725" s="210"/>
      <c r="H725" s="210"/>
      <c r="I725" s="210"/>
      <c r="J725" s="210"/>
      <c r="K725" s="210"/>
      <c r="L725" s="210"/>
      <c r="M725" s="210"/>
      <c r="N725" s="210"/>
      <c r="O725" s="210"/>
      <c r="P725" s="210"/>
      <c r="Q725" s="210"/>
      <c r="R725" s="210"/>
      <c r="S725" s="210"/>
      <c r="T725" s="210"/>
      <c r="U725" s="210"/>
      <c r="V725" s="210"/>
      <c r="W725" s="210"/>
      <c r="X725" s="210"/>
      <c r="Y725" s="210"/>
      <c r="Z725" s="210"/>
      <c r="AA725" s="210"/>
      <c r="AB725" s="210"/>
      <c r="AC725" s="210"/>
      <c r="AI725" s="210"/>
      <c r="AJ725" s="210"/>
    </row>
    <row r="726" ht="12.75" customHeight="1">
      <c r="C726" s="210"/>
      <c r="D726" s="210"/>
      <c r="E726" s="210"/>
      <c r="F726" s="210"/>
      <c r="G726" s="210"/>
      <c r="H726" s="210"/>
      <c r="I726" s="210"/>
      <c r="J726" s="210"/>
      <c r="K726" s="210"/>
      <c r="L726" s="210"/>
      <c r="M726" s="210"/>
      <c r="N726" s="210"/>
      <c r="O726" s="210"/>
      <c r="P726" s="210"/>
      <c r="Q726" s="210"/>
      <c r="R726" s="210"/>
      <c r="S726" s="210"/>
      <c r="T726" s="210"/>
      <c r="U726" s="210"/>
      <c r="V726" s="210"/>
      <c r="W726" s="210"/>
      <c r="X726" s="210"/>
      <c r="Y726" s="210"/>
      <c r="Z726" s="210"/>
      <c r="AA726" s="210"/>
      <c r="AB726" s="210"/>
      <c r="AC726" s="210"/>
      <c r="AI726" s="210"/>
      <c r="AJ726" s="210"/>
    </row>
    <row r="727" ht="12.75" customHeight="1">
      <c r="C727" s="210"/>
      <c r="D727" s="210"/>
      <c r="E727" s="210"/>
      <c r="F727" s="210"/>
      <c r="G727" s="210"/>
      <c r="H727" s="210"/>
      <c r="I727" s="210"/>
      <c r="J727" s="210"/>
      <c r="K727" s="210"/>
      <c r="L727" s="210"/>
      <c r="M727" s="210"/>
      <c r="N727" s="210"/>
      <c r="O727" s="210"/>
      <c r="P727" s="210"/>
      <c r="Q727" s="210"/>
      <c r="R727" s="210"/>
      <c r="S727" s="210"/>
      <c r="T727" s="210"/>
      <c r="U727" s="210"/>
      <c r="V727" s="210"/>
      <c r="W727" s="210"/>
      <c r="X727" s="210"/>
      <c r="Y727" s="210"/>
      <c r="Z727" s="210"/>
      <c r="AA727" s="210"/>
      <c r="AB727" s="210"/>
      <c r="AC727" s="210"/>
      <c r="AI727" s="210"/>
      <c r="AJ727" s="210"/>
    </row>
    <row r="728" ht="12.75" customHeight="1">
      <c r="C728" s="210"/>
      <c r="D728" s="210"/>
      <c r="E728" s="210"/>
      <c r="F728" s="210"/>
      <c r="G728" s="210"/>
      <c r="H728" s="210"/>
      <c r="I728" s="210"/>
      <c r="J728" s="210"/>
      <c r="K728" s="210"/>
      <c r="L728" s="210"/>
      <c r="M728" s="210"/>
      <c r="N728" s="210"/>
      <c r="O728" s="210"/>
      <c r="P728" s="210"/>
      <c r="Q728" s="210"/>
      <c r="R728" s="210"/>
      <c r="S728" s="210"/>
      <c r="T728" s="210"/>
      <c r="U728" s="210"/>
      <c r="V728" s="210"/>
      <c r="W728" s="210"/>
      <c r="X728" s="210"/>
      <c r="Y728" s="210"/>
      <c r="Z728" s="210"/>
      <c r="AA728" s="210"/>
      <c r="AB728" s="210"/>
      <c r="AC728" s="210"/>
      <c r="AI728" s="210"/>
      <c r="AJ728" s="210"/>
    </row>
    <row r="729" ht="12.75" customHeight="1">
      <c r="C729" s="210"/>
      <c r="D729" s="210"/>
      <c r="E729" s="210"/>
      <c r="F729" s="210"/>
      <c r="G729" s="210"/>
      <c r="H729" s="210"/>
      <c r="I729" s="210"/>
      <c r="J729" s="210"/>
      <c r="K729" s="210"/>
      <c r="L729" s="210"/>
      <c r="M729" s="210"/>
      <c r="N729" s="210"/>
      <c r="O729" s="210"/>
      <c r="P729" s="210"/>
      <c r="Q729" s="210"/>
      <c r="R729" s="210"/>
      <c r="S729" s="210"/>
      <c r="T729" s="210"/>
      <c r="U729" s="210"/>
      <c r="V729" s="210"/>
      <c r="W729" s="210"/>
      <c r="X729" s="210"/>
      <c r="Y729" s="210"/>
      <c r="Z729" s="210"/>
      <c r="AA729" s="210"/>
      <c r="AB729" s="210"/>
      <c r="AC729" s="210"/>
      <c r="AI729" s="210"/>
      <c r="AJ729" s="210"/>
    </row>
    <row r="730" ht="12.75" customHeight="1">
      <c r="C730" s="210"/>
      <c r="D730" s="210"/>
      <c r="E730" s="210"/>
      <c r="F730" s="210"/>
      <c r="G730" s="210"/>
      <c r="H730" s="210"/>
      <c r="I730" s="210"/>
      <c r="J730" s="210"/>
      <c r="K730" s="210"/>
      <c r="L730" s="210"/>
      <c r="M730" s="210"/>
      <c r="N730" s="210"/>
      <c r="O730" s="210"/>
      <c r="P730" s="210"/>
      <c r="Q730" s="210"/>
      <c r="R730" s="210"/>
      <c r="S730" s="210"/>
      <c r="T730" s="210"/>
      <c r="U730" s="210"/>
      <c r="V730" s="210"/>
      <c r="W730" s="210"/>
      <c r="X730" s="210"/>
      <c r="Y730" s="210"/>
      <c r="Z730" s="210"/>
      <c r="AA730" s="210"/>
      <c r="AB730" s="210"/>
      <c r="AC730" s="210"/>
      <c r="AI730" s="210"/>
      <c r="AJ730" s="210"/>
    </row>
    <row r="731" ht="12.75" customHeight="1">
      <c r="C731" s="210"/>
      <c r="D731" s="210"/>
      <c r="E731" s="210"/>
      <c r="F731" s="210"/>
      <c r="G731" s="210"/>
      <c r="H731" s="210"/>
      <c r="I731" s="210"/>
      <c r="J731" s="210"/>
      <c r="K731" s="210"/>
      <c r="L731" s="210"/>
      <c r="M731" s="210"/>
      <c r="N731" s="210"/>
      <c r="O731" s="210"/>
      <c r="P731" s="210"/>
      <c r="Q731" s="210"/>
      <c r="R731" s="210"/>
      <c r="S731" s="210"/>
      <c r="T731" s="210"/>
      <c r="U731" s="210"/>
      <c r="V731" s="210"/>
      <c r="W731" s="210"/>
      <c r="X731" s="210"/>
      <c r="Y731" s="210"/>
      <c r="Z731" s="210"/>
      <c r="AA731" s="210"/>
      <c r="AB731" s="210"/>
      <c r="AC731" s="210"/>
      <c r="AI731" s="210"/>
      <c r="AJ731" s="210"/>
    </row>
    <row r="732" ht="12.75" customHeight="1">
      <c r="C732" s="210"/>
      <c r="D732" s="210"/>
      <c r="E732" s="210"/>
      <c r="F732" s="210"/>
      <c r="G732" s="210"/>
      <c r="H732" s="210"/>
      <c r="I732" s="210"/>
      <c r="J732" s="210"/>
      <c r="K732" s="210"/>
      <c r="L732" s="210"/>
      <c r="M732" s="210"/>
      <c r="N732" s="210"/>
      <c r="O732" s="210"/>
      <c r="P732" s="210"/>
      <c r="Q732" s="210"/>
      <c r="R732" s="210"/>
      <c r="S732" s="210"/>
      <c r="T732" s="210"/>
      <c r="U732" s="210"/>
      <c r="V732" s="210"/>
      <c r="W732" s="210"/>
      <c r="X732" s="210"/>
      <c r="Y732" s="210"/>
      <c r="Z732" s="210"/>
      <c r="AA732" s="210"/>
      <c r="AB732" s="210"/>
      <c r="AC732" s="210"/>
      <c r="AI732" s="210"/>
      <c r="AJ732" s="210"/>
    </row>
    <row r="733" ht="12.75" customHeight="1">
      <c r="C733" s="210"/>
      <c r="D733" s="210"/>
      <c r="E733" s="210"/>
      <c r="F733" s="210"/>
      <c r="G733" s="210"/>
      <c r="H733" s="210"/>
      <c r="I733" s="210"/>
      <c r="J733" s="210"/>
      <c r="K733" s="210"/>
      <c r="L733" s="210"/>
      <c r="M733" s="210"/>
      <c r="N733" s="210"/>
      <c r="O733" s="210"/>
      <c r="P733" s="210"/>
      <c r="Q733" s="210"/>
      <c r="R733" s="210"/>
      <c r="S733" s="210"/>
      <c r="T733" s="210"/>
      <c r="U733" s="210"/>
      <c r="V733" s="210"/>
      <c r="W733" s="210"/>
      <c r="X733" s="210"/>
      <c r="Y733" s="210"/>
      <c r="Z733" s="210"/>
      <c r="AA733" s="210"/>
      <c r="AB733" s="210"/>
      <c r="AC733" s="210"/>
      <c r="AI733" s="210"/>
      <c r="AJ733" s="210"/>
    </row>
    <row r="734" ht="12.75" customHeight="1">
      <c r="C734" s="210"/>
      <c r="D734" s="210"/>
      <c r="E734" s="210"/>
      <c r="F734" s="210"/>
      <c r="G734" s="210"/>
      <c r="H734" s="210"/>
      <c r="I734" s="210"/>
      <c r="J734" s="210"/>
      <c r="K734" s="210"/>
      <c r="L734" s="210"/>
      <c r="M734" s="210"/>
      <c r="N734" s="210"/>
      <c r="O734" s="210"/>
      <c r="P734" s="210"/>
      <c r="Q734" s="210"/>
      <c r="R734" s="210"/>
      <c r="S734" s="210"/>
      <c r="T734" s="210"/>
      <c r="U734" s="210"/>
      <c r="V734" s="210"/>
      <c r="W734" s="210"/>
      <c r="X734" s="210"/>
      <c r="Y734" s="210"/>
      <c r="Z734" s="210"/>
      <c r="AA734" s="210"/>
      <c r="AB734" s="210"/>
      <c r="AC734" s="210"/>
      <c r="AI734" s="210"/>
      <c r="AJ734" s="210"/>
    </row>
    <row r="735" ht="12.75" customHeight="1">
      <c r="C735" s="210"/>
      <c r="D735" s="210"/>
      <c r="E735" s="210"/>
      <c r="F735" s="210"/>
      <c r="G735" s="210"/>
      <c r="H735" s="210"/>
      <c r="I735" s="210"/>
      <c r="J735" s="210"/>
      <c r="K735" s="210"/>
      <c r="L735" s="210"/>
      <c r="M735" s="210"/>
      <c r="N735" s="210"/>
      <c r="O735" s="210"/>
      <c r="P735" s="210"/>
      <c r="Q735" s="210"/>
      <c r="R735" s="210"/>
      <c r="S735" s="210"/>
      <c r="T735" s="210"/>
      <c r="U735" s="210"/>
      <c r="V735" s="210"/>
      <c r="W735" s="210"/>
      <c r="X735" s="210"/>
      <c r="Y735" s="210"/>
      <c r="Z735" s="210"/>
      <c r="AA735" s="210"/>
      <c r="AB735" s="210"/>
      <c r="AC735" s="210"/>
      <c r="AI735" s="210"/>
      <c r="AJ735" s="210"/>
    </row>
    <row r="736" ht="12.75" customHeight="1">
      <c r="C736" s="210"/>
      <c r="D736" s="210"/>
      <c r="E736" s="210"/>
      <c r="F736" s="210"/>
      <c r="G736" s="210"/>
      <c r="H736" s="210"/>
      <c r="I736" s="210"/>
      <c r="J736" s="210"/>
      <c r="K736" s="210"/>
      <c r="L736" s="210"/>
      <c r="M736" s="210"/>
      <c r="N736" s="210"/>
      <c r="O736" s="210"/>
      <c r="P736" s="210"/>
      <c r="Q736" s="210"/>
      <c r="R736" s="210"/>
      <c r="S736" s="210"/>
      <c r="T736" s="210"/>
      <c r="U736" s="210"/>
      <c r="V736" s="210"/>
      <c r="W736" s="210"/>
      <c r="X736" s="210"/>
      <c r="Y736" s="210"/>
      <c r="Z736" s="210"/>
      <c r="AA736" s="210"/>
      <c r="AB736" s="210"/>
      <c r="AC736" s="210"/>
      <c r="AI736" s="210"/>
      <c r="AJ736" s="210"/>
    </row>
    <row r="737" ht="12.75" customHeight="1">
      <c r="C737" s="210"/>
      <c r="D737" s="210"/>
      <c r="E737" s="210"/>
      <c r="F737" s="210"/>
      <c r="G737" s="210"/>
      <c r="H737" s="210"/>
      <c r="I737" s="210"/>
      <c r="J737" s="210"/>
      <c r="K737" s="210"/>
      <c r="L737" s="210"/>
      <c r="M737" s="210"/>
      <c r="N737" s="210"/>
      <c r="O737" s="210"/>
      <c r="P737" s="210"/>
      <c r="Q737" s="210"/>
      <c r="R737" s="210"/>
      <c r="S737" s="210"/>
      <c r="T737" s="210"/>
      <c r="U737" s="210"/>
      <c r="V737" s="210"/>
      <c r="W737" s="210"/>
      <c r="X737" s="210"/>
      <c r="Y737" s="210"/>
      <c r="Z737" s="210"/>
      <c r="AA737" s="210"/>
      <c r="AB737" s="210"/>
      <c r="AC737" s="210"/>
      <c r="AI737" s="210"/>
      <c r="AJ737" s="210"/>
    </row>
    <row r="738" ht="12.75" customHeight="1">
      <c r="C738" s="210"/>
      <c r="D738" s="210"/>
      <c r="E738" s="210"/>
      <c r="F738" s="210"/>
      <c r="G738" s="210"/>
      <c r="H738" s="210"/>
      <c r="I738" s="210"/>
      <c r="J738" s="210"/>
      <c r="K738" s="210"/>
      <c r="L738" s="210"/>
      <c r="M738" s="210"/>
      <c r="N738" s="210"/>
      <c r="O738" s="210"/>
      <c r="P738" s="210"/>
      <c r="Q738" s="210"/>
      <c r="R738" s="210"/>
      <c r="S738" s="210"/>
      <c r="T738" s="210"/>
      <c r="U738" s="210"/>
      <c r="V738" s="210"/>
      <c r="W738" s="210"/>
      <c r="X738" s="210"/>
      <c r="Y738" s="210"/>
      <c r="Z738" s="210"/>
      <c r="AA738" s="210"/>
      <c r="AB738" s="210"/>
      <c r="AC738" s="210"/>
      <c r="AI738" s="210"/>
      <c r="AJ738" s="210"/>
    </row>
    <row r="739" ht="12.75" customHeight="1">
      <c r="C739" s="210"/>
      <c r="D739" s="210"/>
      <c r="E739" s="210"/>
      <c r="F739" s="210"/>
      <c r="G739" s="210"/>
      <c r="H739" s="210"/>
      <c r="I739" s="210"/>
      <c r="J739" s="210"/>
      <c r="K739" s="210"/>
      <c r="L739" s="210"/>
      <c r="M739" s="210"/>
      <c r="N739" s="210"/>
      <c r="O739" s="210"/>
      <c r="P739" s="210"/>
      <c r="Q739" s="210"/>
      <c r="R739" s="210"/>
      <c r="S739" s="210"/>
      <c r="T739" s="210"/>
      <c r="U739" s="210"/>
      <c r="V739" s="210"/>
      <c r="W739" s="210"/>
      <c r="X739" s="210"/>
      <c r="Y739" s="210"/>
      <c r="Z739" s="210"/>
      <c r="AA739" s="210"/>
      <c r="AB739" s="210"/>
      <c r="AC739" s="210"/>
      <c r="AI739" s="210"/>
      <c r="AJ739" s="210"/>
    </row>
    <row r="740" ht="12.75" customHeight="1">
      <c r="C740" s="210"/>
      <c r="D740" s="210"/>
      <c r="E740" s="210"/>
      <c r="F740" s="210"/>
      <c r="G740" s="210"/>
      <c r="H740" s="210"/>
      <c r="I740" s="210"/>
      <c r="J740" s="210"/>
      <c r="K740" s="210"/>
      <c r="L740" s="210"/>
      <c r="M740" s="210"/>
      <c r="N740" s="210"/>
      <c r="O740" s="210"/>
      <c r="P740" s="210"/>
      <c r="Q740" s="210"/>
      <c r="R740" s="210"/>
      <c r="S740" s="210"/>
      <c r="T740" s="210"/>
      <c r="U740" s="210"/>
      <c r="V740" s="210"/>
      <c r="W740" s="210"/>
      <c r="X740" s="210"/>
      <c r="Y740" s="210"/>
      <c r="Z740" s="210"/>
      <c r="AA740" s="210"/>
      <c r="AB740" s="210"/>
      <c r="AC740" s="210"/>
      <c r="AI740" s="210"/>
      <c r="AJ740" s="210"/>
    </row>
    <row r="741" ht="12.75" customHeight="1">
      <c r="C741" s="210"/>
      <c r="D741" s="210"/>
      <c r="E741" s="210"/>
      <c r="F741" s="210"/>
      <c r="G741" s="210"/>
      <c r="H741" s="210"/>
      <c r="I741" s="210"/>
      <c r="J741" s="210"/>
      <c r="K741" s="210"/>
      <c r="L741" s="210"/>
      <c r="M741" s="210"/>
      <c r="N741" s="210"/>
      <c r="O741" s="210"/>
      <c r="P741" s="210"/>
      <c r="Q741" s="210"/>
      <c r="R741" s="210"/>
      <c r="S741" s="210"/>
      <c r="T741" s="210"/>
      <c r="U741" s="210"/>
      <c r="V741" s="210"/>
      <c r="W741" s="210"/>
      <c r="X741" s="210"/>
      <c r="Y741" s="210"/>
      <c r="Z741" s="210"/>
      <c r="AA741" s="210"/>
      <c r="AB741" s="210"/>
      <c r="AC741" s="210"/>
      <c r="AI741" s="210"/>
      <c r="AJ741" s="210"/>
    </row>
    <row r="742" ht="12.75" customHeight="1">
      <c r="C742" s="210"/>
      <c r="D742" s="210"/>
      <c r="E742" s="210"/>
      <c r="F742" s="210"/>
      <c r="G742" s="210"/>
      <c r="H742" s="210"/>
      <c r="I742" s="210"/>
      <c r="J742" s="210"/>
      <c r="K742" s="210"/>
      <c r="L742" s="210"/>
      <c r="M742" s="210"/>
      <c r="N742" s="210"/>
      <c r="O742" s="210"/>
      <c r="P742" s="210"/>
      <c r="Q742" s="210"/>
      <c r="R742" s="210"/>
      <c r="S742" s="210"/>
      <c r="T742" s="210"/>
      <c r="U742" s="210"/>
      <c r="V742" s="210"/>
      <c r="W742" s="210"/>
      <c r="X742" s="210"/>
      <c r="Y742" s="210"/>
      <c r="Z742" s="210"/>
      <c r="AA742" s="210"/>
      <c r="AB742" s="210"/>
      <c r="AC742" s="210"/>
      <c r="AI742" s="210"/>
      <c r="AJ742" s="210"/>
    </row>
    <row r="743" ht="12.75" customHeight="1">
      <c r="C743" s="210"/>
      <c r="D743" s="210"/>
      <c r="E743" s="210"/>
      <c r="F743" s="210"/>
      <c r="G743" s="210"/>
      <c r="H743" s="210"/>
      <c r="I743" s="210"/>
      <c r="J743" s="210"/>
      <c r="K743" s="210"/>
      <c r="L743" s="210"/>
      <c r="M743" s="210"/>
      <c r="N743" s="210"/>
      <c r="O743" s="210"/>
      <c r="P743" s="210"/>
      <c r="Q743" s="210"/>
      <c r="R743" s="210"/>
      <c r="S743" s="210"/>
      <c r="T743" s="210"/>
      <c r="U743" s="210"/>
      <c r="V743" s="210"/>
      <c r="W743" s="210"/>
      <c r="X743" s="210"/>
      <c r="Y743" s="210"/>
      <c r="Z743" s="210"/>
      <c r="AA743" s="210"/>
      <c r="AB743" s="210"/>
      <c r="AC743" s="210"/>
      <c r="AI743" s="210"/>
      <c r="AJ743" s="210"/>
    </row>
    <row r="744" ht="12.75" customHeight="1">
      <c r="C744" s="210"/>
      <c r="D744" s="210"/>
      <c r="E744" s="210"/>
      <c r="F744" s="210"/>
      <c r="G744" s="210"/>
      <c r="H744" s="210"/>
      <c r="I744" s="210"/>
      <c r="J744" s="210"/>
      <c r="K744" s="210"/>
      <c r="L744" s="210"/>
      <c r="M744" s="210"/>
      <c r="N744" s="210"/>
      <c r="O744" s="210"/>
      <c r="P744" s="210"/>
      <c r="Q744" s="210"/>
      <c r="R744" s="210"/>
      <c r="S744" s="210"/>
      <c r="T744" s="210"/>
      <c r="U744" s="210"/>
      <c r="V744" s="210"/>
      <c r="W744" s="210"/>
      <c r="X744" s="210"/>
      <c r="Y744" s="210"/>
      <c r="Z744" s="210"/>
      <c r="AA744" s="210"/>
      <c r="AB744" s="210"/>
      <c r="AC744" s="210"/>
      <c r="AI744" s="210"/>
      <c r="AJ744" s="210"/>
    </row>
    <row r="745" ht="12.75" customHeight="1">
      <c r="C745" s="210"/>
      <c r="D745" s="210"/>
      <c r="E745" s="210"/>
      <c r="F745" s="210"/>
      <c r="G745" s="210"/>
      <c r="H745" s="210"/>
      <c r="I745" s="210"/>
      <c r="J745" s="210"/>
      <c r="K745" s="210"/>
      <c r="L745" s="210"/>
      <c r="M745" s="210"/>
      <c r="N745" s="210"/>
      <c r="O745" s="210"/>
      <c r="P745" s="210"/>
      <c r="Q745" s="210"/>
      <c r="R745" s="210"/>
      <c r="S745" s="210"/>
      <c r="T745" s="210"/>
      <c r="U745" s="210"/>
      <c r="V745" s="210"/>
      <c r="W745" s="210"/>
      <c r="X745" s="210"/>
      <c r="Y745" s="210"/>
      <c r="Z745" s="210"/>
      <c r="AA745" s="210"/>
      <c r="AB745" s="210"/>
      <c r="AC745" s="210"/>
      <c r="AI745" s="210"/>
      <c r="AJ745" s="210"/>
    </row>
    <row r="746" ht="12.75" customHeight="1">
      <c r="C746" s="210"/>
      <c r="D746" s="210"/>
      <c r="E746" s="210"/>
      <c r="F746" s="210"/>
      <c r="G746" s="210"/>
      <c r="H746" s="210"/>
      <c r="I746" s="210"/>
      <c r="J746" s="210"/>
      <c r="K746" s="210"/>
      <c r="L746" s="210"/>
      <c r="M746" s="210"/>
      <c r="N746" s="210"/>
      <c r="O746" s="210"/>
      <c r="P746" s="210"/>
      <c r="Q746" s="210"/>
      <c r="R746" s="210"/>
      <c r="S746" s="210"/>
      <c r="T746" s="210"/>
      <c r="U746" s="210"/>
      <c r="V746" s="210"/>
      <c r="W746" s="210"/>
      <c r="X746" s="210"/>
      <c r="Y746" s="210"/>
      <c r="Z746" s="210"/>
      <c r="AA746" s="210"/>
      <c r="AB746" s="210"/>
      <c r="AC746" s="210"/>
      <c r="AI746" s="210"/>
      <c r="AJ746" s="210"/>
    </row>
    <row r="747" ht="12.75" customHeight="1">
      <c r="C747" s="210"/>
      <c r="D747" s="210"/>
      <c r="E747" s="210"/>
      <c r="F747" s="210"/>
      <c r="G747" s="210"/>
      <c r="H747" s="210"/>
      <c r="I747" s="210"/>
      <c r="J747" s="210"/>
      <c r="K747" s="210"/>
      <c r="L747" s="210"/>
      <c r="M747" s="210"/>
      <c r="N747" s="210"/>
      <c r="O747" s="210"/>
      <c r="P747" s="210"/>
      <c r="Q747" s="210"/>
      <c r="R747" s="210"/>
      <c r="S747" s="210"/>
      <c r="T747" s="210"/>
      <c r="U747" s="210"/>
      <c r="V747" s="210"/>
      <c r="W747" s="210"/>
      <c r="X747" s="210"/>
      <c r="Y747" s="210"/>
      <c r="Z747" s="210"/>
      <c r="AA747" s="210"/>
      <c r="AB747" s="210"/>
      <c r="AC747" s="210"/>
      <c r="AI747" s="210"/>
      <c r="AJ747" s="210"/>
    </row>
    <row r="748" ht="12.75" customHeight="1">
      <c r="C748" s="210"/>
      <c r="D748" s="210"/>
      <c r="E748" s="210"/>
      <c r="F748" s="210"/>
      <c r="G748" s="210"/>
      <c r="H748" s="210"/>
      <c r="I748" s="210"/>
      <c r="J748" s="210"/>
      <c r="K748" s="210"/>
      <c r="L748" s="210"/>
      <c r="M748" s="210"/>
      <c r="N748" s="210"/>
      <c r="O748" s="210"/>
      <c r="P748" s="210"/>
      <c r="Q748" s="210"/>
      <c r="R748" s="210"/>
      <c r="S748" s="210"/>
      <c r="T748" s="210"/>
      <c r="U748" s="210"/>
      <c r="V748" s="210"/>
      <c r="W748" s="210"/>
      <c r="X748" s="210"/>
      <c r="Y748" s="210"/>
      <c r="Z748" s="210"/>
      <c r="AA748" s="210"/>
      <c r="AB748" s="210"/>
      <c r="AC748" s="210"/>
      <c r="AI748" s="210"/>
      <c r="AJ748" s="210"/>
    </row>
    <row r="749" ht="12.75" customHeight="1">
      <c r="C749" s="210"/>
      <c r="D749" s="210"/>
      <c r="E749" s="210"/>
      <c r="F749" s="210"/>
      <c r="G749" s="210"/>
      <c r="H749" s="210"/>
      <c r="I749" s="210"/>
      <c r="J749" s="210"/>
      <c r="K749" s="210"/>
      <c r="L749" s="210"/>
      <c r="M749" s="210"/>
      <c r="N749" s="210"/>
      <c r="O749" s="210"/>
      <c r="P749" s="210"/>
      <c r="Q749" s="210"/>
      <c r="R749" s="210"/>
      <c r="S749" s="210"/>
      <c r="T749" s="210"/>
      <c r="U749" s="210"/>
      <c r="V749" s="210"/>
      <c r="W749" s="210"/>
      <c r="X749" s="210"/>
      <c r="Y749" s="210"/>
      <c r="Z749" s="210"/>
      <c r="AA749" s="210"/>
      <c r="AB749" s="210"/>
      <c r="AC749" s="210"/>
      <c r="AI749" s="210"/>
      <c r="AJ749" s="210"/>
    </row>
    <row r="750" ht="12.75" customHeight="1">
      <c r="C750" s="210"/>
      <c r="D750" s="210"/>
      <c r="E750" s="210"/>
      <c r="F750" s="210"/>
      <c r="G750" s="210"/>
      <c r="H750" s="210"/>
      <c r="I750" s="210"/>
      <c r="J750" s="210"/>
      <c r="K750" s="210"/>
      <c r="L750" s="210"/>
      <c r="M750" s="210"/>
      <c r="N750" s="210"/>
      <c r="O750" s="210"/>
      <c r="P750" s="210"/>
      <c r="Q750" s="210"/>
      <c r="R750" s="210"/>
      <c r="S750" s="210"/>
      <c r="T750" s="210"/>
      <c r="U750" s="210"/>
      <c r="V750" s="210"/>
      <c r="W750" s="210"/>
      <c r="X750" s="210"/>
      <c r="Y750" s="210"/>
      <c r="Z750" s="210"/>
      <c r="AA750" s="210"/>
      <c r="AB750" s="210"/>
      <c r="AC750" s="210"/>
      <c r="AI750" s="210"/>
      <c r="AJ750" s="210"/>
    </row>
    <row r="751" ht="12.75" customHeight="1">
      <c r="C751" s="210"/>
      <c r="D751" s="210"/>
      <c r="E751" s="210"/>
      <c r="F751" s="210"/>
      <c r="G751" s="210"/>
      <c r="H751" s="210"/>
      <c r="I751" s="210"/>
      <c r="J751" s="210"/>
      <c r="K751" s="210"/>
      <c r="L751" s="210"/>
      <c r="M751" s="210"/>
      <c r="N751" s="210"/>
      <c r="O751" s="210"/>
      <c r="P751" s="210"/>
      <c r="Q751" s="210"/>
      <c r="R751" s="210"/>
      <c r="S751" s="210"/>
      <c r="T751" s="210"/>
      <c r="U751" s="210"/>
      <c r="V751" s="210"/>
      <c r="W751" s="210"/>
      <c r="X751" s="210"/>
      <c r="Y751" s="210"/>
      <c r="Z751" s="210"/>
      <c r="AA751" s="210"/>
      <c r="AB751" s="210"/>
      <c r="AC751" s="210"/>
      <c r="AI751" s="210"/>
      <c r="AJ751" s="210"/>
    </row>
    <row r="752" ht="12.75" customHeight="1">
      <c r="C752" s="210"/>
      <c r="D752" s="210"/>
      <c r="E752" s="210"/>
      <c r="F752" s="210"/>
      <c r="G752" s="210"/>
      <c r="H752" s="210"/>
      <c r="I752" s="210"/>
      <c r="J752" s="210"/>
      <c r="K752" s="210"/>
      <c r="L752" s="210"/>
      <c r="M752" s="210"/>
      <c r="N752" s="210"/>
      <c r="O752" s="210"/>
      <c r="P752" s="210"/>
      <c r="Q752" s="210"/>
      <c r="R752" s="210"/>
      <c r="S752" s="210"/>
      <c r="T752" s="210"/>
      <c r="U752" s="210"/>
      <c r="V752" s="210"/>
      <c r="W752" s="210"/>
      <c r="X752" s="210"/>
      <c r="Y752" s="210"/>
      <c r="Z752" s="210"/>
      <c r="AA752" s="210"/>
      <c r="AB752" s="210"/>
      <c r="AC752" s="210"/>
      <c r="AI752" s="210"/>
      <c r="AJ752" s="210"/>
    </row>
    <row r="753" ht="12.75" customHeight="1">
      <c r="C753" s="210"/>
      <c r="D753" s="210"/>
      <c r="E753" s="210"/>
      <c r="F753" s="210"/>
      <c r="G753" s="210"/>
      <c r="H753" s="210"/>
      <c r="I753" s="210"/>
      <c r="J753" s="210"/>
      <c r="K753" s="210"/>
      <c r="L753" s="210"/>
      <c r="M753" s="210"/>
      <c r="N753" s="210"/>
      <c r="O753" s="210"/>
      <c r="P753" s="210"/>
      <c r="Q753" s="210"/>
      <c r="R753" s="210"/>
      <c r="S753" s="210"/>
      <c r="T753" s="210"/>
      <c r="U753" s="210"/>
      <c r="V753" s="210"/>
      <c r="W753" s="210"/>
      <c r="X753" s="210"/>
      <c r="Y753" s="210"/>
      <c r="Z753" s="210"/>
      <c r="AA753" s="210"/>
      <c r="AB753" s="210"/>
      <c r="AC753" s="210"/>
      <c r="AI753" s="210"/>
      <c r="AJ753" s="210"/>
    </row>
    <row r="754" ht="12.75" customHeight="1">
      <c r="C754" s="210"/>
      <c r="D754" s="210"/>
      <c r="E754" s="210"/>
      <c r="F754" s="210"/>
      <c r="G754" s="210"/>
      <c r="H754" s="210"/>
      <c r="I754" s="210"/>
      <c r="J754" s="210"/>
      <c r="K754" s="210"/>
      <c r="L754" s="210"/>
      <c r="M754" s="210"/>
      <c r="N754" s="210"/>
      <c r="O754" s="210"/>
      <c r="P754" s="210"/>
      <c r="Q754" s="210"/>
      <c r="R754" s="210"/>
      <c r="S754" s="210"/>
      <c r="T754" s="210"/>
      <c r="U754" s="210"/>
      <c r="V754" s="210"/>
      <c r="W754" s="210"/>
      <c r="X754" s="210"/>
      <c r="Y754" s="210"/>
      <c r="Z754" s="210"/>
      <c r="AA754" s="210"/>
      <c r="AB754" s="210"/>
      <c r="AC754" s="210"/>
      <c r="AI754" s="210"/>
      <c r="AJ754" s="210"/>
    </row>
    <row r="755" ht="12.75" customHeight="1">
      <c r="C755" s="210"/>
      <c r="D755" s="210"/>
      <c r="E755" s="210"/>
      <c r="F755" s="210"/>
      <c r="G755" s="210"/>
      <c r="H755" s="210"/>
      <c r="I755" s="210"/>
      <c r="J755" s="210"/>
      <c r="K755" s="210"/>
      <c r="L755" s="210"/>
      <c r="M755" s="210"/>
      <c r="N755" s="210"/>
      <c r="O755" s="210"/>
      <c r="P755" s="210"/>
      <c r="Q755" s="210"/>
      <c r="R755" s="210"/>
      <c r="S755" s="210"/>
      <c r="T755" s="210"/>
      <c r="U755" s="210"/>
      <c r="V755" s="210"/>
      <c r="W755" s="210"/>
      <c r="X755" s="210"/>
      <c r="Y755" s="210"/>
      <c r="Z755" s="210"/>
      <c r="AA755" s="210"/>
      <c r="AB755" s="210"/>
      <c r="AC755" s="210"/>
      <c r="AI755" s="210"/>
      <c r="AJ755" s="210"/>
    </row>
    <row r="756" ht="12.75" customHeight="1">
      <c r="C756" s="210"/>
      <c r="D756" s="210"/>
      <c r="E756" s="210"/>
      <c r="F756" s="210"/>
      <c r="G756" s="210"/>
      <c r="H756" s="210"/>
      <c r="I756" s="210"/>
      <c r="J756" s="210"/>
      <c r="K756" s="210"/>
      <c r="L756" s="210"/>
      <c r="M756" s="210"/>
      <c r="N756" s="210"/>
      <c r="O756" s="210"/>
      <c r="P756" s="210"/>
      <c r="Q756" s="210"/>
      <c r="R756" s="210"/>
      <c r="S756" s="210"/>
      <c r="T756" s="210"/>
      <c r="U756" s="210"/>
      <c r="V756" s="210"/>
      <c r="W756" s="210"/>
      <c r="X756" s="210"/>
      <c r="Y756" s="210"/>
      <c r="Z756" s="210"/>
      <c r="AA756" s="210"/>
      <c r="AB756" s="210"/>
      <c r="AC756" s="210"/>
      <c r="AI756" s="210"/>
      <c r="AJ756" s="210"/>
    </row>
    <row r="757" ht="12.75" customHeight="1">
      <c r="C757" s="210"/>
      <c r="D757" s="210"/>
      <c r="E757" s="210"/>
      <c r="F757" s="210"/>
      <c r="G757" s="210"/>
      <c r="H757" s="210"/>
      <c r="I757" s="210"/>
      <c r="J757" s="210"/>
      <c r="K757" s="210"/>
      <c r="L757" s="210"/>
      <c r="M757" s="210"/>
      <c r="N757" s="210"/>
      <c r="O757" s="210"/>
      <c r="P757" s="210"/>
      <c r="Q757" s="210"/>
      <c r="R757" s="210"/>
      <c r="S757" s="210"/>
      <c r="T757" s="210"/>
      <c r="U757" s="210"/>
      <c r="V757" s="210"/>
      <c r="W757" s="210"/>
      <c r="X757" s="210"/>
      <c r="Y757" s="210"/>
      <c r="Z757" s="210"/>
      <c r="AA757" s="210"/>
      <c r="AB757" s="210"/>
      <c r="AC757" s="210"/>
      <c r="AI757" s="210"/>
      <c r="AJ757" s="210"/>
    </row>
    <row r="758" ht="12.75" customHeight="1">
      <c r="C758" s="210"/>
      <c r="D758" s="210"/>
      <c r="E758" s="210"/>
      <c r="F758" s="210"/>
      <c r="G758" s="210"/>
      <c r="H758" s="210"/>
      <c r="I758" s="210"/>
      <c r="J758" s="210"/>
      <c r="K758" s="210"/>
      <c r="L758" s="210"/>
      <c r="M758" s="210"/>
      <c r="N758" s="210"/>
      <c r="O758" s="210"/>
      <c r="P758" s="210"/>
      <c r="Q758" s="210"/>
      <c r="R758" s="210"/>
      <c r="S758" s="210"/>
      <c r="T758" s="210"/>
      <c r="U758" s="210"/>
      <c r="V758" s="210"/>
      <c r="W758" s="210"/>
      <c r="X758" s="210"/>
      <c r="Y758" s="210"/>
      <c r="Z758" s="210"/>
      <c r="AA758" s="210"/>
      <c r="AB758" s="210"/>
      <c r="AC758" s="210"/>
      <c r="AI758" s="210"/>
      <c r="AJ758" s="210"/>
    </row>
    <row r="759" ht="12.75" customHeight="1">
      <c r="C759" s="210"/>
      <c r="D759" s="210"/>
      <c r="E759" s="210"/>
      <c r="F759" s="210"/>
      <c r="G759" s="210"/>
      <c r="H759" s="210"/>
      <c r="I759" s="210"/>
      <c r="J759" s="210"/>
      <c r="K759" s="210"/>
      <c r="L759" s="210"/>
      <c r="M759" s="210"/>
      <c r="N759" s="210"/>
      <c r="O759" s="210"/>
      <c r="P759" s="210"/>
      <c r="Q759" s="210"/>
      <c r="R759" s="210"/>
      <c r="S759" s="210"/>
      <c r="T759" s="210"/>
      <c r="U759" s="210"/>
      <c r="V759" s="210"/>
      <c r="W759" s="210"/>
      <c r="X759" s="210"/>
      <c r="Y759" s="210"/>
      <c r="Z759" s="210"/>
      <c r="AA759" s="210"/>
      <c r="AB759" s="210"/>
      <c r="AC759" s="210"/>
      <c r="AI759" s="210"/>
      <c r="AJ759" s="210"/>
    </row>
    <row r="760" ht="12.75" customHeight="1">
      <c r="C760" s="210"/>
      <c r="D760" s="210"/>
      <c r="E760" s="210"/>
      <c r="F760" s="210"/>
      <c r="G760" s="210"/>
      <c r="H760" s="210"/>
      <c r="I760" s="210"/>
      <c r="J760" s="210"/>
      <c r="K760" s="210"/>
      <c r="L760" s="210"/>
      <c r="M760" s="210"/>
      <c r="N760" s="210"/>
      <c r="O760" s="210"/>
      <c r="P760" s="210"/>
      <c r="Q760" s="210"/>
      <c r="R760" s="210"/>
      <c r="S760" s="210"/>
      <c r="T760" s="210"/>
      <c r="U760" s="210"/>
      <c r="V760" s="210"/>
      <c r="W760" s="210"/>
      <c r="X760" s="210"/>
      <c r="Y760" s="210"/>
      <c r="Z760" s="210"/>
      <c r="AA760" s="210"/>
      <c r="AB760" s="210"/>
      <c r="AC760" s="210"/>
      <c r="AI760" s="210"/>
      <c r="AJ760" s="210"/>
    </row>
    <row r="761" ht="12.75" customHeight="1">
      <c r="C761" s="210"/>
      <c r="D761" s="210"/>
      <c r="E761" s="210"/>
      <c r="F761" s="210"/>
      <c r="G761" s="210"/>
      <c r="H761" s="210"/>
      <c r="I761" s="210"/>
      <c r="J761" s="210"/>
      <c r="K761" s="210"/>
      <c r="L761" s="210"/>
      <c r="M761" s="210"/>
      <c r="N761" s="210"/>
      <c r="O761" s="210"/>
      <c r="P761" s="210"/>
      <c r="Q761" s="210"/>
      <c r="R761" s="210"/>
      <c r="S761" s="210"/>
      <c r="T761" s="210"/>
      <c r="U761" s="210"/>
      <c r="V761" s="210"/>
      <c r="W761" s="210"/>
      <c r="X761" s="210"/>
      <c r="Y761" s="210"/>
      <c r="Z761" s="210"/>
      <c r="AA761" s="210"/>
      <c r="AB761" s="210"/>
      <c r="AC761" s="210"/>
      <c r="AI761" s="210"/>
      <c r="AJ761" s="210"/>
    </row>
    <row r="762" ht="12.75" customHeight="1">
      <c r="C762" s="210"/>
      <c r="D762" s="210"/>
      <c r="E762" s="210"/>
      <c r="F762" s="210"/>
      <c r="G762" s="210"/>
      <c r="H762" s="210"/>
      <c r="I762" s="210"/>
      <c r="J762" s="210"/>
      <c r="K762" s="210"/>
      <c r="L762" s="210"/>
      <c r="M762" s="210"/>
      <c r="N762" s="210"/>
      <c r="O762" s="210"/>
      <c r="P762" s="210"/>
      <c r="Q762" s="210"/>
      <c r="R762" s="210"/>
      <c r="S762" s="210"/>
      <c r="T762" s="210"/>
      <c r="U762" s="210"/>
      <c r="V762" s="210"/>
      <c r="W762" s="210"/>
      <c r="X762" s="210"/>
      <c r="Y762" s="210"/>
      <c r="Z762" s="210"/>
      <c r="AA762" s="210"/>
      <c r="AB762" s="210"/>
      <c r="AC762" s="210"/>
      <c r="AI762" s="210"/>
      <c r="AJ762" s="210"/>
    </row>
    <row r="763" ht="12.75" customHeight="1">
      <c r="C763" s="210"/>
      <c r="D763" s="210"/>
      <c r="E763" s="210"/>
      <c r="F763" s="210"/>
      <c r="G763" s="210"/>
      <c r="H763" s="210"/>
      <c r="I763" s="210"/>
      <c r="J763" s="210"/>
      <c r="K763" s="210"/>
      <c r="L763" s="210"/>
      <c r="M763" s="210"/>
      <c r="N763" s="210"/>
      <c r="O763" s="210"/>
      <c r="P763" s="210"/>
      <c r="Q763" s="210"/>
      <c r="R763" s="210"/>
      <c r="S763" s="210"/>
      <c r="T763" s="210"/>
      <c r="U763" s="210"/>
      <c r="V763" s="210"/>
      <c r="W763" s="210"/>
      <c r="X763" s="210"/>
      <c r="Y763" s="210"/>
      <c r="Z763" s="210"/>
      <c r="AA763" s="210"/>
      <c r="AB763" s="210"/>
      <c r="AC763" s="210"/>
      <c r="AI763" s="210"/>
      <c r="AJ763" s="210"/>
    </row>
    <row r="764" ht="12.75" customHeight="1">
      <c r="C764" s="210"/>
      <c r="D764" s="210"/>
      <c r="E764" s="210"/>
      <c r="F764" s="210"/>
      <c r="G764" s="210"/>
      <c r="H764" s="210"/>
      <c r="I764" s="210"/>
      <c r="J764" s="210"/>
      <c r="K764" s="210"/>
      <c r="L764" s="210"/>
      <c r="M764" s="210"/>
      <c r="N764" s="210"/>
      <c r="O764" s="210"/>
      <c r="P764" s="210"/>
      <c r="Q764" s="210"/>
      <c r="R764" s="210"/>
      <c r="S764" s="210"/>
      <c r="T764" s="210"/>
      <c r="U764" s="210"/>
      <c r="V764" s="210"/>
      <c r="W764" s="210"/>
      <c r="X764" s="210"/>
      <c r="Y764" s="210"/>
      <c r="Z764" s="210"/>
      <c r="AA764" s="210"/>
      <c r="AB764" s="210"/>
      <c r="AC764" s="210"/>
      <c r="AI764" s="210"/>
      <c r="AJ764" s="210"/>
    </row>
    <row r="765" ht="12.75" customHeight="1">
      <c r="C765" s="210"/>
      <c r="D765" s="210"/>
      <c r="E765" s="210"/>
      <c r="F765" s="210"/>
      <c r="G765" s="210"/>
      <c r="H765" s="210"/>
      <c r="I765" s="210"/>
      <c r="J765" s="210"/>
      <c r="K765" s="210"/>
      <c r="L765" s="210"/>
      <c r="M765" s="210"/>
      <c r="N765" s="210"/>
      <c r="O765" s="210"/>
      <c r="P765" s="210"/>
      <c r="Q765" s="210"/>
      <c r="R765" s="210"/>
      <c r="S765" s="210"/>
      <c r="T765" s="210"/>
      <c r="U765" s="210"/>
      <c r="V765" s="210"/>
      <c r="W765" s="210"/>
      <c r="X765" s="210"/>
      <c r="Y765" s="210"/>
      <c r="Z765" s="210"/>
      <c r="AA765" s="210"/>
      <c r="AB765" s="210"/>
      <c r="AC765" s="210"/>
      <c r="AI765" s="210"/>
      <c r="AJ765" s="210"/>
    </row>
    <row r="766" ht="12.75" customHeight="1">
      <c r="C766" s="210"/>
      <c r="D766" s="210"/>
      <c r="E766" s="210"/>
      <c r="F766" s="210"/>
      <c r="G766" s="210"/>
      <c r="H766" s="210"/>
      <c r="I766" s="210"/>
      <c r="J766" s="210"/>
      <c r="K766" s="210"/>
      <c r="L766" s="210"/>
      <c r="M766" s="210"/>
      <c r="N766" s="210"/>
      <c r="O766" s="210"/>
      <c r="P766" s="210"/>
      <c r="Q766" s="210"/>
      <c r="R766" s="210"/>
      <c r="S766" s="210"/>
      <c r="T766" s="210"/>
      <c r="U766" s="210"/>
      <c r="V766" s="210"/>
      <c r="W766" s="210"/>
      <c r="X766" s="210"/>
      <c r="Y766" s="210"/>
      <c r="Z766" s="210"/>
      <c r="AA766" s="210"/>
      <c r="AB766" s="210"/>
      <c r="AC766" s="210"/>
      <c r="AI766" s="210"/>
      <c r="AJ766" s="210"/>
    </row>
    <row r="767" ht="12.75" customHeight="1">
      <c r="C767" s="210"/>
      <c r="D767" s="210"/>
      <c r="E767" s="210"/>
      <c r="F767" s="210"/>
      <c r="G767" s="210"/>
      <c r="H767" s="210"/>
      <c r="I767" s="210"/>
      <c r="J767" s="210"/>
      <c r="K767" s="210"/>
      <c r="L767" s="210"/>
      <c r="M767" s="210"/>
      <c r="N767" s="210"/>
      <c r="O767" s="210"/>
      <c r="P767" s="210"/>
      <c r="Q767" s="210"/>
      <c r="R767" s="210"/>
      <c r="S767" s="210"/>
      <c r="T767" s="210"/>
      <c r="U767" s="210"/>
      <c r="V767" s="210"/>
      <c r="W767" s="210"/>
      <c r="X767" s="210"/>
      <c r="Y767" s="210"/>
      <c r="Z767" s="210"/>
      <c r="AA767" s="210"/>
      <c r="AB767" s="210"/>
      <c r="AC767" s="210"/>
      <c r="AI767" s="210"/>
      <c r="AJ767" s="210"/>
    </row>
    <row r="768" ht="12.75" customHeight="1">
      <c r="C768" s="210"/>
      <c r="D768" s="210"/>
      <c r="E768" s="210"/>
      <c r="F768" s="210"/>
      <c r="G768" s="210"/>
      <c r="H768" s="210"/>
      <c r="I768" s="210"/>
      <c r="J768" s="210"/>
      <c r="K768" s="210"/>
      <c r="L768" s="210"/>
      <c r="M768" s="210"/>
      <c r="N768" s="210"/>
      <c r="O768" s="210"/>
      <c r="P768" s="210"/>
      <c r="Q768" s="210"/>
      <c r="R768" s="210"/>
      <c r="S768" s="210"/>
      <c r="T768" s="210"/>
      <c r="U768" s="210"/>
      <c r="V768" s="210"/>
      <c r="W768" s="210"/>
      <c r="X768" s="210"/>
      <c r="Y768" s="210"/>
      <c r="Z768" s="210"/>
      <c r="AA768" s="210"/>
      <c r="AB768" s="210"/>
      <c r="AC768" s="210"/>
      <c r="AI768" s="210"/>
      <c r="AJ768" s="210"/>
    </row>
    <row r="769" ht="12.75" customHeight="1">
      <c r="C769" s="210"/>
      <c r="D769" s="210"/>
      <c r="E769" s="210"/>
      <c r="F769" s="210"/>
      <c r="G769" s="210"/>
      <c r="H769" s="210"/>
      <c r="I769" s="210"/>
      <c r="J769" s="210"/>
      <c r="K769" s="210"/>
      <c r="L769" s="210"/>
      <c r="M769" s="210"/>
      <c r="N769" s="210"/>
      <c r="O769" s="210"/>
      <c r="P769" s="210"/>
      <c r="Q769" s="210"/>
      <c r="R769" s="210"/>
      <c r="S769" s="210"/>
      <c r="T769" s="210"/>
      <c r="U769" s="210"/>
      <c r="V769" s="210"/>
      <c r="W769" s="210"/>
      <c r="X769" s="210"/>
      <c r="Y769" s="210"/>
      <c r="Z769" s="210"/>
      <c r="AA769" s="210"/>
      <c r="AB769" s="210"/>
      <c r="AC769" s="210"/>
      <c r="AI769" s="210"/>
      <c r="AJ769" s="210"/>
    </row>
    <row r="770" ht="12.75" customHeight="1">
      <c r="C770" s="210"/>
      <c r="D770" s="210"/>
      <c r="E770" s="210"/>
      <c r="F770" s="210"/>
      <c r="G770" s="210"/>
      <c r="H770" s="210"/>
      <c r="I770" s="210"/>
      <c r="J770" s="210"/>
      <c r="K770" s="210"/>
      <c r="L770" s="210"/>
      <c r="M770" s="210"/>
      <c r="N770" s="210"/>
      <c r="O770" s="210"/>
      <c r="P770" s="210"/>
      <c r="Q770" s="210"/>
      <c r="R770" s="210"/>
      <c r="S770" s="210"/>
      <c r="T770" s="210"/>
      <c r="U770" s="210"/>
      <c r="V770" s="210"/>
      <c r="W770" s="210"/>
      <c r="X770" s="210"/>
      <c r="Y770" s="210"/>
      <c r="Z770" s="210"/>
      <c r="AA770" s="210"/>
      <c r="AB770" s="210"/>
      <c r="AC770" s="210"/>
      <c r="AI770" s="210"/>
      <c r="AJ770" s="210"/>
    </row>
    <row r="771" ht="12.75" customHeight="1">
      <c r="C771" s="210"/>
      <c r="D771" s="210"/>
      <c r="E771" s="210"/>
      <c r="F771" s="210"/>
      <c r="G771" s="210"/>
      <c r="H771" s="210"/>
      <c r="I771" s="210"/>
      <c r="J771" s="210"/>
      <c r="K771" s="210"/>
      <c r="L771" s="210"/>
      <c r="M771" s="210"/>
      <c r="N771" s="210"/>
      <c r="O771" s="210"/>
      <c r="P771" s="210"/>
      <c r="Q771" s="210"/>
      <c r="R771" s="210"/>
      <c r="S771" s="210"/>
      <c r="T771" s="210"/>
      <c r="U771" s="210"/>
      <c r="V771" s="210"/>
      <c r="W771" s="210"/>
      <c r="X771" s="210"/>
      <c r="Y771" s="210"/>
      <c r="Z771" s="210"/>
      <c r="AA771" s="210"/>
      <c r="AB771" s="210"/>
      <c r="AC771" s="210"/>
      <c r="AI771" s="210"/>
      <c r="AJ771" s="210"/>
    </row>
    <row r="772" ht="12.75" customHeight="1">
      <c r="C772" s="210"/>
      <c r="D772" s="210"/>
      <c r="E772" s="210"/>
      <c r="F772" s="210"/>
      <c r="G772" s="210"/>
      <c r="H772" s="210"/>
      <c r="I772" s="210"/>
      <c r="J772" s="210"/>
      <c r="K772" s="210"/>
      <c r="L772" s="210"/>
      <c r="M772" s="210"/>
      <c r="N772" s="210"/>
      <c r="O772" s="210"/>
      <c r="P772" s="210"/>
      <c r="Q772" s="210"/>
      <c r="R772" s="210"/>
      <c r="S772" s="210"/>
      <c r="T772" s="210"/>
      <c r="U772" s="210"/>
      <c r="V772" s="210"/>
      <c r="W772" s="210"/>
      <c r="X772" s="210"/>
      <c r="Y772" s="210"/>
      <c r="Z772" s="210"/>
      <c r="AA772" s="210"/>
      <c r="AB772" s="210"/>
      <c r="AC772" s="210"/>
      <c r="AI772" s="210"/>
      <c r="AJ772" s="210"/>
    </row>
    <row r="773" ht="12.75" customHeight="1">
      <c r="C773" s="210"/>
      <c r="D773" s="210"/>
      <c r="E773" s="210"/>
      <c r="F773" s="210"/>
      <c r="G773" s="210"/>
      <c r="H773" s="210"/>
      <c r="I773" s="210"/>
      <c r="J773" s="210"/>
      <c r="K773" s="210"/>
      <c r="L773" s="210"/>
      <c r="M773" s="210"/>
      <c r="N773" s="210"/>
      <c r="O773" s="210"/>
      <c r="P773" s="210"/>
      <c r="Q773" s="210"/>
      <c r="R773" s="210"/>
      <c r="S773" s="210"/>
      <c r="T773" s="210"/>
      <c r="U773" s="210"/>
      <c r="V773" s="210"/>
      <c r="W773" s="210"/>
      <c r="X773" s="210"/>
      <c r="Y773" s="210"/>
      <c r="Z773" s="210"/>
      <c r="AA773" s="210"/>
      <c r="AB773" s="210"/>
      <c r="AC773" s="210"/>
      <c r="AI773" s="210"/>
      <c r="AJ773" s="210"/>
    </row>
    <row r="774" ht="12.75" customHeight="1">
      <c r="C774" s="210"/>
      <c r="D774" s="210"/>
      <c r="E774" s="210"/>
      <c r="F774" s="210"/>
      <c r="G774" s="210"/>
      <c r="H774" s="210"/>
      <c r="I774" s="210"/>
      <c r="J774" s="210"/>
      <c r="K774" s="210"/>
      <c r="L774" s="210"/>
      <c r="M774" s="210"/>
      <c r="N774" s="210"/>
      <c r="O774" s="210"/>
      <c r="P774" s="210"/>
      <c r="Q774" s="210"/>
      <c r="R774" s="210"/>
      <c r="S774" s="210"/>
      <c r="T774" s="210"/>
      <c r="U774" s="210"/>
      <c r="V774" s="210"/>
      <c r="W774" s="210"/>
      <c r="X774" s="210"/>
      <c r="Y774" s="210"/>
      <c r="Z774" s="210"/>
      <c r="AA774" s="210"/>
      <c r="AB774" s="210"/>
      <c r="AC774" s="210"/>
      <c r="AI774" s="210"/>
      <c r="AJ774" s="210"/>
    </row>
    <row r="775" ht="12.75" customHeight="1">
      <c r="C775" s="210"/>
      <c r="D775" s="210"/>
      <c r="E775" s="210"/>
      <c r="F775" s="210"/>
      <c r="G775" s="210"/>
      <c r="H775" s="210"/>
      <c r="I775" s="210"/>
      <c r="J775" s="210"/>
      <c r="K775" s="210"/>
      <c r="L775" s="210"/>
      <c r="M775" s="210"/>
      <c r="N775" s="210"/>
      <c r="O775" s="210"/>
      <c r="P775" s="210"/>
      <c r="Q775" s="210"/>
      <c r="R775" s="210"/>
      <c r="S775" s="210"/>
      <c r="T775" s="210"/>
      <c r="U775" s="210"/>
      <c r="V775" s="210"/>
      <c r="W775" s="210"/>
      <c r="X775" s="210"/>
      <c r="Y775" s="210"/>
      <c r="Z775" s="210"/>
      <c r="AA775" s="210"/>
      <c r="AB775" s="210"/>
      <c r="AC775" s="210"/>
      <c r="AI775" s="210"/>
      <c r="AJ775" s="210"/>
    </row>
    <row r="776" ht="12.75" customHeight="1">
      <c r="C776" s="210"/>
      <c r="D776" s="210"/>
      <c r="E776" s="210"/>
      <c r="F776" s="210"/>
      <c r="G776" s="210"/>
      <c r="H776" s="210"/>
      <c r="I776" s="210"/>
      <c r="J776" s="210"/>
      <c r="K776" s="210"/>
      <c r="L776" s="210"/>
      <c r="M776" s="210"/>
      <c r="N776" s="210"/>
      <c r="O776" s="210"/>
      <c r="P776" s="210"/>
      <c r="Q776" s="210"/>
      <c r="R776" s="210"/>
      <c r="S776" s="210"/>
      <c r="T776" s="210"/>
      <c r="U776" s="210"/>
      <c r="V776" s="210"/>
      <c r="W776" s="210"/>
      <c r="X776" s="210"/>
      <c r="Y776" s="210"/>
      <c r="Z776" s="210"/>
      <c r="AA776" s="210"/>
      <c r="AB776" s="210"/>
      <c r="AC776" s="210"/>
      <c r="AI776" s="210"/>
      <c r="AJ776" s="210"/>
    </row>
    <row r="777" ht="12.75" customHeight="1">
      <c r="C777" s="210"/>
      <c r="D777" s="210"/>
      <c r="E777" s="210"/>
      <c r="F777" s="210"/>
      <c r="G777" s="210"/>
      <c r="H777" s="210"/>
      <c r="I777" s="210"/>
      <c r="J777" s="210"/>
      <c r="K777" s="210"/>
      <c r="L777" s="210"/>
      <c r="M777" s="210"/>
      <c r="N777" s="210"/>
      <c r="O777" s="210"/>
      <c r="P777" s="210"/>
      <c r="Q777" s="210"/>
      <c r="R777" s="210"/>
      <c r="S777" s="210"/>
      <c r="T777" s="210"/>
      <c r="U777" s="210"/>
      <c r="V777" s="210"/>
      <c r="W777" s="210"/>
      <c r="X777" s="210"/>
      <c r="Y777" s="210"/>
      <c r="Z777" s="210"/>
      <c r="AA777" s="210"/>
      <c r="AB777" s="210"/>
      <c r="AC777" s="210"/>
      <c r="AI777" s="210"/>
      <c r="AJ777" s="210"/>
    </row>
    <row r="778" ht="12.75" customHeight="1">
      <c r="C778" s="210"/>
      <c r="D778" s="210"/>
      <c r="E778" s="210"/>
      <c r="F778" s="210"/>
      <c r="G778" s="210"/>
      <c r="H778" s="210"/>
      <c r="I778" s="210"/>
      <c r="J778" s="210"/>
      <c r="K778" s="210"/>
      <c r="L778" s="210"/>
      <c r="M778" s="210"/>
      <c r="N778" s="210"/>
      <c r="O778" s="210"/>
      <c r="P778" s="210"/>
      <c r="Q778" s="210"/>
      <c r="R778" s="210"/>
      <c r="S778" s="210"/>
      <c r="T778" s="210"/>
      <c r="U778" s="210"/>
      <c r="V778" s="210"/>
      <c r="W778" s="210"/>
      <c r="X778" s="210"/>
      <c r="Y778" s="210"/>
      <c r="Z778" s="210"/>
      <c r="AA778" s="210"/>
      <c r="AB778" s="210"/>
      <c r="AC778" s="210"/>
      <c r="AI778" s="210"/>
      <c r="AJ778" s="210"/>
    </row>
    <row r="779" ht="12.75" customHeight="1">
      <c r="C779" s="210"/>
      <c r="D779" s="210"/>
      <c r="E779" s="210"/>
      <c r="F779" s="210"/>
      <c r="G779" s="210"/>
      <c r="H779" s="210"/>
      <c r="I779" s="210"/>
      <c r="J779" s="210"/>
      <c r="K779" s="210"/>
      <c r="L779" s="210"/>
      <c r="M779" s="210"/>
      <c r="N779" s="210"/>
      <c r="O779" s="210"/>
      <c r="P779" s="210"/>
      <c r="Q779" s="210"/>
      <c r="R779" s="210"/>
      <c r="S779" s="210"/>
      <c r="T779" s="210"/>
      <c r="U779" s="210"/>
      <c r="V779" s="210"/>
      <c r="W779" s="210"/>
      <c r="X779" s="210"/>
      <c r="Y779" s="210"/>
      <c r="Z779" s="210"/>
      <c r="AA779" s="210"/>
      <c r="AB779" s="210"/>
      <c r="AC779" s="210"/>
      <c r="AI779" s="210"/>
      <c r="AJ779" s="210"/>
    </row>
    <row r="780" ht="12.75" customHeight="1">
      <c r="C780" s="210"/>
      <c r="D780" s="210"/>
      <c r="E780" s="210"/>
      <c r="F780" s="210"/>
      <c r="G780" s="210"/>
      <c r="H780" s="210"/>
      <c r="I780" s="210"/>
      <c r="J780" s="210"/>
      <c r="K780" s="210"/>
      <c r="L780" s="210"/>
      <c r="M780" s="210"/>
      <c r="N780" s="210"/>
      <c r="O780" s="210"/>
      <c r="P780" s="210"/>
      <c r="Q780" s="210"/>
      <c r="R780" s="210"/>
      <c r="S780" s="210"/>
      <c r="T780" s="210"/>
      <c r="U780" s="210"/>
      <c r="V780" s="210"/>
      <c r="W780" s="210"/>
      <c r="X780" s="210"/>
      <c r="Y780" s="210"/>
      <c r="Z780" s="210"/>
      <c r="AA780" s="210"/>
      <c r="AB780" s="210"/>
      <c r="AC780" s="210"/>
      <c r="AI780" s="210"/>
      <c r="AJ780" s="210"/>
    </row>
    <row r="781" ht="12.75" customHeight="1">
      <c r="C781" s="210"/>
      <c r="D781" s="210"/>
      <c r="E781" s="210"/>
      <c r="F781" s="210"/>
      <c r="G781" s="210"/>
      <c r="H781" s="210"/>
      <c r="I781" s="210"/>
      <c r="J781" s="210"/>
      <c r="K781" s="210"/>
      <c r="L781" s="210"/>
      <c r="M781" s="210"/>
      <c r="N781" s="210"/>
      <c r="O781" s="210"/>
      <c r="P781" s="210"/>
      <c r="Q781" s="210"/>
      <c r="R781" s="210"/>
      <c r="S781" s="210"/>
      <c r="T781" s="210"/>
      <c r="U781" s="210"/>
      <c r="V781" s="210"/>
      <c r="W781" s="210"/>
      <c r="X781" s="210"/>
      <c r="Y781" s="210"/>
      <c r="Z781" s="210"/>
      <c r="AA781" s="210"/>
      <c r="AB781" s="210"/>
      <c r="AC781" s="210"/>
      <c r="AI781" s="210"/>
      <c r="AJ781" s="210"/>
    </row>
    <row r="782" ht="12.75" customHeight="1">
      <c r="C782" s="210"/>
      <c r="D782" s="210"/>
      <c r="E782" s="210"/>
      <c r="F782" s="210"/>
      <c r="G782" s="210"/>
      <c r="H782" s="210"/>
      <c r="I782" s="210"/>
      <c r="J782" s="210"/>
      <c r="K782" s="210"/>
      <c r="L782" s="210"/>
      <c r="M782" s="210"/>
      <c r="N782" s="210"/>
      <c r="O782" s="210"/>
      <c r="P782" s="210"/>
      <c r="Q782" s="210"/>
      <c r="R782" s="210"/>
      <c r="S782" s="210"/>
      <c r="T782" s="210"/>
      <c r="U782" s="210"/>
      <c r="V782" s="210"/>
      <c r="W782" s="210"/>
      <c r="X782" s="210"/>
      <c r="Y782" s="210"/>
      <c r="Z782" s="210"/>
      <c r="AA782" s="210"/>
      <c r="AB782" s="210"/>
      <c r="AC782" s="210"/>
      <c r="AI782" s="210"/>
      <c r="AJ782" s="210"/>
    </row>
    <row r="783" ht="12.75" customHeight="1">
      <c r="C783" s="210"/>
      <c r="D783" s="210"/>
      <c r="E783" s="210"/>
      <c r="F783" s="210"/>
      <c r="G783" s="210"/>
      <c r="H783" s="210"/>
      <c r="I783" s="210"/>
      <c r="J783" s="210"/>
      <c r="K783" s="210"/>
      <c r="L783" s="210"/>
      <c r="M783" s="210"/>
      <c r="N783" s="210"/>
      <c r="O783" s="210"/>
      <c r="P783" s="210"/>
      <c r="Q783" s="210"/>
      <c r="R783" s="210"/>
      <c r="S783" s="210"/>
      <c r="T783" s="210"/>
      <c r="U783" s="210"/>
      <c r="V783" s="210"/>
      <c r="W783" s="210"/>
      <c r="X783" s="210"/>
      <c r="Y783" s="210"/>
      <c r="Z783" s="210"/>
      <c r="AA783" s="210"/>
      <c r="AB783" s="210"/>
      <c r="AC783" s="210"/>
      <c r="AI783" s="210"/>
      <c r="AJ783" s="210"/>
    </row>
    <row r="784" ht="12.75" customHeight="1">
      <c r="C784" s="210"/>
      <c r="D784" s="210"/>
      <c r="E784" s="210"/>
      <c r="F784" s="210"/>
      <c r="G784" s="210"/>
      <c r="H784" s="210"/>
      <c r="I784" s="210"/>
      <c r="J784" s="210"/>
      <c r="K784" s="210"/>
      <c r="L784" s="210"/>
      <c r="M784" s="210"/>
      <c r="N784" s="210"/>
      <c r="O784" s="210"/>
      <c r="P784" s="210"/>
      <c r="Q784" s="210"/>
      <c r="R784" s="210"/>
      <c r="S784" s="210"/>
      <c r="T784" s="210"/>
      <c r="U784" s="210"/>
      <c r="V784" s="210"/>
      <c r="W784" s="210"/>
      <c r="X784" s="210"/>
      <c r="Y784" s="210"/>
      <c r="Z784" s="210"/>
      <c r="AA784" s="210"/>
      <c r="AB784" s="210"/>
      <c r="AC784" s="210"/>
      <c r="AI784" s="210"/>
      <c r="AJ784" s="210"/>
    </row>
    <row r="785" ht="12.75" customHeight="1">
      <c r="C785" s="210"/>
      <c r="D785" s="210"/>
      <c r="E785" s="210"/>
      <c r="F785" s="210"/>
      <c r="G785" s="210"/>
      <c r="H785" s="210"/>
      <c r="I785" s="210"/>
      <c r="J785" s="210"/>
      <c r="K785" s="210"/>
      <c r="L785" s="210"/>
      <c r="M785" s="210"/>
      <c r="N785" s="210"/>
      <c r="O785" s="210"/>
      <c r="P785" s="210"/>
      <c r="Q785" s="210"/>
      <c r="R785" s="210"/>
      <c r="S785" s="210"/>
      <c r="T785" s="210"/>
      <c r="U785" s="210"/>
      <c r="V785" s="210"/>
      <c r="W785" s="210"/>
      <c r="X785" s="210"/>
      <c r="Y785" s="210"/>
      <c r="Z785" s="210"/>
      <c r="AA785" s="210"/>
      <c r="AB785" s="210"/>
      <c r="AC785" s="210"/>
      <c r="AI785" s="210"/>
      <c r="AJ785" s="210"/>
    </row>
    <row r="786" ht="12.75" customHeight="1">
      <c r="C786" s="210"/>
      <c r="D786" s="210"/>
      <c r="E786" s="210"/>
      <c r="F786" s="210"/>
      <c r="G786" s="210"/>
      <c r="H786" s="210"/>
      <c r="I786" s="210"/>
      <c r="J786" s="210"/>
      <c r="K786" s="210"/>
      <c r="L786" s="210"/>
      <c r="M786" s="210"/>
      <c r="N786" s="210"/>
      <c r="O786" s="210"/>
      <c r="P786" s="210"/>
      <c r="Q786" s="210"/>
      <c r="R786" s="210"/>
      <c r="S786" s="210"/>
      <c r="T786" s="210"/>
      <c r="U786" s="210"/>
      <c r="V786" s="210"/>
      <c r="W786" s="210"/>
      <c r="X786" s="210"/>
      <c r="Y786" s="210"/>
      <c r="Z786" s="210"/>
      <c r="AA786" s="210"/>
      <c r="AB786" s="210"/>
      <c r="AC786" s="210"/>
      <c r="AI786" s="210"/>
      <c r="AJ786" s="210"/>
    </row>
    <row r="787" ht="12.75" customHeight="1">
      <c r="C787" s="210"/>
      <c r="D787" s="210"/>
      <c r="E787" s="210"/>
      <c r="F787" s="210"/>
      <c r="G787" s="210"/>
      <c r="H787" s="210"/>
      <c r="I787" s="210"/>
      <c r="J787" s="210"/>
      <c r="K787" s="210"/>
      <c r="L787" s="210"/>
      <c r="M787" s="210"/>
      <c r="N787" s="210"/>
      <c r="O787" s="210"/>
      <c r="P787" s="210"/>
      <c r="Q787" s="210"/>
      <c r="R787" s="210"/>
      <c r="S787" s="210"/>
      <c r="T787" s="210"/>
      <c r="U787" s="210"/>
      <c r="V787" s="210"/>
      <c r="W787" s="210"/>
      <c r="X787" s="210"/>
      <c r="Y787" s="210"/>
      <c r="Z787" s="210"/>
      <c r="AA787" s="210"/>
      <c r="AB787" s="210"/>
      <c r="AC787" s="210"/>
      <c r="AI787" s="210"/>
      <c r="AJ787" s="210"/>
    </row>
    <row r="788" ht="12.75" customHeight="1">
      <c r="C788" s="210"/>
      <c r="D788" s="210"/>
      <c r="E788" s="210"/>
      <c r="F788" s="210"/>
      <c r="G788" s="210"/>
      <c r="H788" s="210"/>
      <c r="I788" s="210"/>
      <c r="J788" s="210"/>
      <c r="K788" s="210"/>
      <c r="L788" s="210"/>
      <c r="M788" s="210"/>
      <c r="N788" s="210"/>
      <c r="O788" s="210"/>
      <c r="P788" s="210"/>
      <c r="Q788" s="210"/>
      <c r="R788" s="210"/>
      <c r="S788" s="210"/>
      <c r="T788" s="210"/>
      <c r="U788" s="210"/>
      <c r="V788" s="210"/>
      <c r="W788" s="210"/>
      <c r="X788" s="210"/>
      <c r="Y788" s="210"/>
      <c r="Z788" s="210"/>
      <c r="AA788" s="210"/>
      <c r="AB788" s="210"/>
      <c r="AC788" s="210"/>
      <c r="AI788" s="210"/>
      <c r="AJ788" s="210"/>
    </row>
    <row r="789" ht="12.75" customHeight="1">
      <c r="C789" s="210"/>
      <c r="D789" s="210"/>
      <c r="E789" s="210"/>
      <c r="F789" s="210"/>
      <c r="G789" s="210"/>
      <c r="H789" s="210"/>
      <c r="I789" s="210"/>
      <c r="J789" s="210"/>
      <c r="K789" s="210"/>
      <c r="L789" s="210"/>
      <c r="M789" s="210"/>
      <c r="N789" s="210"/>
      <c r="O789" s="210"/>
      <c r="P789" s="210"/>
      <c r="Q789" s="210"/>
      <c r="R789" s="210"/>
      <c r="S789" s="210"/>
      <c r="T789" s="210"/>
      <c r="U789" s="210"/>
      <c r="V789" s="210"/>
      <c r="W789" s="210"/>
      <c r="X789" s="210"/>
      <c r="Y789" s="210"/>
      <c r="Z789" s="210"/>
      <c r="AA789" s="210"/>
      <c r="AB789" s="210"/>
      <c r="AC789" s="210"/>
      <c r="AI789" s="210"/>
      <c r="AJ789" s="210"/>
    </row>
    <row r="790" ht="12.75" customHeight="1">
      <c r="C790" s="210"/>
      <c r="D790" s="210"/>
      <c r="E790" s="210"/>
      <c r="F790" s="210"/>
      <c r="G790" s="210"/>
      <c r="H790" s="210"/>
      <c r="I790" s="210"/>
      <c r="J790" s="210"/>
      <c r="K790" s="210"/>
      <c r="L790" s="210"/>
      <c r="M790" s="210"/>
      <c r="N790" s="210"/>
      <c r="O790" s="210"/>
      <c r="P790" s="210"/>
      <c r="Q790" s="210"/>
      <c r="R790" s="210"/>
      <c r="S790" s="210"/>
      <c r="T790" s="210"/>
      <c r="U790" s="210"/>
      <c r="V790" s="210"/>
      <c r="W790" s="210"/>
      <c r="X790" s="210"/>
      <c r="Y790" s="210"/>
      <c r="Z790" s="210"/>
      <c r="AA790" s="210"/>
      <c r="AB790" s="210"/>
      <c r="AC790" s="210"/>
      <c r="AI790" s="210"/>
      <c r="AJ790" s="210"/>
    </row>
    <row r="791" ht="12.75" customHeight="1">
      <c r="C791" s="210"/>
      <c r="D791" s="210"/>
      <c r="E791" s="210"/>
      <c r="F791" s="210"/>
      <c r="G791" s="210"/>
      <c r="H791" s="210"/>
      <c r="I791" s="210"/>
      <c r="J791" s="210"/>
      <c r="K791" s="210"/>
      <c r="L791" s="210"/>
      <c r="M791" s="210"/>
      <c r="N791" s="210"/>
      <c r="O791" s="210"/>
      <c r="P791" s="210"/>
      <c r="Q791" s="210"/>
      <c r="R791" s="210"/>
      <c r="S791" s="210"/>
      <c r="T791" s="210"/>
      <c r="U791" s="210"/>
      <c r="V791" s="210"/>
      <c r="W791" s="210"/>
      <c r="X791" s="210"/>
      <c r="Y791" s="210"/>
      <c r="Z791" s="210"/>
      <c r="AA791" s="210"/>
      <c r="AB791" s="210"/>
      <c r="AC791" s="210"/>
      <c r="AI791" s="210"/>
      <c r="AJ791" s="210"/>
    </row>
    <row r="792" ht="12.75" customHeight="1">
      <c r="C792" s="210"/>
      <c r="D792" s="210"/>
      <c r="E792" s="210"/>
      <c r="F792" s="210"/>
      <c r="G792" s="210"/>
      <c r="H792" s="210"/>
      <c r="I792" s="210"/>
      <c r="J792" s="210"/>
      <c r="K792" s="210"/>
      <c r="L792" s="210"/>
      <c r="M792" s="210"/>
      <c r="N792" s="210"/>
      <c r="O792" s="210"/>
      <c r="P792" s="210"/>
      <c r="Q792" s="210"/>
      <c r="R792" s="210"/>
      <c r="S792" s="210"/>
      <c r="T792" s="210"/>
      <c r="U792" s="210"/>
      <c r="V792" s="210"/>
      <c r="W792" s="210"/>
      <c r="X792" s="210"/>
      <c r="Y792" s="210"/>
      <c r="Z792" s="210"/>
      <c r="AA792" s="210"/>
      <c r="AB792" s="210"/>
      <c r="AC792" s="210"/>
      <c r="AI792" s="210"/>
      <c r="AJ792" s="210"/>
    </row>
    <row r="793" ht="12.75" customHeight="1">
      <c r="C793" s="210"/>
      <c r="D793" s="210"/>
      <c r="E793" s="210"/>
      <c r="F793" s="210"/>
      <c r="G793" s="210"/>
      <c r="H793" s="210"/>
      <c r="I793" s="210"/>
      <c r="J793" s="210"/>
      <c r="K793" s="210"/>
      <c r="L793" s="210"/>
      <c r="M793" s="210"/>
      <c r="N793" s="210"/>
      <c r="O793" s="210"/>
      <c r="P793" s="210"/>
      <c r="Q793" s="210"/>
      <c r="R793" s="210"/>
      <c r="S793" s="210"/>
      <c r="T793" s="210"/>
      <c r="U793" s="210"/>
      <c r="V793" s="210"/>
      <c r="W793" s="210"/>
      <c r="X793" s="210"/>
      <c r="Y793" s="210"/>
      <c r="Z793" s="210"/>
      <c r="AA793" s="210"/>
      <c r="AB793" s="210"/>
      <c r="AC793" s="210"/>
      <c r="AI793" s="210"/>
      <c r="AJ793" s="210"/>
    </row>
    <row r="794" ht="12.75" customHeight="1">
      <c r="C794" s="210"/>
      <c r="D794" s="210"/>
      <c r="E794" s="210"/>
      <c r="F794" s="210"/>
      <c r="G794" s="210"/>
      <c r="H794" s="210"/>
      <c r="I794" s="210"/>
      <c r="J794" s="210"/>
      <c r="K794" s="210"/>
      <c r="L794" s="210"/>
      <c r="M794" s="210"/>
      <c r="N794" s="210"/>
      <c r="O794" s="210"/>
      <c r="P794" s="210"/>
      <c r="Q794" s="210"/>
      <c r="R794" s="210"/>
      <c r="S794" s="210"/>
      <c r="T794" s="210"/>
      <c r="U794" s="210"/>
      <c r="V794" s="210"/>
      <c r="W794" s="210"/>
      <c r="X794" s="210"/>
      <c r="Y794" s="210"/>
      <c r="Z794" s="210"/>
      <c r="AA794" s="210"/>
      <c r="AB794" s="210"/>
      <c r="AC794" s="210"/>
      <c r="AI794" s="210"/>
      <c r="AJ794" s="210"/>
    </row>
    <row r="795" ht="12.75" customHeight="1">
      <c r="C795" s="210"/>
      <c r="D795" s="210"/>
      <c r="E795" s="210"/>
      <c r="F795" s="210"/>
      <c r="G795" s="210"/>
      <c r="H795" s="210"/>
      <c r="I795" s="210"/>
      <c r="J795" s="210"/>
      <c r="K795" s="210"/>
      <c r="L795" s="210"/>
      <c r="M795" s="210"/>
      <c r="N795" s="210"/>
      <c r="O795" s="210"/>
      <c r="P795" s="210"/>
      <c r="Q795" s="210"/>
      <c r="R795" s="210"/>
      <c r="S795" s="210"/>
      <c r="T795" s="210"/>
      <c r="U795" s="210"/>
      <c r="V795" s="210"/>
      <c r="W795" s="210"/>
      <c r="X795" s="210"/>
      <c r="Y795" s="210"/>
      <c r="Z795" s="210"/>
      <c r="AA795" s="210"/>
      <c r="AB795" s="210"/>
      <c r="AC795" s="210"/>
      <c r="AI795" s="210"/>
      <c r="AJ795" s="210"/>
    </row>
    <row r="796" ht="12.75" customHeight="1">
      <c r="C796" s="210"/>
      <c r="D796" s="210"/>
      <c r="E796" s="210"/>
      <c r="F796" s="210"/>
      <c r="G796" s="210"/>
      <c r="H796" s="210"/>
      <c r="I796" s="210"/>
      <c r="J796" s="210"/>
      <c r="K796" s="210"/>
      <c r="L796" s="210"/>
      <c r="M796" s="210"/>
      <c r="N796" s="210"/>
      <c r="O796" s="210"/>
      <c r="P796" s="210"/>
      <c r="Q796" s="210"/>
      <c r="R796" s="210"/>
      <c r="S796" s="210"/>
      <c r="T796" s="210"/>
      <c r="U796" s="210"/>
      <c r="V796" s="210"/>
      <c r="W796" s="210"/>
      <c r="X796" s="210"/>
      <c r="Y796" s="210"/>
      <c r="Z796" s="210"/>
      <c r="AA796" s="210"/>
      <c r="AB796" s="210"/>
      <c r="AC796" s="210"/>
      <c r="AI796" s="210"/>
      <c r="AJ796" s="210"/>
    </row>
    <row r="797" ht="12.75" customHeight="1">
      <c r="C797" s="210"/>
      <c r="D797" s="210"/>
      <c r="E797" s="210"/>
      <c r="F797" s="210"/>
      <c r="G797" s="210"/>
      <c r="H797" s="210"/>
      <c r="I797" s="210"/>
      <c r="J797" s="210"/>
      <c r="K797" s="210"/>
      <c r="L797" s="210"/>
      <c r="M797" s="210"/>
      <c r="N797" s="210"/>
      <c r="O797" s="210"/>
      <c r="P797" s="210"/>
      <c r="Q797" s="210"/>
      <c r="R797" s="210"/>
      <c r="S797" s="210"/>
      <c r="T797" s="210"/>
      <c r="U797" s="210"/>
      <c r="V797" s="210"/>
      <c r="W797" s="210"/>
      <c r="X797" s="210"/>
      <c r="Y797" s="210"/>
      <c r="Z797" s="210"/>
      <c r="AA797" s="210"/>
      <c r="AB797" s="210"/>
      <c r="AC797" s="210"/>
      <c r="AI797" s="210"/>
      <c r="AJ797" s="210"/>
    </row>
    <row r="798" ht="12.75" customHeight="1">
      <c r="C798" s="210"/>
      <c r="D798" s="210"/>
      <c r="E798" s="210"/>
      <c r="F798" s="210"/>
      <c r="G798" s="210"/>
      <c r="H798" s="210"/>
      <c r="I798" s="210"/>
      <c r="J798" s="210"/>
      <c r="K798" s="210"/>
      <c r="L798" s="210"/>
      <c r="M798" s="210"/>
      <c r="N798" s="210"/>
      <c r="O798" s="210"/>
      <c r="P798" s="210"/>
      <c r="Q798" s="210"/>
      <c r="R798" s="210"/>
      <c r="S798" s="210"/>
      <c r="T798" s="210"/>
      <c r="U798" s="210"/>
      <c r="V798" s="210"/>
      <c r="W798" s="210"/>
      <c r="X798" s="210"/>
      <c r="Y798" s="210"/>
      <c r="Z798" s="210"/>
      <c r="AA798" s="210"/>
      <c r="AB798" s="210"/>
      <c r="AC798" s="210"/>
      <c r="AI798" s="210"/>
      <c r="AJ798" s="210"/>
    </row>
    <row r="799" ht="12.75" customHeight="1">
      <c r="C799" s="210"/>
      <c r="D799" s="210"/>
      <c r="E799" s="210"/>
      <c r="F799" s="210"/>
      <c r="G799" s="210"/>
      <c r="H799" s="210"/>
      <c r="I799" s="210"/>
      <c r="J799" s="210"/>
      <c r="K799" s="210"/>
      <c r="L799" s="210"/>
      <c r="M799" s="210"/>
      <c r="N799" s="210"/>
      <c r="O799" s="210"/>
      <c r="P799" s="210"/>
      <c r="Q799" s="210"/>
      <c r="R799" s="210"/>
      <c r="S799" s="210"/>
      <c r="T799" s="210"/>
      <c r="U799" s="210"/>
      <c r="V799" s="210"/>
      <c r="W799" s="210"/>
      <c r="X799" s="210"/>
      <c r="Y799" s="210"/>
      <c r="Z799" s="210"/>
      <c r="AA799" s="210"/>
      <c r="AB799" s="210"/>
      <c r="AC799" s="210"/>
      <c r="AI799" s="210"/>
      <c r="AJ799" s="210"/>
    </row>
    <row r="800" ht="12.75" customHeight="1">
      <c r="C800" s="210"/>
      <c r="D800" s="210"/>
      <c r="E800" s="210"/>
      <c r="F800" s="210"/>
      <c r="G800" s="210"/>
      <c r="H800" s="210"/>
      <c r="I800" s="210"/>
      <c r="J800" s="210"/>
      <c r="K800" s="210"/>
      <c r="L800" s="210"/>
      <c r="M800" s="210"/>
      <c r="N800" s="210"/>
      <c r="O800" s="210"/>
      <c r="P800" s="210"/>
      <c r="Q800" s="210"/>
      <c r="R800" s="210"/>
      <c r="S800" s="210"/>
      <c r="T800" s="210"/>
      <c r="U800" s="210"/>
      <c r="V800" s="210"/>
      <c r="W800" s="210"/>
      <c r="X800" s="210"/>
      <c r="Y800" s="210"/>
      <c r="Z800" s="210"/>
      <c r="AA800" s="210"/>
      <c r="AB800" s="210"/>
      <c r="AC800" s="210"/>
      <c r="AI800" s="210"/>
      <c r="AJ800" s="210"/>
    </row>
    <row r="801" ht="12.75" customHeight="1">
      <c r="C801" s="210"/>
      <c r="D801" s="210"/>
      <c r="E801" s="210"/>
      <c r="F801" s="210"/>
      <c r="G801" s="210"/>
      <c r="H801" s="210"/>
      <c r="I801" s="210"/>
      <c r="J801" s="210"/>
      <c r="K801" s="210"/>
      <c r="L801" s="210"/>
      <c r="M801" s="210"/>
      <c r="N801" s="210"/>
      <c r="O801" s="210"/>
      <c r="P801" s="210"/>
      <c r="Q801" s="210"/>
      <c r="R801" s="210"/>
      <c r="S801" s="210"/>
      <c r="T801" s="210"/>
      <c r="U801" s="210"/>
      <c r="V801" s="210"/>
      <c r="W801" s="210"/>
      <c r="X801" s="210"/>
      <c r="Y801" s="210"/>
      <c r="Z801" s="210"/>
      <c r="AA801" s="210"/>
      <c r="AB801" s="210"/>
      <c r="AC801" s="210"/>
      <c r="AI801" s="210"/>
      <c r="AJ801" s="210"/>
    </row>
    <row r="802" ht="12.75" customHeight="1">
      <c r="C802" s="210"/>
      <c r="D802" s="210"/>
      <c r="E802" s="210"/>
      <c r="F802" s="210"/>
      <c r="G802" s="210"/>
      <c r="H802" s="210"/>
      <c r="I802" s="210"/>
      <c r="J802" s="210"/>
      <c r="K802" s="210"/>
      <c r="L802" s="210"/>
      <c r="M802" s="210"/>
      <c r="N802" s="210"/>
      <c r="O802" s="210"/>
      <c r="P802" s="210"/>
      <c r="Q802" s="210"/>
      <c r="R802" s="210"/>
      <c r="S802" s="210"/>
      <c r="T802" s="210"/>
      <c r="U802" s="210"/>
      <c r="V802" s="210"/>
      <c r="W802" s="210"/>
      <c r="X802" s="210"/>
      <c r="Y802" s="210"/>
      <c r="Z802" s="210"/>
      <c r="AA802" s="210"/>
      <c r="AB802" s="210"/>
      <c r="AC802" s="210"/>
      <c r="AI802" s="210"/>
      <c r="AJ802" s="210"/>
    </row>
    <row r="803" ht="12.75" customHeight="1">
      <c r="C803" s="210"/>
      <c r="D803" s="210"/>
      <c r="E803" s="210"/>
      <c r="F803" s="210"/>
      <c r="G803" s="210"/>
      <c r="H803" s="210"/>
      <c r="I803" s="210"/>
      <c r="J803" s="210"/>
      <c r="K803" s="210"/>
      <c r="L803" s="210"/>
      <c r="M803" s="210"/>
      <c r="N803" s="210"/>
      <c r="O803" s="210"/>
      <c r="P803" s="210"/>
      <c r="Q803" s="210"/>
      <c r="R803" s="210"/>
      <c r="S803" s="210"/>
      <c r="T803" s="210"/>
      <c r="U803" s="210"/>
      <c r="V803" s="210"/>
      <c r="W803" s="210"/>
      <c r="X803" s="210"/>
      <c r="Y803" s="210"/>
      <c r="Z803" s="210"/>
      <c r="AA803" s="210"/>
      <c r="AB803" s="210"/>
      <c r="AC803" s="210"/>
      <c r="AI803" s="210"/>
      <c r="AJ803" s="210"/>
    </row>
    <row r="804" ht="12.75" customHeight="1">
      <c r="C804" s="210"/>
      <c r="D804" s="210"/>
      <c r="E804" s="210"/>
      <c r="F804" s="210"/>
      <c r="G804" s="210"/>
      <c r="H804" s="210"/>
      <c r="I804" s="210"/>
      <c r="J804" s="210"/>
      <c r="K804" s="210"/>
      <c r="L804" s="210"/>
      <c r="M804" s="210"/>
      <c r="N804" s="210"/>
      <c r="O804" s="210"/>
      <c r="P804" s="210"/>
      <c r="Q804" s="210"/>
      <c r="R804" s="210"/>
      <c r="S804" s="210"/>
      <c r="T804" s="210"/>
      <c r="U804" s="210"/>
      <c r="V804" s="210"/>
      <c r="W804" s="210"/>
      <c r="X804" s="210"/>
      <c r="Y804" s="210"/>
      <c r="Z804" s="210"/>
      <c r="AA804" s="210"/>
      <c r="AB804" s="210"/>
      <c r="AC804" s="210"/>
      <c r="AI804" s="210"/>
      <c r="AJ804" s="210"/>
    </row>
    <row r="805" ht="12.75" customHeight="1">
      <c r="C805" s="210"/>
      <c r="D805" s="210"/>
      <c r="E805" s="210"/>
      <c r="F805" s="210"/>
      <c r="G805" s="210"/>
      <c r="H805" s="210"/>
      <c r="I805" s="210"/>
      <c r="J805" s="210"/>
      <c r="K805" s="210"/>
      <c r="L805" s="210"/>
      <c r="M805" s="210"/>
      <c r="N805" s="210"/>
      <c r="O805" s="210"/>
      <c r="P805" s="210"/>
      <c r="Q805" s="210"/>
      <c r="R805" s="210"/>
      <c r="S805" s="210"/>
      <c r="T805" s="210"/>
      <c r="U805" s="210"/>
      <c r="V805" s="210"/>
      <c r="W805" s="210"/>
      <c r="X805" s="210"/>
      <c r="Y805" s="210"/>
      <c r="Z805" s="210"/>
      <c r="AA805" s="210"/>
      <c r="AB805" s="210"/>
      <c r="AC805" s="210"/>
      <c r="AI805" s="210"/>
      <c r="AJ805" s="210"/>
    </row>
    <row r="806" ht="12.75" customHeight="1">
      <c r="C806" s="210"/>
      <c r="D806" s="210"/>
      <c r="E806" s="210"/>
      <c r="F806" s="210"/>
      <c r="G806" s="210"/>
      <c r="H806" s="210"/>
      <c r="I806" s="210"/>
      <c r="J806" s="210"/>
      <c r="K806" s="210"/>
      <c r="L806" s="210"/>
      <c r="M806" s="210"/>
      <c r="N806" s="210"/>
      <c r="O806" s="210"/>
      <c r="P806" s="210"/>
      <c r="Q806" s="210"/>
      <c r="R806" s="210"/>
      <c r="S806" s="210"/>
      <c r="T806" s="210"/>
      <c r="U806" s="210"/>
      <c r="V806" s="210"/>
      <c r="W806" s="210"/>
      <c r="X806" s="210"/>
      <c r="Y806" s="210"/>
      <c r="Z806" s="210"/>
      <c r="AA806" s="210"/>
      <c r="AB806" s="210"/>
      <c r="AC806" s="210"/>
      <c r="AI806" s="210"/>
      <c r="AJ806" s="210"/>
    </row>
    <row r="807" ht="12.75" customHeight="1">
      <c r="C807" s="210"/>
      <c r="D807" s="210"/>
      <c r="E807" s="210"/>
      <c r="F807" s="210"/>
      <c r="G807" s="210"/>
      <c r="H807" s="210"/>
      <c r="I807" s="210"/>
      <c r="J807" s="210"/>
      <c r="K807" s="210"/>
      <c r="L807" s="210"/>
      <c r="M807" s="210"/>
      <c r="N807" s="210"/>
      <c r="O807" s="210"/>
      <c r="P807" s="210"/>
      <c r="Q807" s="210"/>
      <c r="R807" s="210"/>
      <c r="S807" s="210"/>
      <c r="T807" s="210"/>
      <c r="U807" s="210"/>
      <c r="V807" s="210"/>
      <c r="W807" s="210"/>
      <c r="X807" s="210"/>
      <c r="Y807" s="210"/>
      <c r="Z807" s="210"/>
      <c r="AA807" s="210"/>
      <c r="AB807" s="210"/>
      <c r="AC807" s="210"/>
      <c r="AI807" s="210"/>
      <c r="AJ807" s="210"/>
    </row>
    <row r="808" ht="12.75" customHeight="1">
      <c r="C808" s="210"/>
      <c r="D808" s="210"/>
      <c r="E808" s="210"/>
      <c r="F808" s="210"/>
      <c r="G808" s="210"/>
      <c r="H808" s="210"/>
      <c r="I808" s="210"/>
      <c r="J808" s="210"/>
      <c r="K808" s="210"/>
      <c r="L808" s="210"/>
      <c r="M808" s="210"/>
      <c r="N808" s="210"/>
      <c r="O808" s="210"/>
      <c r="P808" s="210"/>
      <c r="Q808" s="210"/>
      <c r="R808" s="210"/>
      <c r="S808" s="210"/>
      <c r="T808" s="210"/>
      <c r="U808" s="210"/>
      <c r="V808" s="210"/>
      <c r="W808" s="210"/>
      <c r="X808" s="210"/>
      <c r="Y808" s="210"/>
      <c r="Z808" s="210"/>
      <c r="AA808" s="210"/>
      <c r="AB808" s="210"/>
      <c r="AC808" s="210"/>
      <c r="AI808" s="210"/>
      <c r="AJ808" s="210"/>
    </row>
    <row r="809" ht="12.75" customHeight="1">
      <c r="C809" s="210"/>
      <c r="D809" s="210"/>
      <c r="E809" s="210"/>
      <c r="F809" s="210"/>
      <c r="G809" s="210"/>
      <c r="H809" s="210"/>
      <c r="I809" s="210"/>
      <c r="J809" s="210"/>
      <c r="K809" s="210"/>
      <c r="L809" s="210"/>
      <c r="M809" s="210"/>
      <c r="N809" s="210"/>
      <c r="O809" s="210"/>
      <c r="P809" s="210"/>
      <c r="Q809" s="210"/>
      <c r="R809" s="210"/>
      <c r="S809" s="210"/>
      <c r="T809" s="210"/>
      <c r="U809" s="210"/>
      <c r="V809" s="210"/>
      <c r="W809" s="210"/>
      <c r="X809" s="210"/>
      <c r="Y809" s="210"/>
      <c r="Z809" s="210"/>
      <c r="AA809" s="210"/>
      <c r="AB809" s="210"/>
      <c r="AC809" s="210"/>
      <c r="AI809" s="210"/>
      <c r="AJ809" s="210"/>
    </row>
    <row r="810" ht="12.75" customHeight="1">
      <c r="C810" s="210"/>
      <c r="D810" s="210"/>
      <c r="E810" s="210"/>
      <c r="F810" s="210"/>
      <c r="G810" s="210"/>
      <c r="H810" s="210"/>
      <c r="I810" s="210"/>
      <c r="J810" s="210"/>
      <c r="K810" s="210"/>
      <c r="L810" s="210"/>
      <c r="M810" s="210"/>
      <c r="N810" s="210"/>
      <c r="O810" s="210"/>
      <c r="P810" s="210"/>
      <c r="Q810" s="210"/>
      <c r="R810" s="210"/>
      <c r="S810" s="210"/>
      <c r="T810" s="210"/>
      <c r="U810" s="210"/>
      <c r="V810" s="210"/>
      <c r="W810" s="210"/>
      <c r="X810" s="210"/>
      <c r="Y810" s="210"/>
      <c r="Z810" s="210"/>
      <c r="AA810" s="210"/>
      <c r="AB810" s="210"/>
      <c r="AC810" s="210"/>
      <c r="AI810" s="210"/>
      <c r="AJ810" s="210"/>
    </row>
    <row r="811" ht="12.75" customHeight="1">
      <c r="C811" s="210"/>
      <c r="D811" s="210"/>
      <c r="E811" s="210"/>
      <c r="F811" s="210"/>
      <c r="G811" s="210"/>
      <c r="H811" s="210"/>
      <c r="I811" s="210"/>
      <c r="J811" s="210"/>
      <c r="K811" s="210"/>
      <c r="L811" s="210"/>
      <c r="M811" s="210"/>
      <c r="N811" s="210"/>
      <c r="O811" s="210"/>
      <c r="P811" s="210"/>
      <c r="Q811" s="210"/>
      <c r="R811" s="210"/>
      <c r="S811" s="210"/>
      <c r="T811" s="210"/>
      <c r="U811" s="210"/>
      <c r="V811" s="210"/>
      <c r="W811" s="210"/>
      <c r="X811" s="210"/>
      <c r="Y811" s="210"/>
      <c r="Z811" s="210"/>
      <c r="AA811" s="210"/>
      <c r="AB811" s="210"/>
      <c r="AC811" s="210"/>
      <c r="AI811" s="210"/>
      <c r="AJ811" s="210"/>
    </row>
    <row r="812" ht="12.75" customHeight="1">
      <c r="C812" s="210"/>
      <c r="D812" s="210"/>
      <c r="E812" s="210"/>
      <c r="F812" s="210"/>
      <c r="G812" s="210"/>
      <c r="H812" s="210"/>
      <c r="I812" s="210"/>
      <c r="J812" s="210"/>
      <c r="K812" s="210"/>
      <c r="L812" s="210"/>
      <c r="M812" s="210"/>
      <c r="N812" s="210"/>
      <c r="O812" s="210"/>
      <c r="P812" s="210"/>
      <c r="Q812" s="210"/>
      <c r="R812" s="210"/>
      <c r="S812" s="210"/>
      <c r="T812" s="210"/>
      <c r="U812" s="210"/>
      <c r="V812" s="210"/>
      <c r="W812" s="210"/>
      <c r="X812" s="210"/>
      <c r="Y812" s="210"/>
      <c r="Z812" s="210"/>
      <c r="AA812" s="210"/>
      <c r="AB812" s="210"/>
      <c r="AC812" s="210"/>
      <c r="AI812" s="210"/>
      <c r="AJ812" s="210"/>
    </row>
    <row r="813" ht="12.75" customHeight="1">
      <c r="C813" s="210"/>
      <c r="D813" s="210"/>
      <c r="E813" s="210"/>
      <c r="F813" s="210"/>
      <c r="G813" s="210"/>
      <c r="H813" s="210"/>
      <c r="I813" s="210"/>
      <c r="J813" s="210"/>
      <c r="K813" s="210"/>
      <c r="L813" s="210"/>
      <c r="M813" s="210"/>
      <c r="N813" s="210"/>
      <c r="O813" s="210"/>
      <c r="P813" s="210"/>
      <c r="Q813" s="210"/>
      <c r="R813" s="210"/>
      <c r="S813" s="210"/>
      <c r="T813" s="210"/>
      <c r="U813" s="210"/>
      <c r="V813" s="210"/>
      <c r="W813" s="210"/>
      <c r="X813" s="210"/>
      <c r="Y813" s="210"/>
      <c r="Z813" s="210"/>
      <c r="AA813" s="210"/>
      <c r="AB813" s="210"/>
      <c r="AC813" s="210"/>
      <c r="AI813" s="210"/>
      <c r="AJ813" s="210"/>
    </row>
    <row r="814" ht="12.75" customHeight="1">
      <c r="C814" s="210"/>
      <c r="D814" s="210"/>
      <c r="E814" s="210"/>
      <c r="F814" s="210"/>
      <c r="G814" s="210"/>
      <c r="H814" s="210"/>
      <c r="I814" s="210"/>
      <c r="J814" s="210"/>
      <c r="K814" s="210"/>
      <c r="L814" s="210"/>
      <c r="M814" s="210"/>
      <c r="N814" s="210"/>
      <c r="O814" s="210"/>
      <c r="P814" s="210"/>
      <c r="Q814" s="210"/>
      <c r="R814" s="210"/>
      <c r="S814" s="210"/>
      <c r="T814" s="210"/>
      <c r="U814" s="210"/>
      <c r="V814" s="210"/>
      <c r="W814" s="210"/>
      <c r="X814" s="210"/>
      <c r="Y814" s="210"/>
      <c r="Z814" s="210"/>
      <c r="AA814" s="210"/>
      <c r="AB814" s="210"/>
      <c r="AC814" s="210"/>
      <c r="AI814" s="210"/>
      <c r="AJ814" s="210"/>
    </row>
    <row r="815" ht="12.75" customHeight="1">
      <c r="C815" s="210"/>
      <c r="D815" s="210"/>
      <c r="E815" s="210"/>
      <c r="F815" s="210"/>
      <c r="G815" s="210"/>
      <c r="H815" s="210"/>
      <c r="I815" s="210"/>
      <c r="J815" s="210"/>
      <c r="K815" s="210"/>
      <c r="L815" s="210"/>
      <c r="M815" s="210"/>
      <c r="N815" s="210"/>
      <c r="O815" s="210"/>
      <c r="P815" s="210"/>
      <c r="Q815" s="210"/>
      <c r="R815" s="210"/>
      <c r="S815" s="210"/>
      <c r="T815" s="210"/>
      <c r="U815" s="210"/>
      <c r="V815" s="210"/>
      <c r="W815" s="210"/>
      <c r="X815" s="210"/>
      <c r="Y815" s="210"/>
      <c r="Z815" s="210"/>
      <c r="AA815" s="210"/>
      <c r="AB815" s="210"/>
      <c r="AC815" s="210"/>
      <c r="AI815" s="210"/>
      <c r="AJ815" s="210"/>
    </row>
    <row r="816" ht="12.75" customHeight="1">
      <c r="C816" s="210"/>
      <c r="D816" s="210"/>
      <c r="E816" s="210"/>
      <c r="F816" s="210"/>
      <c r="G816" s="210"/>
      <c r="H816" s="210"/>
      <c r="I816" s="210"/>
      <c r="J816" s="210"/>
      <c r="K816" s="210"/>
      <c r="L816" s="210"/>
      <c r="M816" s="210"/>
      <c r="N816" s="210"/>
      <c r="O816" s="210"/>
      <c r="P816" s="210"/>
      <c r="Q816" s="210"/>
      <c r="R816" s="210"/>
      <c r="S816" s="210"/>
      <c r="T816" s="210"/>
      <c r="U816" s="210"/>
      <c r="V816" s="210"/>
      <c r="W816" s="210"/>
      <c r="X816" s="210"/>
      <c r="Y816" s="210"/>
      <c r="Z816" s="210"/>
      <c r="AA816" s="210"/>
      <c r="AB816" s="210"/>
      <c r="AC816" s="210"/>
      <c r="AI816" s="210"/>
      <c r="AJ816" s="210"/>
    </row>
    <row r="817" ht="12.75" customHeight="1">
      <c r="C817" s="210"/>
      <c r="D817" s="210"/>
      <c r="E817" s="210"/>
      <c r="F817" s="210"/>
      <c r="G817" s="210"/>
      <c r="H817" s="210"/>
      <c r="I817" s="210"/>
      <c r="J817" s="210"/>
      <c r="K817" s="210"/>
      <c r="L817" s="210"/>
      <c r="M817" s="210"/>
      <c r="N817" s="210"/>
      <c r="O817" s="210"/>
      <c r="P817" s="210"/>
      <c r="Q817" s="210"/>
      <c r="R817" s="210"/>
      <c r="S817" s="210"/>
      <c r="T817" s="210"/>
      <c r="U817" s="210"/>
      <c r="V817" s="210"/>
      <c r="W817" s="210"/>
      <c r="X817" s="210"/>
      <c r="Y817" s="210"/>
      <c r="Z817" s="210"/>
      <c r="AA817" s="210"/>
      <c r="AB817" s="210"/>
      <c r="AC817" s="210"/>
      <c r="AI817" s="210"/>
      <c r="AJ817" s="210"/>
    </row>
    <row r="818" ht="12.75" customHeight="1">
      <c r="C818" s="210"/>
      <c r="D818" s="210"/>
      <c r="E818" s="210"/>
      <c r="F818" s="210"/>
      <c r="G818" s="210"/>
      <c r="H818" s="210"/>
      <c r="I818" s="210"/>
      <c r="J818" s="210"/>
      <c r="K818" s="210"/>
      <c r="L818" s="210"/>
      <c r="M818" s="210"/>
      <c r="N818" s="210"/>
      <c r="O818" s="210"/>
      <c r="P818" s="210"/>
      <c r="Q818" s="210"/>
      <c r="R818" s="210"/>
      <c r="S818" s="210"/>
      <c r="T818" s="210"/>
      <c r="U818" s="210"/>
      <c r="V818" s="210"/>
      <c r="W818" s="210"/>
      <c r="X818" s="210"/>
      <c r="Y818" s="210"/>
      <c r="Z818" s="210"/>
      <c r="AA818" s="210"/>
      <c r="AB818" s="210"/>
      <c r="AC818" s="210"/>
      <c r="AI818" s="210"/>
      <c r="AJ818" s="210"/>
    </row>
    <row r="819" ht="12.75" customHeight="1">
      <c r="C819" s="210"/>
      <c r="D819" s="210"/>
      <c r="E819" s="210"/>
      <c r="F819" s="210"/>
      <c r="G819" s="210"/>
      <c r="H819" s="210"/>
      <c r="I819" s="210"/>
      <c r="J819" s="210"/>
      <c r="K819" s="210"/>
      <c r="L819" s="210"/>
      <c r="M819" s="210"/>
      <c r="N819" s="210"/>
      <c r="O819" s="210"/>
      <c r="P819" s="210"/>
      <c r="Q819" s="210"/>
      <c r="R819" s="210"/>
      <c r="S819" s="210"/>
      <c r="T819" s="210"/>
      <c r="U819" s="210"/>
      <c r="V819" s="210"/>
      <c r="W819" s="210"/>
      <c r="X819" s="210"/>
      <c r="Y819" s="210"/>
      <c r="Z819" s="210"/>
      <c r="AA819" s="210"/>
      <c r="AB819" s="210"/>
      <c r="AC819" s="210"/>
      <c r="AI819" s="210"/>
      <c r="AJ819" s="210"/>
    </row>
    <row r="820" ht="12.75" customHeight="1">
      <c r="C820" s="210"/>
      <c r="D820" s="210"/>
      <c r="E820" s="210"/>
      <c r="F820" s="210"/>
      <c r="G820" s="210"/>
      <c r="H820" s="210"/>
      <c r="I820" s="210"/>
      <c r="J820" s="210"/>
      <c r="K820" s="210"/>
      <c r="L820" s="210"/>
      <c r="M820" s="210"/>
      <c r="N820" s="210"/>
      <c r="O820" s="210"/>
      <c r="P820" s="210"/>
      <c r="Q820" s="210"/>
      <c r="R820" s="210"/>
      <c r="S820" s="210"/>
      <c r="T820" s="210"/>
      <c r="U820" s="210"/>
      <c r="V820" s="210"/>
      <c r="W820" s="210"/>
      <c r="X820" s="210"/>
      <c r="Y820" s="210"/>
      <c r="Z820" s="210"/>
      <c r="AA820" s="210"/>
      <c r="AB820" s="210"/>
      <c r="AC820" s="210"/>
      <c r="AI820" s="210"/>
      <c r="AJ820" s="210"/>
    </row>
    <row r="821" ht="12.75" customHeight="1">
      <c r="C821" s="210"/>
      <c r="D821" s="210"/>
      <c r="E821" s="210"/>
      <c r="F821" s="210"/>
      <c r="G821" s="210"/>
      <c r="H821" s="210"/>
      <c r="I821" s="210"/>
      <c r="J821" s="210"/>
      <c r="K821" s="210"/>
      <c r="L821" s="210"/>
      <c r="M821" s="210"/>
      <c r="N821" s="210"/>
      <c r="O821" s="210"/>
      <c r="P821" s="210"/>
      <c r="Q821" s="210"/>
      <c r="R821" s="210"/>
      <c r="S821" s="210"/>
      <c r="T821" s="210"/>
      <c r="U821" s="210"/>
      <c r="V821" s="210"/>
      <c r="W821" s="210"/>
      <c r="X821" s="210"/>
      <c r="Y821" s="210"/>
      <c r="Z821" s="210"/>
      <c r="AA821" s="210"/>
      <c r="AB821" s="210"/>
      <c r="AC821" s="210"/>
      <c r="AI821" s="210"/>
      <c r="AJ821" s="210"/>
    </row>
    <row r="822" ht="12.75" customHeight="1">
      <c r="C822" s="210"/>
      <c r="D822" s="210"/>
      <c r="E822" s="210"/>
      <c r="F822" s="210"/>
      <c r="G822" s="210"/>
      <c r="H822" s="210"/>
      <c r="I822" s="210"/>
      <c r="J822" s="210"/>
      <c r="K822" s="210"/>
      <c r="L822" s="210"/>
      <c r="M822" s="210"/>
      <c r="N822" s="210"/>
      <c r="O822" s="210"/>
      <c r="P822" s="210"/>
      <c r="Q822" s="210"/>
      <c r="R822" s="210"/>
      <c r="S822" s="210"/>
      <c r="T822" s="210"/>
      <c r="U822" s="210"/>
      <c r="V822" s="210"/>
      <c r="W822" s="210"/>
      <c r="X822" s="210"/>
      <c r="Y822" s="210"/>
      <c r="Z822" s="210"/>
      <c r="AA822" s="210"/>
      <c r="AB822" s="210"/>
      <c r="AC822" s="210"/>
      <c r="AI822" s="210"/>
      <c r="AJ822" s="210"/>
    </row>
    <row r="823" ht="12.75" customHeight="1">
      <c r="C823" s="210"/>
      <c r="D823" s="210"/>
      <c r="E823" s="210"/>
      <c r="F823" s="210"/>
      <c r="G823" s="210"/>
      <c r="H823" s="210"/>
      <c r="I823" s="210"/>
      <c r="J823" s="210"/>
      <c r="K823" s="210"/>
      <c r="L823" s="210"/>
      <c r="M823" s="210"/>
      <c r="N823" s="210"/>
      <c r="O823" s="210"/>
      <c r="P823" s="210"/>
      <c r="Q823" s="210"/>
      <c r="R823" s="210"/>
      <c r="S823" s="210"/>
      <c r="T823" s="210"/>
      <c r="U823" s="210"/>
      <c r="V823" s="210"/>
      <c r="W823" s="210"/>
      <c r="X823" s="210"/>
      <c r="Y823" s="210"/>
      <c r="Z823" s="210"/>
      <c r="AA823" s="210"/>
      <c r="AB823" s="210"/>
      <c r="AC823" s="210"/>
      <c r="AI823" s="210"/>
      <c r="AJ823" s="210"/>
    </row>
    <row r="824" ht="12.75" customHeight="1">
      <c r="C824" s="210"/>
      <c r="D824" s="210"/>
      <c r="E824" s="210"/>
      <c r="F824" s="210"/>
      <c r="G824" s="210"/>
      <c r="H824" s="210"/>
      <c r="I824" s="210"/>
      <c r="J824" s="210"/>
      <c r="K824" s="210"/>
      <c r="L824" s="210"/>
      <c r="M824" s="210"/>
      <c r="N824" s="210"/>
      <c r="O824" s="210"/>
      <c r="P824" s="210"/>
      <c r="Q824" s="210"/>
      <c r="R824" s="210"/>
      <c r="S824" s="210"/>
      <c r="T824" s="210"/>
      <c r="U824" s="210"/>
      <c r="V824" s="210"/>
      <c r="W824" s="210"/>
      <c r="X824" s="210"/>
      <c r="Y824" s="210"/>
      <c r="Z824" s="210"/>
      <c r="AA824" s="210"/>
      <c r="AB824" s="210"/>
      <c r="AC824" s="210"/>
      <c r="AI824" s="210"/>
      <c r="AJ824" s="210"/>
    </row>
    <row r="825" ht="12.75" customHeight="1">
      <c r="C825" s="210"/>
      <c r="D825" s="210"/>
      <c r="E825" s="210"/>
      <c r="F825" s="210"/>
      <c r="G825" s="210"/>
      <c r="H825" s="210"/>
      <c r="I825" s="210"/>
      <c r="J825" s="210"/>
      <c r="K825" s="210"/>
      <c r="L825" s="210"/>
      <c r="M825" s="210"/>
      <c r="N825" s="210"/>
      <c r="O825" s="210"/>
      <c r="P825" s="210"/>
      <c r="Q825" s="210"/>
      <c r="R825" s="210"/>
      <c r="S825" s="210"/>
      <c r="T825" s="210"/>
      <c r="U825" s="210"/>
      <c r="V825" s="210"/>
      <c r="W825" s="210"/>
      <c r="X825" s="210"/>
      <c r="Y825" s="210"/>
      <c r="Z825" s="210"/>
      <c r="AA825" s="210"/>
      <c r="AB825" s="210"/>
      <c r="AC825" s="210"/>
      <c r="AI825" s="210"/>
      <c r="AJ825" s="210"/>
    </row>
    <row r="826" ht="12.75" customHeight="1">
      <c r="C826" s="210"/>
      <c r="D826" s="210"/>
      <c r="E826" s="210"/>
      <c r="F826" s="210"/>
      <c r="G826" s="210"/>
      <c r="H826" s="210"/>
      <c r="I826" s="210"/>
      <c r="J826" s="210"/>
      <c r="K826" s="210"/>
      <c r="L826" s="210"/>
      <c r="M826" s="210"/>
      <c r="N826" s="210"/>
      <c r="O826" s="210"/>
      <c r="P826" s="210"/>
      <c r="Q826" s="210"/>
      <c r="R826" s="210"/>
      <c r="S826" s="210"/>
      <c r="T826" s="210"/>
      <c r="U826" s="210"/>
      <c r="V826" s="210"/>
      <c r="W826" s="210"/>
      <c r="X826" s="210"/>
      <c r="Y826" s="210"/>
      <c r="Z826" s="210"/>
      <c r="AA826" s="210"/>
      <c r="AB826" s="210"/>
      <c r="AC826" s="210"/>
      <c r="AI826" s="210"/>
      <c r="AJ826" s="210"/>
    </row>
    <row r="827" ht="12.75" customHeight="1">
      <c r="C827" s="210"/>
      <c r="D827" s="210"/>
      <c r="E827" s="210"/>
      <c r="F827" s="210"/>
      <c r="G827" s="210"/>
      <c r="H827" s="210"/>
      <c r="I827" s="210"/>
      <c r="J827" s="210"/>
      <c r="K827" s="210"/>
      <c r="L827" s="210"/>
      <c r="M827" s="210"/>
      <c r="N827" s="210"/>
      <c r="O827" s="210"/>
      <c r="P827" s="210"/>
      <c r="Q827" s="210"/>
      <c r="R827" s="210"/>
      <c r="S827" s="210"/>
      <c r="T827" s="210"/>
      <c r="U827" s="210"/>
      <c r="V827" s="210"/>
      <c r="W827" s="210"/>
      <c r="X827" s="210"/>
      <c r="Y827" s="210"/>
      <c r="Z827" s="210"/>
      <c r="AA827" s="210"/>
      <c r="AB827" s="210"/>
      <c r="AC827" s="210"/>
      <c r="AI827" s="210"/>
      <c r="AJ827" s="210"/>
    </row>
    <row r="828" ht="12.75" customHeight="1">
      <c r="C828" s="210"/>
      <c r="D828" s="210"/>
      <c r="E828" s="210"/>
      <c r="F828" s="210"/>
      <c r="G828" s="210"/>
      <c r="H828" s="210"/>
      <c r="I828" s="210"/>
      <c r="J828" s="210"/>
      <c r="K828" s="210"/>
      <c r="L828" s="210"/>
      <c r="M828" s="210"/>
      <c r="N828" s="210"/>
      <c r="O828" s="210"/>
      <c r="P828" s="210"/>
      <c r="Q828" s="210"/>
      <c r="R828" s="210"/>
      <c r="S828" s="210"/>
      <c r="T828" s="210"/>
      <c r="U828" s="210"/>
      <c r="V828" s="210"/>
      <c r="W828" s="210"/>
      <c r="X828" s="210"/>
      <c r="Y828" s="210"/>
      <c r="Z828" s="210"/>
      <c r="AA828" s="210"/>
      <c r="AB828" s="210"/>
      <c r="AC828" s="210"/>
      <c r="AI828" s="210"/>
      <c r="AJ828" s="210"/>
    </row>
    <row r="829" ht="12.75" customHeight="1">
      <c r="C829" s="210"/>
      <c r="D829" s="210"/>
      <c r="E829" s="210"/>
      <c r="F829" s="210"/>
      <c r="G829" s="210"/>
      <c r="H829" s="210"/>
      <c r="I829" s="210"/>
      <c r="J829" s="210"/>
      <c r="K829" s="210"/>
      <c r="L829" s="210"/>
      <c r="M829" s="210"/>
      <c r="N829" s="210"/>
      <c r="O829" s="210"/>
      <c r="P829" s="210"/>
      <c r="Q829" s="210"/>
      <c r="R829" s="210"/>
      <c r="S829" s="210"/>
      <c r="T829" s="210"/>
      <c r="U829" s="210"/>
      <c r="V829" s="210"/>
      <c r="W829" s="210"/>
      <c r="X829" s="210"/>
      <c r="Y829" s="210"/>
      <c r="Z829" s="210"/>
      <c r="AA829" s="210"/>
      <c r="AB829" s="210"/>
      <c r="AC829" s="210"/>
      <c r="AI829" s="210"/>
      <c r="AJ829" s="210"/>
    </row>
    <row r="830" ht="12.75" customHeight="1">
      <c r="C830" s="210"/>
      <c r="D830" s="210"/>
      <c r="E830" s="210"/>
      <c r="F830" s="210"/>
      <c r="G830" s="210"/>
      <c r="H830" s="210"/>
      <c r="I830" s="210"/>
      <c r="J830" s="210"/>
      <c r="K830" s="210"/>
      <c r="L830" s="210"/>
      <c r="M830" s="210"/>
      <c r="N830" s="210"/>
      <c r="O830" s="210"/>
      <c r="P830" s="210"/>
      <c r="Q830" s="210"/>
      <c r="R830" s="210"/>
      <c r="S830" s="210"/>
      <c r="T830" s="210"/>
      <c r="U830" s="210"/>
      <c r="V830" s="210"/>
      <c r="W830" s="210"/>
      <c r="X830" s="210"/>
      <c r="Y830" s="210"/>
      <c r="Z830" s="210"/>
      <c r="AA830" s="210"/>
      <c r="AB830" s="210"/>
      <c r="AC830" s="210"/>
      <c r="AI830" s="210"/>
      <c r="AJ830" s="210"/>
    </row>
    <row r="831" ht="12.75" customHeight="1">
      <c r="C831" s="210"/>
      <c r="D831" s="210"/>
      <c r="E831" s="210"/>
      <c r="F831" s="210"/>
      <c r="G831" s="210"/>
      <c r="H831" s="210"/>
      <c r="I831" s="210"/>
      <c r="J831" s="210"/>
      <c r="K831" s="210"/>
      <c r="L831" s="210"/>
      <c r="M831" s="210"/>
      <c r="N831" s="210"/>
      <c r="O831" s="210"/>
      <c r="P831" s="210"/>
      <c r="Q831" s="210"/>
      <c r="R831" s="210"/>
      <c r="S831" s="210"/>
      <c r="T831" s="210"/>
      <c r="U831" s="210"/>
      <c r="V831" s="210"/>
      <c r="W831" s="210"/>
      <c r="X831" s="210"/>
      <c r="Y831" s="210"/>
      <c r="Z831" s="210"/>
      <c r="AA831" s="210"/>
      <c r="AB831" s="210"/>
      <c r="AC831" s="210"/>
      <c r="AI831" s="210"/>
      <c r="AJ831" s="210"/>
    </row>
    <row r="832" ht="12.75" customHeight="1">
      <c r="C832" s="210"/>
      <c r="D832" s="210"/>
      <c r="E832" s="210"/>
      <c r="F832" s="210"/>
      <c r="G832" s="210"/>
      <c r="H832" s="210"/>
      <c r="I832" s="210"/>
      <c r="J832" s="210"/>
      <c r="K832" s="210"/>
      <c r="L832" s="210"/>
      <c r="M832" s="210"/>
      <c r="N832" s="210"/>
      <c r="O832" s="210"/>
      <c r="P832" s="210"/>
      <c r="Q832" s="210"/>
      <c r="R832" s="210"/>
      <c r="S832" s="210"/>
      <c r="T832" s="210"/>
      <c r="U832" s="210"/>
      <c r="V832" s="210"/>
      <c r="W832" s="210"/>
      <c r="X832" s="210"/>
      <c r="Y832" s="210"/>
      <c r="Z832" s="210"/>
      <c r="AA832" s="210"/>
      <c r="AB832" s="210"/>
      <c r="AC832" s="210"/>
      <c r="AI832" s="210"/>
      <c r="AJ832" s="210"/>
    </row>
    <row r="833" ht="12.75" customHeight="1">
      <c r="C833" s="210"/>
      <c r="D833" s="210"/>
      <c r="E833" s="210"/>
      <c r="F833" s="210"/>
      <c r="G833" s="210"/>
      <c r="H833" s="210"/>
      <c r="I833" s="210"/>
      <c r="J833" s="210"/>
      <c r="K833" s="210"/>
      <c r="L833" s="210"/>
      <c r="M833" s="210"/>
      <c r="N833" s="210"/>
      <c r="O833" s="210"/>
      <c r="P833" s="210"/>
      <c r="Q833" s="210"/>
      <c r="R833" s="210"/>
      <c r="S833" s="210"/>
      <c r="T833" s="210"/>
      <c r="U833" s="210"/>
      <c r="V833" s="210"/>
      <c r="W833" s="210"/>
      <c r="X833" s="210"/>
      <c r="Y833" s="210"/>
      <c r="Z833" s="210"/>
      <c r="AA833" s="210"/>
      <c r="AB833" s="210"/>
      <c r="AC833" s="210"/>
      <c r="AI833" s="210"/>
      <c r="AJ833" s="210"/>
    </row>
    <row r="834" ht="12.75" customHeight="1">
      <c r="C834" s="210"/>
      <c r="D834" s="210"/>
      <c r="E834" s="210"/>
      <c r="F834" s="210"/>
      <c r="G834" s="210"/>
      <c r="H834" s="210"/>
      <c r="I834" s="210"/>
      <c r="J834" s="210"/>
      <c r="K834" s="210"/>
      <c r="L834" s="210"/>
      <c r="M834" s="210"/>
      <c r="N834" s="210"/>
      <c r="O834" s="210"/>
      <c r="P834" s="210"/>
      <c r="Q834" s="210"/>
      <c r="R834" s="210"/>
      <c r="S834" s="210"/>
      <c r="T834" s="210"/>
      <c r="U834" s="210"/>
      <c r="V834" s="210"/>
      <c r="W834" s="210"/>
      <c r="X834" s="210"/>
      <c r="Y834" s="210"/>
      <c r="Z834" s="210"/>
      <c r="AA834" s="210"/>
      <c r="AB834" s="210"/>
      <c r="AC834" s="210"/>
      <c r="AI834" s="210"/>
      <c r="AJ834" s="210"/>
    </row>
    <row r="835" ht="12.75" customHeight="1">
      <c r="C835" s="210"/>
      <c r="D835" s="210"/>
      <c r="E835" s="210"/>
      <c r="F835" s="210"/>
      <c r="G835" s="210"/>
      <c r="H835" s="210"/>
      <c r="I835" s="210"/>
      <c r="J835" s="210"/>
      <c r="K835" s="210"/>
      <c r="L835" s="210"/>
      <c r="M835" s="210"/>
      <c r="N835" s="210"/>
      <c r="O835" s="210"/>
      <c r="P835" s="210"/>
      <c r="Q835" s="210"/>
      <c r="R835" s="210"/>
      <c r="S835" s="210"/>
      <c r="T835" s="210"/>
      <c r="U835" s="210"/>
      <c r="V835" s="210"/>
      <c r="W835" s="210"/>
      <c r="X835" s="210"/>
      <c r="Y835" s="210"/>
      <c r="Z835" s="210"/>
      <c r="AA835" s="210"/>
      <c r="AB835" s="210"/>
      <c r="AC835" s="210"/>
      <c r="AI835" s="210"/>
      <c r="AJ835" s="210"/>
    </row>
    <row r="836" ht="12.75" customHeight="1">
      <c r="C836" s="210"/>
      <c r="D836" s="210"/>
      <c r="E836" s="210"/>
      <c r="F836" s="210"/>
      <c r="G836" s="210"/>
      <c r="H836" s="210"/>
      <c r="I836" s="210"/>
      <c r="J836" s="210"/>
      <c r="K836" s="210"/>
      <c r="L836" s="210"/>
      <c r="M836" s="210"/>
      <c r="N836" s="210"/>
      <c r="O836" s="210"/>
      <c r="P836" s="210"/>
      <c r="Q836" s="210"/>
      <c r="R836" s="210"/>
      <c r="S836" s="210"/>
      <c r="T836" s="210"/>
      <c r="U836" s="210"/>
      <c r="V836" s="210"/>
      <c r="W836" s="210"/>
      <c r="X836" s="210"/>
      <c r="Y836" s="210"/>
      <c r="Z836" s="210"/>
      <c r="AA836" s="210"/>
      <c r="AB836" s="210"/>
      <c r="AC836" s="210"/>
      <c r="AI836" s="210"/>
      <c r="AJ836" s="210"/>
    </row>
    <row r="837" ht="12.75" customHeight="1">
      <c r="C837" s="210"/>
      <c r="D837" s="210"/>
      <c r="E837" s="210"/>
      <c r="F837" s="210"/>
      <c r="G837" s="210"/>
      <c r="H837" s="210"/>
      <c r="I837" s="210"/>
      <c r="J837" s="210"/>
      <c r="K837" s="210"/>
      <c r="L837" s="210"/>
      <c r="M837" s="210"/>
      <c r="N837" s="210"/>
      <c r="O837" s="210"/>
      <c r="P837" s="210"/>
      <c r="Q837" s="210"/>
      <c r="R837" s="210"/>
      <c r="S837" s="210"/>
      <c r="T837" s="210"/>
      <c r="U837" s="210"/>
      <c r="V837" s="210"/>
      <c r="W837" s="210"/>
      <c r="X837" s="210"/>
      <c r="Y837" s="210"/>
      <c r="Z837" s="210"/>
      <c r="AA837" s="210"/>
      <c r="AB837" s="210"/>
      <c r="AC837" s="210"/>
      <c r="AI837" s="210"/>
      <c r="AJ837" s="210"/>
    </row>
    <row r="838" ht="12.75" customHeight="1">
      <c r="C838" s="210"/>
      <c r="D838" s="210"/>
      <c r="E838" s="210"/>
      <c r="F838" s="210"/>
      <c r="G838" s="210"/>
      <c r="H838" s="210"/>
      <c r="I838" s="210"/>
      <c r="J838" s="210"/>
      <c r="K838" s="210"/>
      <c r="L838" s="210"/>
      <c r="M838" s="210"/>
      <c r="N838" s="210"/>
      <c r="O838" s="210"/>
      <c r="P838" s="210"/>
      <c r="Q838" s="210"/>
      <c r="R838" s="210"/>
      <c r="S838" s="210"/>
      <c r="T838" s="210"/>
      <c r="U838" s="210"/>
      <c r="V838" s="210"/>
      <c r="W838" s="210"/>
      <c r="X838" s="210"/>
      <c r="Y838" s="210"/>
      <c r="Z838" s="210"/>
      <c r="AA838" s="210"/>
      <c r="AB838" s="210"/>
      <c r="AC838" s="210"/>
      <c r="AI838" s="210"/>
      <c r="AJ838" s="210"/>
    </row>
    <row r="839" ht="12.75" customHeight="1">
      <c r="C839" s="210"/>
      <c r="D839" s="210"/>
      <c r="E839" s="210"/>
      <c r="F839" s="210"/>
      <c r="G839" s="210"/>
      <c r="H839" s="210"/>
      <c r="I839" s="210"/>
      <c r="J839" s="210"/>
      <c r="K839" s="210"/>
      <c r="L839" s="210"/>
      <c r="M839" s="210"/>
      <c r="N839" s="210"/>
      <c r="O839" s="210"/>
      <c r="P839" s="210"/>
      <c r="Q839" s="210"/>
      <c r="R839" s="210"/>
      <c r="S839" s="210"/>
      <c r="T839" s="210"/>
      <c r="U839" s="210"/>
      <c r="V839" s="210"/>
      <c r="W839" s="210"/>
      <c r="X839" s="210"/>
      <c r="Y839" s="210"/>
      <c r="Z839" s="210"/>
      <c r="AA839" s="210"/>
      <c r="AB839" s="210"/>
      <c r="AC839" s="210"/>
      <c r="AI839" s="210"/>
      <c r="AJ839" s="210"/>
    </row>
    <row r="840" ht="12.75" customHeight="1">
      <c r="C840" s="210"/>
      <c r="D840" s="210"/>
      <c r="E840" s="210"/>
      <c r="F840" s="210"/>
      <c r="G840" s="210"/>
      <c r="H840" s="210"/>
      <c r="I840" s="210"/>
      <c r="J840" s="210"/>
      <c r="K840" s="210"/>
      <c r="L840" s="210"/>
      <c r="M840" s="210"/>
      <c r="N840" s="210"/>
      <c r="O840" s="210"/>
      <c r="P840" s="210"/>
      <c r="Q840" s="210"/>
      <c r="R840" s="210"/>
      <c r="S840" s="210"/>
      <c r="T840" s="210"/>
      <c r="U840" s="210"/>
      <c r="V840" s="210"/>
      <c r="W840" s="210"/>
      <c r="X840" s="210"/>
      <c r="Y840" s="210"/>
      <c r="Z840" s="210"/>
      <c r="AA840" s="210"/>
      <c r="AB840" s="210"/>
      <c r="AC840" s="210"/>
      <c r="AI840" s="210"/>
      <c r="AJ840" s="210"/>
    </row>
    <row r="841" ht="12.75" customHeight="1">
      <c r="C841" s="210"/>
      <c r="D841" s="210"/>
      <c r="E841" s="210"/>
      <c r="F841" s="210"/>
      <c r="G841" s="210"/>
      <c r="H841" s="210"/>
      <c r="I841" s="210"/>
      <c r="J841" s="210"/>
      <c r="K841" s="210"/>
      <c r="L841" s="210"/>
      <c r="M841" s="210"/>
      <c r="N841" s="210"/>
      <c r="O841" s="210"/>
      <c r="P841" s="210"/>
      <c r="Q841" s="210"/>
      <c r="R841" s="210"/>
      <c r="S841" s="210"/>
      <c r="T841" s="210"/>
      <c r="U841" s="210"/>
      <c r="V841" s="210"/>
      <c r="W841" s="210"/>
      <c r="X841" s="210"/>
      <c r="Y841" s="210"/>
      <c r="Z841" s="210"/>
      <c r="AA841" s="210"/>
      <c r="AB841" s="210"/>
      <c r="AC841" s="210"/>
      <c r="AI841" s="210"/>
      <c r="AJ841" s="210"/>
    </row>
    <row r="842" ht="12.75" customHeight="1">
      <c r="C842" s="210"/>
      <c r="D842" s="210"/>
      <c r="E842" s="210"/>
      <c r="F842" s="210"/>
      <c r="G842" s="210"/>
      <c r="H842" s="210"/>
      <c r="I842" s="210"/>
      <c r="J842" s="210"/>
      <c r="K842" s="210"/>
      <c r="L842" s="210"/>
      <c r="M842" s="210"/>
      <c r="N842" s="210"/>
      <c r="O842" s="210"/>
      <c r="P842" s="210"/>
      <c r="Q842" s="210"/>
      <c r="R842" s="210"/>
      <c r="S842" s="210"/>
      <c r="T842" s="210"/>
      <c r="U842" s="210"/>
      <c r="V842" s="210"/>
      <c r="W842" s="210"/>
      <c r="X842" s="210"/>
      <c r="Y842" s="210"/>
      <c r="Z842" s="210"/>
      <c r="AA842" s="210"/>
      <c r="AB842" s="210"/>
      <c r="AC842" s="210"/>
      <c r="AI842" s="210"/>
      <c r="AJ842" s="210"/>
    </row>
    <row r="843" ht="12.75" customHeight="1">
      <c r="C843" s="210"/>
      <c r="D843" s="210"/>
      <c r="E843" s="210"/>
      <c r="F843" s="210"/>
      <c r="G843" s="210"/>
      <c r="H843" s="210"/>
      <c r="I843" s="210"/>
      <c r="J843" s="210"/>
      <c r="K843" s="210"/>
      <c r="L843" s="210"/>
      <c r="M843" s="210"/>
      <c r="N843" s="210"/>
      <c r="O843" s="210"/>
      <c r="P843" s="210"/>
      <c r="Q843" s="210"/>
      <c r="R843" s="210"/>
      <c r="S843" s="210"/>
      <c r="T843" s="210"/>
      <c r="U843" s="210"/>
      <c r="V843" s="210"/>
      <c r="W843" s="210"/>
      <c r="X843" s="210"/>
      <c r="Y843" s="210"/>
      <c r="Z843" s="210"/>
      <c r="AA843" s="210"/>
      <c r="AB843" s="210"/>
      <c r="AC843" s="210"/>
      <c r="AI843" s="210"/>
      <c r="AJ843" s="210"/>
    </row>
    <row r="844" ht="12.75" customHeight="1">
      <c r="C844" s="210"/>
      <c r="D844" s="210"/>
      <c r="E844" s="210"/>
      <c r="F844" s="210"/>
      <c r="G844" s="210"/>
      <c r="H844" s="210"/>
      <c r="I844" s="210"/>
      <c r="J844" s="210"/>
      <c r="K844" s="210"/>
      <c r="L844" s="210"/>
      <c r="M844" s="210"/>
      <c r="N844" s="210"/>
      <c r="O844" s="210"/>
      <c r="P844" s="210"/>
      <c r="Q844" s="210"/>
      <c r="R844" s="210"/>
      <c r="S844" s="210"/>
      <c r="T844" s="210"/>
      <c r="U844" s="210"/>
      <c r="V844" s="210"/>
      <c r="W844" s="210"/>
      <c r="X844" s="210"/>
      <c r="Y844" s="210"/>
      <c r="Z844" s="210"/>
      <c r="AA844" s="210"/>
      <c r="AB844" s="210"/>
      <c r="AC844" s="210"/>
      <c r="AI844" s="210"/>
      <c r="AJ844" s="210"/>
    </row>
    <row r="845" ht="12.75" customHeight="1">
      <c r="C845" s="210"/>
      <c r="D845" s="210"/>
      <c r="E845" s="210"/>
      <c r="F845" s="210"/>
      <c r="G845" s="210"/>
      <c r="H845" s="210"/>
      <c r="I845" s="210"/>
      <c r="J845" s="210"/>
      <c r="K845" s="210"/>
      <c r="L845" s="210"/>
      <c r="M845" s="210"/>
      <c r="N845" s="210"/>
      <c r="O845" s="210"/>
      <c r="P845" s="210"/>
      <c r="Q845" s="210"/>
      <c r="R845" s="210"/>
      <c r="S845" s="210"/>
      <c r="T845" s="210"/>
      <c r="U845" s="210"/>
      <c r="V845" s="210"/>
      <c r="W845" s="210"/>
      <c r="X845" s="210"/>
      <c r="Y845" s="210"/>
      <c r="Z845" s="210"/>
      <c r="AA845" s="210"/>
      <c r="AB845" s="210"/>
      <c r="AC845" s="210"/>
      <c r="AI845" s="210"/>
      <c r="AJ845" s="210"/>
    </row>
    <row r="846" ht="12.75" customHeight="1">
      <c r="C846" s="210"/>
      <c r="D846" s="210"/>
      <c r="E846" s="210"/>
      <c r="F846" s="210"/>
      <c r="G846" s="210"/>
      <c r="H846" s="210"/>
      <c r="I846" s="210"/>
      <c r="J846" s="210"/>
      <c r="K846" s="210"/>
      <c r="L846" s="210"/>
      <c r="M846" s="210"/>
      <c r="N846" s="210"/>
      <c r="O846" s="210"/>
      <c r="P846" s="210"/>
      <c r="Q846" s="210"/>
      <c r="R846" s="210"/>
      <c r="S846" s="210"/>
      <c r="T846" s="210"/>
      <c r="U846" s="210"/>
      <c r="V846" s="210"/>
      <c r="W846" s="210"/>
      <c r="X846" s="210"/>
      <c r="Y846" s="210"/>
      <c r="Z846" s="210"/>
      <c r="AA846" s="210"/>
      <c r="AB846" s="210"/>
      <c r="AC846" s="210"/>
      <c r="AI846" s="210"/>
      <c r="AJ846" s="210"/>
    </row>
    <row r="847" ht="12.75" customHeight="1">
      <c r="C847" s="210"/>
      <c r="D847" s="210"/>
      <c r="E847" s="210"/>
      <c r="F847" s="210"/>
      <c r="G847" s="210"/>
      <c r="H847" s="210"/>
      <c r="I847" s="210"/>
      <c r="J847" s="210"/>
      <c r="K847" s="210"/>
      <c r="L847" s="210"/>
      <c r="M847" s="210"/>
      <c r="N847" s="210"/>
      <c r="O847" s="210"/>
      <c r="P847" s="210"/>
      <c r="Q847" s="210"/>
      <c r="R847" s="210"/>
      <c r="S847" s="210"/>
      <c r="T847" s="210"/>
      <c r="U847" s="210"/>
      <c r="V847" s="210"/>
      <c r="W847" s="210"/>
      <c r="X847" s="210"/>
      <c r="Y847" s="210"/>
      <c r="Z847" s="210"/>
      <c r="AA847" s="210"/>
      <c r="AB847" s="210"/>
      <c r="AC847" s="210"/>
      <c r="AI847" s="210"/>
      <c r="AJ847" s="210"/>
    </row>
    <row r="848" ht="12.75" customHeight="1">
      <c r="C848" s="210"/>
      <c r="D848" s="210"/>
      <c r="E848" s="210"/>
      <c r="F848" s="210"/>
      <c r="G848" s="210"/>
      <c r="H848" s="210"/>
      <c r="I848" s="210"/>
      <c r="J848" s="210"/>
      <c r="K848" s="210"/>
      <c r="L848" s="210"/>
      <c r="M848" s="210"/>
      <c r="N848" s="210"/>
      <c r="O848" s="210"/>
      <c r="P848" s="210"/>
      <c r="Q848" s="210"/>
      <c r="R848" s="210"/>
      <c r="S848" s="210"/>
      <c r="T848" s="210"/>
      <c r="U848" s="210"/>
      <c r="V848" s="210"/>
      <c r="W848" s="210"/>
      <c r="X848" s="210"/>
      <c r="Y848" s="210"/>
      <c r="Z848" s="210"/>
      <c r="AA848" s="210"/>
      <c r="AB848" s="210"/>
      <c r="AC848" s="210"/>
      <c r="AI848" s="210"/>
      <c r="AJ848" s="210"/>
    </row>
    <row r="849" ht="12.75" customHeight="1">
      <c r="C849" s="210"/>
      <c r="D849" s="210"/>
      <c r="E849" s="210"/>
      <c r="F849" s="210"/>
      <c r="G849" s="210"/>
      <c r="H849" s="210"/>
      <c r="I849" s="210"/>
      <c r="J849" s="210"/>
      <c r="K849" s="210"/>
      <c r="L849" s="210"/>
      <c r="M849" s="210"/>
      <c r="N849" s="210"/>
      <c r="O849" s="210"/>
      <c r="P849" s="210"/>
      <c r="Q849" s="210"/>
      <c r="R849" s="210"/>
      <c r="S849" s="210"/>
      <c r="T849" s="210"/>
      <c r="U849" s="210"/>
      <c r="V849" s="210"/>
      <c r="W849" s="210"/>
      <c r="X849" s="210"/>
      <c r="Y849" s="210"/>
      <c r="Z849" s="210"/>
      <c r="AA849" s="210"/>
      <c r="AB849" s="210"/>
      <c r="AC849" s="210"/>
      <c r="AI849" s="210"/>
      <c r="AJ849" s="210"/>
    </row>
    <row r="850" ht="12.75" customHeight="1">
      <c r="C850" s="210"/>
      <c r="D850" s="210"/>
      <c r="E850" s="210"/>
      <c r="F850" s="210"/>
      <c r="G850" s="210"/>
      <c r="H850" s="210"/>
      <c r="I850" s="210"/>
      <c r="J850" s="210"/>
      <c r="K850" s="210"/>
      <c r="L850" s="210"/>
      <c r="M850" s="210"/>
      <c r="N850" s="210"/>
      <c r="O850" s="210"/>
      <c r="P850" s="210"/>
      <c r="Q850" s="210"/>
      <c r="R850" s="210"/>
      <c r="S850" s="210"/>
      <c r="T850" s="210"/>
      <c r="U850" s="210"/>
      <c r="V850" s="210"/>
      <c r="W850" s="210"/>
      <c r="X850" s="210"/>
      <c r="Y850" s="210"/>
      <c r="Z850" s="210"/>
      <c r="AA850" s="210"/>
      <c r="AB850" s="210"/>
      <c r="AC850" s="210"/>
      <c r="AI850" s="210"/>
      <c r="AJ850" s="210"/>
    </row>
    <row r="851" ht="12.75" customHeight="1">
      <c r="C851" s="210"/>
      <c r="D851" s="210"/>
      <c r="E851" s="210"/>
      <c r="F851" s="210"/>
      <c r="G851" s="210"/>
      <c r="H851" s="210"/>
      <c r="I851" s="210"/>
      <c r="J851" s="210"/>
      <c r="K851" s="210"/>
      <c r="L851" s="210"/>
      <c r="M851" s="210"/>
      <c r="N851" s="210"/>
      <c r="O851" s="210"/>
      <c r="P851" s="210"/>
      <c r="Q851" s="210"/>
      <c r="R851" s="210"/>
      <c r="S851" s="210"/>
      <c r="T851" s="210"/>
      <c r="U851" s="210"/>
      <c r="V851" s="210"/>
      <c r="W851" s="210"/>
      <c r="X851" s="210"/>
      <c r="Y851" s="210"/>
      <c r="Z851" s="210"/>
      <c r="AA851" s="210"/>
      <c r="AB851" s="210"/>
      <c r="AC851" s="210"/>
      <c r="AI851" s="210"/>
      <c r="AJ851" s="210"/>
    </row>
    <row r="852" ht="12.75" customHeight="1">
      <c r="C852" s="210"/>
      <c r="D852" s="210"/>
      <c r="E852" s="210"/>
      <c r="F852" s="210"/>
      <c r="G852" s="210"/>
      <c r="H852" s="210"/>
      <c r="I852" s="210"/>
      <c r="J852" s="210"/>
      <c r="K852" s="210"/>
      <c r="L852" s="210"/>
      <c r="M852" s="210"/>
      <c r="N852" s="210"/>
      <c r="O852" s="210"/>
      <c r="P852" s="210"/>
      <c r="Q852" s="210"/>
      <c r="R852" s="210"/>
      <c r="S852" s="210"/>
      <c r="T852" s="210"/>
      <c r="U852" s="210"/>
      <c r="V852" s="210"/>
      <c r="W852" s="210"/>
      <c r="X852" s="210"/>
      <c r="Y852" s="210"/>
      <c r="Z852" s="210"/>
      <c r="AA852" s="210"/>
      <c r="AB852" s="210"/>
      <c r="AC852" s="210"/>
      <c r="AI852" s="210"/>
      <c r="AJ852" s="210"/>
    </row>
    <row r="853" ht="12.75" customHeight="1">
      <c r="C853" s="210"/>
      <c r="D853" s="210"/>
      <c r="E853" s="210"/>
      <c r="F853" s="210"/>
      <c r="G853" s="210"/>
      <c r="H853" s="210"/>
      <c r="I853" s="210"/>
      <c r="J853" s="210"/>
      <c r="K853" s="210"/>
      <c r="L853" s="210"/>
      <c r="M853" s="210"/>
      <c r="N853" s="210"/>
      <c r="O853" s="210"/>
      <c r="P853" s="210"/>
      <c r="Q853" s="210"/>
      <c r="R853" s="210"/>
      <c r="S853" s="210"/>
      <c r="T853" s="210"/>
      <c r="U853" s="210"/>
      <c r="V853" s="210"/>
      <c r="W853" s="210"/>
      <c r="X853" s="210"/>
      <c r="Y853" s="210"/>
      <c r="Z853" s="210"/>
      <c r="AA853" s="210"/>
      <c r="AB853" s="210"/>
      <c r="AC853" s="210"/>
      <c r="AI853" s="210"/>
      <c r="AJ853" s="210"/>
    </row>
    <row r="854" ht="12.75" customHeight="1">
      <c r="C854" s="210"/>
      <c r="D854" s="210"/>
      <c r="E854" s="210"/>
      <c r="F854" s="210"/>
      <c r="G854" s="210"/>
      <c r="H854" s="210"/>
      <c r="I854" s="210"/>
      <c r="J854" s="210"/>
      <c r="K854" s="210"/>
      <c r="L854" s="210"/>
      <c r="M854" s="210"/>
      <c r="N854" s="210"/>
      <c r="O854" s="210"/>
      <c r="P854" s="210"/>
      <c r="Q854" s="210"/>
      <c r="R854" s="210"/>
      <c r="S854" s="210"/>
      <c r="T854" s="210"/>
      <c r="U854" s="210"/>
      <c r="V854" s="210"/>
      <c r="W854" s="210"/>
      <c r="X854" s="210"/>
      <c r="Y854" s="210"/>
      <c r="Z854" s="210"/>
      <c r="AA854" s="210"/>
      <c r="AB854" s="210"/>
      <c r="AC854" s="210"/>
      <c r="AI854" s="210"/>
      <c r="AJ854" s="210"/>
    </row>
    <row r="855" ht="12.75" customHeight="1">
      <c r="C855" s="210"/>
      <c r="D855" s="210"/>
      <c r="E855" s="210"/>
      <c r="F855" s="210"/>
      <c r="G855" s="210"/>
      <c r="H855" s="210"/>
      <c r="I855" s="210"/>
      <c r="J855" s="210"/>
      <c r="K855" s="210"/>
      <c r="L855" s="210"/>
      <c r="M855" s="210"/>
      <c r="N855" s="210"/>
      <c r="O855" s="210"/>
      <c r="P855" s="210"/>
      <c r="Q855" s="210"/>
      <c r="R855" s="210"/>
      <c r="S855" s="210"/>
      <c r="T855" s="210"/>
      <c r="U855" s="210"/>
      <c r="V855" s="210"/>
      <c r="W855" s="210"/>
      <c r="X855" s="210"/>
      <c r="Y855" s="210"/>
      <c r="Z855" s="210"/>
      <c r="AA855" s="210"/>
      <c r="AB855" s="210"/>
      <c r="AC855" s="210"/>
      <c r="AI855" s="210"/>
      <c r="AJ855" s="210"/>
    </row>
    <row r="856" ht="12.75" customHeight="1">
      <c r="C856" s="210"/>
      <c r="D856" s="210"/>
      <c r="E856" s="210"/>
      <c r="F856" s="210"/>
      <c r="G856" s="210"/>
      <c r="H856" s="210"/>
      <c r="I856" s="210"/>
      <c r="J856" s="210"/>
      <c r="K856" s="210"/>
      <c r="L856" s="210"/>
      <c r="M856" s="210"/>
      <c r="N856" s="210"/>
      <c r="O856" s="210"/>
      <c r="P856" s="210"/>
      <c r="Q856" s="210"/>
      <c r="R856" s="210"/>
      <c r="S856" s="210"/>
      <c r="T856" s="210"/>
      <c r="U856" s="210"/>
      <c r="V856" s="210"/>
      <c r="W856" s="210"/>
      <c r="X856" s="210"/>
      <c r="Y856" s="210"/>
      <c r="Z856" s="210"/>
      <c r="AA856" s="210"/>
      <c r="AB856" s="210"/>
      <c r="AC856" s="210"/>
      <c r="AI856" s="210"/>
      <c r="AJ856" s="210"/>
    </row>
    <row r="857" ht="12.75" customHeight="1">
      <c r="C857" s="210"/>
      <c r="D857" s="210"/>
      <c r="E857" s="210"/>
      <c r="F857" s="210"/>
      <c r="G857" s="210"/>
      <c r="H857" s="210"/>
      <c r="I857" s="210"/>
      <c r="J857" s="210"/>
      <c r="K857" s="210"/>
      <c r="L857" s="210"/>
      <c r="M857" s="210"/>
      <c r="N857" s="210"/>
      <c r="O857" s="210"/>
      <c r="P857" s="210"/>
      <c r="Q857" s="210"/>
      <c r="R857" s="210"/>
      <c r="S857" s="210"/>
      <c r="T857" s="210"/>
      <c r="U857" s="210"/>
      <c r="V857" s="210"/>
      <c r="W857" s="210"/>
      <c r="X857" s="210"/>
      <c r="Y857" s="210"/>
      <c r="Z857" s="210"/>
      <c r="AA857" s="210"/>
      <c r="AB857" s="210"/>
      <c r="AC857" s="210"/>
      <c r="AI857" s="210"/>
      <c r="AJ857" s="210"/>
    </row>
    <row r="858" ht="12.75" customHeight="1">
      <c r="C858" s="210"/>
      <c r="D858" s="210"/>
      <c r="E858" s="210"/>
      <c r="F858" s="210"/>
      <c r="G858" s="210"/>
      <c r="H858" s="210"/>
      <c r="I858" s="210"/>
      <c r="J858" s="210"/>
      <c r="K858" s="210"/>
      <c r="L858" s="210"/>
      <c r="M858" s="210"/>
      <c r="N858" s="210"/>
      <c r="O858" s="210"/>
      <c r="P858" s="210"/>
      <c r="Q858" s="210"/>
      <c r="R858" s="210"/>
      <c r="S858" s="210"/>
      <c r="T858" s="210"/>
      <c r="U858" s="210"/>
      <c r="V858" s="210"/>
      <c r="W858" s="210"/>
      <c r="X858" s="210"/>
      <c r="Y858" s="210"/>
      <c r="Z858" s="210"/>
      <c r="AA858" s="210"/>
      <c r="AB858" s="210"/>
      <c r="AC858" s="210"/>
      <c r="AI858" s="210"/>
      <c r="AJ858" s="210"/>
    </row>
    <row r="859" ht="12.75" customHeight="1">
      <c r="C859" s="210"/>
      <c r="D859" s="210"/>
      <c r="E859" s="210"/>
      <c r="F859" s="210"/>
      <c r="G859" s="210"/>
      <c r="H859" s="210"/>
      <c r="I859" s="210"/>
      <c r="J859" s="210"/>
      <c r="K859" s="210"/>
      <c r="L859" s="210"/>
      <c r="M859" s="210"/>
      <c r="N859" s="210"/>
      <c r="O859" s="210"/>
      <c r="P859" s="210"/>
      <c r="Q859" s="210"/>
      <c r="R859" s="210"/>
      <c r="S859" s="210"/>
      <c r="T859" s="210"/>
      <c r="U859" s="210"/>
      <c r="V859" s="210"/>
      <c r="W859" s="210"/>
      <c r="X859" s="210"/>
      <c r="Y859" s="210"/>
      <c r="Z859" s="210"/>
      <c r="AA859" s="210"/>
      <c r="AB859" s="210"/>
      <c r="AC859" s="210"/>
      <c r="AI859" s="210"/>
      <c r="AJ859" s="210"/>
    </row>
    <row r="860" ht="12.75" customHeight="1">
      <c r="C860" s="210"/>
      <c r="D860" s="210"/>
      <c r="E860" s="210"/>
      <c r="F860" s="210"/>
      <c r="G860" s="210"/>
      <c r="H860" s="210"/>
      <c r="I860" s="210"/>
      <c r="J860" s="210"/>
      <c r="K860" s="210"/>
      <c r="L860" s="210"/>
      <c r="M860" s="210"/>
      <c r="N860" s="210"/>
      <c r="O860" s="210"/>
      <c r="P860" s="210"/>
      <c r="Q860" s="210"/>
      <c r="R860" s="210"/>
      <c r="S860" s="210"/>
      <c r="T860" s="210"/>
      <c r="U860" s="210"/>
      <c r="V860" s="210"/>
      <c r="W860" s="210"/>
      <c r="X860" s="210"/>
      <c r="Y860" s="210"/>
      <c r="Z860" s="210"/>
      <c r="AA860" s="210"/>
      <c r="AB860" s="210"/>
      <c r="AC860" s="210"/>
      <c r="AI860" s="210"/>
      <c r="AJ860" s="210"/>
    </row>
    <row r="861" ht="12.75" customHeight="1">
      <c r="C861" s="210"/>
      <c r="D861" s="210"/>
      <c r="E861" s="210"/>
      <c r="F861" s="210"/>
      <c r="G861" s="210"/>
      <c r="H861" s="210"/>
      <c r="I861" s="210"/>
      <c r="J861" s="210"/>
      <c r="K861" s="210"/>
      <c r="L861" s="210"/>
      <c r="M861" s="210"/>
      <c r="N861" s="210"/>
      <c r="O861" s="210"/>
      <c r="P861" s="210"/>
      <c r="Q861" s="210"/>
      <c r="R861" s="210"/>
      <c r="S861" s="210"/>
      <c r="T861" s="210"/>
      <c r="U861" s="210"/>
      <c r="V861" s="210"/>
      <c r="W861" s="210"/>
      <c r="X861" s="210"/>
      <c r="Y861" s="210"/>
      <c r="Z861" s="210"/>
      <c r="AA861" s="210"/>
      <c r="AB861" s="210"/>
      <c r="AC861" s="210"/>
      <c r="AI861" s="210"/>
      <c r="AJ861" s="210"/>
    </row>
    <row r="862" ht="12.75" customHeight="1">
      <c r="C862" s="210"/>
      <c r="D862" s="210"/>
      <c r="E862" s="210"/>
      <c r="F862" s="210"/>
      <c r="G862" s="210"/>
      <c r="H862" s="210"/>
      <c r="I862" s="210"/>
      <c r="J862" s="210"/>
      <c r="K862" s="210"/>
      <c r="L862" s="210"/>
      <c r="M862" s="210"/>
      <c r="N862" s="210"/>
      <c r="O862" s="210"/>
      <c r="P862" s="210"/>
      <c r="Q862" s="210"/>
      <c r="R862" s="210"/>
      <c r="S862" s="210"/>
      <c r="T862" s="210"/>
      <c r="U862" s="210"/>
      <c r="V862" s="210"/>
      <c r="W862" s="210"/>
      <c r="X862" s="210"/>
      <c r="Y862" s="210"/>
      <c r="Z862" s="210"/>
      <c r="AA862" s="210"/>
      <c r="AB862" s="210"/>
      <c r="AC862" s="210"/>
      <c r="AI862" s="210"/>
      <c r="AJ862" s="210"/>
    </row>
    <row r="863" ht="12.75" customHeight="1">
      <c r="C863" s="210"/>
      <c r="D863" s="210"/>
      <c r="E863" s="210"/>
      <c r="F863" s="210"/>
      <c r="G863" s="210"/>
      <c r="H863" s="210"/>
      <c r="I863" s="210"/>
      <c r="J863" s="210"/>
      <c r="K863" s="210"/>
      <c r="L863" s="210"/>
      <c r="M863" s="210"/>
      <c r="N863" s="210"/>
      <c r="O863" s="210"/>
      <c r="P863" s="210"/>
      <c r="Q863" s="210"/>
      <c r="R863" s="210"/>
      <c r="S863" s="210"/>
      <c r="T863" s="210"/>
      <c r="U863" s="210"/>
      <c r="V863" s="210"/>
      <c r="W863" s="210"/>
      <c r="X863" s="210"/>
      <c r="Y863" s="210"/>
      <c r="Z863" s="210"/>
      <c r="AA863" s="210"/>
      <c r="AB863" s="210"/>
      <c r="AC863" s="210"/>
      <c r="AI863" s="210"/>
      <c r="AJ863" s="210"/>
    </row>
    <row r="864" ht="12.75" customHeight="1">
      <c r="C864" s="210"/>
      <c r="D864" s="210"/>
      <c r="E864" s="210"/>
      <c r="F864" s="210"/>
      <c r="G864" s="210"/>
      <c r="H864" s="210"/>
      <c r="I864" s="210"/>
      <c r="J864" s="210"/>
      <c r="K864" s="210"/>
      <c r="L864" s="210"/>
      <c r="M864" s="210"/>
      <c r="N864" s="210"/>
      <c r="O864" s="210"/>
      <c r="P864" s="210"/>
      <c r="Q864" s="210"/>
      <c r="R864" s="210"/>
      <c r="S864" s="210"/>
      <c r="T864" s="210"/>
      <c r="U864" s="210"/>
      <c r="V864" s="210"/>
      <c r="W864" s="210"/>
      <c r="X864" s="210"/>
      <c r="Y864" s="210"/>
      <c r="Z864" s="210"/>
      <c r="AA864" s="210"/>
      <c r="AB864" s="210"/>
      <c r="AC864" s="210"/>
      <c r="AI864" s="210"/>
      <c r="AJ864" s="210"/>
    </row>
    <row r="865" ht="12.75" customHeight="1">
      <c r="C865" s="210"/>
      <c r="D865" s="210"/>
      <c r="E865" s="210"/>
      <c r="F865" s="210"/>
      <c r="G865" s="210"/>
      <c r="H865" s="210"/>
      <c r="I865" s="210"/>
      <c r="J865" s="210"/>
      <c r="K865" s="210"/>
      <c r="L865" s="210"/>
      <c r="M865" s="210"/>
      <c r="N865" s="210"/>
      <c r="O865" s="210"/>
      <c r="P865" s="210"/>
      <c r="Q865" s="210"/>
      <c r="R865" s="210"/>
      <c r="S865" s="210"/>
      <c r="T865" s="210"/>
      <c r="U865" s="210"/>
      <c r="V865" s="210"/>
      <c r="W865" s="210"/>
      <c r="X865" s="210"/>
      <c r="Y865" s="210"/>
      <c r="Z865" s="210"/>
      <c r="AA865" s="210"/>
      <c r="AB865" s="210"/>
      <c r="AC865" s="210"/>
      <c r="AI865" s="210"/>
      <c r="AJ865" s="210"/>
    </row>
    <row r="866" ht="12.75" customHeight="1">
      <c r="C866" s="210"/>
      <c r="D866" s="210"/>
      <c r="E866" s="210"/>
      <c r="F866" s="210"/>
      <c r="G866" s="210"/>
      <c r="H866" s="210"/>
      <c r="I866" s="210"/>
      <c r="J866" s="210"/>
      <c r="K866" s="210"/>
      <c r="L866" s="210"/>
      <c r="M866" s="210"/>
      <c r="N866" s="210"/>
      <c r="O866" s="210"/>
      <c r="P866" s="210"/>
      <c r="Q866" s="210"/>
      <c r="R866" s="210"/>
      <c r="S866" s="210"/>
      <c r="T866" s="210"/>
      <c r="U866" s="210"/>
      <c r="V866" s="210"/>
      <c r="W866" s="210"/>
      <c r="X866" s="210"/>
      <c r="Y866" s="210"/>
      <c r="Z866" s="210"/>
      <c r="AA866" s="210"/>
      <c r="AB866" s="210"/>
      <c r="AC866" s="210"/>
      <c r="AI866" s="210"/>
      <c r="AJ866" s="210"/>
    </row>
    <row r="867" ht="12.75" customHeight="1">
      <c r="C867" s="210"/>
      <c r="D867" s="210"/>
      <c r="E867" s="210"/>
      <c r="F867" s="210"/>
      <c r="G867" s="210"/>
      <c r="H867" s="210"/>
      <c r="I867" s="210"/>
      <c r="J867" s="210"/>
      <c r="K867" s="210"/>
      <c r="L867" s="210"/>
      <c r="M867" s="210"/>
      <c r="N867" s="210"/>
      <c r="O867" s="210"/>
      <c r="P867" s="210"/>
      <c r="Q867" s="210"/>
      <c r="R867" s="210"/>
      <c r="S867" s="210"/>
      <c r="T867" s="210"/>
      <c r="U867" s="210"/>
      <c r="V867" s="210"/>
      <c r="W867" s="210"/>
      <c r="X867" s="210"/>
      <c r="Y867" s="210"/>
      <c r="Z867" s="210"/>
      <c r="AA867" s="210"/>
      <c r="AB867" s="210"/>
      <c r="AC867" s="210"/>
      <c r="AI867" s="210"/>
      <c r="AJ867" s="210"/>
    </row>
    <row r="868" ht="12.75" customHeight="1">
      <c r="C868" s="210"/>
      <c r="D868" s="210"/>
      <c r="E868" s="210"/>
      <c r="F868" s="210"/>
      <c r="G868" s="210"/>
      <c r="H868" s="210"/>
      <c r="I868" s="210"/>
      <c r="J868" s="210"/>
      <c r="K868" s="210"/>
      <c r="L868" s="210"/>
      <c r="M868" s="210"/>
      <c r="N868" s="210"/>
      <c r="O868" s="210"/>
      <c r="P868" s="210"/>
      <c r="Q868" s="210"/>
      <c r="R868" s="210"/>
      <c r="S868" s="210"/>
      <c r="T868" s="210"/>
      <c r="U868" s="210"/>
      <c r="V868" s="210"/>
      <c r="W868" s="210"/>
      <c r="X868" s="210"/>
      <c r="Y868" s="210"/>
      <c r="Z868" s="210"/>
      <c r="AA868" s="210"/>
      <c r="AB868" s="210"/>
      <c r="AC868" s="210"/>
      <c r="AI868" s="210"/>
      <c r="AJ868" s="210"/>
    </row>
    <row r="869" ht="12.75" customHeight="1">
      <c r="C869" s="210"/>
      <c r="D869" s="210"/>
      <c r="E869" s="210"/>
      <c r="F869" s="210"/>
      <c r="G869" s="210"/>
      <c r="H869" s="210"/>
      <c r="I869" s="210"/>
      <c r="J869" s="210"/>
      <c r="K869" s="210"/>
      <c r="L869" s="210"/>
      <c r="M869" s="210"/>
      <c r="N869" s="210"/>
      <c r="O869" s="210"/>
      <c r="P869" s="210"/>
      <c r="Q869" s="210"/>
      <c r="R869" s="210"/>
      <c r="S869" s="210"/>
      <c r="T869" s="210"/>
      <c r="U869" s="210"/>
      <c r="V869" s="210"/>
      <c r="W869" s="210"/>
      <c r="X869" s="210"/>
      <c r="Y869" s="210"/>
      <c r="Z869" s="210"/>
      <c r="AA869" s="210"/>
      <c r="AB869" s="210"/>
      <c r="AC869" s="210"/>
      <c r="AI869" s="210"/>
      <c r="AJ869" s="210"/>
    </row>
    <row r="870" ht="12.75" customHeight="1">
      <c r="C870" s="210"/>
      <c r="D870" s="210"/>
      <c r="E870" s="210"/>
      <c r="F870" s="210"/>
      <c r="G870" s="210"/>
      <c r="H870" s="210"/>
      <c r="I870" s="210"/>
      <c r="J870" s="210"/>
      <c r="K870" s="210"/>
      <c r="L870" s="210"/>
      <c r="M870" s="210"/>
      <c r="N870" s="210"/>
      <c r="O870" s="210"/>
      <c r="P870" s="210"/>
      <c r="Q870" s="210"/>
      <c r="R870" s="210"/>
      <c r="S870" s="210"/>
      <c r="T870" s="210"/>
      <c r="U870" s="210"/>
      <c r="V870" s="210"/>
      <c r="W870" s="210"/>
      <c r="X870" s="210"/>
      <c r="Y870" s="210"/>
      <c r="Z870" s="210"/>
      <c r="AA870" s="210"/>
      <c r="AB870" s="210"/>
      <c r="AC870" s="210"/>
      <c r="AI870" s="210"/>
      <c r="AJ870" s="210"/>
    </row>
    <row r="871" ht="12.75" customHeight="1">
      <c r="C871" s="210"/>
      <c r="D871" s="210"/>
      <c r="E871" s="210"/>
      <c r="F871" s="210"/>
      <c r="G871" s="210"/>
      <c r="H871" s="210"/>
      <c r="I871" s="210"/>
      <c r="J871" s="210"/>
      <c r="K871" s="210"/>
      <c r="L871" s="210"/>
      <c r="M871" s="210"/>
      <c r="N871" s="210"/>
      <c r="O871" s="210"/>
      <c r="P871" s="210"/>
      <c r="Q871" s="210"/>
      <c r="R871" s="210"/>
      <c r="S871" s="210"/>
      <c r="T871" s="210"/>
      <c r="U871" s="210"/>
      <c r="V871" s="210"/>
      <c r="W871" s="210"/>
      <c r="X871" s="210"/>
      <c r="Y871" s="210"/>
      <c r="Z871" s="210"/>
      <c r="AA871" s="210"/>
      <c r="AB871" s="210"/>
      <c r="AC871" s="210"/>
      <c r="AI871" s="210"/>
      <c r="AJ871" s="210"/>
    </row>
    <row r="872" ht="12.75" customHeight="1">
      <c r="C872" s="210"/>
      <c r="D872" s="210"/>
      <c r="E872" s="210"/>
      <c r="F872" s="210"/>
      <c r="G872" s="210"/>
      <c r="H872" s="210"/>
      <c r="I872" s="210"/>
      <c r="J872" s="210"/>
      <c r="K872" s="210"/>
      <c r="L872" s="210"/>
      <c r="M872" s="210"/>
      <c r="N872" s="210"/>
      <c r="O872" s="210"/>
      <c r="P872" s="210"/>
      <c r="Q872" s="210"/>
      <c r="R872" s="210"/>
      <c r="S872" s="210"/>
      <c r="T872" s="210"/>
      <c r="U872" s="210"/>
      <c r="V872" s="210"/>
      <c r="W872" s="210"/>
      <c r="X872" s="210"/>
      <c r="Y872" s="210"/>
      <c r="Z872" s="210"/>
      <c r="AA872" s="210"/>
      <c r="AB872" s="210"/>
      <c r="AC872" s="210"/>
      <c r="AI872" s="210"/>
      <c r="AJ872" s="210"/>
    </row>
    <row r="873" ht="12.75" customHeight="1">
      <c r="C873" s="210"/>
      <c r="D873" s="210"/>
      <c r="E873" s="210"/>
      <c r="F873" s="210"/>
      <c r="G873" s="210"/>
      <c r="H873" s="210"/>
      <c r="I873" s="210"/>
      <c r="J873" s="210"/>
      <c r="K873" s="210"/>
      <c r="L873" s="210"/>
      <c r="M873" s="210"/>
      <c r="N873" s="210"/>
      <c r="O873" s="210"/>
      <c r="P873" s="210"/>
      <c r="Q873" s="210"/>
      <c r="R873" s="210"/>
      <c r="S873" s="210"/>
      <c r="T873" s="210"/>
      <c r="U873" s="210"/>
      <c r="V873" s="210"/>
      <c r="W873" s="210"/>
      <c r="X873" s="210"/>
      <c r="Y873" s="210"/>
      <c r="Z873" s="210"/>
      <c r="AA873" s="210"/>
      <c r="AB873" s="210"/>
      <c r="AC873" s="210"/>
      <c r="AI873" s="210"/>
      <c r="AJ873" s="210"/>
    </row>
    <row r="874" ht="12.75" customHeight="1">
      <c r="C874" s="210"/>
      <c r="D874" s="210"/>
      <c r="E874" s="210"/>
      <c r="F874" s="210"/>
      <c r="G874" s="210"/>
      <c r="H874" s="210"/>
      <c r="I874" s="210"/>
      <c r="J874" s="210"/>
      <c r="K874" s="210"/>
      <c r="L874" s="210"/>
      <c r="M874" s="210"/>
      <c r="N874" s="210"/>
      <c r="O874" s="210"/>
      <c r="P874" s="210"/>
      <c r="Q874" s="210"/>
      <c r="R874" s="210"/>
      <c r="S874" s="210"/>
      <c r="T874" s="210"/>
      <c r="U874" s="210"/>
      <c r="V874" s="210"/>
      <c r="W874" s="210"/>
      <c r="X874" s="210"/>
      <c r="Y874" s="210"/>
      <c r="Z874" s="210"/>
      <c r="AA874" s="210"/>
      <c r="AB874" s="210"/>
      <c r="AC874" s="210"/>
      <c r="AI874" s="210"/>
      <c r="AJ874" s="210"/>
    </row>
    <row r="875" ht="12.75" customHeight="1">
      <c r="C875" s="210"/>
      <c r="D875" s="210"/>
      <c r="E875" s="210"/>
      <c r="F875" s="210"/>
      <c r="G875" s="210"/>
      <c r="H875" s="210"/>
      <c r="I875" s="210"/>
      <c r="J875" s="210"/>
      <c r="K875" s="210"/>
      <c r="L875" s="210"/>
      <c r="M875" s="210"/>
      <c r="N875" s="210"/>
      <c r="O875" s="210"/>
      <c r="P875" s="210"/>
      <c r="Q875" s="210"/>
      <c r="R875" s="210"/>
      <c r="S875" s="210"/>
      <c r="T875" s="210"/>
      <c r="U875" s="210"/>
      <c r="V875" s="210"/>
      <c r="W875" s="210"/>
      <c r="X875" s="210"/>
      <c r="Y875" s="210"/>
      <c r="Z875" s="210"/>
      <c r="AA875" s="210"/>
      <c r="AB875" s="210"/>
      <c r="AC875" s="210"/>
      <c r="AI875" s="210"/>
      <c r="AJ875" s="210"/>
    </row>
    <row r="876" ht="12.75" customHeight="1">
      <c r="C876" s="210"/>
      <c r="D876" s="210"/>
      <c r="E876" s="210"/>
      <c r="F876" s="210"/>
      <c r="G876" s="210"/>
      <c r="H876" s="210"/>
      <c r="I876" s="210"/>
      <c r="J876" s="210"/>
      <c r="K876" s="210"/>
      <c r="L876" s="210"/>
      <c r="M876" s="210"/>
      <c r="N876" s="210"/>
      <c r="O876" s="210"/>
      <c r="P876" s="210"/>
      <c r="Q876" s="210"/>
      <c r="R876" s="210"/>
      <c r="S876" s="210"/>
      <c r="T876" s="210"/>
      <c r="U876" s="210"/>
      <c r="V876" s="210"/>
      <c r="W876" s="210"/>
      <c r="X876" s="210"/>
      <c r="Y876" s="210"/>
      <c r="Z876" s="210"/>
      <c r="AA876" s="210"/>
      <c r="AB876" s="210"/>
      <c r="AC876" s="210"/>
      <c r="AI876" s="210"/>
      <c r="AJ876" s="210"/>
    </row>
    <row r="877" ht="12.75" customHeight="1">
      <c r="C877" s="210"/>
      <c r="D877" s="210"/>
      <c r="E877" s="210"/>
      <c r="F877" s="210"/>
      <c r="G877" s="210"/>
      <c r="H877" s="210"/>
      <c r="I877" s="210"/>
      <c r="J877" s="210"/>
      <c r="K877" s="210"/>
      <c r="L877" s="210"/>
      <c r="M877" s="210"/>
      <c r="N877" s="210"/>
      <c r="O877" s="210"/>
      <c r="P877" s="210"/>
      <c r="Q877" s="210"/>
      <c r="R877" s="210"/>
      <c r="S877" s="210"/>
      <c r="T877" s="210"/>
      <c r="U877" s="210"/>
      <c r="V877" s="210"/>
      <c r="W877" s="210"/>
      <c r="X877" s="210"/>
      <c r="Y877" s="210"/>
      <c r="Z877" s="210"/>
      <c r="AA877" s="210"/>
      <c r="AB877" s="210"/>
      <c r="AC877" s="210"/>
      <c r="AI877" s="210"/>
      <c r="AJ877" s="210"/>
    </row>
    <row r="878" ht="12.75" customHeight="1">
      <c r="C878" s="210"/>
      <c r="D878" s="210"/>
      <c r="E878" s="210"/>
      <c r="F878" s="210"/>
      <c r="G878" s="210"/>
      <c r="H878" s="210"/>
      <c r="I878" s="210"/>
      <c r="J878" s="210"/>
      <c r="K878" s="210"/>
      <c r="L878" s="210"/>
      <c r="M878" s="210"/>
      <c r="N878" s="210"/>
      <c r="O878" s="210"/>
      <c r="P878" s="210"/>
      <c r="Q878" s="210"/>
      <c r="R878" s="210"/>
      <c r="S878" s="210"/>
      <c r="T878" s="210"/>
      <c r="U878" s="210"/>
      <c r="V878" s="210"/>
      <c r="W878" s="210"/>
      <c r="X878" s="210"/>
      <c r="Y878" s="210"/>
      <c r="Z878" s="210"/>
      <c r="AA878" s="210"/>
      <c r="AB878" s="210"/>
      <c r="AC878" s="210"/>
      <c r="AI878" s="210"/>
      <c r="AJ878" s="210"/>
    </row>
    <row r="879" ht="12.75" customHeight="1">
      <c r="C879" s="210"/>
      <c r="D879" s="210"/>
      <c r="E879" s="210"/>
      <c r="F879" s="210"/>
      <c r="G879" s="210"/>
      <c r="H879" s="210"/>
      <c r="I879" s="210"/>
      <c r="J879" s="210"/>
      <c r="K879" s="210"/>
      <c r="L879" s="210"/>
      <c r="M879" s="210"/>
      <c r="N879" s="210"/>
      <c r="O879" s="210"/>
      <c r="P879" s="210"/>
      <c r="Q879" s="210"/>
      <c r="R879" s="210"/>
      <c r="S879" s="210"/>
      <c r="T879" s="210"/>
      <c r="U879" s="210"/>
      <c r="V879" s="210"/>
      <c r="W879" s="210"/>
      <c r="X879" s="210"/>
      <c r="Y879" s="210"/>
      <c r="Z879" s="210"/>
      <c r="AA879" s="210"/>
      <c r="AB879" s="210"/>
      <c r="AC879" s="210"/>
      <c r="AI879" s="210"/>
      <c r="AJ879" s="210"/>
    </row>
    <row r="880" ht="12.75" customHeight="1">
      <c r="C880" s="210"/>
      <c r="D880" s="210"/>
      <c r="E880" s="210"/>
      <c r="F880" s="210"/>
      <c r="G880" s="210"/>
      <c r="H880" s="210"/>
      <c r="I880" s="210"/>
      <c r="J880" s="210"/>
      <c r="K880" s="210"/>
      <c r="L880" s="210"/>
      <c r="M880" s="210"/>
      <c r="N880" s="210"/>
      <c r="O880" s="210"/>
      <c r="P880" s="210"/>
      <c r="Q880" s="210"/>
      <c r="R880" s="210"/>
      <c r="S880" s="210"/>
      <c r="T880" s="210"/>
      <c r="U880" s="210"/>
      <c r="V880" s="210"/>
      <c r="W880" s="210"/>
      <c r="X880" s="210"/>
      <c r="Y880" s="210"/>
      <c r="Z880" s="210"/>
      <c r="AA880" s="210"/>
      <c r="AB880" s="210"/>
      <c r="AC880" s="210"/>
      <c r="AI880" s="210"/>
      <c r="AJ880" s="210"/>
    </row>
    <row r="881" ht="12.75" customHeight="1">
      <c r="C881" s="210"/>
      <c r="D881" s="210"/>
      <c r="E881" s="210"/>
      <c r="F881" s="210"/>
      <c r="G881" s="210"/>
      <c r="H881" s="210"/>
      <c r="I881" s="210"/>
      <c r="J881" s="210"/>
      <c r="K881" s="210"/>
      <c r="L881" s="210"/>
      <c r="M881" s="210"/>
      <c r="N881" s="210"/>
      <c r="O881" s="210"/>
      <c r="P881" s="210"/>
      <c r="Q881" s="210"/>
      <c r="R881" s="210"/>
      <c r="S881" s="210"/>
      <c r="T881" s="210"/>
      <c r="U881" s="210"/>
      <c r="V881" s="210"/>
      <c r="W881" s="210"/>
      <c r="X881" s="210"/>
      <c r="Y881" s="210"/>
      <c r="Z881" s="210"/>
      <c r="AA881" s="210"/>
      <c r="AB881" s="210"/>
      <c r="AC881" s="210"/>
      <c r="AI881" s="210"/>
      <c r="AJ881" s="210"/>
    </row>
    <row r="882" ht="12.75" customHeight="1">
      <c r="C882" s="210"/>
      <c r="D882" s="210"/>
      <c r="E882" s="210"/>
      <c r="F882" s="210"/>
      <c r="G882" s="210"/>
      <c r="H882" s="210"/>
      <c r="I882" s="210"/>
      <c r="J882" s="210"/>
      <c r="K882" s="210"/>
      <c r="L882" s="210"/>
      <c r="M882" s="210"/>
      <c r="N882" s="210"/>
      <c r="O882" s="210"/>
      <c r="P882" s="210"/>
      <c r="Q882" s="210"/>
      <c r="R882" s="210"/>
      <c r="S882" s="210"/>
      <c r="T882" s="210"/>
      <c r="U882" s="210"/>
      <c r="V882" s="210"/>
      <c r="W882" s="210"/>
      <c r="X882" s="210"/>
      <c r="Y882" s="210"/>
      <c r="Z882" s="210"/>
      <c r="AA882" s="210"/>
      <c r="AB882" s="210"/>
      <c r="AC882" s="210"/>
      <c r="AI882" s="210"/>
      <c r="AJ882" s="210"/>
    </row>
    <row r="883" ht="12.75" customHeight="1">
      <c r="C883" s="210"/>
      <c r="D883" s="210"/>
      <c r="E883" s="210"/>
      <c r="F883" s="210"/>
      <c r="G883" s="210"/>
      <c r="H883" s="210"/>
      <c r="I883" s="210"/>
      <c r="J883" s="210"/>
      <c r="K883" s="210"/>
      <c r="L883" s="210"/>
      <c r="M883" s="210"/>
      <c r="N883" s="210"/>
      <c r="O883" s="210"/>
      <c r="P883" s="210"/>
      <c r="Q883" s="210"/>
      <c r="R883" s="210"/>
      <c r="S883" s="210"/>
      <c r="T883" s="210"/>
      <c r="U883" s="210"/>
      <c r="V883" s="210"/>
      <c r="W883" s="210"/>
      <c r="X883" s="210"/>
      <c r="Y883" s="210"/>
      <c r="Z883" s="210"/>
      <c r="AA883" s="210"/>
      <c r="AB883" s="210"/>
      <c r="AC883" s="210"/>
      <c r="AI883" s="210"/>
      <c r="AJ883" s="210"/>
    </row>
    <row r="884" ht="12.75" customHeight="1">
      <c r="C884" s="210"/>
      <c r="D884" s="210"/>
      <c r="E884" s="210"/>
      <c r="F884" s="210"/>
      <c r="G884" s="210"/>
      <c r="H884" s="210"/>
      <c r="I884" s="210"/>
      <c r="J884" s="210"/>
      <c r="K884" s="210"/>
      <c r="L884" s="210"/>
      <c r="M884" s="210"/>
      <c r="N884" s="210"/>
      <c r="O884" s="210"/>
      <c r="P884" s="210"/>
      <c r="Q884" s="210"/>
      <c r="R884" s="210"/>
      <c r="S884" s="210"/>
      <c r="T884" s="210"/>
      <c r="U884" s="210"/>
      <c r="V884" s="210"/>
      <c r="W884" s="210"/>
      <c r="X884" s="210"/>
      <c r="Y884" s="210"/>
      <c r="Z884" s="210"/>
      <c r="AA884" s="210"/>
      <c r="AB884" s="210"/>
      <c r="AC884" s="210"/>
      <c r="AI884" s="210"/>
      <c r="AJ884" s="210"/>
    </row>
    <row r="885" ht="12.75" customHeight="1">
      <c r="C885" s="210"/>
      <c r="D885" s="210"/>
      <c r="E885" s="210"/>
      <c r="F885" s="210"/>
      <c r="G885" s="210"/>
      <c r="H885" s="210"/>
      <c r="I885" s="210"/>
      <c r="J885" s="210"/>
      <c r="K885" s="210"/>
      <c r="L885" s="210"/>
      <c r="M885" s="210"/>
      <c r="N885" s="210"/>
      <c r="O885" s="210"/>
      <c r="P885" s="210"/>
      <c r="Q885" s="210"/>
      <c r="R885" s="210"/>
      <c r="S885" s="210"/>
      <c r="T885" s="210"/>
      <c r="U885" s="210"/>
      <c r="V885" s="210"/>
      <c r="W885" s="210"/>
      <c r="X885" s="210"/>
      <c r="Y885" s="210"/>
      <c r="Z885" s="210"/>
      <c r="AA885" s="210"/>
      <c r="AB885" s="210"/>
      <c r="AC885" s="210"/>
      <c r="AI885" s="210"/>
      <c r="AJ885" s="210"/>
    </row>
    <row r="886" ht="12.75" customHeight="1">
      <c r="C886" s="210"/>
      <c r="D886" s="210"/>
      <c r="E886" s="210"/>
      <c r="F886" s="210"/>
      <c r="G886" s="210"/>
      <c r="H886" s="210"/>
      <c r="I886" s="210"/>
      <c r="J886" s="210"/>
      <c r="K886" s="210"/>
      <c r="L886" s="210"/>
      <c r="M886" s="210"/>
      <c r="N886" s="210"/>
      <c r="O886" s="210"/>
      <c r="P886" s="210"/>
      <c r="Q886" s="210"/>
      <c r="R886" s="210"/>
      <c r="S886" s="210"/>
      <c r="T886" s="210"/>
      <c r="U886" s="210"/>
      <c r="V886" s="210"/>
      <c r="W886" s="210"/>
      <c r="X886" s="210"/>
      <c r="Y886" s="210"/>
      <c r="Z886" s="210"/>
      <c r="AA886" s="210"/>
      <c r="AB886" s="210"/>
      <c r="AC886" s="210"/>
      <c r="AI886" s="210"/>
      <c r="AJ886" s="210"/>
    </row>
    <row r="887" ht="12.75" customHeight="1">
      <c r="C887" s="210"/>
      <c r="D887" s="210"/>
      <c r="E887" s="210"/>
      <c r="F887" s="210"/>
      <c r="G887" s="210"/>
      <c r="H887" s="210"/>
      <c r="I887" s="210"/>
      <c r="J887" s="210"/>
      <c r="K887" s="210"/>
      <c r="L887" s="210"/>
      <c r="M887" s="210"/>
      <c r="N887" s="210"/>
      <c r="O887" s="210"/>
      <c r="P887" s="210"/>
      <c r="Q887" s="210"/>
      <c r="R887" s="210"/>
      <c r="S887" s="210"/>
      <c r="T887" s="210"/>
      <c r="U887" s="210"/>
      <c r="V887" s="210"/>
      <c r="W887" s="210"/>
      <c r="X887" s="210"/>
      <c r="Y887" s="210"/>
      <c r="Z887" s="210"/>
      <c r="AA887" s="210"/>
      <c r="AB887" s="210"/>
      <c r="AC887" s="210"/>
      <c r="AI887" s="210"/>
      <c r="AJ887" s="210"/>
    </row>
    <row r="888" ht="12.75" customHeight="1">
      <c r="C888" s="210"/>
      <c r="D888" s="210"/>
      <c r="E888" s="210"/>
      <c r="F888" s="210"/>
      <c r="G888" s="210"/>
      <c r="H888" s="210"/>
      <c r="I888" s="210"/>
      <c r="J888" s="210"/>
      <c r="K888" s="210"/>
      <c r="L888" s="210"/>
      <c r="M888" s="210"/>
      <c r="N888" s="210"/>
      <c r="O888" s="210"/>
      <c r="P888" s="210"/>
      <c r="Q888" s="210"/>
      <c r="R888" s="210"/>
      <c r="S888" s="210"/>
      <c r="T888" s="210"/>
      <c r="U888" s="210"/>
      <c r="V888" s="210"/>
      <c r="W888" s="210"/>
      <c r="X888" s="210"/>
      <c r="Y888" s="210"/>
      <c r="Z888" s="210"/>
      <c r="AA888" s="210"/>
      <c r="AB888" s="210"/>
      <c r="AC888" s="210"/>
      <c r="AI888" s="210"/>
      <c r="AJ888" s="210"/>
    </row>
    <row r="889" ht="12.75" customHeight="1">
      <c r="C889" s="210"/>
      <c r="D889" s="210"/>
      <c r="E889" s="210"/>
      <c r="F889" s="210"/>
      <c r="G889" s="210"/>
      <c r="H889" s="210"/>
      <c r="I889" s="210"/>
      <c r="J889" s="210"/>
      <c r="K889" s="210"/>
      <c r="L889" s="210"/>
      <c r="M889" s="210"/>
      <c r="N889" s="210"/>
      <c r="O889" s="210"/>
      <c r="P889" s="210"/>
      <c r="Q889" s="210"/>
      <c r="R889" s="210"/>
      <c r="S889" s="210"/>
      <c r="T889" s="210"/>
      <c r="U889" s="210"/>
      <c r="V889" s="210"/>
      <c r="W889" s="210"/>
      <c r="X889" s="210"/>
      <c r="Y889" s="210"/>
      <c r="Z889" s="210"/>
      <c r="AA889" s="210"/>
      <c r="AB889" s="210"/>
      <c r="AC889" s="210"/>
      <c r="AI889" s="210"/>
      <c r="AJ889" s="210"/>
    </row>
    <row r="890" ht="12.75" customHeight="1">
      <c r="C890" s="210"/>
      <c r="D890" s="210"/>
      <c r="E890" s="210"/>
      <c r="F890" s="210"/>
      <c r="G890" s="210"/>
      <c r="H890" s="210"/>
      <c r="I890" s="210"/>
      <c r="J890" s="210"/>
      <c r="K890" s="210"/>
      <c r="L890" s="210"/>
      <c r="M890" s="210"/>
      <c r="N890" s="210"/>
      <c r="O890" s="210"/>
      <c r="P890" s="210"/>
      <c r="Q890" s="210"/>
      <c r="R890" s="210"/>
      <c r="S890" s="210"/>
      <c r="T890" s="210"/>
      <c r="U890" s="210"/>
      <c r="V890" s="210"/>
      <c r="W890" s="210"/>
      <c r="X890" s="210"/>
      <c r="Y890" s="210"/>
      <c r="Z890" s="210"/>
      <c r="AA890" s="210"/>
      <c r="AB890" s="210"/>
      <c r="AC890" s="210"/>
      <c r="AI890" s="210"/>
      <c r="AJ890" s="210"/>
    </row>
    <row r="891" ht="12.75" customHeight="1">
      <c r="C891" s="210"/>
      <c r="D891" s="210"/>
      <c r="E891" s="210"/>
      <c r="F891" s="210"/>
      <c r="G891" s="210"/>
      <c r="H891" s="210"/>
      <c r="I891" s="210"/>
      <c r="J891" s="210"/>
      <c r="K891" s="210"/>
      <c r="L891" s="210"/>
      <c r="M891" s="210"/>
      <c r="N891" s="210"/>
      <c r="O891" s="210"/>
      <c r="P891" s="210"/>
      <c r="Q891" s="210"/>
      <c r="R891" s="210"/>
      <c r="S891" s="210"/>
      <c r="T891" s="210"/>
      <c r="U891" s="210"/>
      <c r="V891" s="210"/>
      <c r="W891" s="210"/>
      <c r="X891" s="210"/>
      <c r="Y891" s="210"/>
      <c r="Z891" s="210"/>
      <c r="AA891" s="210"/>
      <c r="AB891" s="210"/>
      <c r="AC891" s="210"/>
      <c r="AI891" s="210"/>
      <c r="AJ891" s="210"/>
    </row>
    <row r="892" ht="12.75" customHeight="1">
      <c r="C892" s="210"/>
      <c r="D892" s="210"/>
      <c r="E892" s="210"/>
      <c r="F892" s="210"/>
      <c r="G892" s="210"/>
      <c r="H892" s="210"/>
      <c r="I892" s="210"/>
      <c r="J892" s="210"/>
      <c r="K892" s="210"/>
      <c r="L892" s="210"/>
      <c r="M892" s="210"/>
      <c r="N892" s="210"/>
      <c r="O892" s="210"/>
      <c r="P892" s="210"/>
      <c r="Q892" s="210"/>
      <c r="R892" s="210"/>
      <c r="S892" s="210"/>
      <c r="T892" s="210"/>
      <c r="U892" s="210"/>
      <c r="V892" s="210"/>
      <c r="W892" s="210"/>
      <c r="X892" s="210"/>
      <c r="Y892" s="210"/>
      <c r="Z892" s="210"/>
      <c r="AA892" s="210"/>
      <c r="AB892" s="210"/>
      <c r="AC892" s="210"/>
      <c r="AI892" s="210"/>
      <c r="AJ892" s="210"/>
    </row>
    <row r="893" ht="12.75" customHeight="1">
      <c r="C893" s="210"/>
      <c r="D893" s="210"/>
      <c r="E893" s="210"/>
      <c r="F893" s="210"/>
      <c r="G893" s="210"/>
      <c r="H893" s="210"/>
      <c r="I893" s="210"/>
      <c r="J893" s="210"/>
      <c r="K893" s="210"/>
      <c r="L893" s="210"/>
      <c r="M893" s="210"/>
      <c r="N893" s="210"/>
      <c r="O893" s="210"/>
      <c r="P893" s="210"/>
      <c r="Q893" s="210"/>
      <c r="R893" s="210"/>
      <c r="S893" s="210"/>
      <c r="T893" s="210"/>
      <c r="U893" s="210"/>
      <c r="V893" s="210"/>
      <c r="W893" s="210"/>
      <c r="X893" s="210"/>
      <c r="Y893" s="210"/>
      <c r="Z893" s="210"/>
      <c r="AA893" s="210"/>
      <c r="AB893" s="210"/>
      <c r="AC893" s="210"/>
      <c r="AI893" s="210"/>
      <c r="AJ893" s="210"/>
    </row>
    <row r="894" ht="12.75" customHeight="1">
      <c r="C894" s="210"/>
      <c r="D894" s="210"/>
      <c r="E894" s="210"/>
      <c r="F894" s="210"/>
      <c r="G894" s="210"/>
      <c r="H894" s="210"/>
      <c r="I894" s="210"/>
      <c r="J894" s="210"/>
      <c r="K894" s="210"/>
      <c r="L894" s="210"/>
      <c r="M894" s="210"/>
      <c r="N894" s="210"/>
      <c r="O894" s="210"/>
      <c r="P894" s="210"/>
      <c r="Q894" s="210"/>
      <c r="R894" s="210"/>
      <c r="S894" s="210"/>
      <c r="T894" s="210"/>
      <c r="U894" s="210"/>
      <c r="V894" s="210"/>
      <c r="W894" s="210"/>
      <c r="X894" s="210"/>
      <c r="Y894" s="210"/>
      <c r="Z894" s="210"/>
      <c r="AA894" s="210"/>
      <c r="AB894" s="210"/>
      <c r="AC894" s="210"/>
      <c r="AI894" s="210"/>
      <c r="AJ894" s="210"/>
    </row>
    <row r="895" ht="12.75" customHeight="1">
      <c r="C895" s="210"/>
      <c r="D895" s="210"/>
      <c r="E895" s="210"/>
      <c r="F895" s="210"/>
      <c r="G895" s="210"/>
      <c r="H895" s="210"/>
      <c r="I895" s="210"/>
      <c r="J895" s="210"/>
      <c r="K895" s="210"/>
      <c r="L895" s="210"/>
      <c r="M895" s="210"/>
      <c r="N895" s="210"/>
      <c r="O895" s="210"/>
      <c r="P895" s="210"/>
      <c r="Q895" s="210"/>
      <c r="R895" s="210"/>
      <c r="S895" s="210"/>
      <c r="T895" s="210"/>
      <c r="U895" s="210"/>
      <c r="V895" s="210"/>
      <c r="W895" s="210"/>
      <c r="X895" s="210"/>
      <c r="Y895" s="210"/>
      <c r="Z895" s="210"/>
      <c r="AA895" s="210"/>
      <c r="AB895" s="210"/>
      <c r="AC895" s="210"/>
      <c r="AI895" s="210"/>
      <c r="AJ895" s="210"/>
    </row>
    <row r="896" ht="12.75" customHeight="1">
      <c r="C896" s="210"/>
      <c r="D896" s="210"/>
      <c r="E896" s="210"/>
      <c r="F896" s="210"/>
      <c r="G896" s="210"/>
      <c r="H896" s="210"/>
      <c r="I896" s="210"/>
      <c r="J896" s="210"/>
      <c r="K896" s="210"/>
      <c r="L896" s="210"/>
      <c r="M896" s="210"/>
      <c r="N896" s="210"/>
      <c r="O896" s="210"/>
      <c r="P896" s="210"/>
      <c r="Q896" s="210"/>
      <c r="R896" s="210"/>
      <c r="S896" s="210"/>
      <c r="T896" s="210"/>
      <c r="U896" s="210"/>
      <c r="V896" s="210"/>
      <c r="W896" s="210"/>
      <c r="X896" s="210"/>
      <c r="Y896" s="210"/>
      <c r="Z896" s="210"/>
      <c r="AA896" s="210"/>
      <c r="AB896" s="210"/>
      <c r="AC896" s="210"/>
      <c r="AI896" s="210"/>
      <c r="AJ896" s="210"/>
    </row>
    <row r="897" ht="12.75" customHeight="1">
      <c r="C897" s="210"/>
      <c r="D897" s="210"/>
      <c r="E897" s="210"/>
      <c r="F897" s="210"/>
      <c r="G897" s="210"/>
      <c r="H897" s="210"/>
      <c r="I897" s="210"/>
      <c r="J897" s="210"/>
      <c r="K897" s="210"/>
      <c r="L897" s="210"/>
      <c r="M897" s="210"/>
      <c r="N897" s="210"/>
      <c r="O897" s="210"/>
      <c r="P897" s="210"/>
      <c r="Q897" s="210"/>
      <c r="R897" s="210"/>
      <c r="S897" s="210"/>
      <c r="T897" s="210"/>
      <c r="U897" s="210"/>
      <c r="V897" s="210"/>
      <c r="W897" s="210"/>
      <c r="X897" s="210"/>
      <c r="Y897" s="210"/>
      <c r="Z897" s="210"/>
      <c r="AA897" s="210"/>
      <c r="AB897" s="210"/>
      <c r="AC897" s="210"/>
      <c r="AI897" s="210"/>
      <c r="AJ897" s="210"/>
    </row>
    <row r="898" ht="12.75" customHeight="1">
      <c r="C898" s="210"/>
      <c r="D898" s="210"/>
      <c r="E898" s="210"/>
      <c r="F898" s="210"/>
      <c r="G898" s="210"/>
      <c r="H898" s="210"/>
      <c r="I898" s="210"/>
      <c r="J898" s="210"/>
      <c r="K898" s="210"/>
      <c r="L898" s="210"/>
      <c r="M898" s="210"/>
      <c r="N898" s="210"/>
      <c r="O898" s="210"/>
      <c r="P898" s="210"/>
      <c r="Q898" s="210"/>
      <c r="R898" s="210"/>
      <c r="S898" s="210"/>
      <c r="T898" s="210"/>
      <c r="U898" s="210"/>
      <c r="V898" s="210"/>
      <c r="W898" s="210"/>
      <c r="X898" s="210"/>
      <c r="Y898" s="210"/>
      <c r="Z898" s="210"/>
      <c r="AA898" s="210"/>
      <c r="AB898" s="210"/>
      <c r="AC898" s="210"/>
      <c r="AI898" s="210"/>
      <c r="AJ898" s="210"/>
    </row>
    <row r="899" ht="12.75" customHeight="1">
      <c r="C899" s="210"/>
      <c r="D899" s="210"/>
      <c r="E899" s="210"/>
      <c r="F899" s="210"/>
      <c r="G899" s="210"/>
      <c r="H899" s="210"/>
      <c r="I899" s="210"/>
      <c r="J899" s="210"/>
      <c r="K899" s="210"/>
      <c r="L899" s="210"/>
      <c r="M899" s="210"/>
      <c r="N899" s="210"/>
      <c r="O899" s="210"/>
      <c r="P899" s="210"/>
      <c r="Q899" s="210"/>
      <c r="R899" s="210"/>
      <c r="S899" s="210"/>
      <c r="T899" s="210"/>
      <c r="U899" s="210"/>
      <c r="V899" s="210"/>
      <c r="W899" s="210"/>
      <c r="X899" s="210"/>
      <c r="Y899" s="210"/>
      <c r="Z899" s="210"/>
      <c r="AA899" s="210"/>
      <c r="AB899" s="210"/>
      <c r="AC899" s="210"/>
      <c r="AI899" s="210"/>
      <c r="AJ899" s="210"/>
    </row>
    <row r="900" ht="12.75" customHeight="1">
      <c r="C900" s="210"/>
      <c r="D900" s="210"/>
      <c r="E900" s="210"/>
      <c r="F900" s="210"/>
      <c r="G900" s="210"/>
      <c r="H900" s="210"/>
      <c r="I900" s="210"/>
      <c r="J900" s="210"/>
      <c r="K900" s="210"/>
      <c r="L900" s="210"/>
      <c r="M900" s="210"/>
      <c r="N900" s="210"/>
      <c r="O900" s="210"/>
      <c r="P900" s="210"/>
      <c r="Q900" s="210"/>
      <c r="R900" s="210"/>
      <c r="S900" s="210"/>
      <c r="T900" s="210"/>
      <c r="U900" s="210"/>
      <c r="V900" s="210"/>
      <c r="W900" s="210"/>
      <c r="X900" s="210"/>
      <c r="Y900" s="210"/>
      <c r="Z900" s="210"/>
      <c r="AA900" s="210"/>
      <c r="AB900" s="210"/>
      <c r="AC900" s="210"/>
      <c r="AI900" s="210"/>
      <c r="AJ900" s="210"/>
    </row>
    <row r="901" ht="12.75" customHeight="1">
      <c r="C901" s="210"/>
      <c r="D901" s="210"/>
      <c r="E901" s="210"/>
      <c r="F901" s="210"/>
      <c r="G901" s="210"/>
      <c r="H901" s="210"/>
      <c r="I901" s="210"/>
      <c r="J901" s="210"/>
      <c r="K901" s="210"/>
      <c r="L901" s="210"/>
      <c r="M901" s="210"/>
      <c r="N901" s="210"/>
      <c r="O901" s="210"/>
      <c r="P901" s="210"/>
      <c r="Q901" s="210"/>
      <c r="R901" s="210"/>
      <c r="S901" s="210"/>
      <c r="T901" s="210"/>
      <c r="U901" s="210"/>
      <c r="V901" s="210"/>
      <c r="W901" s="210"/>
      <c r="X901" s="210"/>
      <c r="Y901" s="210"/>
      <c r="Z901" s="210"/>
      <c r="AA901" s="210"/>
      <c r="AB901" s="210"/>
      <c r="AC901" s="210"/>
      <c r="AI901" s="210"/>
      <c r="AJ901" s="210"/>
    </row>
    <row r="902" ht="12.75" customHeight="1">
      <c r="C902" s="210"/>
      <c r="D902" s="210"/>
      <c r="E902" s="210"/>
      <c r="F902" s="210"/>
      <c r="G902" s="210"/>
      <c r="H902" s="210"/>
      <c r="I902" s="210"/>
      <c r="J902" s="210"/>
      <c r="K902" s="210"/>
      <c r="L902" s="210"/>
      <c r="M902" s="210"/>
      <c r="N902" s="210"/>
      <c r="O902" s="210"/>
      <c r="P902" s="210"/>
      <c r="Q902" s="210"/>
      <c r="R902" s="210"/>
      <c r="S902" s="210"/>
      <c r="T902" s="210"/>
      <c r="U902" s="210"/>
      <c r="V902" s="210"/>
      <c r="W902" s="210"/>
      <c r="X902" s="210"/>
      <c r="Y902" s="210"/>
      <c r="Z902" s="210"/>
      <c r="AA902" s="210"/>
      <c r="AB902" s="210"/>
      <c r="AC902" s="210"/>
      <c r="AI902" s="210"/>
      <c r="AJ902" s="210"/>
    </row>
    <row r="903" ht="12.75" customHeight="1">
      <c r="C903" s="210"/>
      <c r="D903" s="210"/>
      <c r="E903" s="210"/>
      <c r="F903" s="210"/>
      <c r="G903" s="210"/>
      <c r="H903" s="210"/>
      <c r="I903" s="210"/>
      <c r="J903" s="210"/>
      <c r="K903" s="210"/>
      <c r="L903" s="210"/>
      <c r="M903" s="210"/>
      <c r="N903" s="210"/>
      <c r="O903" s="210"/>
      <c r="P903" s="210"/>
      <c r="Q903" s="210"/>
      <c r="R903" s="210"/>
      <c r="S903" s="210"/>
      <c r="T903" s="210"/>
      <c r="U903" s="210"/>
      <c r="V903" s="210"/>
      <c r="W903" s="210"/>
      <c r="X903" s="210"/>
      <c r="Y903" s="210"/>
      <c r="Z903" s="210"/>
      <c r="AA903" s="210"/>
      <c r="AB903" s="210"/>
      <c r="AC903" s="210"/>
      <c r="AI903" s="210"/>
      <c r="AJ903" s="210"/>
    </row>
    <row r="904" ht="12.75" customHeight="1">
      <c r="C904" s="210"/>
      <c r="D904" s="210"/>
      <c r="E904" s="210"/>
      <c r="F904" s="210"/>
      <c r="G904" s="210"/>
      <c r="H904" s="210"/>
      <c r="I904" s="210"/>
      <c r="J904" s="210"/>
      <c r="K904" s="210"/>
      <c r="L904" s="210"/>
      <c r="M904" s="210"/>
      <c r="N904" s="210"/>
      <c r="O904" s="210"/>
      <c r="P904" s="210"/>
      <c r="Q904" s="210"/>
      <c r="R904" s="210"/>
      <c r="S904" s="210"/>
      <c r="T904" s="210"/>
      <c r="U904" s="210"/>
      <c r="V904" s="210"/>
      <c r="W904" s="210"/>
      <c r="X904" s="210"/>
      <c r="Y904" s="210"/>
      <c r="Z904" s="210"/>
      <c r="AA904" s="210"/>
      <c r="AB904" s="210"/>
      <c r="AC904" s="210"/>
      <c r="AI904" s="210"/>
      <c r="AJ904" s="210"/>
    </row>
    <row r="905" ht="12.75" customHeight="1">
      <c r="C905" s="210"/>
      <c r="D905" s="210"/>
      <c r="E905" s="210"/>
      <c r="F905" s="210"/>
      <c r="G905" s="210"/>
      <c r="H905" s="210"/>
      <c r="I905" s="210"/>
      <c r="J905" s="210"/>
      <c r="K905" s="210"/>
      <c r="L905" s="210"/>
      <c r="M905" s="210"/>
      <c r="N905" s="210"/>
      <c r="O905" s="210"/>
      <c r="P905" s="210"/>
      <c r="Q905" s="210"/>
      <c r="R905" s="210"/>
      <c r="S905" s="210"/>
      <c r="T905" s="210"/>
      <c r="U905" s="210"/>
      <c r="V905" s="210"/>
      <c r="W905" s="210"/>
      <c r="X905" s="210"/>
      <c r="Y905" s="210"/>
      <c r="Z905" s="210"/>
      <c r="AA905" s="210"/>
      <c r="AB905" s="210"/>
      <c r="AC905" s="210"/>
      <c r="AI905" s="210"/>
      <c r="AJ905" s="210"/>
    </row>
    <row r="906" ht="12.75" customHeight="1">
      <c r="C906" s="210"/>
      <c r="D906" s="210"/>
      <c r="E906" s="210"/>
      <c r="F906" s="210"/>
      <c r="G906" s="210"/>
      <c r="H906" s="210"/>
      <c r="I906" s="210"/>
      <c r="J906" s="210"/>
      <c r="K906" s="210"/>
      <c r="L906" s="210"/>
      <c r="M906" s="210"/>
      <c r="N906" s="210"/>
      <c r="O906" s="210"/>
      <c r="P906" s="210"/>
      <c r="Q906" s="210"/>
      <c r="R906" s="210"/>
      <c r="S906" s="210"/>
      <c r="T906" s="210"/>
      <c r="U906" s="210"/>
      <c r="V906" s="210"/>
      <c r="W906" s="210"/>
      <c r="X906" s="210"/>
      <c r="Y906" s="210"/>
      <c r="Z906" s="210"/>
      <c r="AA906" s="210"/>
      <c r="AB906" s="210"/>
      <c r="AC906" s="210"/>
      <c r="AI906" s="210"/>
      <c r="AJ906" s="210"/>
    </row>
    <row r="907" ht="12.75" customHeight="1">
      <c r="C907" s="210"/>
      <c r="D907" s="210"/>
      <c r="E907" s="210"/>
      <c r="F907" s="210"/>
      <c r="G907" s="210"/>
      <c r="H907" s="210"/>
      <c r="I907" s="210"/>
      <c r="J907" s="210"/>
      <c r="K907" s="210"/>
      <c r="L907" s="210"/>
      <c r="M907" s="210"/>
      <c r="N907" s="210"/>
      <c r="O907" s="210"/>
      <c r="P907" s="210"/>
      <c r="Q907" s="210"/>
      <c r="R907" s="210"/>
      <c r="S907" s="210"/>
      <c r="T907" s="210"/>
      <c r="U907" s="210"/>
      <c r="V907" s="210"/>
      <c r="W907" s="210"/>
      <c r="X907" s="210"/>
      <c r="Y907" s="210"/>
      <c r="Z907" s="210"/>
      <c r="AA907" s="210"/>
      <c r="AB907" s="210"/>
      <c r="AC907" s="210"/>
      <c r="AI907" s="210"/>
      <c r="AJ907" s="210"/>
    </row>
    <row r="908" ht="12.75" customHeight="1">
      <c r="C908" s="210"/>
      <c r="D908" s="210"/>
      <c r="E908" s="210"/>
      <c r="F908" s="210"/>
      <c r="G908" s="210"/>
      <c r="H908" s="210"/>
      <c r="I908" s="210"/>
      <c r="J908" s="210"/>
      <c r="K908" s="210"/>
      <c r="L908" s="210"/>
      <c r="M908" s="210"/>
      <c r="N908" s="210"/>
      <c r="O908" s="210"/>
      <c r="P908" s="210"/>
      <c r="Q908" s="210"/>
      <c r="R908" s="210"/>
      <c r="S908" s="210"/>
      <c r="T908" s="210"/>
      <c r="U908" s="210"/>
      <c r="V908" s="210"/>
      <c r="W908" s="210"/>
      <c r="X908" s="210"/>
      <c r="Y908" s="210"/>
      <c r="Z908" s="210"/>
      <c r="AA908" s="210"/>
      <c r="AB908" s="210"/>
      <c r="AC908" s="210"/>
      <c r="AI908" s="210"/>
      <c r="AJ908" s="210"/>
    </row>
    <row r="909" ht="12.75" customHeight="1">
      <c r="C909" s="210"/>
      <c r="D909" s="210"/>
      <c r="E909" s="210"/>
      <c r="F909" s="210"/>
      <c r="G909" s="210"/>
      <c r="H909" s="210"/>
      <c r="I909" s="210"/>
      <c r="J909" s="210"/>
      <c r="K909" s="210"/>
      <c r="L909" s="210"/>
      <c r="M909" s="210"/>
      <c r="N909" s="210"/>
      <c r="O909" s="210"/>
      <c r="P909" s="210"/>
      <c r="Q909" s="210"/>
      <c r="R909" s="210"/>
      <c r="S909" s="210"/>
      <c r="T909" s="210"/>
      <c r="U909" s="210"/>
      <c r="V909" s="210"/>
      <c r="W909" s="210"/>
      <c r="X909" s="210"/>
      <c r="Y909" s="210"/>
      <c r="Z909" s="210"/>
      <c r="AA909" s="210"/>
      <c r="AB909" s="210"/>
      <c r="AC909" s="210"/>
      <c r="AI909" s="210"/>
      <c r="AJ909" s="210"/>
    </row>
    <row r="910" ht="12.75" customHeight="1">
      <c r="C910" s="210"/>
      <c r="D910" s="210"/>
      <c r="E910" s="210"/>
      <c r="F910" s="210"/>
      <c r="G910" s="210"/>
      <c r="H910" s="210"/>
      <c r="I910" s="210"/>
      <c r="J910" s="210"/>
      <c r="K910" s="210"/>
      <c r="L910" s="210"/>
      <c r="M910" s="210"/>
      <c r="N910" s="210"/>
      <c r="O910" s="210"/>
      <c r="P910" s="210"/>
      <c r="Q910" s="210"/>
      <c r="R910" s="210"/>
      <c r="S910" s="210"/>
      <c r="T910" s="210"/>
      <c r="U910" s="210"/>
      <c r="V910" s="210"/>
      <c r="W910" s="210"/>
      <c r="X910" s="210"/>
      <c r="Y910" s="210"/>
      <c r="Z910" s="210"/>
      <c r="AA910" s="210"/>
      <c r="AB910" s="210"/>
      <c r="AC910" s="210"/>
      <c r="AI910" s="210"/>
      <c r="AJ910" s="210"/>
    </row>
    <row r="911" ht="12.75" customHeight="1">
      <c r="C911" s="210"/>
      <c r="D911" s="210"/>
      <c r="E911" s="210"/>
      <c r="F911" s="210"/>
      <c r="G911" s="210"/>
      <c r="H911" s="210"/>
      <c r="I911" s="210"/>
      <c r="J911" s="210"/>
      <c r="K911" s="210"/>
      <c r="L911" s="210"/>
      <c r="M911" s="210"/>
      <c r="N911" s="210"/>
      <c r="O911" s="210"/>
      <c r="P911" s="210"/>
      <c r="Q911" s="210"/>
      <c r="R911" s="210"/>
      <c r="S911" s="210"/>
      <c r="T911" s="210"/>
      <c r="U911" s="210"/>
      <c r="V911" s="210"/>
      <c r="W911" s="210"/>
      <c r="X911" s="210"/>
      <c r="Y911" s="210"/>
      <c r="Z911" s="210"/>
      <c r="AA911" s="210"/>
      <c r="AB911" s="210"/>
      <c r="AC911" s="210"/>
      <c r="AI911" s="210"/>
      <c r="AJ911" s="210"/>
    </row>
    <row r="912" ht="12.75" customHeight="1">
      <c r="C912" s="210"/>
      <c r="D912" s="210"/>
      <c r="E912" s="210"/>
      <c r="F912" s="210"/>
      <c r="G912" s="210"/>
      <c r="H912" s="210"/>
      <c r="I912" s="210"/>
      <c r="J912" s="210"/>
      <c r="K912" s="210"/>
      <c r="L912" s="210"/>
      <c r="M912" s="210"/>
      <c r="N912" s="210"/>
      <c r="O912" s="210"/>
      <c r="P912" s="210"/>
      <c r="Q912" s="210"/>
      <c r="R912" s="210"/>
      <c r="S912" s="210"/>
      <c r="T912" s="210"/>
      <c r="U912" s="210"/>
      <c r="V912" s="210"/>
      <c r="W912" s="210"/>
      <c r="X912" s="210"/>
      <c r="Y912" s="210"/>
      <c r="Z912" s="210"/>
      <c r="AA912" s="210"/>
      <c r="AB912" s="210"/>
      <c r="AC912" s="210"/>
      <c r="AI912" s="210"/>
      <c r="AJ912" s="210"/>
    </row>
    <row r="913" ht="12.75" customHeight="1">
      <c r="C913" s="210"/>
      <c r="D913" s="210"/>
      <c r="E913" s="210"/>
      <c r="F913" s="210"/>
      <c r="G913" s="210"/>
      <c r="H913" s="210"/>
      <c r="I913" s="210"/>
      <c r="J913" s="210"/>
      <c r="K913" s="210"/>
      <c r="L913" s="210"/>
      <c r="M913" s="210"/>
      <c r="N913" s="210"/>
      <c r="O913" s="210"/>
      <c r="P913" s="210"/>
      <c r="Q913" s="210"/>
      <c r="R913" s="210"/>
      <c r="S913" s="210"/>
      <c r="T913" s="210"/>
      <c r="U913" s="210"/>
      <c r="V913" s="210"/>
      <c r="W913" s="210"/>
      <c r="X913" s="210"/>
      <c r="Y913" s="210"/>
      <c r="Z913" s="210"/>
      <c r="AA913" s="210"/>
      <c r="AB913" s="210"/>
      <c r="AC913" s="210"/>
      <c r="AI913" s="210"/>
      <c r="AJ913" s="210"/>
    </row>
    <row r="914" ht="12.75" customHeight="1">
      <c r="C914" s="210"/>
      <c r="D914" s="210"/>
      <c r="E914" s="210"/>
      <c r="F914" s="210"/>
      <c r="G914" s="210"/>
      <c r="H914" s="210"/>
      <c r="I914" s="210"/>
      <c r="J914" s="210"/>
      <c r="K914" s="210"/>
      <c r="L914" s="210"/>
      <c r="M914" s="210"/>
      <c r="N914" s="210"/>
      <c r="O914" s="210"/>
      <c r="P914" s="210"/>
      <c r="Q914" s="210"/>
      <c r="R914" s="210"/>
      <c r="S914" s="210"/>
      <c r="T914" s="210"/>
      <c r="U914" s="210"/>
      <c r="V914" s="210"/>
      <c r="W914" s="210"/>
      <c r="X914" s="210"/>
      <c r="Y914" s="210"/>
      <c r="Z914" s="210"/>
      <c r="AA914" s="210"/>
      <c r="AB914" s="210"/>
      <c r="AC914" s="210"/>
      <c r="AI914" s="210"/>
      <c r="AJ914" s="210"/>
    </row>
    <row r="915" ht="12.75" customHeight="1">
      <c r="C915" s="210"/>
      <c r="D915" s="210"/>
      <c r="E915" s="210"/>
      <c r="F915" s="210"/>
      <c r="G915" s="210"/>
      <c r="H915" s="210"/>
      <c r="I915" s="210"/>
      <c r="J915" s="210"/>
      <c r="K915" s="210"/>
      <c r="L915" s="210"/>
      <c r="M915" s="210"/>
      <c r="N915" s="210"/>
      <c r="O915" s="210"/>
      <c r="P915" s="210"/>
      <c r="Q915" s="210"/>
      <c r="R915" s="210"/>
      <c r="S915" s="210"/>
      <c r="T915" s="210"/>
      <c r="U915" s="210"/>
      <c r="V915" s="210"/>
      <c r="W915" s="210"/>
      <c r="X915" s="210"/>
      <c r="Y915" s="210"/>
      <c r="Z915" s="210"/>
      <c r="AA915" s="210"/>
      <c r="AB915" s="210"/>
      <c r="AC915" s="210"/>
      <c r="AI915" s="210"/>
      <c r="AJ915" s="210"/>
    </row>
    <row r="916" ht="12.75" customHeight="1">
      <c r="C916" s="210"/>
      <c r="D916" s="210"/>
      <c r="E916" s="210"/>
      <c r="F916" s="210"/>
      <c r="G916" s="210"/>
      <c r="H916" s="210"/>
      <c r="I916" s="210"/>
      <c r="J916" s="210"/>
      <c r="K916" s="210"/>
      <c r="L916" s="210"/>
      <c r="M916" s="210"/>
      <c r="N916" s="210"/>
      <c r="O916" s="210"/>
      <c r="P916" s="210"/>
      <c r="Q916" s="210"/>
      <c r="R916" s="210"/>
      <c r="S916" s="210"/>
      <c r="T916" s="210"/>
      <c r="U916" s="210"/>
      <c r="V916" s="210"/>
      <c r="W916" s="210"/>
      <c r="X916" s="210"/>
      <c r="Y916" s="210"/>
      <c r="Z916" s="210"/>
      <c r="AA916" s="210"/>
      <c r="AB916" s="210"/>
      <c r="AC916" s="210"/>
      <c r="AI916" s="210"/>
      <c r="AJ916" s="210"/>
    </row>
    <row r="917" ht="12.75" customHeight="1">
      <c r="C917" s="210"/>
      <c r="D917" s="210"/>
      <c r="E917" s="210"/>
      <c r="F917" s="210"/>
      <c r="G917" s="210"/>
      <c r="H917" s="210"/>
      <c r="I917" s="210"/>
      <c r="J917" s="210"/>
      <c r="K917" s="210"/>
      <c r="L917" s="210"/>
      <c r="M917" s="210"/>
      <c r="N917" s="210"/>
      <c r="O917" s="210"/>
      <c r="P917" s="210"/>
      <c r="Q917" s="210"/>
      <c r="R917" s="210"/>
      <c r="S917" s="210"/>
      <c r="T917" s="210"/>
      <c r="U917" s="210"/>
      <c r="V917" s="210"/>
      <c r="W917" s="210"/>
      <c r="X917" s="210"/>
      <c r="Y917" s="210"/>
      <c r="Z917" s="210"/>
      <c r="AA917" s="210"/>
      <c r="AB917" s="210"/>
      <c r="AC917" s="210"/>
      <c r="AI917" s="210"/>
      <c r="AJ917" s="210"/>
    </row>
    <row r="918" ht="12.75" customHeight="1">
      <c r="C918" s="210"/>
      <c r="D918" s="210"/>
      <c r="E918" s="210"/>
      <c r="F918" s="210"/>
      <c r="G918" s="210"/>
      <c r="H918" s="210"/>
      <c r="I918" s="210"/>
      <c r="J918" s="210"/>
      <c r="K918" s="210"/>
      <c r="L918" s="210"/>
      <c r="M918" s="210"/>
      <c r="N918" s="210"/>
      <c r="O918" s="210"/>
      <c r="P918" s="210"/>
      <c r="Q918" s="210"/>
      <c r="R918" s="210"/>
      <c r="S918" s="210"/>
      <c r="T918" s="210"/>
      <c r="U918" s="210"/>
      <c r="V918" s="210"/>
      <c r="W918" s="210"/>
      <c r="X918" s="210"/>
      <c r="Y918" s="210"/>
      <c r="Z918" s="210"/>
      <c r="AA918" s="210"/>
      <c r="AB918" s="210"/>
      <c r="AC918" s="210"/>
      <c r="AI918" s="210"/>
      <c r="AJ918" s="210"/>
    </row>
    <row r="919" ht="12.75" customHeight="1">
      <c r="C919" s="210"/>
      <c r="D919" s="210"/>
      <c r="E919" s="210"/>
      <c r="F919" s="210"/>
      <c r="G919" s="210"/>
      <c r="H919" s="210"/>
      <c r="I919" s="210"/>
      <c r="J919" s="210"/>
      <c r="K919" s="210"/>
      <c r="L919" s="210"/>
      <c r="M919" s="210"/>
      <c r="N919" s="210"/>
      <c r="O919" s="210"/>
      <c r="P919" s="210"/>
      <c r="Q919" s="210"/>
      <c r="R919" s="210"/>
      <c r="S919" s="210"/>
      <c r="T919" s="210"/>
      <c r="U919" s="210"/>
      <c r="V919" s="210"/>
      <c r="W919" s="210"/>
      <c r="X919" s="210"/>
      <c r="Y919" s="210"/>
      <c r="Z919" s="210"/>
      <c r="AA919" s="210"/>
      <c r="AB919" s="210"/>
      <c r="AC919" s="210"/>
      <c r="AI919" s="210"/>
      <c r="AJ919" s="210"/>
    </row>
    <row r="920" ht="12.75" customHeight="1">
      <c r="C920" s="210"/>
      <c r="D920" s="210"/>
      <c r="E920" s="210"/>
      <c r="F920" s="210"/>
      <c r="G920" s="210"/>
      <c r="H920" s="210"/>
      <c r="I920" s="210"/>
      <c r="J920" s="210"/>
      <c r="K920" s="210"/>
      <c r="L920" s="210"/>
      <c r="M920" s="210"/>
      <c r="N920" s="210"/>
      <c r="O920" s="210"/>
      <c r="P920" s="210"/>
      <c r="Q920" s="210"/>
      <c r="R920" s="210"/>
      <c r="S920" s="210"/>
      <c r="T920" s="210"/>
      <c r="U920" s="210"/>
      <c r="V920" s="210"/>
      <c r="W920" s="210"/>
      <c r="X920" s="210"/>
      <c r="Y920" s="210"/>
      <c r="Z920" s="210"/>
      <c r="AA920" s="210"/>
      <c r="AB920" s="210"/>
      <c r="AC920" s="210"/>
      <c r="AI920" s="210"/>
      <c r="AJ920" s="210"/>
    </row>
    <row r="921" ht="12.75" customHeight="1">
      <c r="C921" s="210"/>
      <c r="D921" s="210"/>
      <c r="E921" s="210"/>
      <c r="F921" s="210"/>
      <c r="G921" s="210"/>
      <c r="H921" s="210"/>
      <c r="I921" s="210"/>
      <c r="J921" s="210"/>
      <c r="K921" s="210"/>
      <c r="L921" s="210"/>
      <c r="M921" s="210"/>
      <c r="N921" s="210"/>
      <c r="O921" s="210"/>
      <c r="P921" s="210"/>
      <c r="Q921" s="210"/>
      <c r="R921" s="210"/>
      <c r="S921" s="210"/>
      <c r="T921" s="210"/>
      <c r="U921" s="210"/>
      <c r="V921" s="210"/>
      <c r="W921" s="210"/>
      <c r="X921" s="210"/>
      <c r="Y921" s="210"/>
      <c r="Z921" s="210"/>
      <c r="AA921" s="210"/>
      <c r="AB921" s="210"/>
      <c r="AC921" s="210"/>
      <c r="AI921" s="210"/>
      <c r="AJ921" s="210"/>
    </row>
    <row r="922" ht="12.75" customHeight="1">
      <c r="C922" s="210"/>
      <c r="D922" s="210"/>
      <c r="E922" s="210"/>
      <c r="F922" s="210"/>
      <c r="G922" s="210"/>
      <c r="H922" s="210"/>
      <c r="I922" s="210"/>
      <c r="J922" s="210"/>
      <c r="K922" s="210"/>
      <c r="L922" s="210"/>
      <c r="M922" s="210"/>
      <c r="N922" s="210"/>
      <c r="O922" s="210"/>
      <c r="P922" s="210"/>
      <c r="Q922" s="210"/>
      <c r="R922" s="210"/>
      <c r="S922" s="210"/>
      <c r="T922" s="210"/>
      <c r="U922" s="210"/>
      <c r="V922" s="210"/>
      <c r="W922" s="210"/>
      <c r="X922" s="210"/>
      <c r="Y922" s="210"/>
      <c r="Z922" s="210"/>
      <c r="AA922" s="210"/>
      <c r="AB922" s="210"/>
      <c r="AC922" s="210"/>
      <c r="AI922" s="210"/>
      <c r="AJ922" s="210"/>
    </row>
    <row r="923" ht="12.75" customHeight="1">
      <c r="C923" s="210"/>
      <c r="D923" s="210"/>
      <c r="E923" s="210"/>
      <c r="F923" s="210"/>
      <c r="G923" s="210"/>
      <c r="H923" s="210"/>
      <c r="I923" s="210"/>
      <c r="J923" s="210"/>
      <c r="K923" s="210"/>
      <c r="L923" s="210"/>
      <c r="M923" s="210"/>
      <c r="N923" s="210"/>
      <c r="O923" s="210"/>
      <c r="P923" s="210"/>
      <c r="Q923" s="210"/>
      <c r="R923" s="210"/>
      <c r="S923" s="210"/>
      <c r="T923" s="210"/>
      <c r="U923" s="210"/>
      <c r="V923" s="210"/>
      <c r="W923" s="210"/>
      <c r="X923" s="210"/>
      <c r="Y923" s="210"/>
      <c r="Z923" s="210"/>
      <c r="AA923" s="210"/>
      <c r="AB923" s="210"/>
      <c r="AC923" s="210"/>
      <c r="AI923" s="210"/>
      <c r="AJ923" s="210"/>
    </row>
    <row r="924" ht="12.75" customHeight="1">
      <c r="C924" s="210"/>
      <c r="D924" s="210"/>
      <c r="E924" s="210"/>
      <c r="F924" s="210"/>
      <c r="G924" s="210"/>
      <c r="H924" s="210"/>
      <c r="I924" s="210"/>
      <c r="J924" s="210"/>
      <c r="K924" s="210"/>
      <c r="L924" s="210"/>
      <c r="M924" s="210"/>
      <c r="N924" s="210"/>
      <c r="O924" s="210"/>
      <c r="P924" s="210"/>
      <c r="Q924" s="210"/>
      <c r="R924" s="210"/>
      <c r="S924" s="210"/>
      <c r="T924" s="210"/>
      <c r="U924" s="210"/>
      <c r="V924" s="210"/>
      <c r="W924" s="210"/>
      <c r="X924" s="210"/>
      <c r="Y924" s="210"/>
      <c r="Z924" s="210"/>
      <c r="AA924" s="210"/>
      <c r="AB924" s="210"/>
      <c r="AC924" s="210"/>
      <c r="AI924" s="210"/>
      <c r="AJ924" s="210"/>
    </row>
    <row r="925" ht="12.75" customHeight="1">
      <c r="C925" s="210"/>
      <c r="D925" s="210"/>
      <c r="E925" s="210"/>
      <c r="F925" s="210"/>
      <c r="G925" s="210"/>
      <c r="H925" s="210"/>
      <c r="I925" s="210"/>
      <c r="J925" s="210"/>
      <c r="K925" s="210"/>
      <c r="L925" s="210"/>
      <c r="M925" s="210"/>
      <c r="N925" s="210"/>
      <c r="O925" s="210"/>
      <c r="P925" s="210"/>
      <c r="Q925" s="210"/>
      <c r="R925" s="210"/>
      <c r="S925" s="210"/>
      <c r="T925" s="210"/>
      <c r="U925" s="210"/>
      <c r="V925" s="210"/>
      <c r="W925" s="210"/>
      <c r="X925" s="210"/>
      <c r="Y925" s="210"/>
      <c r="Z925" s="210"/>
      <c r="AA925" s="210"/>
      <c r="AB925" s="210"/>
      <c r="AC925" s="210"/>
      <c r="AI925" s="210"/>
      <c r="AJ925" s="210"/>
    </row>
    <row r="926" ht="12.75" customHeight="1">
      <c r="C926" s="210"/>
      <c r="D926" s="210"/>
      <c r="E926" s="210"/>
      <c r="F926" s="210"/>
      <c r="G926" s="210"/>
      <c r="H926" s="210"/>
      <c r="I926" s="210"/>
      <c r="J926" s="210"/>
      <c r="K926" s="210"/>
      <c r="L926" s="210"/>
      <c r="M926" s="210"/>
      <c r="N926" s="210"/>
      <c r="O926" s="210"/>
      <c r="P926" s="210"/>
      <c r="Q926" s="210"/>
      <c r="R926" s="210"/>
      <c r="S926" s="210"/>
      <c r="T926" s="210"/>
      <c r="U926" s="210"/>
      <c r="V926" s="210"/>
      <c r="W926" s="210"/>
      <c r="X926" s="210"/>
      <c r="Y926" s="210"/>
      <c r="Z926" s="210"/>
      <c r="AA926" s="210"/>
      <c r="AB926" s="210"/>
      <c r="AC926" s="210"/>
      <c r="AI926" s="210"/>
      <c r="AJ926" s="210"/>
    </row>
    <row r="927" ht="12.75" customHeight="1">
      <c r="C927" s="210"/>
      <c r="D927" s="210"/>
      <c r="E927" s="210"/>
      <c r="F927" s="210"/>
      <c r="G927" s="210"/>
      <c r="H927" s="210"/>
      <c r="I927" s="210"/>
      <c r="J927" s="210"/>
      <c r="K927" s="210"/>
      <c r="L927" s="210"/>
      <c r="M927" s="210"/>
      <c r="N927" s="210"/>
      <c r="O927" s="210"/>
      <c r="P927" s="210"/>
      <c r="Q927" s="210"/>
      <c r="R927" s="210"/>
      <c r="S927" s="210"/>
      <c r="T927" s="210"/>
      <c r="U927" s="210"/>
      <c r="V927" s="210"/>
      <c r="W927" s="210"/>
      <c r="X927" s="210"/>
      <c r="Y927" s="210"/>
      <c r="Z927" s="210"/>
      <c r="AA927" s="210"/>
      <c r="AB927" s="210"/>
      <c r="AC927" s="210"/>
      <c r="AI927" s="210"/>
      <c r="AJ927" s="210"/>
    </row>
    <row r="928" ht="12.75" customHeight="1">
      <c r="C928" s="210"/>
      <c r="D928" s="210"/>
      <c r="E928" s="210"/>
      <c r="F928" s="210"/>
      <c r="G928" s="210"/>
      <c r="H928" s="210"/>
      <c r="I928" s="210"/>
      <c r="J928" s="210"/>
      <c r="K928" s="210"/>
      <c r="L928" s="210"/>
      <c r="M928" s="210"/>
      <c r="N928" s="210"/>
      <c r="O928" s="210"/>
      <c r="P928" s="210"/>
      <c r="Q928" s="210"/>
      <c r="R928" s="210"/>
      <c r="S928" s="210"/>
      <c r="T928" s="210"/>
      <c r="U928" s="210"/>
      <c r="V928" s="210"/>
      <c r="W928" s="210"/>
      <c r="X928" s="210"/>
      <c r="Y928" s="210"/>
      <c r="Z928" s="210"/>
      <c r="AA928" s="210"/>
      <c r="AB928" s="210"/>
      <c r="AC928" s="210"/>
      <c r="AI928" s="210"/>
      <c r="AJ928" s="210"/>
    </row>
    <row r="929" ht="12.75" customHeight="1">
      <c r="C929" s="210"/>
      <c r="D929" s="210"/>
      <c r="E929" s="210"/>
      <c r="F929" s="210"/>
      <c r="G929" s="210"/>
      <c r="H929" s="210"/>
      <c r="I929" s="210"/>
      <c r="J929" s="210"/>
      <c r="K929" s="210"/>
      <c r="L929" s="210"/>
      <c r="M929" s="210"/>
      <c r="N929" s="210"/>
      <c r="O929" s="210"/>
      <c r="P929" s="210"/>
      <c r="Q929" s="210"/>
      <c r="R929" s="210"/>
      <c r="S929" s="210"/>
      <c r="T929" s="210"/>
      <c r="U929" s="210"/>
      <c r="V929" s="210"/>
      <c r="W929" s="210"/>
      <c r="X929" s="210"/>
      <c r="Y929" s="210"/>
      <c r="Z929" s="210"/>
      <c r="AA929" s="210"/>
      <c r="AB929" s="210"/>
      <c r="AC929" s="210"/>
      <c r="AI929" s="210"/>
      <c r="AJ929" s="210"/>
    </row>
    <row r="930" ht="12.75" customHeight="1">
      <c r="C930" s="210"/>
      <c r="D930" s="210"/>
      <c r="E930" s="210"/>
      <c r="F930" s="210"/>
      <c r="G930" s="210"/>
      <c r="H930" s="210"/>
      <c r="I930" s="210"/>
      <c r="J930" s="210"/>
      <c r="K930" s="210"/>
      <c r="L930" s="210"/>
      <c r="M930" s="210"/>
      <c r="N930" s="210"/>
      <c r="O930" s="210"/>
      <c r="P930" s="210"/>
      <c r="Q930" s="210"/>
      <c r="R930" s="210"/>
      <c r="S930" s="210"/>
      <c r="T930" s="210"/>
      <c r="U930" s="210"/>
      <c r="V930" s="210"/>
      <c r="W930" s="210"/>
      <c r="X930" s="210"/>
      <c r="Y930" s="210"/>
      <c r="Z930" s="210"/>
      <c r="AA930" s="210"/>
      <c r="AB930" s="210"/>
      <c r="AC930" s="210"/>
      <c r="AI930" s="210"/>
      <c r="AJ930" s="210"/>
    </row>
    <row r="931" ht="12.75" customHeight="1">
      <c r="C931" s="210"/>
      <c r="D931" s="210"/>
      <c r="E931" s="210"/>
      <c r="F931" s="210"/>
      <c r="G931" s="210"/>
      <c r="H931" s="210"/>
      <c r="I931" s="210"/>
      <c r="J931" s="210"/>
      <c r="K931" s="210"/>
      <c r="L931" s="210"/>
      <c r="M931" s="210"/>
      <c r="N931" s="210"/>
      <c r="O931" s="210"/>
      <c r="P931" s="210"/>
      <c r="Q931" s="210"/>
      <c r="R931" s="210"/>
      <c r="S931" s="210"/>
      <c r="T931" s="210"/>
      <c r="U931" s="210"/>
      <c r="V931" s="210"/>
      <c r="W931" s="210"/>
      <c r="X931" s="210"/>
      <c r="Y931" s="210"/>
      <c r="Z931" s="210"/>
      <c r="AA931" s="210"/>
      <c r="AB931" s="210"/>
      <c r="AC931" s="210"/>
      <c r="AI931" s="210"/>
      <c r="AJ931" s="210"/>
    </row>
    <row r="932" ht="12.75" customHeight="1">
      <c r="C932" s="210"/>
      <c r="D932" s="210"/>
      <c r="E932" s="210"/>
      <c r="F932" s="210"/>
      <c r="G932" s="210"/>
      <c r="H932" s="210"/>
      <c r="I932" s="210"/>
      <c r="J932" s="210"/>
      <c r="K932" s="210"/>
      <c r="L932" s="210"/>
      <c r="M932" s="210"/>
      <c r="N932" s="210"/>
      <c r="O932" s="210"/>
      <c r="P932" s="210"/>
      <c r="Q932" s="210"/>
      <c r="R932" s="210"/>
      <c r="S932" s="210"/>
      <c r="T932" s="210"/>
      <c r="U932" s="210"/>
      <c r="V932" s="210"/>
      <c r="W932" s="210"/>
      <c r="X932" s="210"/>
      <c r="Y932" s="210"/>
      <c r="Z932" s="210"/>
      <c r="AA932" s="210"/>
      <c r="AB932" s="210"/>
      <c r="AC932" s="210"/>
      <c r="AI932" s="210"/>
      <c r="AJ932" s="210"/>
    </row>
    <row r="933" ht="12.75" customHeight="1">
      <c r="C933" s="210"/>
      <c r="D933" s="210"/>
      <c r="E933" s="210"/>
      <c r="F933" s="210"/>
      <c r="G933" s="210"/>
      <c r="H933" s="210"/>
      <c r="I933" s="210"/>
      <c r="J933" s="210"/>
      <c r="K933" s="210"/>
      <c r="L933" s="210"/>
      <c r="M933" s="210"/>
      <c r="N933" s="210"/>
      <c r="O933" s="210"/>
      <c r="P933" s="210"/>
      <c r="Q933" s="210"/>
      <c r="R933" s="210"/>
      <c r="S933" s="210"/>
      <c r="T933" s="210"/>
      <c r="U933" s="210"/>
      <c r="V933" s="210"/>
      <c r="W933" s="210"/>
      <c r="X933" s="210"/>
      <c r="Y933" s="210"/>
      <c r="Z933" s="210"/>
      <c r="AA933" s="210"/>
      <c r="AB933" s="210"/>
      <c r="AC933" s="210"/>
      <c r="AI933" s="210"/>
      <c r="AJ933" s="210"/>
    </row>
    <row r="934" ht="12.75" customHeight="1">
      <c r="C934" s="210"/>
      <c r="D934" s="210"/>
      <c r="E934" s="210"/>
      <c r="F934" s="210"/>
      <c r="G934" s="210"/>
      <c r="H934" s="210"/>
      <c r="I934" s="210"/>
      <c r="J934" s="210"/>
      <c r="K934" s="210"/>
      <c r="L934" s="210"/>
      <c r="M934" s="210"/>
      <c r="N934" s="210"/>
      <c r="O934" s="210"/>
      <c r="P934" s="210"/>
      <c r="Q934" s="210"/>
      <c r="R934" s="210"/>
      <c r="S934" s="210"/>
      <c r="T934" s="210"/>
      <c r="U934" s="210"/>
      <c r="V934" s="210"/>
      <c r="W934" s="210"/>
      <c r="X934" s="210"/>
      <c r="Y934" s="210"/>
      <c r="Z934" s="210"/>
      <c r="AA934" s="210"/>
      <c r="AB934" s="210"/>
      <c r="AC934" s="210"/>
      <c r="AI934" s="210"/>
      <c r="AJ934" s="210"/>
    </row>
    <row r="935" ht="12.75" customHeight="1">
      <c r="C935" s="210"/>
      <c r="D935" s="210"/>
      <c r="E935" s="210"/>
      <c r="F935" s="210"/>
      <c r="G935" s="210"/>
      <c r="H935" s="210"/>
      <c r="I935" s="210"/>
      <c r="J935" s="210"/>
      <c r="K935" s="210"/>
      <c r="L935" s="210"/>
      <c r="M935" s="210"/>
      <c r="N935" s="210"/>
      <c r="O935" s="210"/>
      <c r="P935" s="210"/>
      <c r="Q935" s="210"/>
      <c r="R935" s="210"/>
      <c r="S935" s="210"/>
      <c r="T935" s="210"/>
      <c r="U935" s="210"/>
      <c r="V935" s="210"/>
      <c r="W935" s="210"/>
      <c r="X935" s="210"/>
      <c r="Y935" s="210"/>
      <c r="Z935" s="210"/>
      <c r="AA935" s="210"/>
      <c r="AB935" s="210"/>
      <c r="AC935" s="210"/>
      <c r="AI935" s="210"/>
      <c r="AJ935" s="210"/>
    </row>
    <row r="936" ht="12.75" customHeight="1">
      <c r="C936" s="210"/>
      <c r="D936" s="210"/>
      <c r="E936" s="210"/>
      <c r="F936" s="210"/>
      <c r="G936" s="210"/>
      <c r="H936" s="210"/>
      <c r="I936" s="210"/>
      <c r="J936" s="210"/>
      <c r="K936" s="210"/>
      <c r="L936" s="210"/>
      <c r="M936" s="210"/>
      <c r="N936" s="210"/>
      <c r="O936" s="210"/>
      <c r="P936" s="210"/>
      <c r="Q936" s="210"/>
      <c r="R936" s="210"/>
      <c r="S936" s="210"/>
      <c r="T936" s="210"/>
      <c r="U936" s="210"/>
      <c r="V936" s="210"/>
      <c r="W936" s="210"/>
      <c r="X936" s="210"/>
      <c r="Y936" s="210"/>
      <c r="Z936" s="210"/>
      <c r="AA936" s="210"/>
      <c r="AB936" s="210"/>
      <c r="AC936" s="210"/>
      <c r="AI936" s="210"/>
      <c r="AJ936" s="210"/>
    </row>
    <row r="937" ht="12.75" customHeight="1">
      <c r="C937" s="210"/>
      <c r="D937" s="210"/>
      <c r="E937" s="210"/>
      <c r="F937" s="210"/>
      <c r="G937" s="210"/>
      <c r="H937" s="210"/>
      <c r="I937" s="210"/>
      <c r="J937" s="210"/>
      <c r="K937" s="210"/>
      <c r="L937" s="210"/>
      <c r="M937" s="210"/>
      <c r="N937" s="210"/>
      <c r="O937" s="210"/>
      <c r="P937" s="210"/>
      <c r="Q937" s="210"/>
      <c r="R937" s="210"/>
      <c r="S937" s="210"/>
      <c r="T937" s="210"/>
      <c r="U937" s="210"/>
      <c r="V937" s="210"/>
      <c r="W937" s="210"/>
      <c r="X937" s="210"/>
      <c r="Y937" s="210"/>
      <c r="Z937" s="210"/>
      <c r="AA937" s="210"/>
      <c r="AB937" s="210"/>
      <c r="AC937" s="210"/>
      <c r="AI937" s="210"/>
      <c r="AJ937" s="210"/>
    </row>
    <row r="938" ht="12.75" customHeight="1">
      <c r="C938" s="210"/>
      <c r="D938" s="210"/>
      <c r="E938" s="210"/>
      <c r="F938" s="210"/>
      <c r="G938" s="210"/>
      <c r="H938" s="210"/>
      <c r="I938" s="210"/>
      <c r="J938" s="210"/>
      <c r="K938" s="210"/>
      <c r="L938" s="210"/>
      <c r="M938" s="210"/>
      <c r="N938" s="210"/>
      <c r="O938" s="210"/>
      <c r="P938" s="210"/>
      <c r="Q938" s="210"/>
      <c r="R938" s="210"/>
      <c r="S938" s="210"/>
      <c r="T938" s="210"/>
      <c r="U938" s="210"/>
      <c r="V938" s="210"/>
      <c r="W938" s="210"/>
      <c r="X938" s="210"/>
      <c r="Y938" s="210"/>
      <c r="Z938" s="210"/>
      <c r="AA938" s="210"/>
      <c r="AB938" s="210"/>
      <c r="AC938" s="210"/>
      <c r="AI938" s="210"/>
      <c r="AJ938" s="210"/>
    </row>
    <row r="939" ht="12.75" customHeight="1">
      <c r="C939" s="210"/>
      <c r="D939" s="210"/>
      <c r="E939" s="210"/>
      <c r="F939" s="210"/>
      <c r="G939" s="210"/>
      <c r="H939" s="210"/>
      <c r="I939" s="210"/>
      <c r="J939" s="210"/>
      <c r="K939" s="210"/>
      <c r="L939" s="210"/>
      <c r="M939" s="210"/>
      <c r="N939" s="210"/>
      <c r="O939" s="210"/>
      <c r="P939" s="210"/>
      <c r="Q939" s="210"/>
      <c r="R939" s="210"/>
      <c r="S939" s="210"/>
      <c r="T939" s="210"/>
      <c r="U939" s="210"/>
      <c r="V939" s="210"/>
      <c r="W939" s="210"/>
      <c r="X939" s="210"/>
      <c r="Y939" s="210"/>
      <c r="Z939" s="210"/>
      <c r="AA939" s="210"/>
      <c r="AB939" s="210"/>
      <c r="AC939" s="210"/>
      <c r="AI939" s="210"/>
      <c r="AJ939" s="210"/>
    </row>
    <row r="940" ht="12.75" customHeight="1">
      <c r="C940" s="210"/>
      <c r="D940" s="210"/>
      <c r="E940" s="210"/>
      <c r="F940" s="210"/>
      <c r="G940" s="210"/>
      <c r="H940" s="210"/>
      <c r="I940" s="210"/>
      <c r="J940" s="210"/>
      <c r="K940" s="210"/>
      <c r="L940" s="210"/>
      <c r="M940" s="210"/>
      <c r="N940" s="210"/>
      <c r="O940" s="210"/>
      <c r="P940" s="210"/>
      <c r="Q940" s="210"/>
      <c r="R940" s="210"/>
      <c r="S940" s="210"/>
      <c r="T940" s="210"/>
      <c r="U940" s="210"/>
      <c r="V940" s="210"/>
      <c r="W940" s="210"/>
      <c r="X940" s="210"/>
      <c r="Y940" s="210"/>
      <c r="Z940" s="210"/>
      <c r="AA940" s="210"/>
      <c r="AB940" s="210"/>
      <c r="AC940" s="210"/>
      <c r="AI940" s="210"/>
      <c r="AJ940" s="210"/>
    </row>
    <row r="941" ht="12.75" customHeight="1">
      <c r="C941" s="210"/>
      <c r="D941" s="210"/>
      <c r="E941" s="210"/>
      <c r="F941" s="210"/>
      <c r="G941" s="210"/>
      <c r="H941" s="210"/>
      <c r="I941" s="210"/>
      <c r="J941" s="210"/>
      <c r="K941" s="210"/>
      <c r="L941" s="210"/>
      <c r="M941" s="210"/>
      <c r="N941" s="210"/>
      <c r="O941" s="210"/>
      <c r="P941" s="210"/>
      <c r="Q941" s="210"/>
      <c r="R941" s="210"/>
      <c r="S941" s="210"/>
      <c r="T941" s="210"/>
      <c r="U941" s="210"/>
      <c r="V941" s="210"/>
      <c r="W941" s="210"/>
      <c r="X941" s="210"/>
      <c r="Y941" s="210"/>
      <c r="Z941" s="210"/>
      <c r="AA941" s="210"/>
      <c r="AB941" s="210"/>
      <c r="AC941" s="210"/>
      <c r="AI941" s="210"/>
      <c r="AJ941" s="210"/>
    </row>
    <row r="942" ht="12.75" customHeight="1">
      <c r="C942" s="210"/>
      <c r="D942" s="210"/>
      <c r="E942" s="210"/>
      <c r="F942" s="210"/>
      <c r="G942" s="210"/>
      <c r="H942" s="210"/>
      <c r="I942" s="210"/>
      <c r="J942" s="210"/>
      <c r="K942" s="210"/>
      <c r="L942" s="210"/>
      <c r="M942" s="210"/>
      <c r="N942" s="210"/>
      <c r="O942" s="210"/>
      <c r="P942" s="210"/>
      <c r="Q942" s="210"/>
      <c r="R942" s="210"/>
      <c r="S942" s="210"/>
      <c r="T942" s="210"/>
      <c r="U942" s="210"/>
      <c r="V942" s="210"/>
      <c r="W942" s="210"/>
      <c r="X942" s="210"/>
      <c r="Y942" s="210"/>
      <c r="Z942" s="210"/>
      <c r="AA942" s="210"/>
      <c r="AB942" s="210"/>
      <c r="AC942" s="210"/>
      <c r="AI942" s="210"/>
      <c r="AJ942" s="210"/>
    </row>
    <row r="943" ht="12.75" customHeight="1">
      <c r="C943" s="210"/>
      <c r="D943" s="210"/>
      <c r="E943" s="210"/>
      <c r="F943" s="210"/>
      <c r="G943" s="210"/>
      <c r="H943" s="210"/>
      <c r="I943" s="210"/>
      <c r="J943" s="210"/>
      <c r="K943" s="210"/>
      <c r="L943" s="210"/>
      <c r="M943" s="210"/>
      <c r="N943" s="210"/>
      <c r="O943" s="210"/>
      <c r="P943" s="210"/>
      <c r="Q943" s="210"/>
      <c r="R943" s="210"/>
      <c r="S943" s="210"/>
      <c r="T943" s="210"/>
      <c r="U943" s="210"/>
      <c r="V943" s="210"/>
      <c r="W943" s="210"/>
      <c r="X943" s="210"/>
      <c r="Y943" s="210"/>
      <c r="Z943" s="210"/>
      <c r="AA943" s="210"/>
      <c r="AB943" s="210"/>
      <c r="AC943" s="210"/>
      <c r="AI943" s="210"/>
      <c r="AJ943" s="210"/>
    </row>
    <row r="944" ht="12.75" customHeight="1">
      <c r="C944" s="210"/>
      <c r="D944" s="210"/>
      <c r="E944" s="210"/>
      <c r="F944" s="210"/>
      <c r="G944" s="210"/>
      <c r="H944" s="210"/>
      <c r="I944" s="210"/>
      <c r="J944" s="210"/>
      <c r="K944" s="210"/>
      <c r="L944" s="210"/>
      <c r="M944" s="210"/>
      <c r="N944" s="210"/>
      <c r="O944" s="210"/>
      <c r="P944" s="210"/>
      <c r="Q944" s="210"/>
      <c r="R944" s="210"/>
      <c r="S944" s="210"/>
      <c r="T944" s="210"/>
      <c r="U944" s="210"/>
      <c r="V944" s="210"/>
      <c r="W944" s="210"/>
      <c r="X944" s="210"/>
      <c r="Y944" s="210"/>
      <c r="Z944" s="210"/>
      <c r="AA944" s="210"/>
      <c r="AB944" s="210"/>
      <c r="AC944" s="210"/>
      <c r="AI944" s="210"/>
      <c r="AJ944" s="210"/>
    </row>
    <row r="945" ht="12.75" customHeight="1">
      <c r="C945" s="210"/>
      <c r="D945" s="210"/>
      <c r="E945" s="210"/>
      <c r="F945" s="210"/>
      <c r="G945" s="210"/>
      <c r="H945" s="210"/>
      <c r="I945" s="210"/>
      <c r="J945" s="210"/>
      <c r="K945" s="210"/>
      <c r="L945" s="210"/>
      <c r="M945" s="210"/>
      <c r="N945" s="210"/>
      <c r="O945" s="210"/>
      <c r="P945" s="210"/>
      <c r="Q945" s="210"/>
      <c r="R945" s="210"/>
      <c r="S945" s="210"/>
      <c r="T945" s="210"/>
      <c r="U945" s="210"/>
      <c r="V945" s="210"/>
      <c r="W945" s="210"/>
      <c r="X945" s="210"/>
      <c r="Y945" s="210"/>
      <c r="Z945" s="210"/>
      <c r="AA945" s="210"/>
      <c r="AB945" s="210"/>
      <c r="AC945" s="210"/>
      <c r="AI945" s="210"/>
      <c r="AJ945" s="210"/>
    </row>
    <row r="946" ht="12.75" customHeight="1">
      <c r="C946" s="210"/>
      <c r="D946" s="210"/>
      <c r="E946" s="210"/>
      <c r="F946" s="210"/>
      <c r="G946" s="210"/>
      <c r="H946" s="210"/>
      <c r="I946" s="210"/>
      <c r="J946" s="210"/>
      <c r="K946" s="210"/>
      <c r="L946" s="210"/>
      <c r="M946" s="210"/>
      <c r="N946" s="210"/>
      <c r="O946" s="210"/>
      <c r="P946" s="210"/>
      <c r="Q946" s="210"/>
      <c r="R946" s="210"/>
      <c r="S946" s="210"/>
      <c r="T946" s="210"/>
      <c r="U946" s="210"/>
      <c r="V946" s="210"/>
      <c r="W946" s="210"/>
      <c r="X946" s="210"/>
      <c r="Y946" s="210"/>
      <c r="Z946" s="210"/>
      <c r="AA946" s="210"/>
      <c r="AB946" s="210"/>
      <c r="AC946" s="210"/>
      <c r="AI946" s="210"/>
      <c r="AJ946" s="210"/>
    </row>
    <row r="947" ht="12.75" customHeight="1">
      <c r="C947" s="210"/>
      <c r="D947" s="210"/>
      <c r="E947" s="210"/>
      <c r="F947" s="210"/>
      <c r="G947" s="210"/>
      <c r="H947" s="210"/>
      <c r="I947" s="210"/>
      <c r="J947" s="210"/>
      <c r="K947" s="210"/>
      <c r="L947" s="210"/>
      <c r="M947" s="210"/>
      <c r="N947" s="210"/>
      <c r="O947" s="210"/>
      <c r="P947" s="210"/>
      <c r="Q947" s="210"/>
      <c r="R947" s="210"/>
      <c r="S947" s="210"/>
      <c r="T947" s="210"/>
      <c r="U947" s="210"/>
      <c r="V947" s="210"/>
      <c r="W947" s="210"/>
      <c r="X947" s="210"/>
      <c r="Y947" s="210"/>
      <c r="Z947" s="210"/>
      <c r="AA947" s="210"/>
      <c r="AB947" s="210"/>
      <c r="AC947" s="210"/>
      <c r="AI947" s="210"/>
      <c r="AJ947" s="210"/>
    </row>
    <row r="948" ht="12.75" customHeight="1">
      <c r="C948" s="210"/>
      <c r="D948" s="210"/>
      <c r="E948" s="210"/>
      <c r="F948" s="210"/>
      <c r="G948" s="210"/>
      <c r="H948" s="210"/>
      <c r="I948" s="210"/>
      <c r="J948" s="210"/>
      <c r="K948" s="210"/>
      <c r="L948" s="210"/>
      <c r="M948" s="210"/>
      <c r="N948" s="210"/>
      <c r="O948" s="210"/>
      <c r="P948" s="210"/>
      <c r="Q948" s="210"/>
      <c r="R948" s="210"/>
      <c r="S948" s="210"/>
      <c r="T948" s="210"/>
      <c r="U948" s="210"/>
      <c r="V948" s="210"/>
      <c r="W948" s="210"/>
      <c r="X948" s="210"/>
      <c r="Y948" s="210"/>
      <c r="Z948" s="210"/>
      <c r="AA948" s="210"/>
      <c r="AB948" s="210"/>
      <c r="AC948" s="210"/>
      <c r="AI948" s="210"/>
      <c r="AJ948" s="210"/>
    </row>
    <row r="949" ht="12.75" customHeight="1">
      <c r="C949" s="210"/>
      <c r="D949" s="210"/>
      <c r="E949" s="210"/>
      <c r="F949" s="210"/>
      <c r="G949" s="210"/>
      <c r="H949" s="210"/>
      <c r="I949" s="210"/>
      <c r="J949" s="210"/>
      <c r="K949" s="210"/>
      <c r="L949" s="210"/>
      <c r="M949" s="210"/>
      <c r="N949" s="210"/>
      <c r="O949" s="210"/>
      <c r="P949" s="210"/>
      <c r="Q949" s="210"/>
      <c r="R949" s="210"/>
      <c r="S949" s="210"/>
      <c r="T949" s="210"/>
      <c r="U949" s="210"/>
      <c r="V949" s="210"/>
      <c r="W949" s="210"/>
      <c r="X949" s="210"/>
      <c r="Y949" s="210"/>
      <c r="Z949" s="210"/>
      <c r="AA949" s="210"/>
      <c r="AB949" s="210"/>
      <c r="AC949" s="210"/>
      <c r="AI949" s="210"/>
      <c r="AJ949" s="210"/>
    </row>
    <row r="950" ht="12.75" customHeight="1">
      <c r="C950" s="210"/>
      <c r="D950" s="210"/>
      <c r="E950" s="210"/>
      <c r="F950" s="210"/>
      <c r="G950" s="210"/>
      <c r="H950" s="210"/>
      <c r="I950" s="210"/>
      <c r="J950" s="210"/>
      <c r="K950" s="210"/>
      <c r="L950" s="210"/>
      <c r="M950" s="210"/>
      <c r="N950" s="210"/>
      <c r="O950" s="210"/>
      <c r="P950" s="210"/>
      <c r="Q950" s="210"/>
      <c r="R950" s="210"/>
      <c r="S950" s="210"/>
      <c r="T950" s="210"/>
      <c r="U950" s="210"/>
      <c r="V950" s="210"/>
      <c r="W950" s="210"/>
      <c r="X950" s="210"/>
      <c r="Y950" s="210"/>
      <c r="Z950" s="210"/>
      <c r="AA950" s="210"/>
      <c r="AB950" s="210"/>
      <c r="AC950" s="210"/>
      <c r="AI950" s="210"/>
      <c r="AJ950" s="210"/>
    </row>
    <row r="951" ht="12.75" customHeight="1">
      <c r="C951" s="210"/>
      <c r="D951" s="210"/>
      <c r="E951" s="210"/>
      <c r="F951" s="210"/>
      <c r="G951" s="210"/>
      <c r="H951" s="210"/>
      <c r="I951" s="210"/>
      <c r="J951" s="210"/>
      <c r="K951" s="210"/>
      <c r="L951" s="210"/>
      <c r="M951" s="210"/>
      <c r="N951" s="210"/>
      <c r="O951" s="210"/>
      <c r="P951" s="210"/>
      <c r="Q951" s="210"/>
      <c r="R951" s="210"/>
      <c r="S951" s="210"/>
      <c r="T951" s="210"/>
      <c r="U951" s="210"/>
      <c r="V951" s="210"/>
      <c r="W951" s="210"/>
      <c r="X951" s="210"/>
      <c r="Y951" s="210"/>
      <c r="Z951" s="210"/>
      <c r="AA951" s="210"/>
      <c r="AB951" s="210"/>
      <c r="AC951" s="210"/>
      <c r="AI951" s="210"/>
      <c r="AJ951" s="210"/>
    </row>
    <row r="952" ht="12.75" customHeight="1">
      <c r="C952" s="210"/>
      <c r="D952" s="210"/>
      <c r="E952" s="210"/>
      <c r="F952" s="210"/>
      <c r="G952" s="210"/>
      <c r="H952" s="210"/>
      <c r="I952" s="210"/>
      <c r="J952" s="210"/>
      <c r="K952" s="210"/>
      <c r="L952" s="210"/>
      <c r="M952" s="210"/>
      <c r="N952" s="210"/>
      <c r="O952" s="210"/>
      <c r="P952" s="210"/>
      <c r="Q952" s="210"/>
      <c r="R952" s="210"/>
      <c r="S952" s="210"/>
      <c r="T952" s="210"/>
      <c r="U952" s="210"/>
      <c r="V952" s="210"/>
      <c r="W952" s="210"/>
      <c r="X952" s="210"/>
      <c r="Y952" s="210"/>
      <c r="Z952" s="210"/>
      <c r="AA952" s="210"/>
      <c r="AB952" s="210"/>
      <c r="AC952" s="210"/>
      <c r="AI952" s="210"/>
      <c r="AJ952" s="210"/>
    </row>
    <row r="953" ht="12.75" customHeight="1">
      <c r="C953" s="210"/>
      <c r="D953" s="210"/>
      <c r="E953" s="210"/>
      <c r="F953" s="210"/>
      <c r="G953" s="210"/>
      <c r="H953" s="210"/>
      <c r="I953" s="210"/>
      <c r="J953" s="210"/>
      <c r="K953" s="210"/>
      <c r="L953" s="210"/>
      <c r="M953" s="210"/>
      <c r="N953" s="210"/>
      <c r="O953" s="210"/>
      <c r="P953" s="210"/>
      <c r="Q953" s="210"/>
      <c r="R953" s="210"/>
      <c r="S953" s="210"/>
      <c r="T953" s="210"/>
      <c r="U953" s="210"/>
      <c r="V953" s="210"/>
      <c r="W953" s="210"/>
      <c r="X953" s="210"/>
      <c r="Y953" s="210"/>
      <c r="Z953" s="210"/>
      <c r="AA953" s="210"/>
      <c r="AB953" s="210"/>
      <c r="AC953" s="210"/>
      <c r="AI953" s="210"/>
      <c r="AJ953" s="210"/>
    </row>
    <row r="954" ht="12.75" customHeight="1">
      <c r="C954" s="210"/>
      <c r="D954" s="210"/>
      <c r="E954" s="210"/>
      <c r="F954" s="210"/>
      <c r="G954" s="210"/>
      <c r="H954" s="210"/>
      <c r="I954" s="210"/>
      <c r="J954" s="210"/>
      <c r="K954" s="210"/>
      <c r="L954" s="210"/>
      <c r="M954" s="210"/>
      <c r="N954" s="210"/>
      <c r="O954" s="210"/>
      <c r="P954" s="210"/>
      <c r="Q954" s="210"/>
      <c r="R954" s="210"/>
      <c r="S954" s="210"/>
      <c r="T954" s="210"/>
      <c r="U954" s="210"/>
      <c r="V954" s="210"/>
      <c r="W954" s="210"/>
      <c r="X954" s="210"/>
      <c r="Y954" s="210"/>
      <c r="Z954" s="210"/>
      <c r="AA954" s="210"/>
      <c r="AB954" s="210"/>
      <c r="AC954" s="210"/>
      <c r="AI954" s="210"/>
      <c r="AJ954" s="210"/>
    </row>
    <row r="955" ht="12.75" customHeight="1">
      <c r="C955" s="210"/>
      <c r="D955" s="210"/>
      <c r="E955" s="210"/>
      <c r="F955" s="210"/>
      <c r="G955" s="210"/>
      <c r="H955" s="210"/>
      <c r="I955" s="210"/>
      <c r="J955" s="210"/>
      <c r="K955" s="210"/>
      <c r="L955" s="210"/>
      <c r="M955" s="210"/>
      <c r="N955" s="210"/>
      <c r="O955" s="210"/>
      <c r="P955" s="210"/>
      <c r="Q955" s="210"/>
      <c r="R955" s="210"/>
      <c r="S955" s="210"/>
      <c r="T955" s="210"/>
      <c r="U955" s="210"/>
      <c r="V955" s="210"/>
      <c r="W955" s="210"/>
      <c r="X955" s="210"/>
      <c r="Y955" s="210"/>
      <c r="Z955" s="210"/>
      <c r="AA955" s="210"/>
      <c r="AB955" s="210"/>
      <c r="AC955" s="210"/>
      <c r="AI955" s="210"/>
      <c r="AJ955" s="210"/>
    </row>
    <row r="956" ht="12.75" customHeight="1">
      <c r="C956" s="210"/>
      <c r="D956" s="210"/>
      <c r="E956" s="210"/>
      <c r="F956" s="210"/>
      <c r="G956" s="210"/>
      <c r="H956" s="210"/>
      <c r="I956" s="210"/>
      <c r="J956" s="210"/>
      <c r="K956" s="210"/>
      <c r="L956" s="210"/>
      <c r="M956" s="210"/>
      <c r="N956" s="210"/>
      <c r="O956" s="210"/>
      <c r="P956" s="210"/>
      <c r="Q956" s="210"/>
      <c r="R956" s="210"/>
      <c r="S956" s="210"/>
      <c r="T956" s="210"/>
      <c r="U956" s="210"/>
      <c r="V956" s="210"/>
      <c r="W956" s="210"/>
      <c r="X956" s="210"/>
      <c r="Y956" s="210"/>
      <c r="Z956" s="210"/>
      <c r="AA956" s="210"/>
      <c r="AB956" s="210"/>
      <c r="AC956" s="210"/>
      <c r="AI956" s="210"/>
      <c r="AJ956" s="210"/>
    </row>
    <row r="957" ht="12.75" customHeight="1">
      <c r="C957" s="210"/>
      <c r="D957" s="210"/>
      <c r="E957" s="210"/>
      <c r="F957" s="210"/>
      <c r="G957" s="210"/>
      <c r="H957" s="210"/>
      <c r="I957" s="210"/>
      <c r="J957" s="210"/>
      <c r="K957" s="210"/>
      <c r="L957" s="210"/>
      <c r="M957" s="210"/>
      <c r="N957" s="210"/>
      <c r="O957" s="210"/>
      <c r="P957" s="210"/>
      <c r="Q957" s="210"/>
      <c r="R957" s="210"/>
      <c r="S957" s="210"/>
      <c r="T957" s="210"/>
      <c r="U957" s="210"/>
      <c r="V957" s="210"/>
      <c r="W957" s="210"/>
      <c r="X957" s="210"/>
      <c r="Y957" s="210"/>
      <c r="Z957" s="210"/>
      <c r="AA957" s="210"/>
      <c r="AB957" s="210"/>
      <c r="AC957" s="210"/>
      <c r="AI957" s="210"/>
      <c r="AJ957" s="210"/>
    </row>
    <row r="958" ht="12.75" customHeight="1">
      <c r="C958" s="210"/>
      <c r="D958" s="210"/>
      <c r="E958" s="210"/>
      <c r="F958" s="210"/>
      <c r="G958" s="210"/>
      <c r="H958" s="210"/>
      <c r="I958" s="210"/>
      <c r="J958" s="210"/>
      <c r="K958" s="210"/>
      <c r="L958" s="210"/>
      <c r="M958" s="210"/>
      <c r="N958" s="210"/>
      <c r="O958" s="210"/>
      <c r="P958" s="210"/>
      <c r="Q958" s="210"/>
      <c r="R958" s="210"/>
      <c r="S958" s="210"/>
      <c r="T958" s="210"/>
      <c r="U958" s="210"/>
      <c r="V958" s="210"/>
      <c r="W958" s="210"/>
      <c r="X958" s="210"/>
      <c r="Y958" s="210"/>
      <c r="Z958" s="210"/>
      <c r="AA958" s="210"/>
      <c r="AB958" s="210"/>
      <c r="AC958" s="210"/>
      <c r="AI958" s="210"/>
      <c r="AJ958" s="210"/>
    </row>
    <row r="959" ht="12.75" customHeight="1">
      <c r="C959" s="210"/>
      <c r="D959" s="210"/>
      <c r="E959" s="210"/>
      <c r="F959" s="210"/>
      <c r="G959" s="210"/>
      <c r="H959" s="210"/>
      <c r="I959" s="210"/>
      <c r="J959" s="210"/>
      <c r="K959" s="210"/>
      <c r="L959" s="210"/>
      <c r="M959" s="210"/>
      <c r="N959" s="210"/>
      <c r="O959" s="210"/>
      <c r="P959" s="210"/>
      <c r="Q959" s="210"/>
      <c r="R959" s="210"/>
      <c r="S959" s="210"/>
      <c r="T959" s="210"/>
      <c r="U959" s="210"/>
      <c r="V959" s="210"/>
      <c r="W959" s="210"/>
      <c r="X959" s="210"/>
      <c r="Y959" s="210"/>
      <c r="Z959" s="210"/>
      <c r="AA959" s="210"/>
      <c r="AB959" s="210"/>
      <c r="AC959" s="210"/>
      <c r="AI959" s="210"/>
      <c r="AJ959" s="210"/>
    </row>
    <row r="960" ht="12.75" customHeight="1">
      <c r="C960" s="210"/>
      <c r="D960" s="210"/>
      <c r="E960" s="210"/>
      <c r="F960" s="210"/>
      <c r="G960" s="210"/>
      <c r="H960" s="210"/>
      <c r="I960" s="210"/>
      <c r="J960" s="210"/>
      <c r="K960" s="210"/>
      <c r="L960" s="210"/>
      <c r="M960" s="210"/>
      <c r="N960" s="210"/>
      <c r="O960" s="210"/>
      <c r="P960" s="210"/>
      <c r="Q960" s="210"/>
      <c r="R960" s="210"/>
      <c r="S960" s="210"/>
      <c r="T960" s="210"/>
      <c r="U960" s="210"/>
      <c r="V960" s="210"/>
      <c r="W960" s="210"/>
      <c r="X960" s="210"/>
      <c r="Y960" s="210"/>
      <c r="Z960" s="210"/>
      <c r="AA960" s="210"/>
      <c r="AB960" s="210"/>
      <c r="AC960" s="210"/>
      <c r="AI960" s="210"/>
      <c r="AJ960" s="210"/>
    </row>
    <row r="961" ht="12.75" customHeight="1">
      <c r="C961" s="210"/>
      <c r="D961" s="210"/>
      <c r="E961" s="210"/>
      <c r="F961" s="210"/>
      <c r="G961" s="210"/>
      <c r="H961" s="210"/>
      <c r="I961" s="210"/>
      <c r="J961" s="210"/>
      <c r="K961" s="210"/>
      <c r="L961" s="210"/>
      <c r="M961" s="210"/>
      <c r="N961" s="210"/>
      <c r="O961" s="210"/>
      <c r="P961" s="210"/>
      <c r="Q961" s="210"/>
      <c r="R961" s="210"/>
      <c r="S961" s="210"/>
      <c r="T961" s="210"/>
      <c r="U961" s="210"/>
      <c r="V961" s="210"/>
      <c r="W961" s="210"/>
      <c r="X961" s="210"/>
      <c r="Y961" s="210"/>
      <c r="Z961" s="210"/>
      <c r="AA961" s="210"/>
      <c r="AB961" s="210"/>
      <c r="AC961" s="210"/>
      <c r="AI961" s="210"/>
      <c r="AJ961" s="210"/>
    </row>
    <row r="962" ht="12.75" customHeight="1">
      <c r="C962" s="210"/>
      <c r="D962" s="210"/>
      <c r="E962" s="210"/>
      <c r="F962" s="210"/>
      <c r="G962" s="210"/>
      <c r="H962" s="210"/>
      <c r="I962" s="210"/>
      <c r="J962" s="210"/>
      <c r="K962" s="210"/>
      <c r="L962" s="210"/>
      <c r="M962" s="210"/>
      <c r="N962" s="210"/>
      <c r="O962" s="210"/>
      <c r="P962" s="210"/>
      <c r="Q962" s="210"/>
      <c r="R962" s="210"/>
      <c r="S962" s="210"/>
      <c r="T962" s="210"/>
      <c r="U962" s="210"/>
      <c r="V962" s="210"/>
      <c r="W962" s="210"/>
      <c r="X962" s="210"/>
      <c r="Y962" s="210"/>
      <c r="Z962" s="210"/>
      <c r="AA962" s="210"/>
      <c r="AB962" s="210"/>
      <c r="AC962" s="210"/>
      <c r="AI962" s="210"/>
      <c r="AJ962" s="210"/>
    </row>
    <row r="963" ht="12.75" customHeight="1">
      <c r="C963" s="210"/>
      <c r="D963" s="210"/>
      <c r="E963" s="210"/>
      <c r="F963" s="210"/>
      <c r="G963" s="210"/>
      <c r="H963" s="210"/>
      <c r="I963" s="210"/>
      <c r="J963" s="210"/>
      <c r="K963" s="210"/>
      <c r="L963" s="210"/>
      <c r="M963" s="210"/>
      <c r="N963" s="210"/>
      <c r="O963" s="210"/>
      <c r="P963" s="210"/>
      <c r="Q963" s="210"/>
      <c r="R963" s="210"/>
      <c r="S963" s="210"/>
      <c r="T963" s="210"/>
      <c r="U963" s="210"/>
      <c r="V963" s="210"/>
      <c r="W963" s="210"/>
      <c r="X963" s="210"/>
      <c r="Y963" s="210"/>
      <c r="Z963" s="210"/>
      <c r="AA963" s="210"/>
      <c r="AB963" s="210"/>
      <c r="AC963" s="210"/>
      <c r="AI963" s="210"/>
      <c r="AJ963" s="210"/>
    </row>
    <row r="964" ht="12.75" customHeight="1">
      <c r="C964" s="210"/>
      <c r="D964" s="210"/>
      <c r="E964" s="210"/>
      <c r="F964" s="210"/>
      <c r="G964" s="210"/>
      <c r="H964" s="210"/>
      <c r="I964" s="210"/>
      <c r="J964" s="210"/>
      <c r="K964" s="210"/>
      <c r="L964" s="210"/>
      <c r="M964" s="210"/>
      <c r="N964" s="210"/>
      <c r="O964" s="210"/>
      <c r="P964" s="210"/>
      <c r="Q964" s="210"/>
      <c r="R964" s="210"/>
      <c r="S964" s="210"/>
      <c r="T964" s="210"/>
      <c r="U964" s="210"/>
      <c r="V964" s="210"/>
      <c r="W964" s="210"/>
      <c r="X964" s="210"/>
      <c r="Y964" s="210"/>
      <c r="Z964" s="210"/>
      <c r="AA964" s="210"/>
      <c r="AB964" s="210"/>
      <c r="AC964" s="210"/>
      <c r="AI964" s="210"/>
      <c r="AJ964" s="210"/>
    </row>
    <row r="965" ht="12.75" customHeight="1">
      <c r="C965" s="210"/>
      <c r="D965" s="210"/>
      <c r="E965" s="210"/>
      <c r="F965" s="210"/>
      <c r="G965" s="210"/>
      <c r="H965" s="210"/>
      <c r="I965" s="210"/>
      <c r="J965" s="210"/>
      <c r="K965" s="210"/>
      <c r="L965" s="210"/>
      <c r="M965" s="210"/>
      <c r="N965" s="210"/>
      <c r="O965" s="210"/>
      <c r="P965" s="210"/>
      <c r="Q965" s="210"/>
      <c r="R965" s="210"/>
      <c r="S965" s="210"/>
      <c r="T965" s="210"/>
      <c r="U965" s="210"/>
      <c r="V965" s="210"/>
      <c r="W965" s="210"/>
      <c r="X965" s="210"/>
      <c r="Y965" s="210"/>
      <c r="Z965" s="210"/>
      <c r="AA965" s="210"/>
      <c r="AB965" s="210"/>
      <c r="AC965" s="210"/>
      <c r="AI965" s="210"/>
      <c r="AJ965" s="210"/>
    </row>
    <row r="966" ht="12.75" customHeight="1">
      <c r="C966" s="210"/>
      <c r="D966" s="210"/>
      <c r="E966" s="210"/>
      <c r="F966" s="210"/>
      <c r="G966" s="210"/>
      <c r="H966" s="210"/>
      <c r="I966" s="210"/>
      <c r="J966" s="210"/>
      <c r="K966" s="210"/>
      <c r="L966" s="210"/>
      <c r="M966" s="210"/>
      <c r="N966" s="210"/>
      <c r="O966" s="210"/>
      <c r="P966" s="210"/>
      <c r="Q966" s="210"/>
      <c r="R966" s="210"/>
      <c r="S966" s="210"/>
      <c r="T966" s="210"/>
      <c r="U966" s="210"/>
      <c r="V966" s="210"/>
      <c r="W966" s="210"/>
      <c r="X966" s="210"/>
      <c r="Y966" s="210"/>
      <c r="Z966" s="210"/>
      <c r="AA966" s="210"/>
      <c r="AB966" s="210"/>
      <c r="AC966" s="210"/>
      <c r="AI966" s="210"/>
      <c r="AJ966" s="210"/>
    </row>
    <row r="967" ht="12.75" customHeight="1">
      <c r="C967" s="210"/>
      <c r="D967" s="210"/>
      <c r="E967" s="210"/>
      <c r="F967" s="210"/>
      <c r="G967" s="210"/>
      <c r="H967" s="210"/>
      <c r="I967" s="210"/>
      <c r="J967" s="210"/>
      <c r="K967" s="210"/>
      <c r="L967" s="210"/>
      <c r="M967" s="210"/>
      <c r="N967" s="210"/>
      <c r="O967" s="210"/>
      <c r="P967" s="210"/>
      <c r="Q967" s="210"/>
      <c r="R967" s="210"/>
      <c r="S967" s="210"/>
      <c r="T967" s="210"/>
      <c r="U967" s="210"/>
      <c r="V967" s="210"/>
      <c r="W967" s="210"/>
      <c r="X967" s="210"/>
      <c r="Y967" s="210"/>
      <c r="Z967" s="210"/>
      <c r="AA967" s="210"/>
      <c r="AB967" s="210"/>
      <c r="AC967" s="210"/>
      <c r="AI967" s="210"/>
      <c r="AJ967" s="210"/>
    </row>
    <row r="968" ht="12.75" customHeight="1">
      <c r="C968" s="210"/>
      <c r="D968" s="210"/>
      <c r="E968" s="210"/>
      <c r="F968" s="210"/>
      <c r="G968" s="210"/>
      <c r="H968" s="210"/>
      <c r="I968" s="210"/>
      <c r="J968" s="210"/>
      <c r="K968" s="210"/>
      <c r="L968" s="210"/>
      <c r="M968" s="210"/>
      <c r="N968" s="210"/>
      <c r="O968" s="210"/>
      <c r="P968" s="210"/>
      <c r="Q968" s="210"/>
      <c r="R968" s="210"/>
      <c r="S968" s="210"/>
      <c r="T968" s="210"/>
      <c r="U968" s="210"/>
      <c r="V968" s="210"/>
      <c r="W968" s="210"/>
      <c r="X968" s="210"/>
      <c r="Y968" s="210"/>
      <c r="Z968" s="210"/>
      <c r="AA968" s="210"/>
      <c r="AB968" s="210"/>
      <c r="AC968" s="210"/>
      <c r="AI968" s="210"/>
      <c r="AJ968" s="210"/>
    </row>
    <row r="969" ht="12.75" customHeight="1">
      <c r="C969" s="210"/>
      <c r="D969" s="210"/>
      <c r="E969" s="210"/>
      <c r="F969" s="210"/>
      <c r="G969" s="210"/>
      <c r="H969" s="210"/>
      <c r="I969" s="210"/>
      <c r="J969" s="210"/>
      <c r="K969" s="210"/>
      <c r="L969" s="210"/>
      <c r="M969" s="210"/>
      <c r="N969" s="210"/>
      <c r="O969" s="210"/>
      <c r="P969" s="210"/>
      <c r="Q969" s="210"/>
      <c r="R969" s="210"/>
      <c r="S969" s="210"/>
      <c r="T969" s="210"/>
      <c r="U969" s="210"/>
      <c r="V969" s="210"/>
      <c r="W969" s="210"/>
      <c r="X969" s="210"/>
      <c r="Y969" s="210"/>
      <c r="Z969" s="210"/>
      <c r="AA969" s="210"/>
      <c r="AB969" s="210"/>
      <c r="AC969" s="210"/>
      <c r="AI969" s="210"/>
      <c r="AJ969" s="210"/>
    </row>
    <row r="970" ht="12.75" customHeight="1">
      <c r="C970" s="210"/>
      <c r="D970" s="210"/>
      <c r="E970" s="210"/>
      <c r="F970" s="210"/>
      <c r="G970" s="210"/>
      <c r="H970" s="210"/>
      <c r="I970" s="210"/>
      <c r="J970" s="210"/>
      <c r="K970" s="210"/>
      <c r="L970" s="210"/>
      <c r="M970" s="210"/>
      <c r="N970" s="210"/>
      <c r="O970" s="210"/>
      <c r="P970" s="210"/>
      <c r="Q970" s="210"/>
      <c r="R970" s="210"/>
      <c r="S970" s="210"/>
      <c r="T970" s="210"/>
      <c r="U970" s="210"/>
      <c r="V970" s="210"/>
      <c r="W970" s="210"/>
      <c r="X970" s="210"/>
      <c r="Y970" s="210"/>
      <c r="Z970" s="210"/>
      <c r="AA970" s="210"/>
      <c r="AB970" s="210"/>
      <c r="AC970" s="210"/>
      <c r="AI970" s="210"/>
      <c r="AJ970" s="210"/>
    </row>
    <row r="971" ht="12.75" customHeight="1">
      <c r="C971" s="210"/>
      <c r="D971" s="210"/>
      <c r="E971" s="210"/>
      <c r="F971" s="210"/>
      <c r="G971" s="210"/>
      <c r="H971" s="210"/>
      <c r="I971" s="210"/>
      <c r="J971" s="210"/>
      <c r="K971" s="210"/>
      <c r="L971" s="210"/>
      <c r="M971" s="210"/>
      <c r="N971" s="210"/>
      <c r="O971" s="210"/>
      <c r="P971" s="210"/>
      <c r="Q971" s="210"/>
      <c r="R971" s="210"/>
      <c r="S971" s="210"/>
      <c r="T971" s="210"/>
      <c r="U971" s="210"/>
      <c r="V971" s="210"/>
      <c r="W971" s="210"/>
      <c r="X971" s="210"/>
      <c r="Y971" s="210"/>
      <c r="Z971" s="210"/>
      <c r="AA971" s="210"/>
      <c r="AB971" s="210"/>
      <c r="AC971" s="210"/>
      <c r="AI971" s="210"/>
      <c r="AJ971" s="210"/>
    </row>
    <row r="972" ht="12.75" customHeight="1">
      <c r="C972" s="210"/>
      <c r="D972" s="210"/>
      <c r="E972" s="210"/>
      <c r="F972" s="210"/>
      <c r="G972" s="210"/>
      <c r="H972" s="210"/>
      <c r="I972" s="210"/>
      <c r="J972" s="210"/>
      <c r="K972" s="210"/>
      <c r="L972" s="210"/>
      <c r="M972" s="210"/>
      <c r="N972" s="210"/>
      <c r="O972" s="210"/>
      <c r="P972" s="210"/>
      <c r="Q972" s="210"/>
      <c r="R972" s="210"/>
      <c r="S972" s="210"/>
      <c r="T972" s="210"/>
      <c r="U972" s="210"/>
      <c r="V972" s="210"/>
      <c r="W972" s="210"/>
      <c r="X972" s="210"/>
      <c r="Y972" s="210"/>
      <c r="Z972" s="210"/>
      <c r="AA972" s="210"/>
      <c r="AB972" s="210"/>
      <c r="AC972" s="210"/>
      <c r="AI972" s="210"/>
      <c r="AJ972" s="210"/>
    </row>
    <row r="973" ht="12.75" customHeight="1">
      <c r="C973" s="210"/>
      <c r="D973" s="210"/>
      <c r="E973" s="210"/>
      <c r="F973" s="210"/>
      <c r="G973" s="210"/>
      <c r="H973" s="210"/>
      <c r="I973" s="210"/>
      <c r="J973" s="210"/>
      <c r="K973" s="210"/>
      <c r="L973" s="210"/>
      <c r="M973" s="210"/>
      <c r="N973" s="210"/>
      <c r="O973" s="210"/>
      <c r="P973" s="210"/>
      <c r="Q973" s="210"/>
      <c r="R973" s="210"/>
      <c r="S973" s="210"/>
      <c r="T973" s="210"/>
      <c r="U973" s="210"/>
      <c r="V973" s="210"/>
      <c r="W973" s="210"/>
      <c r="X973" s="210"/>
      <c r="Y973" s="210"/>
      <c r="Z973" s="210"/>
      <c r="AA973" s="210"/>
      <c r="AB973" s="210"/>
      <c r="AC973" s="210"/>
      <c r="AI973" s="210"/>
      <c r="AJ973" s="210"/>
    </row>
    <row r="974" ht="12.75" customHeight="1">
      <c r="C974" s="210"/>
      <c r="D974" s="210"/>
      <c r="E974" s="210"/>
      <c r="F974" s="210"/>
      <c r="G974" s="210"/>
      <c r="H974" s="210"/>
      <c r="I974" s="210"/>
      <c r="J974" s="210"/>
      <c r="K974" s="210"/>
      <c r="L974" s="210"/>
      <c r="M974" s="210"/>
      <c r="N974" s="210"/>
      <c r="O974" s="210"/>
      <c r="P974" s="210"/>
      <c r="Q974" s="210"/>
      <c r="R974" s="210"/>
      <c r="S974" s="210"/>
      <c r="T974" s="210"/>
      <c r="U974" s="210"/>
      <c r="V974" s="210"/>
      <c r="W974" s="210"/>
      <c r="X974" s="210"/>
      <c r="Y974" s="210"/>
      <c r="Z974" s="210"/>
      <c r="AA974" s="210"/>
      <c r="AB974" s="210"/>
      <c r="AC974" s="210"/>
      <c r="AI974" s="210"/>
      <c r="AJ974" s="210"/>
    </row>
    <row r="975" ht="12.75" customHeight="1">
      <c r="C975" s="210"/>
      <c r="D975" s="210"/>
      <c r="E975" s="210"/>
      <c r="F975" s="210"/>
      <c r="G975" s="210"/>
      <c r="H975" s="210"/>
      <c r="I975" s="210"/>
      <c r="J975" s="210"/>
      <c r="K975" s="210"/>
      <c r="L975" s="210"/>
      <c r="M975" s="210"/>
      <c r="N975" s="210"/>
      <c r="O975" s="210"/>
      <c r="P975" s="210"/>
      <c r="Q975" s="210"/>
      <c r="R975" s="210"/>
      <c r="S975" s="210"/>
      <c r="T975" s="210"/>
      <c r="U975" s="210"/>
      <c r="V975" s="210"/>
      <c r="W975" s="210"/>
      <c r="X975" s="210"/>
      <c r="Y975" s="210"/>
      <c r="Z975" s="210"/>
      <c r="AA975" s="210"/>
      <c r="AB975" s="210"/>
      <c r="AC975" s="210"/>
      <c r="AI975" s="210"/>
      <c r="AJ975" s="210"/>
    </row>
    <row r="976" ht="12.75" customHeight="1">
      <c r="C976" s="210"/>
      <c r="D976" s="210"/>
      <c r="E976" s="210"/>
      <c r="F976" s="210"/>
      <c r="G976" s="210"/>
      <c r="H976" s="210"/>
      <c r="I976" s="210"/>
      <c r="J976" s="210"/>
      <c r="K976" s="210"/>
      <c r="L976" s="210"/>
      <c r="M976" s="210"/>
      <c r="N976" s="210"/>
      <c r="O976" s="210"/>
      <c r="P976" s="210"/>
      <c r="Q976" s="210"/>
      <c r="R976" s="210"/>
      <c r="S976" s="210"/>
      <c r="T976" s="210"/>
      <c r="U976" s="210"/>
      <c r="V976" s="210"/>
      <c r="W976" s="210"/>
      <c r="X976" s="210"/>
      <c r="Y976" s="210"/>
      <c r="Z976" s="210"/>
      <c r="AA976" s="210"/>
      <c r="AB976" s="210"/>
      <c r="AC976" s="210"/>
      <c r="AI976" s="210"/>
      <c r="AJ976" s="210"/>
    </row>
    <row r="977" ht="12.75" customHeight="1">
      <c r="C977" s="210"/>
      <c r="D977" s="210"/>
      <c r="E977" s="210"/>
      <c r="F977" s="210"/>
      <c r="G977" s="210"/>
      <c r="H977" s="210"/>
      <c r="I977" s="210"/>
      <c r="J977" s="210"/>
      <c r="K977" s="210"/>
      <c r="L977" s="210"/>
      <c r="M977" s="210"/>
      <c r="N977" s="210"/>
      <c r="O977" s="210"/>
      <c r="P977" s="210"/>
      <c r="Q977" s="210"/>
      <c r="R977" s="210"/>
      <c r="S977" s="210"/>
      <c r="T977" s="210"/>
      <c r="U977" s="210"/>
      <c r="V977" s="210"/>
      <c r="W977" s="210"/>
      <c r="X977" s="210"/>
      <c r="Y977" s="210"/>
      <c r="Z977" s="210"/>
      <c r="AA977" s="210"/>
      <c r="AB977" s="210"/>
      <c r="AC977" s="210"/>
      <c r="AI977" s="210"/>
      <c r="AJ977" s="210"/>
    </row>
    <row r="978" ht="12.75" customHeight="1">
      <c r="C978" s="210"/>
      <c r="D978" s="210"/>
      <c r="E978" s="210"/>
      <c r="F978" s="210"/>
      <c r="G978" s="210"/>
      <c r="H978" s="210"/>
      <c r="I978" s="210"/>
      <c r="J978" s="210"/>
      <c r="K978" s="210"/>
      <c r="L978" s="210"/>
      <c r="M978" s="210"/>
      <c r="N978" s="210"/>
      <c r="O978" s="210"/>
      <c r="P978" s="210"/>
      <c r="Q978" s="210"/>
      <c r="R978" s="210"/>
      <c r="S978" s="210"/>
      <c r="T978" s="210"/>
      <c r="U978" s="210"/>
      <c r="V978" s="210"/>
      <c r="W978" s="210"/>
      <c r="X978" s="210"/>
      <c r="Y978" s="210"/>
      <c r="Z978" s="210"/>
      <c r="AA978" s="210"/>
      <c r="AB978" s="210"/>
      <c r="AC978" s="210"/>
      <c r="AI978" s="210"/>
      <c r="AJ978" s="210"/>
    </row>
    <row r="979" ht="12.75" customHeight="1">
      <c r="C979" s="210"/>
      <c r="D979" s="210"/>
      <c r="E979" s="210"/>
      <c r="F979" s="210"/>
      <c r="G979" s="210"/>
      <c r="H979" s="210"/>
      <c r="I979" s="210"/>
      <c r="J979" s="210"/>
      <c r="K979" s="210"/>
      <c r="L979" s="210"/>
      <c r="M979" s="210"/>
      <c r="N979" s="210"/>
      <c r="O979" s="210"/>
      <c r="P979" s="210"/>
      <c r="Q979" s="210"/>
      <c r="R979" s="210"/>
      <c r="S979" s="210"/>
      <c r="T979" s="210"/>
      <c r="U979" s="210"/>
      <c r="V979" s="210"/>
      <c r="W979" s="210"/>
      <c r="X979" s="210"/>
      <c r="Y979" s="210"/>
      <c r="Z979" s="210"/>
      <c r="AA979" s="210"/>
      <c r="AB979" s="210"/>
      <c r="AC979" s="210"/>
      <c r="AI979" s="210"/>
      <c r="AJ979" s="210"/>
    </row>
    <row r="980" ht="12.75" customHeight="1">
      <c r="C980" s="210"/>
      <c r="D980" s="210"/>
      <c r="E980" s="210"/>
      <c r="F980" s="210"/>
      <c r="G980" s="210"/>
      <c r="H980" s="210"/>
      <c r="I980" s="210"/>
      <c r="J980" s="210"/>
      <c r="K980" s="210"/>
      <c r="L980" s="210"/>
      <c r="M980" s="210"/>
      <c r="N980" s="210"/>
      <c r="O980" s="210"/>
      <c r="P980" s="210"/>
      <c r="Q980" s="210"/>
      <c r="R980" s="210"/>
      <c r="S980" s="210"/>
      <c r="T980" s="210"/>
      <c r="U980" s="210"/>
      <c r="V980" s="210"/>
      <c r="W980" s="210"/>
      <c r="X980" s="210"/>
      <c r="Y980" s="210"/>
      <c r="Z980" s="210"/>
      <c r="AA980" s="210"/>
      <c r="AB980" s="210"/>
      <c r="AC980" s="210"/>
      <c r="AI980" s="210"/>
      <c r="AJ980" s="210"/>
    </row>
    <row r="981" ht="12.75" customHeight="1">
      <c r="C981" s="210"/>
      <c r="D981" s="210"/>
      <c r="E981" s="210"/>
      <c r="F981" s="210"/>
      <c r="G981" s="210"/>
      <c r="H981" s="210"/>
      <c r="I981" s="210"/>
      <c r="J981" s="210"/>
      <c r="K981" s="210"/>
      <c r="L981" s="210"/>
      <c r="M981" s="210"/>
      <c r="N981" s="210"/>
      <c r="O981" s="210"/>
      <c r="P981" s="210"/>
      <c r="Q981" s="210"/>
      <c r="R981" s="210"/>
      <c r="S981" s="210"/>
      <c r="T981" s="210"/>
      <c r="U981" s="210"/>
      <c r="V981" s="210"/>
      <c r="W981" s="210"/>
      <c r="X981" s="210"/>
      <c r="Y981" s="210"/>
      <c r="Z981" s="210"/>
      <c r="AA981" s="210"/>
      <c r="AB981" s="210"/>
      <c r="AC981" s="210"/>
      <c r="AI981" s="210"/>
      <c r="AJ981" s="210"/>
    </row>
    <row r="982" ht="12.75" customHeight="1">
      <c r="C982" s="210"/>
      <c r="D982" s="210"/>
      <c r="E982" s="210"/>
      <c r="F982" s="210"/>
      <c r="G982" s="210"/>
      <c r="H982" s="210"/>
      <c r="I982" s="210"/>
      <c r="J982" s="210"/>
      <c r="K982" s="210"/>
      <c r="L982" s="210"/>
      <c r="M982" s="210"/>
      <c r="N982" s="210"/>
      <c r="O982" s="210"/>
      <c r="P982" s="210"/>
      <c r="Q982" s="210"/>
      <c r="R982" s="210"/>
      <c r="S982" s="210"/>
      <c r="T982" s="210"/>
      <c r="U982" s="210"/>
      <c r="V982" s="210"/>
      <c r="W982" s="210"/>
      <c r="X982" s="210"/>
      <c r="Y982" s="210"/>
      <c r="Z982" s="210"/>
      <c r="AA982" s="210"/>
      <c r="AB982" s="210"/>
      <c r="AC982" s="210"/>
      <c r="AI982" s="210"/>
      <c r="AJ982" s="210"/>
    </row>
    <row r="983" ht="12.75" customHeight="1">
      <c r="C983" s="210"/>
      <c r="D983" s="210"/>
      <c r="E983" s="210"/>
      <c r="F983" s="210"/>
      <c r="G983" s="210"/>
      <c r="H983" s="210"/>
      <c r="I983" s="210"/>
      <c r="J983" s="210"/>
      <c r="K983" s="210"/>
      <c r="L983" s="210"/>
      <c r="M983" s="210"/>
      <c r="N983" s="210"/>
      <c r="O983" s="210"/>
      <c r="P983" s="210"/>
      <c r="Q983" s="210"/>
      <c r="R983" s="210"/>
      <c r="S983" s="210"/>
      <c r="T983" s="210"/>
      <c r="U983" s="210"/>
      <c r="V983" s="210"/>
      <c r="W983" s="210"/>
      <c r="X983" s="210"/>
      <c r="Y983" s="210"/>
      <c r="Z983" s="210"/>
      <c r="AA983" s="210"/>
      <c r="AB983" s="210"/>
      <c r="AC983" s="210"/>
      <c r="AI983" s="210"/>
      <c r="AJ983" s="210"/>
    </row>
    <row r="984" ht="12.75" customHeight="1">
      <c r="C984" s="210"/>
      <c r="D984" s="210"/>
      <c r="E984" s="210"/>
      <c r="F984" s="210"/>
      <c r="G984" s="210"/>
      <c r="H984" s="210"/>
      <c r="I984" s="210"/>
      <c r="J984" s="210"/>
      <c r="K984" s="210"/>
      <c r="L984" s="210"/>
      <c r="M984" s="210"/>
      <c r="N984" s="210"/>
      <c r="O984" s="210"/>
      <c r="P984" s="210"/>
      <c r="Q984" s="210"/>
      <c r="R984" s="210"/>
      <c r="S984" s="210"/>
      <c r="T984" s="210"/>
      <c r="U984" s="210"/>
      <c r="V984" s="210"/>
      <c r="W984" s="210"/>
      <c r="X984" s="210"/>
      <c r="Y984" s="210"/>
      <c r="Z984" s="210"/>
      <c r="AA984" s="210"/>
      <c r="AB984" s="210"/>
      <c r="AC984" s="210"/>
      <c r="AI984" s="210"/>
      <c r="AJ984" s="210"/>
    </row>
    <row r="985" ht="12.75" customHeight="1">
      <c r="C985" s="210"/>
      <c r="D985" s="210"/>
      <c r="E985" s="210"/>
      <c r="F985" s="210"/>
      <c r="G985" s="210"/>
      <c r="H985" s="210"/>
      <c r="I985" s="210"/>
      <c r="J985" s="210"/>
      <c r="K985" s="210"/>
      <c r="L985" s="210"/>
      <c r="M985" s="210"/>
      <c r="N985" s="210"/>
      <c r="O985" s="210"/>
      <c r="P985" s="210"/>
      <c r="Q985" s="210"/>
      <c r="R985" s="210"/>
      <c r="S985" s="210"/>
      <c r="T985" s="210"/>
      <c r="U985" s="210"/>
      <c r="V985" s="210"/>
      <c r="W985" s="210"/>
      <c r="X985" s="210"/>
      <c r="Y985" s="210"/>
      <c r="Z985" s="210"/>
      <c r="AA985" s="210"/>
      <c r="AB985" s="210"/>
      <c r="AC985" s="210"/>
      <c r="AI985" s="210"/>
      <c r="AJ985" s="210"/>
    </row>
    <row r="986" ht="12.75" customHeight="1">
      <c r="C986" s="210"/>
      <c r="D986" s="210"/>
      <c r="E986" s="210"/>
      <c r="F986" s="210"/>
      <c r="G986" s="210"/>
      <c r="H986" s="210"/>
      <c r="I986" s="210"/>
      <c r="J986" s="210"/>
      <c r="K986" s="210"/>
      <c r="L986" s="210"/>
      <c r="M986" s="210"/>
      <c r="N986" s="210"/>
      <c r="O986" s="210"/>
      <c r="P986" s="210"/>
      <c r="Q986" s="210"/>
      <c r="R986" s="210"/>
      <c r="S986" s="210"/>
      <c r="T986" s="210"/>
      <c r="U986" s="210"/>
      <c r="V986" s="210"/>
      <c r="W986" s="210"/>
      <c r="X986" s="210"/>
      <c r="Y986" s="210"/>
      <c r="Z986" s="210"/>
      <c r="AA986" s="210"/>
      <c r="AB986" s="210"/>
      <c r="AC986" s="210"/>
      <c r="AI986" s="210"/>
      <c r="AJ986" s="210"/>
    </row>
    <row r="987" ht="12.75" customHeight="1">
      <c r="C987" s="210"/>
      <c r="D987" s="210"/>
      <c r="E987" s="210"/>
      <c r="F987" s="210"/>
      <c r="G987" s="210"/>
      <c r="H987" s="210"/>
      <c r="I987" s="210"/>
      <c r="J987" s="210"/>
      <c r="K987" s="210"/>
      <c r="L987" s="210"/>
      <c r="M987" s="210"/>
      <c r="N987" s="210"/>
      <c r="O987" s="210"/>
      <c r="P987" s="210"/>
      <c r="Q987" s="210"/>
      <c r="R987" s="210"/>
      <c r="S987" s="210"/>
      <c r="T987" s="210"/>
      <c r="U987" s="210"/>
      <c r="V987" s="210"/>
      <c r="W987" s="210"/>
      <c r="X987" s="210"/>
      <c r="Y987" s="210"/>
      <c r="Z987" s="210"/>
      <c r="AA987" s="210"/>
      <c r="AB987" s="210"/>
      <c r="AC987" s="210"/>
      <c r="AI987" s="210"/>
      <c r="AJ987" s="210"/>
    </row>
    <row r="988" ht="12.75" customHeight="1">
      <c r="C988" s="210"/>
      <c r="D988" s="210"/>
      <c r="E988" s="210"/>
      <c r="F988" s="210"/>
      <c r="G988" s="210"/>
      <c r="H988" s="210"/>
      <c r="I988" s="210"/>
      <c r="J988" s="210"/>
      <c r="K988" s="210"/>
      <c r="L988" s="210"/>
      <c r="M988" s="210"/>
      <c r="N988" s="210"/>
      <c r="O988" s="210"/>
      <c r="P988" s="210"/>
      <c r="Q988" s="210"/>
      <c r="R988" s="210"/>
      <c r="S988" s="210"/>
      <c r="T988" s="210"/>
      <c r="U988" s="210"/>
      <c r="V988" s="210"/>
      <c r="W988" s="210"/>
      <c r="X988" s="210"/>
      <c r="Y988" s="210"/>
      <c r="Z988" s="210"/>
      <c r="AA988" s="210"/>
      <c r="AB988" s="210"/>
      <c r="AC988" s="210"/>
      <c r="AI988" s="210"/>
      <c r="AJ988" s="210"/>
    </row>
    <row r="989" ht="12.75" customHeight="1">
      <c r="C989" s="210"/>
      <c r="D989" s="210"/>
      <c r="E989" s="210"/>
      <c r="F989" s="210"/>
      <c r="G989" s="210"/>
      <c r="H989" s="210"/>
      <c r="I989" s="210"/>
      <c r="J989" s="210"/>
      <c r="K989" s="210"/>
      <c r="L989" s="210"/>
      <c r="M989" s="210"/>
      <c r="N989" s="210"/>
      <c r="O989" s="210"/>
      <c r="P989" s="210"/>
      <c r="Q989" s="210"/>
      <c r="R989" s="210"/>
      <c r="S989" s="210"/>
      <c r="T989" s="210"/>
      <c r="U989" s="210"/>
      <c r="V989" s="210"/>
      <c r="W989" s="210"/>
      <c r="X989" s="210"/>
      <c r="Y989" s="210"/>
      <c r="Z989" s="210"/>
      <c r="AA989" s="210"/>
      <c r="AB989" s="210"/>
      <c r="AC989" s="210"/>
      <c r="AI989" s="210"/>
      <c r="AJ989" s="210"/>
    </row>
    <row r="990" ht="12.75" customHeight="1">
      <c r="C990" s="210"/>
      <c r="D990" s="210"/>
      <c r="E990" s="210"/>
      <c r="F990" s="210"/>
      <c r="G990" s="210"/>
      <c r="H990" s="210"/>
      <c r="I990" s="210"/>
      <c r="J990" s="210"/>
      <c r="K990" s="210"/>
      <c r="L990" s="210"/>
      <c r="M990" s="210"/>
      <c r="N990" s="210"/>
      <c r="O990" s="210"/>
      <c r="P990" s="210"/>
      <c r="Q990" s="210"/>
      <c r="R990" s="210"/>
      <c r="S990" s="210"/>
      <c r="T990" s="210"/>
      <c r="U990" s="210"/>
      <c r="V990" s="210"/>
      <c r="W990" s="210"/>
      <c r="X990" s="210"/>
      <c r="Y990" s="210"/>
      <c r="Z990" s="210"/>
      <c r="AA990" s="210"/>
      <c r="AB990" s="210"/>
      <c r="AC990" s="210"/>
      <c r="AI990" s="210"/>
      <c r="AJ990" s="210"/>
    </row>
    <row r="991" ht="12.75" customHeight="1">
      <c r="C991" s="210"/>
      <c r="D991" s="210"/>
      <c r="E991" s="210"/>
      <c r="F991" s="210"/>
      <c r="G991" s="210"/>
      <c r="H991" s="210"/>
      <c r="I991" s="210"/>
      <c r="J991" s="210"/>
      <c r="K991" s="210"/>
      <c r="L991" s="210"/>
      <c r="M991" s="210"/>
      <c r="N991" s="210"/>
      <c r="O991" s="210"/>
      <c r="P991" s="210"/>
      <c r="Q991" s="210"/>
      <c r="R991" s="210"/>
      <c r="S991" s="210"/>
      <c r="T991" s="210"/>
      <c r="U991" s="210"/>
      <c r="V991" s="210"/>
      <c r="W991" s="210"/>
      <c r="X991" s="210"/>
      <c r="Y991" s="210"/>
      <c r="Z991" s="210"/>
      <c r="AA991" s="210"/>
      <c r="AB991" s="210"/>
      <c r="AC991" s="210"/>
      <c r="AI991" s="210"/>
      <c r="AJ991" s="210"/>
    </row>
    <row r="992" ht="12.75" customHeight="1">
      <c r="C992" s="210"/>
      <c r="D992" s="210"/>
      <c r="E992" s="210"/>
      <c r="F992" s="210"/>
      <c r="G992" s="210"/>
      <c r="H992" s="210"/>
      <c r="I992" s="210"/>
      <c r="J992" s="210"/>
      <c r="K992" s="210"/>
      <c r="L992" s="210"/>
      <c r="M992" s="210"/>
      <c r="N992" s="210"/>
      <c r="O992" s="210"/>
      <c r="P992" s="210"/>
      <c r="Q992" s="210"/>
      <c r="R992" s="210"/>
      <c r="S992" s="210"/>
      <c r="T992" s="210"/>
      <c r="U992" s="210"/>
      <c r="V992" s="210"/>
      <c r="W992" s="210"/>
      <c r="X992" s="210"/>
      <c r="Y992" s="210"/>
      <c r="Z992" s="210"/>
      <c r="AA992" s="210"/>
      <c r="AB992" s="210"/>
      <c r="AC992" s="210"/>
      <c r="AI992" s="210"/>
      <c r="AJ992" s="210"/>
    </row>
    <row r="993" ht="12.75" customHeight="1">
      <c r="C993" s="210"/>
      <c r="D993" s="210"/>
      <c r="E993" s="210"/>
      <c r="F993" s="210"/>
      <c r="G993" s="210"/>
      <c r="H993" s="210"/>
      <c r="I993" s="210"/>
      <c r="J993" s="210"/>
      <c r="K993" s="210"/>
      <c r="L993" s="210"/>
      <c r="M993" s="210"/>
      <c r="N993" s="210"/>
      <c r="O993" s="210"/>
      <c r="P993" s="210"/>
      <c r="Q993" s="210"/>
      <c r="R993" s="210"/>
      <c r="S993" s="210"/>
      <c r="T993" s="210"/>
      <c r="U993" s="210"/>
      <c r="V993" s="210"/>
      <c r="W993" s="210"/>
      <c r="X993" s="210"/>
      <c r="Y993" s="210"/>
      <c r="Z993" s="210"/>
      <c r="AA993" s="210"/>
      <c r="AB993" s="210"/>
      <c r="AC993" s="210"/>
      <c r="AI993" s="210"/>
      <c r="AJ993" s="210"/>
    </row>
    <row r="994" ht="12.75" customHeight="1">
      <c r="C994" s="210"/>
      <c r="D994" s="210"/>
      <c r="E994" s="210"/>
      <c r="F994" s="210"/>
      <c r="G994" s="210"/>
      <c r="H994" s="210"/>
      <c r="I994" s="210"/>
      <c r="J994" s="210"/>
      <c r="K994" s="210"/>
      <c r="L994" s="210"/>
      <c r="M994" s="210"/>
      <c r="N994" s="210"/>
      <c r="O994" s="210"/>
      <c r="P994" s="210"/>
      <c r="Q994" s="210"/>
      <c r="R994" s="210"/>
      <c r="S994" s="210"/>
      <c r="T994" s="210"/>
      <c r="U994" s="210"/>
      <c r="V994" s="210"/>
      <c r="W994" s="210"/>
      <c r="X994" s="210"/>
      <c r="Y994" s="210"/>
      <c r="Z994" s="210"/>
      <c r="AA994" s="210"/>
      <c r="AB994" s="210"/>
      <c r="AC994" s="210"/>
      <c r="AI994" s="210"/>
      <c r="AJ994" s="210"/>
    </row>
    <row r="995" ht="12.75" customHeight="1">
      <c r="C995" s="210"/>
      <c r="D995" s="210"/>
      <c r="E995" s="210"/>
      <c r="F995" s="210"/>
      <c r="G995" s="210"/>
      <c r="H995" s="210"/>
      <c r="I995" s="210"/>
      <c r="J995" s="210"/>
      <c r="K995" s="210"/>
      <c r="L995" s="210"/>
      <c r="M995" s="210"/>
      <c r="N995" s="210"/>
      <c r="O995" s="210"/>
      <c r="P995" s="210"/>
      <c r="Q995" s="210"/>
      <c r="R995" s="210"/>
      <c r="S995" s="210"/>
      <c r="T995" s="210"/>
      <c r="U995" s="210"/>
      <c r="V995" s="210"/>
      <c r="W995" s="210"/>
      <c r="X995" s="210"/>
      <c r="Y995" s="210"/>
      <c r="Z995" s="210"/>
      <c r="AA995" s="210"/>
      <c r="AB995" s="210"/>
      <c r="AC995" s="210"/>
      <c r="AI995" s="210"/>
      <c r="AJ995" s="210"/>
    </row>
    <row r="996" ht="12.75" customHeight="1">
      <c r="C996" s="210"/>
      <c r="D996" s="210"/>
      <c r="E996" s="210"/>
      <c r="F996" s="210"/>
      <c r="G996" s="210"/>
      <c r="H996" s="210"/>
      <c r="I996" s="210"/>
      <c r="J996" s="210"/>
      <c r="K996" s="210"/>
      <c r="L996" s="210"/>
      <c r="M996" s="210"/>
      <c r="N996" s="210"/>
      <c r="O996" s="210"/>
      <c r="P996" s="210"/>
      <c r="Q996" s="210"/>
      <c r="R996" s="210"/>
      <c r="S996" s="210"/>
      <c r="T996" s="210"/>
      <c r="U996" s="210"/>
      <c r="V996" s="210"/>
      <c r="W996" s="210"/>
      <c r="X996" s="210"/>
      <c r="Y996" s="210"/>
      <c r="Z996" s="210"/>
      <c r="AA996" s="210"/>
      <c r="AB996" s="210"/>
      <c r="AC996" s="210"/>
      <c r="AI996" s="210"/>
      <c r="AJ996" s="210"/>
    </row>
    <row r="997" ht="12.75" customHeight="1">
      <c r="C997" s="210"/>
      <c r="D997" s="210"/>
      <c r="E997" s="210"/>
      <c r="F997" s="210"/>
      <c r="G997" s="210"/>
      <c r="H997" s="210"/>
      <c r="I997" s="210"/>
      <c r="J997" s="210"/>
      <c r="K997" s="210"/>
      <c r="L997" s="210"/>
      <c r="M997" s="210"/>
      <c r="N997" s="210"/>
      <c r="O997" s="210"/>
      <c r="P997" s="210"/>
      <c r="Q997" s="210"/>
      <c r="R997" s="210"/>
      <c r="S997" s="210"/>
      <c r="T997" s="210"/>
      <c r="U997" s="210"/>
      <c r="V997" s="210"/>
      <c r="W997" s="210"/>
      <c r="X997" s="210"/>
      <c r="Y997" s="210"/>
      <c r="Z997" s="210"/>
      <c r="AA997" s="210"/>
      <c r="AB997" s="210"/>
      <c r="AC997" s="210"/>
      <c r="AI997" s="210"/>
      <c r="AJ997" s="210"/>
    </row>
    <row r="998" ht="12.75" customHeight="1">
      <c r="C998" s="210"/>
      <c r="D998" s="210"/>
      <c r="E998" s="210"/>
      <c r="F998" s="210"/>
      <c r="G998" s="210"/>
      <c r="H998" s="210"/>
      <c r="I998" s="210"/>
      <c r="J998" s="210"/>
      <c r="K998" s="210"/>
      <c r="L998" s="210"/>
      <c r="M998" s="210"/>
      <c r="N998" s="210"/>
      <c r="O998" s="210"/>
      <c r="P998" s="210"/>
      <c r="Q998" s="210"/>
      <c r="R998" s="210"/>
      <c r="S998" s="210"/>
      <c r="T998" s="210"/>
      <c r="U998" s="210"/>
      <c r="V998" s="210"/>
      <c r="W998" s="210"/>
      <c r="X998" s="210"/>
      <c r="Y998" s="210"/>
      <c r="Z998" s="210"/>
      <c r="AA998" s="210"/>
      <c r="AB998" s="210"/>
      <c r="AC998" s="210"/>
      <c r="AI998" s="210"/>
      <c r="AJ998" s="210"/>
    </row>
    <row r="999" ht="12.75" customHeight="1">
      <c r="C999" s="210"/>
      <c r="D999" s="210"/>
      <c r="E999" s="210"/>
      <c r="F999" s="210"/>
      <c r="G999" s="210"/>
      <c r="H999" s="210"/>
      <c r="I999" s="210"/>
      <c r="J999" s="210"/>
      <c r="K999" s="210"/>
      <c r="L999" s="210"/>
      <c r="M999" s="210"/>
      <c r="N999" s="210"/>
      <c r="O999" s="210"/>
      <c r="P999" s="210"/>
      <c r="Q999" s="210"/>
      <c r="R999" s="210"/>
      <c r="S999" s="210"/>
      <c r="T999" s="210"/>
      <c r="U999" s="210"/>
      <c r="V999" s="210"/>
      <c r="W999" s="210"/>
      <c r="X999" s="210"/>
      <c r="Y999" s="210"/>
      <c r="Z999" s="210"/>
      <c r="AA999" s="210"/>
      <c r="AB999" s="210"/>
      <c r="AC999" s="210"/>
      <c r="AI999" s="210"/>
      <c r="AJ999" s="210"/>
    </row>
    <row r="1000" ht="12.75" customHeight="1">
      <c r="C1000" s="210"/>
      <c r="D1000" s="210"/>
      <c r="E1000" s="210"/>
      <c r="F1000" s="210"/>
      <c r="G1000" s="210"/>
      <c r="H1000" s="210"/>
      <c r="I1000" s="210"/>
      <c r="J1000" s="210"/>
      <c r="K1000" s="210"/>
      <c r="L1000" s="210"/>
      <c r="M1000" s="210"/>
      <c r="N1000" s="210"/>
      <c r="O1000" s="210"/>
      <c r="P1000" s="210"/>
      <c r="Q1000" s="210"/>
      <c r="R1000" s="210"/>
      <c r="S1000" s="210"/>
      <c r="T1000" s="210"/>
      <c r="U1000" s="210"/>
      <c r="V1000" s="210"/>
      <c r="W1000" s="210"/>
      <c r="X1000" s="210"/>
      <c r="Y1000" s="210"/>
      <c r="Z1000" s="210"/>
      <c r="AA1000" s="210"/>
      <c r="AB1000" s="210"/>
      <c r="AC1000" s="210"/>
      <c r="AI1000" s="210"/>
      <c r="AJ1000" s="210"/>
    </row>
  </sheetData>
  <autoFilter ref="$A$1:$Y$101"/>
  <printOptions/>
  <pageMargins bottom="0.75" footer="0.0" header="0.0" left="0.7" right="0.7" top="0.75"/>
  <pageSetup orientation="portrait"/>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86"/>
    <col customWidth="1" min="2" max="23" width="12.14"/>
    <col customWidth="1" min="24" max="29" width="10.57"/>
    <col customWidth="1" min="30" max="30" width="18.14"/>
    <col customWidth="1" min="31" max="31" width="18.43"/>
    <col customWidth="1" min="32" max="32" width="23.43"/>
    <col customWidth="1" min="33" max="33" width="27.29"/>
    <col customWidth="1" min="34" max="34" width="29.0"/>
    <col customWidth="1" min="35" max="36" width="20.86"/>
    <col customWidth="1" min="37" max="38" width="15.14"/>
    <col customWidth="1" min="39" max="39" width="23.43"/>
    <col customWidth="1" min="40" max="40" width="19.43"/>
    <col customWidth="1" min="41" max="41" width="21.0"/>
    <col customWidth="1" min="42" max="42" width="19.43"/>
    <col customWidth="1" min="43" max="43" width="21.0"/>
    <col customWidth="1" min="44" max="44" width="23.43"/>
    <col customWidth="1" min="45" max="45" width="19.43"/>
    <col customWidth="1" min="46" max="46" width="21.0"/>
    <col customWidth="1" min="47" max="60" width="8.71"/>
    <col customWidth="1" min="61" max="61" width="12.86"/>
  </cols>
  <sheetData>
    <row r="1" ht="12.75" customHeight="1">
      <c r="A1" s="207" t="s">
        <v>2</v>
      </c>
      <c r="B1" s="207" t="s">
        <v>1217</v>
      </c>
      <c r="C1" s="208" t="s">
        <v>1219</v>
      </c>
      <c r="D1" s="208" t="s">
        <v>1220</v>
      </c>
      <c r="E1" s="208" t="s">
        <v>1221</v>
      </c>
      <c r="F1" s="208" t="s">
        <v>1222</v>
      </c>
      <c r="G1" s="208" t="s">
        <v>1223</v>
      </c>
      <c r="H1" s="208" t="s">
        <v>1224</v>
      </c>
      <c r="I1" s="208" t="s">
        <v>1225</v>
      </c>
      <c r="J1" s="208" t="s">
        <v>1226</v>
      </c>
      <c r="K1" s="208" t="s">
        <v>1227</v>
      </c>
      <c r="L1" s="208" t="s">
        <v>1228</v>
      </c>
      <c r="M1" s="208" t="s">
        <v>1229</v>
      </c>
      <c r="N1" s="208" t="s">
        <v>1230</v>
      </c>
      <c r="O1" s="208" t="s">
        <v>1231</v>
      </c>
      <c r="P1" s="208" t="s">
        <v>1232</v>
      </c>
      <c r="Q1" s="208" t="s">
        <v>1233</v>
      </c>
      <c r="R1" s="208" t="s">
        <v>1234</v>
      </c>
      <c r="S1" s="208" t="s">
        <v>1235</v>
      </c>
      <c r="T1" s="208" t="s">
        <v>1236</v>
      </c>
      <c r="U1" s="208" t="s">
        <v>1237</v>
      </c>
      <c r="V1" s="208" t="s">
        <v>1238</v>
      </c>
      <c r="W1" s="208" t="s">
        <v>1239</v>
      </c>
      <c r="X1" s="208" t="s">
        <v>1240</v>
      </c>
      <c r="Y1" s="208" t="s">
        <v>1241</v>
      </c>
      <c r="Z1" s="209"/>
      <c r="AA1" s="209"/>
      <c r="AB1" s="209"/>
      <c r="AC1" s="209"/>
      <c r="AD1" s="205" t="s">
        <v>1242</v>
      </c>
      <c r="AE1" s="205" t="s">
        <v>1243</v>
      </c>
      <c r="AF1" s="209" t="s">
        <v>1244</v>
      </c>
      <c r="AG1" s="205" t="s">
        <v>1245</v>
      </c>
      <c r="AH1" s="205" t="s">
        <v>1246</v>
      </c>
      <c r="AI1" s="210"/>
      <c r="AJ1" s="210"/>
      <c r="AK1" s="205" t="s">
        <v>1247</v>
      </c>
      <c r="AL1" s="205" t="s">
        <v>1248</v>
      </c>
      <c r="AM1" s="209" t="s">
        <v>1249</v>
      </c>
      <c r="AN1" s="205" t="s">
        <v>1250</v>
      </c>
      <c r="AO1" s="205" t="s">
        <v>1251</v>
      </c>
      <c r="AP1" s="205" t="s">
        <v>1250</v>
      </c>
      <c r="AQ1" s="205" t="s">
        <v>1251</v>
      </c>
      <c r="AR1" s="209" t="s">
        <v>1252</v>
      </c>
      <c r="AS1" s="205" t="s">
        <v>1250</v>
      </c>
      <c r="AT1" s="205" t="s">
        <v>1251</v>
      </c>
      <c r="BI1" s="199" t="s">
        <v>1253</v>
      </c>
    </row>
    <row r="2" ht="12.75" hidden="1" customHeight="1">
      <c r="A2" s="5">
        <f>companies!A2</f>
        <v>1</v>
      </c>
      <c r="B2" s="200" t="s">
        <v>1254</v>
      </c>
      <c r="C2" s="200">
        <v>4050000.0</v>
      </c>
      <c r="D2" s="200">
        <v>1780000.0</v>
      </c>
      <c r="E2" s="200">
        <v>1320000.0</v>
      </c>
      <c r="F2" s="200">
        <v>6140000.0</v>
      </c>
      <c r="G2" s="200">
        <v>556000.0</v>
      </c>
      <c r="H2" s="200">
        <v>578000.0</v>
      </c>
      <c r="I2" s="200">
        <v>1070000.0</v>
      </c>
      <c r="J2" s="200">
        <v>192000.0</v>
      </c>
      <c r="K2" s="200">
        <v>52800.0</v>
      </c>
      <c r="L2" s="200">
        <v>336000.0</v>
      </c>
      <c r="M2" s="213" t="s">
        <v>683</v>
      </c>
      <c r="N2" s="213" t="s">
        <v>683</v>
      </c>
      <c r="O2" s="213" t="s">
        <v>683</v>
      </c>
      <c r="P2" s="213" t="s">
        <v>683</v>
      </c>
      <c r="Q2" s="213" t="s">
        <v>683</v>
      </c>
      <c r="R2" s="200">
        <v>1000.0</v>
      </c>
      <c r="S2" s="213" t="s">
        <v>683</v>
      </c>
      <c r="T2" s="213" t="s">
        <v>683</v>
      </c>
      <c r="U2" s="213" t="s">
        <v>683</v>
      </c>
      <c r="V2" s="213" t="s">
        <v>683</v>
      </c>
      <c r="W2" s="213">
        <f t="shared" ref="W2:W9" si="1">SUM(F2:V2)</f>
        <v>8925800</v>
      </c>
      <c r="X2" s="200">
        <v>1320000.0</v>
      </c>
      <c r="Y2" s="200">
        <v>1.42958E7</v>
      </c>
      <c r="Z2" s="200"/>
      <c r="AA2" s="200"/>
      <c r="AB2" s="200"/>
      <c r="AC2" s="200"/>
      <c r="AD2" s="213" t="s">
        <v>683</v>
      </c>
      <c r="AE2" s="213" t="s">
        <v>683</v>
      </c>
      <c r="AF2" s="214" t="str">
        <f>Table1[[#This Row],[2019 Scope 1 (MeT Co2)]]</f>
        <v>#ERROR!</v>
      </c>
      <c r="AG2" s="215" t="str">
        <f t="shared" ref="AG2:AG101" si="2">C2-AF2</f>
        <v>#ERROR!</v>
      </c>
      <c r="AH2" s="216" t="str">
        <f t="shared" ref="AH2:AH101" si="3">AG2/C2</f>
        <v>#ERROR!</v>
      </c>
      <c r="AI2" s="210"/>
      <c r="AJ2" s="210"/>
      <c r="AK2" s="213" t="s">
        <v>683</v>
      </c>
      <c r="AL2" s="213" t="s">
        <v>683</v>
      </c>
      <c r="AM2" s="214" t="str">
        <f>Table1[[#This Row],[2019 Scope 2 ]]</f>
        <v>#ERROR!</v>
      </c>
      <c r="AN2" s="215" t="str">
        <f t="shared" ref="AN2:AN101" si="4">D2-AM2</f>
        <v>#ERROR!</v>
      </c>
      <c r="AO2" s="216" t="str">
        <f t="shared" ref="AO2:AO101" si="5">AN2/D2</f>
        <v>#ERROR!</v>
      </c>
      <c r="AP2" s="215" t="str">
        <f t="shared" ref="AP2:AP101" si="6">AM2-E2</f>
        <v>#ERROR!</v>
      </c>
      <c r="AQ2" s="216" t="str">
        <f t="shared" ref="AQ2:AQ101" si="7">AP2/E2</f>
        <v>#ERROR!</v>
      </c>
      <c r="AR2" s="217" t="str">
        <f>Table1[[#This Row],[2019 Scope 3 ]]</f>
        <v>#ERROR!</v>
      </c>
      <c r="AS2" s="218" t="str">
        <f t="shared" ref="AS2:AS101" si="8">W2-AR2</f>
        <v>#ERROR!</v>
      </c>
      <c r="AT2" s="219" t="str">
        <f t="shared" ref="AT2:AT101" si="9">AS2/W2</f>
        <v>#ERROR!</v>
      </c>
      <c r="BI2" s="4">
        <v>285.0</v>
      </c>
    </row>
    <row r="3" ht="12.75" hidden="1" customHeight="1">
      <c r="A3" s="5">
        <f>companies!A3</f>
        <v>2</v>
      </c>
      <c r="B3" s="200" t="s">
        <v>1254</v>
      </c>
      <c r="C3" s="200">
        <v>533000.0</v>
      </c>
      <c r="D3" s="200">
        <v>518000.0</v>
      </c>
      <c r="E3" s="200">
        <v>439000.0</v>
      </c>
      <c r="F3" s="200">
        <v>8382000.0</v>
      </c>
      <c r="G3" s="200">
        <v>2860000.0</v>
      </c>
      <c r="H3" s="200">
        <v>290000.0</v>
      </c>
      <c r="I3" s="200">
        <v>1501000.0</v>
      </c>
      <c r="J3" s="200">
        <v>15000.0</v>
      </c>
      <c r="K3" s="200">
        <v>332000.0</v>
      </c>
      <c r="L3" s="200">
        <v>306000.0</v>
      </c>
      <c r="M3" s="213" t="s">
        <v>683</v>
      </c>
      <c r="N3" s="213" t="s">
        <v>683</v>
      </c>
      <c r="O3" s="213" t="s">
        <v>683</v>
      </c>
      <c r="P3" s="213">
        <v>508000.0</v>
      </c>
      <c r="Q3" s="213">
        <v>169000.0</v>
      </c>
      <c r="R3" s="200" t="s">
        <v>683</v>
      </c>
      <c r="S3" s="213" t="s">
        <v>683</v>
      </c>
      <c r="T3" s="213" t="s">
        <v>683</v>
      </c>
      <c r="U3" s="213" t="s">
        <v>683</v>
      </c>
      <c r="V3" s="213" t="s">
        <v>683</v>
      </c>
      <c r="W3" s="213">
        <f t="shared" si="1"/>
        <v>14363000</v>
      </c>
      <c r="X3" s="200">
        <v>439000.0</v>
      </c>
      <c r="Y3" s="200">
        <v>1.5335E7</v>
      </c>
      <c r="Z3" s="200"/>
      <c r="AA3" s="200"/>
      <c r="AB3" s="200"/>
      <c r="AC3" s="200"/>
      <c r="AD3" s="213" t="s">
        <v>1255</v>
      </c>
      <c r="AE3" s="213" t="s">
        <v>1256</v>
      </c>
      <c r="AF3" s="214" t="str">
        <f>Table1[[#This Row],[2019 Scope 1 (MeT Co2)]]</f>
        <v>#ERROR!</v>
      </c>
      <c r="AG3" s="215" t="str">
        <f t="shared" si="2"/>
        <v>#ERROR!</v>
      </c>
      <c r="AH3" s="216" t="str">
        <f t="shared" si="3"/>
        <v>#ERROR!</v>
      </c>
      <c r="AI3" s="210"/>
      <c r="AJ3" s="210"/>
      <c r="AK3" s="213" t="s">
        <v>1255</v>
      </c>
      <c r="AL3" s="213" t="s">
        <v>1256</v>
      </c>
      <c r="AM3" s="214" t="str">
        <f>Table1[[#This Row],[2019 Scope 2 ]]</f>
        <v>#ERROR!</v>
      </c>
      <c r="AN3" s="215" t="str">
        <f t="shared" si="4"/>
        <v>#ERROR!</v>
      </c>
      <c r="AO3" s="216" t="str">
        <f t="shared" si="5"/>
        <v>#ERROR!</v>
      </c>
      <c r="AP3" s="215" t="str">
        <f t="shared" si="6"/>
        <v>#ERROR!</v>
      </c>
      <c r="AQ3" s="216" t="str">
        <f t="shared" si="7"/>
        <v>#ERROR!</v>
      </c>
      <c r="AR3" s="217" t="str">
        <f>Table1[[#This Row],[2019 Scope 3 ]]</f>
        <v>#ERROR!</v>
      </c>
      <c r="AS3" s="218" t="str">
        <f t="shared" si="8"/>
        <v>#ERROR!</v>
      </c>
      <c r="AT3" s="219" t="str">
        <f t="shared" si="9"/>
        <v>#ERROR!</v>
      </c>
      <c r="BI3" s="4">
        <v>64.0</v>
      </c>
    </row>
    <row r="4" ht="12.75" hidden="1" customHeight="1">
      <c r="A4" s="5">
        <f>companies!A4</f>
        <v>3</v>
      </c>
      <c r="B4" s="200" t="s">
        <v>1254</v>
      </c>
      <c r="C4" s="200">
        <v>314421.0</v>
      </c>
      <c r="D4" s="200">
        <v>308204.0</v>
      </c>
      <c r="E4" s="200">
        <v>249777.0</v>
      </c>
      <c r="F4" s="200">
        <v>990981.0</v>
      </c>
      <c r="G4" s="200">
        <v>20324.0</v>
      </c>
      <c r="H4" s="200" t="s">
        <v>683</v>
      </c>
      <c r="I4" s="200">
        <v>77371.0</v>
      </c>
      <c r="J4" s="200">
        <v>5483.0</v>
      </c>
      <c r="K4" s="200">
        <v>56303.0</v>
      </c>
      <c r="L4" s="200">
        <v>183747.0</v>
      </c>
      <c r="M4" s="213" t="s">
        <v>683</v>
      </c>
      <c r="N4" s="213" t="s">
        <v>683</v>
      </c>
      <c r="O4" s="213" t="s">
        <v>683</v>
      </c>
      <c r="P4" s="213" t="s">
        <v>683</v>
      </c>
      <c r="Q4" s="213" t="s">
        <v>683</v>
      </c>
      <c r="R4" s="200" t="s">
        <v>683</v>
      </c>
      <c r="S4" s="213" t="s">
        <v>683</v>
      </c>
      <c r="T4" s="213" t="s">
        <v>683</v>
      </c>
      <c r="U4" s="213" t="s">
        <v>683</v>
      </c>
      <c r="V4" s="213" t="s">
        <v>683</v>
      </c>
      <c r="W4" s="213">
        <f t="shared" si="1"/>
        <v>1334209</v>
      </c>
      <c r="X4" s="200">
        <v>249777.0</v>
      </c>
      <c r="Y4" s="200">
        <v>1898407.0</v>
      </c>
      <c r="Z4" s="200"/>
      <c r="AA4" s="200"/>
      <c r="AB4" s="200"/>
      <c r="AC4" s="200"/>
      <c r="AD4" s="213" t="s">
        <v>683</v>
      </c>
      <c r="AE4" s="213" t="s">
        <v>683</v>
      </c>
      <c r="AF4" s="214" t="str">
        <f>Table1[[#This Row],[2019 Scope 1 (MeT Co2)]]</f>
        <v>#ERROR!</v>
      </c>
      <c r="AG4" s="215" t="str">
        <f t="shared" si="2"/>
        <v>#ERROR!</v>
      </c>
      <c r="AH4" s="216" t="str">
        <f t="shared" si="3"/>
        <v>#ERROR!</v>
      </c>
      <c r="AI4" s="210"/>
      <c r="AJ4" s="210"/>
      <c r="AK4" s="213" t="s">
        <v>683</v>
      </c>
      <c r="AL4" s="213" t="s">
        <v>683</v>
      </c>
      <c r="AM4" s="214" t="str">
        <f>Table1[[#This Row],[2019 Scope 2 ]]</f>
        <v>#ERROR!</v>
      </c>
      <c r="AN4" s="215" t="str">
        <f t="shared" si="4"/>
        <v>#ERROR!</v>
      </c>
      <c r="AO4" s="216" t="str">
        <f t="shared" si="5"/>
        <v>#ERROR!</v>
      </c>
      <c r="AP4" s="215" t="str">
        <f t="shared" si="6"/>
        <v>#ERROR!</v>
      </c>
      <c r="AQ4" s="216" t="str">
        <f t="shared" si="7"/>
        <v>#ERROR!</v>
      </c>
      <c r="AR4" s="217" t="str">
        <f>Table1[[#This Row],[2019 Scope 3 ]]</f>
        <v>#ERROR!</v>
      </c>
      <c r="AS4" s="218" t="str">
        <f t="shared" si="8"/>
        <v>#ERROR!</v>
      </c>
      <c r="AT4" s="219" t="str">
        <f t="shared" si="9"/>
        <v>#ERROR!</v>
      </c>
      <c r="BI4" s="4">
        <v>45103.0</v>
      </c>
    </row>
    <row r="5" ht="12.75" hidden="1" customHeight="1">
      <c r="A5" s="5">
        <f>companies!A5</f>
        <v>4</v>
      </c>
      <c r="B5" s="200" t="s">
        <v>1254</v>
      </c>
      <c r="C5" s="200">
        <v>18923.0</v>
      </c>
      <c r="D5" s="200">
        <v>281489.0</v>
      </c>
      <c r="E5" s="200">
        <v>214680.0</v>
      </c>
      <c r="F5" s="200">
        <v>423771.0</v>
      </c>
      <c r="G5" s="200" t="s">
        <v>683</v>
      </c>
      <c r="H5" s="200" t="s">
        <v>683</v>
      </c>
      <c r="I5" s="200" t="s">
        <v>683</v>
      </c>
      <c r="J5" s="200" t="s">
        <v>683</v>
      </c>
      <c r="K5" s="200">
        <v>508882.0</v>
      </c>
      <c r="L5" s="200" t="s">
        <v>683</v>
      </c>
      <c r="M5" s="213" t="s">
        <v>683</v>
      </c>
      <c r="N5" s="213" t="s">
        <v>683</v>
      </c>
      <c r="O5" s="213" t="s">
        <v>683</v>
      </c>
      <c r="P5" s="213" t="s">
        <v>683</v>
      </c>
      <c r="Q5" s="213" t="s">
        <v>683</v>
      </c>
      <c r="R5" s="200" t="s">
        <v>683</v>
      </c>
      <c r="S5" s="213" t="s">
        <v>683</v>
      </c>
      <c r="T5" s="213" t="s">
        <v>683</v>
      </c>
      <c r="U5" s="213" t="s">
        <v>683</v>
      </c>
      <c r="V5" s="213" t="s">
        <v>683</v>
      </c>
      <c r="W5" s="213">
        <f t="shared" si="1"/>
        <v>932653</v>
      </c>
      <c r="X5" s="200">
        <v>214680.0</v>
      </c>
      <c r="Y5" s="200">
        <v>1166256.0</v>
      </c>
      <c r="Z5" s="200"/>
      <c r="AA5" s="200"/>
      <c r="AB5" s="200"/>
      <c r="AC5" s="200"/>
      <c r="AD5" s="213" t="s">
        <v>683</v>
      </c>
      <c r="AE5" s="213" t="s">
        <v>683</v>
      </c>
      <c r="AF5" s="214" t="str">
        <f>Table1[[#This Row],[2019 Scope 1 (MeT Co2)]]</f>
        <v>#ERROR!</v>
      </c>
      <c r="AG5" s="215" t="str">
        <f t="shared" si="2"/>
        <v>#ERROR!</v>
      </c>
      <c r="AH5" s="216" t="str">
        <f t="shared" si="3"/>
        <v>#ERROR!</v>
      </c>
      <c r="AI5" s="210"/>
      <c r="AJ5" s="210"/>
      <c r="AK5" s="213" t="s">
        <v>683</v>
      </c>
      <c r="AL5" s="213" t="s">
        <v>683</v>
      </c>
      <c r="AM5" s="214" t="str">
        <f>Table1[[#This Row],[2019 Scope 2 ]]</f>
        <v>#ERROR!</v>
      </c>
      <c r="AN5" s="215" t="str">
        <f t="shared" si="4"/>
        <v>#ERROR!</v>
      </c>
      <c r="AO5" s="216" t="str">
        <f t="shared" si="5"/>
        <v>#ERROR!</v>
      </c>
      <c r="AP5" s="215" t="str">
        <f t="shared" si="6"/>
        <v>#ERROR!</v>
      </c>
      <c r="AQ5" s="216" t="str">
        <f t="shared" si="7"/>
        <v>#ERROR!</v>
      </c>
      <c r="AR5" s="217" t="str">
        <f>Table1[[#This Row],[2019 Scope 3 ]]</f>
        <v>#ERROR!</v>
      </c>
      <c r="AS5" s="218" t="str">
        <f t="shared" si="8"/>
        <v>#ERROR!</v>
      </c>
      <c r="AT5" s="219" t="str">
        <f t="shared" si="9"/>
        <v>#ERROR!</v>
      </c>
      <c r="BI5" s="4">
        <v>21318.0</v>
      </c>
    </row>
    <row r="6" ht="12.75" hidden="1" customHeight="1">
      <c r="A6" s="5">
        <f>companies!A6</f>
        <v>5</v>
      </c>
      <c r="B6" s="200" t="s">
        <v>1254</v>
      </c>
      <c r="C6" s="200">
        <v>11816.0</v>
      </c>
      <c r="D6" s="200">
        <v>56113.0</v>
      </c>
      <c r="E6" s="200">
        <v>43526.0</v>
      </c>
      <c r="F6" s="200">
        <v>358472.0</v>
      </c>
      <c r="G6" s="200">
        <v>39706.0</v>
      </c>
      <c r="H6" s="200">
        <v>14180.0</v>
      </c>
      <c r="I6" s="200" t="s">
        <v>683</v>
      </c>
      <c r="J6" s="200">
        <v>57.87</v>
      </c>
      <c r="K6" s="200">
        <v>88959.0</v>
      </c>
      <c r="L6" s="200">
        <v>42037.0</v>
      </c>
      <c r="M6" s="213" t="s">
        <v>683</v>
      </c>
      <c r="N6" s="213" t="s">
        <v>683</v>
      </c>
      <c r="O6" s="213" t="s">
        <v>683</v>
      </c>
      <c r="P6" s="213" t="s">
        <v>683</v>
      </c>
      <c r="Q6" s="213" t="s">
        <v>683</v>
      </c>
      <c r="R6" s="200" t="s">
        <v>683</v>
      </c>
      <c r="S6" s="213" t="s">
        <v>683</v>
      </c>
      <c r="T6" s="213" t="s">
        <v>683</v>
      </c>
      <c r="U6" s="213" t="s">
        <v>683</v>
      </c>
      <c r="V6" s="213" t="s">
        <v>683</v>
      </c>
      <c r="W6" s="213">
        <f t="shared" si="1"/>
        <v>543411.87</v>
      </c>
      <c r="X6" s="200">
        <v>43526.0</v>
      </c>
      <c r="Y6" s="200">
        <v>598753.87</v>
      </c>
      <c r="Z6" s="200"/>
      <c r="AA6" s="200"/>
      <c r="AB6" s="200"/>
      <c r="AC6" s="200"/>
      <c r="AD6" s="213" t="s">
        <v>1257</v>
      </c>
      <c r="AE6" s="213" t="s">
        <v>1258</v>
      </c>
      <c r="AF6" s="214" t="str">
        <f>Table1[[#This Row],[2019 Scope 1 (MeT Co2)]]</f>
        <v>#ERROR!</v>
      </c>
      <c r="AG6" s="215" t="str">
        <f t="shared" si="2"/>
        <v>#ERROR!</v>
      </c>
      <c r="AH6" s="216" t="str">
        <f t="shared" si="3"/>
        <v>#ERROR!</v>
      </c>
      <c r="AI6" s="210"/>
      <c r="AJ6" s="210"/>
      <c r="AK6" s="213" t="s">
        <v>1257</v>
      </c>
      <c r="AL6" s="213" t="s">
        <v>1258</v>
      </c>
      <c r="AM6" s="214" t="str">
        <f>Table1[[#This Row],[2019 Scope 2 ]]</f>
        <v>#ERROR!</v>
      </c>
      <c r="AN6" s="215" t="str">
        <f t="shared" si="4"/>
        <v>#ERROR!</v>
      </c>
      <c r="AO6" s="216" t="str">
        <f t="shared" si="5"/>
        <v>#ERROR!</v>
      </c>
      <c r="AP6" s="215" t="str">
        <f t="shared" si="6"/>
        <v>#ERROR!</v>
      </c>
      <c r="AQ6" s="216" t="str">
        <f t="shared" si="7"/>
        <v>#ERROR!</v>
      </c>
      <c r="AR6" s="217" t="str">
        <f>Table1[[#This Row],[2019 Scope 3 ]]</f>
        <v>#ERROR!</v>
      </c>
      <c r="AS6" s="218" t="str">
        <f t="shared" si="8"/>
        <v>#ERROR!</v>
      </c>
      <c r="AT6" s="219" t="str">
        <f t="shared" si="9"/>
        <v>#ERROR!</v>
      </c>
      <c r="BI6" s="4">
        <v>333.0</v>
      </c>
    </row>
    <row r="7" ht="12.75" hidden="1" customHeight="1">
      <c r="A7" s="5">
        <f>companies!A7</f>
        <v>6</v>
      </c>
      <c r="B7" s="200" t="s">
        <v>1254</v>
      </c>
      <c r="C7" s="200">
        <v>39230.0</v>
      </c>
      <c r="D7" s="200">
        <v>86863.0</v>
      </c>
      <c r="E7" s="200">
        <v>74230.0</v>
      </c>
      <c r="F7" s="200">
        <v>10528.0</v>
      </c>
      <c r="G7" s="200">
        <v>0.0</v>
      </c>
      <c r="H7" s="200">
        <v>4343.0</v>
      </c>
      <c r="I7" s="200">
        <v>3.0</v>
      </c>
      <c r="J7" s="200">
        <v>446.0</v>
      </c>
      <c r="K7" s="200">
        <v>8857.0</v>
      </c>
      <c r="L7" s="200">
        <v>13412.0</v>
      </c>
      <c r="M7" s="213" t="s">
        <v>683</v>
      </c>
      <c r="N7" s="213" t="s">
        <v>683</v>
      </c>
      <c r="O7" s="213" t="s">
        <v>683</v>
      </c>
      <c r="P7" s="213" t="s">
        <v>683</v>
      </c>
      <c r="Q7" s="213" t="s">
        <v>683</v>
      </c>
      <c r="R7" s="200" t="s">
        <v>683</v>
      </c>
      <c r="S7" s="213" t="s">
        <v>683</v>
      </c>
      <c r="T7" s="213" t="s">
        <v>683</v>
      </c>
      <c r="U7" s="213" t="s">
        <v>683</v>
      </c>
      <c r="V7" s="213" t="s">
        <v>683</v>
      </c>
      <c r="W7" s="213">
        <f t="shared" si="1"/>
        <v>37589</v>
      </c>
      <c r="X7" s="200">
        <v>74230.0</v>
      </c>
      <c r="Y7" s="200">
        <v>151049.0</v>
      </c>
      <c r="Z7" s="200"/>
      <c r="AA7" s="200"/>
      <c r="AB7" s="200"/>
      <c r="AC7" s="200"/>
      <c r="AD7" s="213" t="s">
        <v>683</v>
      </c>
      <c r="AE7" s="213" t="s">
        <v>683</v>
      </c>
      <c r="AF7" s="214" t="str">
        <f>Table1[[#This Row],[2019 Scope 1 (MeT Co2)]]</f>
        <v>#ERROR!</v>
      </c>
      <c r="AG7" s="215" t="str">
        <f t="shared" si="2"/>
        <v>#ERROR!</v>
      </c>
      <c r="AH7" s="216" t="str">
        <f t="shared" si="3"/>
        <v>#ERROR!</v>
      </c>
      <c r="AI7" s="210"/>
      <c r="AJ7" s="210"/>
      <c r="AK7" s="213" t="s">
        <v>683</v>
      </c>
      <c r="AL7" s="213" t="s">
        <v>683</v>
      </c>
      <c r="AM7" s="214" t="str">
        <f>Table1[[#This Row],[2019 Scope 2 ]]</f>
        <v>#ERROR!</v>
      </c>
      <c r="AN7" s="215" t="str">
        <f t="shared" si="4"/>
        <v>#ERROR!</v>
      </c>
      <c r="AO7" s="216" t="str">
        <f t="shared" si="5"/>
        <v>#ERROR!</v>
      </c>
      <c r="AP7" s="215" t="str">
        <f t="shared" si="6"/>
        <v>#ERROR!</v>
      </c>
      <c r="AQ7" s="216" t="str">
        <f t="shared" si="7"/>
        <v>#ERROR!</v>
      </c>
      <c r="AR7" s="217" t="str">
        <f>Table1[[#This Row],[2019 Scope 3 ]]</f>
        <v>#ERROR!</v>
      </c>
      <c r="AS7" s="218" t="str">
        <f t="shared" si="8"/>
        <v>#ERROR!</v>
      </c>
      <c r="AT7" s="219" t="str">
        <f t="shared" si="9"/>
        <v>#ERROR!</v>
      </c>
      <c r="BI7" s="4">
        <v>582.0</v>
      </c>
    </row>
    <row r="8" ht="12.75" hidden="1" customHeight="1">
      <c r="A8" s="5">
        <f>companies!A8</f>
        <v>7</v>
      </c>
      <c r="B8" s="200" t="s">
        <v>1254</v>
      </c>
      <c r="C8" s="200">
        <v>66686.0</v>
      </c>
      <c r="D8" s="200">
        <v>5116949.0</v>
      </c>
      <c r="E8" s="200">
        <v>794267.0</v>
      </c>
      <c r="F8" s="200">
        <v>0.0</v>
      </c>
      <c r="G8" s="200">
        <v>2158000.0</v>
      </c>
      <c r="H8" s="200">
        <v>0.0</v>
      </c>
      <c r="I8" s="200">
        <v>460000.0</v>
      </c>
      <c r="J8" s="200" t="s">
        <v>683</v>
      </c>
      <c r="K8" s="200">
        <v>369000.0</v>
      </c>
      <c r="L8" s="200">
        <v>173000.0</v>
      </c>
      <c r="M8" s="213" t="s">
        <v>683</v>
      </c>
      <c r="N8" s="213">
        <v>0.0</v>
      </c>
      <c r="O8" s="213" t="s">
        <v>683</v>
      </c>
      <c r="P8" s="213">
        <v>0.0</v>
      </c>
      <c r="Q8" s="213">
        <v>0.0</v>
      </c>
      <c r="R8" s="200" t="s">
        <v>683</v>
      </c>
      <c r="S8" s="213" t="s">
        <v>683</v>
      </c>
      <c r="T8" s="213" t="s">
        <v>683</v>
      </c>
      <c r="U8" s="213">
        <v>8509000.0</v>
      </c>
      <c r="V8" s="213" t="s">
        <v>683</v>
      </c>
      <c r="W8" s="213">
        <f t="shared" si="1"/>
        <v>11669000</v>
      </c>
      <c r="X8" s="200">
        <v>794267.0</v>
      </c>
      <c r="Y8" s="200">
        <v>1.2529953E7</v>
      </c>
      <c r="Z8" s="200"/>
      <c r="AA8" s="200"/>
      <c r="AB8" s="200"/>
      <c r="AC8" s="200"/>
      <c r="AD8" s="213" t="s">
        <v>683</v>
      </c>
      <c r="AE8" s="213" t="s">
        <v>683</v>
      </c>
      <c r="AF8" s="214" t="str">
        <f>Table1[[#This Row],[2019 Scope 1 (MeT Co2)]]</f>
        <v>#ERROR!</v>
      </c>
      <c r="AG8" s="215" t="str">
        <f t="shared" si="2"/>
        <v>#ERROR!</v>
      </c>
      <c r="AH8" s="216" t="str">
        <f t="shared" si="3"/>
        <v>#ERROR!</v>
      </c>
      <c r="AI8" s="210"/>
      <c r="AJ8" s="210"/>
      <c r="AK8" s="213" t="s">
        <v>683</v>
      </c>
      <c r="AL8" s="213" t="s">
        <v>683</v>
      </c>
      <c r="AM8" s="214" t="str">
        <f>Table1[[#This Row],[2019 Scope 2 ]]</f>
        <v>#ERROR!</v>
      </c>
      <c r="AN8" s="215" t="str">
        <f t="shared" si="4"/>
        <v>#ERROR!</v>
      </c>
      <c r="AO8" s="216" t="str">
        <f t="shared" si="5"/>
        <v>#ERROR!</v>
      </c>
      <c r="AP8" s="215" t="str">
        <f t="shared" si="6"/>
        <v>#ERROR!</v>
      </c>
      <c r="AQ8" s="216" t="str">
        <f t="shared" si="7"/>
        <v>#ERROR!</v>
      </c>
      <c r="AR8" s="217" t="str">
        <f>Table1[[#This Row],[2019 Scope 3 ]]</f>
        <v>#ERROR!</v>
      </c>
      <c r="AS8" s="218" t="str">
        <f t="shared" si="8"/>
        <v>#ERROR!</v>
      </c>
      <c r="AT8" s="219" t="str">
        <f t="shared" si="9"/>
        <v>#ERROR!</v>
      </c>
      <c r="BI8" s="4">
        <v>7616.0</v>
      </c>
    </row>
    <row r="9" ht="12.75" hidden="1" customHeight="1">
      <c r="A9" s="5">
        <f>companies!A9</f>
        <v>8</v>
      </c>
      <c r="B9" s="200" t="s">
        <v>1254</v>
      </c>
      <c r="C9" s="200">
        <v>154507.0</v>
      </c>
      <c r="D9" s="200">
        <v>151259.0</v>
      </c>
      <c r="E9" s="200">
        <v>147909.0</v>
      </c>
      <c r="F9" s="200">
        <v>1297850.0</v>
      </c>
      <c r="G9" s="200">
        <v>6713.0</v>
      </c>
      <c r="H9" s="200">
        <v>96806.0</v>
      </c>
      <c r="I9" s="200">
        <v>278393.0</v>
      </c>
      <c r="J9" s="200">
        <v>27853.0</v>
      </c>
      <c r="K9" s="200">
        <v>14102.0</v>
      </c>
      <c r="L9" s="200">
        <v>11373.0</v>
      </c>
      <c r="M9" s="213" t="s">
        <v>683</v>
      </c>
      <c r="N9" s="213">
        <v>199307.0</v>
      </c>
      <c r="O9" s="213" t="s">
        <v>683</v>
      </c>
      <c r="P9" s="213" t="s">
        <v>683</v>
      </c>
      <c r="Q9" s="213">
        <v>67173.0</v>
      </c>
      <c r="R9" s="200" t="s">
        <v>683</v>
      </c>
      <c r="S9" s="213" t="s">
        <v>683</v>
      </c>
      <c r="T9" s="213">
        <v>3228163.0</v>
      </c>
      <c r="U9" s="213">
        <v>194038.0</v>
      </c>
      <c r="V9" s="213">
        <v>146250.0</v>
      </c>
      <c r="W9" s="213">
        <f t="shared" si="1"/>
        <v>5568021</v>
      </c>
      <c r="X9" s="200">
        <v>147909.0</v>
      </c>
      <c r="Y9" s="200">
        <v>5870437.0</v>
      </c>
      <c r="Z9" s="200"/>
      <c r="AA9" s="200"/>
      <c r="AB9" s="200"/>
      <c r="AC9" s="200"/>
      <c r="AD9" s="213" t="s">
        <v>683</v>
      </c>
      <c r="AE9" s="213" t="s">
        <v>683</v>
      </c>
      <c r="AF9" s="214" t="str">
        <f>Table1[[#This Row],[2019 Scope 1 (MeT Co2)]]</f>
        <v>#ERROR!</v>
      </c>
      <c r="AG9" s="215" t="str">
        <f t="shared" si="2"/>
        <v>#ERROR!</v>
      </c>
      <c r="AH9" s="216" t="str">
        <f t="shared" si="3"/>
        <v>#ERROR!</v>
      </c>
      <c r="AI9" s="210"/>
      <c r="AJ9" s="210"/>
      <c r="AK9" s="213" t="s">
        <v>683</v>
      </c>
      <c r="AL9" s="213" t="s">
        <v>683</v>
      </c>
      <c r="AM9" s="214" t="str">
        <f>Table1[[#This Row],[2019 Scope 2 ]]</f>
        <v>#ERROR!</v>
      </c>
      <c r="AN9" s="215" t="str">
        <f t="shared" si="4"/>
        <v>#ERROR!</v>
      </c>
      <c r="AO9" s="216" t="str">
        <f t="shared" si="5"/>
        <v>#ERROR!</v>
      </c>
      <c r="AP9" s="215" t="str">
        <f t="shared" si="6"/>
        <v>#ERROR!</v>
      </c>
      <c r="AQ9" s="216" t="str">
        <f t="shared" si="7"/>
        <v>#ERROR!</v>
      </c>
      <c r="AR9" s="217" t="str">
        <f>Table1[[#This Row],[2019 Scope 3 ]]</f>
        <v>#ERROR!</v>
      </c>
      <c r="AS9" s="218" t="str">
        <f t="shared" si="8"/>
        <v>#ERROR!</v>
      </c>
      <c r="AT9" s="219" t="str">
        <f t="shared" si="9"/>
        <v>#ERROR!</v>
      </c>
      <c r="BI9" s="4">
        <v>628.0</v>
      </c>
    </row>
    <row r="10" ht="12.75" hidden="1" customHeight="1">
      <c r="A10" s="5">
        <v>9.0</v>
      </c>
      <c r="B10" s="200" t="s">
        <v>1254</v>
      </c>
      <c r="C10" s="200">
        <v>5760000.0</v>
      </c>
      <c r="D10" s="200">
        <v>5500000.0</v>
      </c>
      <c r="E10" s="200" t="s">
        <v>1262</v>
      </c>
      <c r="F10" s="200" t="s">
        <v>1262</v>
      </c>
      <c r="G10" s="200" t="s">
        <v>1262</v>
      </c>
      <c r="H10" s="200" t="s">
        <v>1262</v>
      </c>
      <c r="I10" s="200" t="s">
        <v>1262</v>
      </c>
      <c r="J10" s="200" t="s">
        <v>1262</v>
      </c>
      <c r="K10" s="200" t="s">
        <v>1262</v>
      </c>
      <c r="L10" s="200" t="s">
        <v>1262</v>
      </c>
      <c r="M10" s="200" t="s">
        <v>1262</v>
      </c>
      <c r="N10" s="200" t="s">
        <v>1262</v>
      </c>
      <c r="O10" s="200" t="s">
        <v>1262</v>
      </c>
      <c r="P10" s="200" t="s">
        <v>1262</v>
      </c>
      <c r="Q10" s="200" t="s">
        <v>1262</v>
      </c>
      <c r="R10" s="200" t="s">
        <v>1262</v>
      </c>
      <c r="S10" s="200" t="s">
        <v>1262</v>
      </c>
      <c r="T10" s="200" t="s">
        <v>1262</v>
      </c>
      <c r="U10" s="200" t="s">
        <v>1262</v>
      </c>
      <c r="V10" s="200" t="s">
        <v>1262</v>
      </c>
      <c r="W10" s="213">
        <v>3.991E7</v>
      </c>
      <c r="X10" s="200">
        <v>5500000.0</v>
      </c>
      <c r="Y10" s="213">
        <v>5.117E7</v>
      </c>
      <c r="Z10" s="200"/>
      <c r="AA10" s="200"/>
      <c r="AB10" s="213"/>
      <c r="AC10" s="213"/>
      <c r="AD10" s="213" t="e">
        <v>#N/A</v>
      </c>
      <c r="AE10" s="213" t="e">
        <v>#N/A</v>
      </c>
      <c r="AF10" s="214" t="str">
        <f>Table1[[#This Row],[2019 Scope 1 (MeT Co2)]]</f>
        <v>#ERROR!</v>
      </c>
      <c r="AG10" s="215" t="str">
        <f t="shared" si="2"/>
        <v>#ERROR!</v>
      </c>
      <c r="AH10" s="216" t="str">
        <f t="shared" si="3"/>
        <v>#ERROR!</v>
      </c>
      <c r="AI10" s="210"/>
      <c r="AJ10" s="210"/>
      <c r="AK10" s="213" t="e">
        <v>#N/A</v>
      </c>
      <c r="AL10" s="213" t="e">
        <v>#N/A</v>
      </c>
      <c r="AM10" s="214" t="str">
        <f>Table1[[#This Row],[2019 Scope 2 ]]</f>
        <v>#ERROR!</v>
      </c>
      <c r="AN10" s="215" t="str">
        <f t="shared" si="4"/>
        <v>#ERROR!</v>
      </c>
      <c r="AO10" s="216" t="str">
        <f t="shared" si="5"/>
        <v>#ERROR!</v>
      </c>
      <c r="AP10" s="215" t="str">
        <f t="shared" si="6"/>
        <v>#ERROR!</v>
      </c>
      <c r="AQ10" s="216" t="str">
        <f t="shared" si="7"/>
        <v>#ERROR!</v>
      </c>
      <c r="AR10" s="217" t="str">
        <f>Table1[[#This Row],[2019 Scope 3 ]]</f>
        <v>#ERROR!</v>
      </c>
      <c r="AS10" s="218" t="str">
        <f t="shared" si="8"/>
        <v>#ERROR!</v>
      </c>
      <c r="AT10" s="219" t="str">
        <f t="shared" si="9"/>
        <v>#ERROR!</v>
      </c>
    </row>
    <row r="11" ht="12.75" hidden="1" customHeight="1">
      <c r="A11" s="5">
        <f>companies!A11</f>
        <v>10</v>
      </c>
      <c r="B11" s="200" t="s">
        <v>1254</v>
      </c>
      <c r="C11" s="200">
        <v>24363.0</v>
      </c>
      <c r="D11" s="200">
        <v>113964.0</v>
      </c>
      <c r="E11" s="200">
        <v>3153.0</v>
      </c>
      <c r="F11" s="200">
        <v>1956901.0</v>
      </c>
      <c r="G11" s="200">
        <v>24863.0</v>
      </c>
      <c r="H11" s="200">
        <v>30305.0</v>
      </c>
      <c r="I11" s="200" t="s">
        <v>683</v>
      </c>
      <c r="J11" s="200">
        <v>1719.0</v>
      </c>
      <c r="K11" s="200">
        <v>51.679</v>
      </c>
      <c r="L11" s="200">
        <v>138358.0</v>
      </c>
      <c r="M11" s="213" t="s">
        <v>683</v>
      </c>
      <c r="N11" s="213" t="s">
        <v>683</v>
      </c>
      <c r="O11" s="213" t="s">
        <v>683</v>
      </c>
      <c r="P11" s="213">
        <v>8000.0</v>
      </c>
      <c r="Q11" s="213">
        <v>9000.0</v>
      </c>
      <c r="R11" s="200" t="s">
        <v>683</v>
      </c>
      <c r="S11" s="213" t="s">
        <v>683</v>
      </c>
      <c r="T11" s="213" t="s">
        <v>683</v>
      </c>
      <c r="U11" s="213" t="s">
        <v>683</v>
      </c>
      <c r="V11" s="213" t="s">
        <v>683</v>
      </c>
      <c r="W11" s="213">
        <f t="shared" ref="W11:W101" si="10">SUM(F11:V11)</f>
        <v>2169197.679</v>
      </c>
      <c r="X11" s="200">
        <v>3153.0</v>
      </c>
      <c r="Y11" s="200">
        <v>2196713.679</v>
      </c>
      <c r="Z11" s="200"/>
      <c r="AA11" s="200"/>
      <c r="AB11" s="200"/>
      <c r="AC11" s="200"/>
      <c r="AD11" s="213" t="s">
        <v>683</v>
      </c>
      <c r="AE11" s="213" t="s">
        <v>683</v>
      </c>
      <c r="AF11" s="214" t="str">
        <f>Table1[[#This Row],[2019 Scope 1 (MeT Co2)]]</f>
        <v>#ERROR!</v>
      </c>
      <c r="AG11" s="215" t="str">
        <f t="shared" si="2"/>
        <v>#ERROR!</v>
      </c>
      <c r="AH11" s="216" t="str">
        <f t="shared" si="3"/>
        <v>#ERROR!</v>
      </c>
      <c r="AI11" s="210"/>
      <c r="AJ11" s="210"/>
      <c r="AK11" s="213" t="s">
        <v>683</v>
      </c>
      <c r="AL11" s="213" t="s">
        <v>683</v>
      </c>
      <c r="AM11" s="214" t="str">
        <f>Table1[[#This Row],[2019 Scope 2 ]]</f>
        <v>#ERROR!</v>
      </c>
      <c r="AN11" s="215" t="str">
        <f t="shared" si="4"/>
        <v>#ERROR!</v>
      </c>
      <c r="AO11" s="216" t="str">
        <f t="shared" si="5"/>
        <v>#ERROR!</v>
      </c>
      <c r="AP11" s="215" t="str">
        <f t="shared" si="6"/>
        <v>#ERROR!</v>
      </c>
      <c r="AQ11" s="216" t="str">
        <f t="shared" si="7"/>
        <v>#ERROR!</v>
      </c>
      <c r="AR11" s="217" t="str">
        <f>Table1[[#This Row],[2019 Scope 3 ]]</f>
        <v>#ERROR!</v>
      </c>
      <c r="AS11" s="218" t="str">
        <f t="shared" si="8"/>
        <v>#ERROR!</v>
      </c>
      <c r="AT11" s="219" t="str">
        <f t="shared" si="9"/>
        <v>#ERROR!</v>
      </c>
      <c r="BI11" s="4">
        <v>692.0</v>
      </c>
    </row>
    <row r="12" ht="12.75" hidden="1" customHeight="1">
      <c r="A12" s="5">
        <f>companies!A12</f>
        <v>11</v>
      </c>
      <c r="B12" s="200" t="s">
        <v>1254</v>
      </c>
      <c r="C12" s="200">
        <v>17121.0</v>
      </c>
      <c r="D12" s="200">
        <v>93781.0</v>
      </c>
      <c r="E12" s="200" t="s">
        <v>683</v>
      </c>
      <c r="F12" s="200" t="s">
        <v>683</v>
      </c>
      <c r="G12" s="200" t="s">
        <v>683</v>
      </c>
      <c r="H12" s="200" t="s">
        <v>683</v>
      </c>
      <c r="I12" s="200" t="s">
        <v>683</v>
      </c>
      <c r="J12" s="200" t="s">
        <v>683</v>
      </c>
      <c r="K12" s="200">
        <v>44695.0</v>
      </c>
      <c r="L12" s="200" t="s">
        <v>683</v>
      </c>
      <c r="M12" s="213" t="s">
        <v>683</v>
      </c>
      <c r="N12" s="213" t="s">
        <v>683</v>
      </c>
      <c r="O12" s="213" t="s">
        <v>683</v>
      </c>
      <c r="P12" s="213" t="s">
        <v>683</v>
      </c>
      <c r="Q12" s="213" t="s">
        <v>683</v>
      </c>
      <c r="R12" s="200" t="s">
        <v>683</v>
      </c>
      <c r="S12" s="213" t="s">
        <v>683</v>
      </c>
      <c r="T12" s="213" t="s">
        <v>683</v>
      </c>
      <c r="U12" s="213" t="s">
        <v>683</v>
      </c>
      <c r="V12" s="213" t="s">
        <v>683</v>
      </c>
      <c r="W12" s="213">
        <f t="shared" si="10"/>
        <v>44695</v>
      </c>
      <c r="X12" s="200">
        <v>93781.0</v>
      </c>
      <c r="Y12" s="200">
        <v>155597.0</v>
      </c>
      <c r="Z12" s="200"/>
      <c r="AA12" s="200"/>
      <c r="AB12" s="213"/>
      <c r="AC12" s="213"/>
      <c r="AD12" s="213" t="s">
        <v>1255</v>
      </c>
      <c r="AE12" s="213" t="s">
        <v>1256</v>
      </c>
      <c r="AF12" s="214" t="str">
        <f>Table1[[#This Row],[2019 Scope 1 (MeT Co2)]]</f>
        <v>#ERROR!</v>
      </c>
      <c r="AG12" s="215" t="str">
        <f t="shared" si="2"/>
        <v>#ERROR!</v>
      </c>
      <c r="AH12" s="216" t="str">
        <f t="shared" si="3"/>
        <v>#ERROR!</v>
      </c>
      <c r="AI12" s="210"/>
      <c r="AJ12" s="210"/>
      <c r="AK12" s="213" t="s">
        <v>1255</v>
      </c>
      <c r="AL12" s="213" t="s">
        <v>1256</v>
      </c>
      <c r="AM12" s="214" t="str">
        <f>Table1[[#This Row],[2019 Scope 2 ]]</f>
        <v>#ERROR!</v>
      </c>
      <c r="AN12" s="215" t="str">
        <f t="shared" si="4"/>
        <v>#ERROR!</v>
      </c>
      <c r="AO12" s="216" t="str">
        <f t="shared" si="5"/>
        <v>#ERROR!</v>
      </c>
      <c r="AP12" s="215" t="str">
        <f t="shared" si="6"/>
        <v>#ERROR!</v>
      </c>
      <c r="AQ12" s="216" t="str">
        <f t="shared" si="7"/>
        <v>#ERROR!</v>
      </c>
      <c r="AR12" s="217" t="str">
        <f>Table1[[#This Row],[2019 Scope 3 ]]</f>
        <v>#ERROR!</v>
      </c>
      <c r="AS12" s="218" t="str">
        <f t="shared" si="8"/>
        <v>#ERROR!</v>
      </c>
      <c r="AT12" s="219" t="str">
        <f t="shared" si="9"/>
        <v>#ERROR!</v>
      </c>
      <c r="BI12" s="4">
        <v>699.0</v>
      </c>
    </row>
    <row r="13" ht="12.75" hidden="1" customHeight="1">
      <c r="A13" s="5">
        <f>companies!A13</f>
        <v>12</v>
      </c>
      <c r="B13" s="200" t="s">
        <v>1254</v>
      </c>
      <c r="C13" s="200">
        <v>556281.0</v>
      </c>
      <c r="D13" s="200">
        <v>1780621.0</v>
      </c>
      <c r="E13" s="200" t="s">
        <v>683</v>
      </c>
      <c r="F13" s="200" t="s">
        <v>683</v>
      </c>
      <c r="G13" s="200" t="s">
        <v>683</v>
      </c>
      <c r="H13" s="200" t="s">
        <v>683</v>
      </c>
      <c r="I13" s="200" t="s">
        <v>683</v>
      </c>
      <c r="J13" s="200" t="s">
        <v>683</v>
      </c>
      <c r="K13" s="200" t="s">
        <v>683</v>
      </c>
      <c r="L13" s="200" t="s">
        <v>683</v>
      </c>
      <c r="M13" s="213" t="s">
        <v>683</v>
      </c>
      <c r="N13" s="213" t="s">
        <v>683</v>
      </c>
      <c r="O13" s="213" t="s">
        <v>683</v>
      </c>
      <c r="P13" s="213" t="s">
        <v>683</v>
      </c>
      <c r="Q13" s="213" t="s">
        <v>683</v>
      </c>
      <c r="R13" s="200" t="s">
        <v>683</v>
      </c>
      <c r="S13" s="213" t="s">
        <v>683</v>
      </c>
      <c r="T13" s="213" t="s">
        <v>683</v>
      </c>
      <c r="U13" s="213" t="s">
        <v>683</v>
      </c>
      <c r="V13" s="213" t="s">
        <v>683</v>
      </c>
      <c r="W13" s="213">
        <f t="shared" si="10"/>
        <v>0</v>
      </c>
      <c r="X13" s="200">
        <v>1780621.0</v>
      </c>
      <c r="Y13" s="200">
        <v>2336902.0</v>
      </c>
      <c r="Z13" s="200"/>
      <c r="AA13" s="200"/>
      <c r="AB13" s="213"/>
      <c r="AC13" s="213"/>
      <c r="AD13" s="213" t="s">
        <v>1255</v>
      </c>
      <c r="AE13" s="213" t="s">
        <v>1256</v>
      </c>
      <c r="AF13" s="214" t="str">
        <f>Table1[[#This Row],[2019 Scope 1 (MeT Co2)]]</f>
        <v>#ERROR!</v>
      </c>
      <c r="AG13" s="215" t="str">
        <f t="shared" si="2"/>
        <v>#ERROR!</v>
      </c>
      <c r="AH13" s="216" t="str">
        <f t="shared" si="3"/>
        <v>#ERROR!</v>
      </c>
      <c r="AI13" s="210"/>
      <c r="AJ13" s="210"/>
      <c r="AK13" s="213" t="s">
        <v>1255</v>
      </c>
      <c r="AL13" s="213" t="s">
        <v>1256</v>
      </c>
      <c r="AM13" s="214" t="str">
        <f>Table1[[#This Row],[2019 Scope 2 ]]</f>
        <v>#ERROR!</v>
      </c>
      <c r="AN13" s="215" t="str">
        <f t="shared" si="4"/>
        <v>#ERROR!</v>
      </c>
      <c r="AO13" s="216" t="str">
        <f t="shared" si="5"/>
        <v>#ERROR!</v>
      </c>
      <c r="AP13" s="215" t="str">
        <f t="shared" si="6"/>
        <v>#ERROR!</v>
      </c>
      <c r="AQ13" s="216" t="str">
        <f t="shared" si="7"/>
        <v>#ERROR!</v>
      </c>
      <c r="AR13" s="217" t="str">
        <f>Table1[[#This Row],[2019 Scope 3 ]]</f>
        <v>#ERROR!</v>
      </c>
      <c r="AS13" s="218" t="str">
        <f t="shared" si="8"/>
        <v>#ERROR!</v>
      </c>
      <c r="AT13" s="219" t="str">
        <f t="shared" si="9"/>
        <v>#ERROR!</v>
      </c>
      <c r="BI13" s="4">
        <v>706.0</v>
      </c>
    </row>
    <row r="14" ht="12.75" hidden="1" customHeight="1">
      <c r="A14" s="5">
        <f>companies!A14</f>
        <v>13</v>
      </c>
      <c r="B14" s="200" t="s">
        <v>1254</v>
      </c>
      <c r="C14" s="200">
        <v>135954.0</v>
      </c>
      <c r="D14" s="200">
        <v>173922.0</v>
      </c>
      <c r="E14" s="200">
        <v>160360.0</v>
      </c>
      <c r="F14" s="200">
        <v>2323917.0</v>
      </c>
      <c r="G14" s="200">
        <v>258132.0</v>
      </c>
      <c r="H14" s="200">
        <v>52554.0</v>
      </c>
      <c r="I14" s="200">
        <v>22572.0</v>
      </c>
      <c r="J14" s="200">
        <v>3454.0</v>
      </c>
      <c r="K14" s="200">
        <v>56478.0</v>
      </c>
      <c r="L14" s="200">
        <v>56210.0</v>
      </c>
      <c r="M14" s="213" t="s">
        <v>683</v>
      </c>
      <c r="N14" s="213">
        <v>52991.0</v>
      </c>
      <c r="O14" s="213" t="s">
        <v>683</v>
      </c>
      <c r="P14" s="213" t="s">
        <v>683</v>
      </c>
      <c r="Q14" s="213">
        <v>3047.0</v>
      </c>
      <c r="R14" s="200" t="s">
        <v>683</v>
      </c>
      <c r="S14" s="213" t="s">
        <v>683</v>
      </c>
      <c r="T14" s="213" t="s">
        <v>683</v>
      </c>
      <c r="U14" s="213" t="s">
        <v>683</v>
      </c>
      <c r="V14" s="213" t="s">
        <v>683</v>
      </c>
      <c r="W14" s="213">
        <f t="shared" si="10"/>
        <v>2829355</v>
      </c>
      <c r="X14" s="200">
        <v>160360.0</v>
      </c>
      <c r="Y14" s="200">
        <v>3125669.0</v>
      </c>
      <c r="Z14" s="200"/>
      <c r="AA14" s="200"/>
      <c r="AB14" s="200"/>
      <c r="AC14" s="200"/>
      <c r="AD14" s="213" t="s">
        <v>683</v>
      </c>
      <c r="AE14" s="213" t="s">
        <v>683</v>
      </c>
      <c r="AF14" s="214" t="str">
        <f>Table1[[#This Row],[2019 Scope 1 (MeT Co2)]]</f>
        <v>#ERROR!</v>
      </c>
      <c r="AG14" s="215" t="str">
        <f t="shared" si="2"/>
        <v>#ERROR!</v>
      </c>
      <c r="AH14" s="216" t="str">
        <f t="shared" si="3"/>
        <v>#ERROR!</v>
      </c>
      <c r="AI14" s="210"/>
      <c r="AJ14" s="210"/>
      <c r="AK14" s="213" t="s">
        <v>683</v>
      </c>
      <c r="AL14" s="213" t="s">
        <v>683</v>
      </c>
      <c r="AM14" s="214" t="str">
        <f>Table1[[#This Row],[2019 Scope 2 ]]</f>
        <v>#ERROR!</v>
      </c>
      <c r="AN14" s="215" t="str">
        <f t="shared" si="4"/>
        <v>#ERROR!</v>
      </c>
      <c r="AO14" s="216" t="str">
        <f t="shared" si="5"/>
        <v>#ERROR!</v>
      </c>
      <c r="AP14" s="215" t="str">
        <f t="shared" si="6"/>
        <v>#ERROR!</v>
      </c>
      <c r="AQ14" s="216" t="str">
        <f t="shared" si="7"/>
        <v>#ERROR!</v>
      </c>
      <c r="AR14" s="217" t="str">
        <f>Table1[[#This Row],[2019 Scope 3 ]]</f>
        <v>#ERROR!</v>
      </c>
      <c r="AS14" s="218" t="str">
        <f t="shared" si="8"/>
        <v>#ERROR!</v>
      </c>
      <c r="AT14" s="219" t="str">
        <f t="shared" si="9"/>
        <v>#ERROR!</v>
      </c>
      <c r="BI14" s="4">
        <v>716.0</v>
      </c>
    </row>
    <row r="15" ht="12.75" hidden="1" customHeight="1">
      <c r="A15" s="5">
        <f>companies!A15</f>
        <v>14</v>
      </c>
      <c r="B15" s="200" t="s">
        <v>1254</v>
      </c>
      <c r="C15" s="200">
        <v>50549.0</v>
      </c>
      <c r="D15" s="200">
        <v>862127.0</v>
      </c>
      <c r="E15" s="200">
        <v>0.0</v>
      </c>
      <c r="F15" s="200">
        <v>1.89E7</v>
      </c>
      <c r="G15" s="200" t="s">
        <v>683</v>
      </c>
      <c r="H15" s="200" t="s">
        <v>683</v>
      </c>
      <c r="I15" s="200">
        <v>486000.0</v>
      </c>
      <c r="J15" s="200" t="s">
        <v>683</v>
      </c>
      <c r="K15" s="200">
        <v>325500.0</v>
      </c>
      <c r="L15" s="200">
        <v>194700.0</v>
      </c>
      <c r="M15" s="213" t="s">
        <v>683</v>
      </c>
      <c r="N15" s="213">
        <v>999000.0</v>
      </c>
      <c r="O15" s="213" t="s">
        <v>683</v>
      </c>
      <c r="P15" s="213">
        <v>4100000.0</v>
      </c>
      <c r="Q15" s="213">
        <v>60000.0</v>
      </c>
      <c r="R15" s="200" t="s">
        <v>683</v>
      </c>
      <c r="S15" s="213" t="s">
        <v>683</v>
      </c>
      <c r="T15" s="213" t="s">
        <v>683</v>
      </c>
      <c r="U15" s="213" t="s">
        <v>683</v>
      </c>
      <c r="V15" s="213" t="s">
        <v>683</v>
      </c>
      <c r="W15" s="213">
        <f t="shared" si="10"/>
        <v>25065200</v>
      </c>
      <c r="X15" s="200">
        <v>862127.0</v>
      </c>
      <c r="Y15" s="200">
        <v>2.5977876E7</v>
      </c>
      <c r="Z15" s="200"/>
      <c r="AA15" s="200"/>
      <c r="AB15" s="200"/>
      <c r="AC15" s="200"/>
      <c r="AD15" s="213" t="s">
        <v>683</v>
      </c>
      <c r="AE15" s="213" t="s">
        <v>683</v>
      </c>
      <c r="AF15" s="214" t="str">
        <f>Table1[[#This Row],[2019 Scope 1 (MeT Co2)]]</f>
        <v>#ERROR!</v>
      </c>
      <c r="AG15" s="215" t="str">
        <f t="shared" si="2"/>
        <v>#ERROR!</v>
      </c>
      <c r="AH15" s="216" t="str">
        <f t="shared" si="3"/>
        <v>#ERROR!</v>
      </c>
      <c r="AI15" s="210"/>
      <c r="AJ15" s="210"/>
      <c r="AK15" s="213" t="s">
        <v>683</v>
      </c>
      <c r="AL15" s="213" t="s">
        <v>683</v>
      </c>
      <c r="AM15" s="214" t="str">
        <f>Table1[[#This Row],[2019 Scope 2 ]]</f>
        <v>#ERROR!</v>
      </c>
      <c r="AN15" s="215" t="str">
        <f t="shared" si="4"/>
        <v>#ERROR!</v>
      </c>
      <c r="AO15" s="216" t="str">
        <f t="shared" si="5"/>
        <v>#ERROR!</v>
      </c>
      <c r="AP15" s="215" t="str">
        <f t="shared" si="6"/>
        <v>#ERROR!</v>
      </c>
      <c r="AQ15" s="216" t="str">
        <f t="shared" si="7"/>
        <v>#ERROR!</v>
      </c>
      <c r="AR15" s="217" t="str">
        <f>Table1[[#This Row],[2019 Scope 3 ]]</f>
        <v>#ERROR!</v>
      </c>
      <c r="AS15" s="218" t="str">
        <f t="shared" si="8"/>
        <v>#ERROR!</v>
      </c>
      <c r="AT15" s="219" t="str">
        <f t="shared" si="9"/>
        <v>#ERROR!</v>
      </c>
      <c r="BI15" s="4">
        <v>865.0</v>
      </c>
    </row>
    <row r="16" ht="12.75" hidden="1" customHeight="1">
      <c r="A16" s="5">
        <f>companies!A16</f>
        <v>15</v>
      </c>
      <c r="B16" s="200" t="s">
        <v>1254</v>
      </c>
      <c r="C16" s="200">
        <v>990955.0</v>
      </c>
      <c r="D16" s="200">
        <v>6015122.0</v>
      </c>
      <c r="E16" s="200">
        <v>5534088.0</v>
      </c>
      <c r="F16" s="200">
        <v>2166116.0</v>
      </c>
      <c r="G16" s="200">
        <v>167125.0</v>
      </c>
      <c r="H16" s="200" t="s">
        <v>683</v>
      </c>
      <c r="I16" s="200">
        <v>64038.0</v>
      </c>
      <c r="J16" s="200">
        <v>34267.0</v>
      </c>
      <c r="K16" s="200">
        <v>154670.0</v>
      </c>
      <c r="L16" s="200" t="s">
        <v>683</v>
      </c>
      <c r="M16" s="213" t="s">
        <v>683</v>
      </c>
      <c r="N16" s="213" t="s">
        <v>683</v>
      </c>
      <c r="O16" s="213" t="s">
        <v>683</v>
      </c>
      <c r="P16" s="213" t="s">
        <v>683</v>
      </c>
      <c r="Q16" s="213" t="s">
        <v>683</v>
      </c>
      <c r="R16" s="200">
        <v>3705329.0</v>
      </c>
      <c r="S16" s="213" t="s">
        <v>683</v>
      </c>
      <c r="T16" s="213" t="s">
        <v>683</v>
      </c>
      <c r="U16" s="213" t="s">
        <v>683</v>
      </c>
      <c r="V16" s="213" t="s">
        <v>683</v>
      </c>
      <c r="W16" s="213">
        <f t="shared" si="10"/>
        <v>6291545</v>
      </c>
      <c r="X16" s="200">
        <v>5534088.0</v>
      </c>
      <c r="Y16" s="200">
        <v>1.2816588E7</v>
      </c>
      <c r="Z16" s="200"/>
      <c r="AA16" s="200"/>
      <c r="AB16" s="200"/>
      <c r="AC16" s="200"/>
      <c r="AD16" s="213" t="s">
        <v>683</v>
      </c>
      <c r="AE16" s="213" t="s">
        <v>683</v>
      </c>
      <c r="AF16" s="214" t="str">
        <f>Table1[[#This Row],[2019 Scope 1 (MeT Co2)]]</f>
        <v>#ERROR!</v>
      </c>
      <c r="AG16" s="215" t="str">
        <f t="shared" si="2"/>
        <v>#ERROR!</v>
      </c>
      <c r="AH16" s="216" t="str">
        <f t="shared" si="3"/>
        <v>#ERROR!</v>
      </c>
      <c r="AI16" s="210"/>
      <c r="AJ16" s="210"/>
      <c r="AK16" s="213" t="s">
        <v>683</v>
      </c>
      <c r="AL16" s="213" t="s">
        <v>683</v>
      </c>
      <c r="AM16" s="214" t="str">
        <f>Table1[[#This Row],[2019 Scope 2 ]]</f>
        <v>#ERROR!</v>
      </c>
      <c r="AN16" s="215" t="str">
        <f t="shared" si="4"/>
        <v>#ERROR!</v>
      </c>
      <c r="AO16" s="216" t="str">
        <f t="shared" si="5"/>
        <v>#ERROR!</v>
      </c>
      <c r="AP16" s="215" t="str">
        <f t="shared" si="6"/>
        <v>#ERROR!</v>
      </c>
      <c r="AQ16" s="216" t="str">
        <f t="shared" si="7"/>
        <v>#ERROR!</v>
      </c>
      <c r="AR16" s="217" t="str">
        <f>Table1[[#This Row],[2019 Scope 3 ]]</f>
        <v>#ERROR!</v>
      </c>
      <c r="AS16" s="218" t="str">
        <f t="shared" si="8"/>
        <v>#ERROR!</v>
      </c>
      <c r="AT16" s="219" t="str">
        <f t="shared" si="9"/>
        <v>#ERROR!</v>
      </c>
      <c r="BI16" s="200">
        <v>1113.0</v>
      </c>
    </row>
    <row r="17" ht="12.75" hidden="1" customHeight="1">
      <c r="A17" s="5">
        <f>companies!A17</f>
        <v>16</v>
      </c>
      <c r="B17" s="200" t="s">
        <v>1254</v>
      </c>
      <c r="C17" s="200">
        <v>62639.0</v>
      </c>
      <c r="D17" s="200">
        <v>728771.0</v>
      </c>
      <c r="E17" s="200">
        <v>17523.0</v>
      </c>
      <c r="F17" s="200">
        <v>2329208.0</v>
      </c>
      <c r="G17" s="200">
        <v>251336.0</v>
      </c>
      <c r="H17" s="200">
        <v>161151.0</v>
      </c>
      <c r="I17" s="200">
        <v>140215.0</v>
      </c>
      <c r="J17" s="200">
        <v>22386.0</v>
      </c>
      <c r="K17" s="200">
        <v>162457.0</v>
      </c>
      <c r="L17" s="200">
        <v>378088.0</v>
      </c>
      <c r="M17" s="213" t="s">
        <v>683</v>
      </c>
      <c r="N17" s="213">
        <v>1400000.0</v>
      </c>
      <c r="O17" s="213" t="s">
        <v>683</v>
      </c>
      <c r="P17" s="213">
        <v>4000.0</v>
      </c>
      <c r="Q17" s="213">
        <v>19000.0</v>
      </c>
      <c r="R17" s="200" t="s">
        <v>683</v>
      </c>
      <c r="S17" s="213" t="s">
        <v>683</v>
      </c>
      <c r="T17" s="213" t="s">
        <v>683</v>
      </c>
      <c r="U17" s="213" t="s">
        <v>683</v>
      </c>
      <c r="V17" s="213" t="s">
        <v>683</v>
      </c>
      <c r="W17" s="213">
        <f t="shared" si="10"/>
        <v>4867841</v>
      </c>
      <c r="X17" s="200">
        <v>17523.0</v>
      </c>
      <c r="Y17" s="200">
        <v>4948003.0</v>
      </c>
      <c r="Z17" s="200"/>
      <c r="AA17" s="200"/>
      <c r="AB17" s="200"/>
      <c r="AC17" s="200"/>
      <c r="AD17" s="213" t="s">
        <v>683</v>
      </c>
      <c r="AE17" s="213" t="s">
        <v>683</v>
      </c>
      <c r="AF17" s="214" t="str">
        <f>Table1[[#This Row],[2019 Scope 1 (MeT Co2)]]</f>
        <v>#ERROR!</v>
      </c>
      <c r="AG17" s="215" t="str">
        <f t="shared" si="2"/>
        <v>#ERROR!</v>
      </c>
      <c r="AH17" s="216" t="str">
        <f t="shared" si="3"/>
        <v>#ERROR!</v>
      </c>
      <c r="AI17" s="210"/>
      <c r="AJ17" s="210"/>
      <c r="AK17" s="213" t="s">
        <v>683</v>
      </c>
      <c r="AL17" s="213" t="s">
        <v>683</v>
      </c>
      <c r="AM17" s="214" t="str">
        <f>Table1[[#This Row],[2019 Scope 2 ]]</f>
        <v>#ERROR!</v>
      </c>
      <c r="AN17" s="215" t="str">
        <f t="shared" si="4"/>
        <v>#ERROR!</v>
      </c>
      <c r="AO17" s="216" t="str">
        <f t="shared" si="5"/>
        <v>#ERROR!</v>
      </c>
      <c r="AP17" s="215" t="str">
        <f t="shared" si="6"/>
        <v>#ERROR!</v>
      </c>
      <c r="AQ17" s="216" t="str">
        <f t="shared" si="7"/>
        <v>#ERROR!</v>
      </c>
      <c r="AR17" s="217" t="str">
        <f>Table1[[#This Row],[2019 Scope 3 ]]</f>
        <v>#ERROR!</v>
      </c>
      <c r="AS17" s="218" t="str">
        <f t="shared" si="8"/>
        <v>#ERROR!</v>
      </c>
      <c r="AT17" s="219" t="str">
        <f t="shared" si="9"/>
        <v>#ERROR!</v>
      </c>
      <c r="BI17" s="4">
        <v>1452.0</v>
      </c>
    </row>
    <row r="18" ht="12.75" hidden="1" customHeight="1">
      <c r="A18" s="5">
        <f>companies!A18</f>
        <v>17</v>
      </c>
      <c r="B18" s="200" t="s">
        <v>1254</v>
      </c>
      <c r="C18" s="200" t="s">
        <v>1262</v>
      </c>
      <c r="D18" s="200" t="s">
        <v>1262</v>
      </c>
      <c r="E18" s="200" t="s">
        <v>1262</v>
      </c>
      <c r="F18" s="200" t="s">
        <v>1262</v>
      </c>
      <c r="G18" s="200" t="s">
        <v>1262</v>
      </c>
      <c r="H18" s="200" t="s">
        <v>1262</v>
      </c>
      <c r="I18" s="200" t="s">
        <v>1262</v>
      </c>
      <c r="J18" s="200" t="s">
        <v>1262</v>
      </c>
      <c r="K18" s="200" t="s">
        <v>1262</v>
      </c>
      <c r="L18" s="200" t="s">
        <v>1262</v>
      </c>
      <c r="M18" s="200" t="s">
        <v>1262</v>
      </c>
      <c r="N18" s="200" t="s">
        <v>1262</v>
      </c>
      <c r="O18" s="200" t="s">
        <v>1262</v>
      </c>
      <c r="P18" s="200" t="s">
        <v>1262</v>
      </c>
      <c r="Q18" s="200" t="s">
        <v>1262</v>
      </c>
      <c r="R18" s="200" t="s">
        <v>1262</v>
      </c>
      <c r="S18" s="200" t="s">
        <v>1262</v>
      </c>
      <c r="T18" s="200" t="s">
        <v>1262</v>
      </c>
      <c r="U18" s="200" t="s">
        <v>1262</v>
      </c>
      <c r="V18" s="200" t="s">
        <v>1262</v>
      </c>
      <c r="W18" s="213">
        <f t="shared" si="10"/>
        <v>0</v>
      </c>
      <c r="X18" s="200">
        <v>0.0</v>
      </c>
      <c r="Y18" s="200"/>
      <c r="Z18" s="200"/>
      <c r="AA18" s="200"/>
      <c r="AB18" s="213"/>
      <c r="AC18" s="213"/>
      <c r="AD18" s="213" t="e">
        <v>#N/A</v>
      </c>
      <c r="AE18" s="213" t="e">
        <v>#N/A</v>
      </c>
      <c r="AF18" s="214" t="str">
        <f>Table1[[#This Row],[2019 Scope 1 (MeT Co2)]]</f>
        <v>#ERROR!</v>
      </c>
      <c r="AG18" s="215" t="str">
        <f t="shared" si="2"/>
        <v>#ERROR!</v>
      </c>
      <c r="AH18" s="216" t="str">
        <f t="shared" si="3"/>
        <v>#ERROR!</v>
      </c>
      <c r="AI18" s="210"/>
      <c r="AJ18" s="210"/>
      <c r="AK18" s="213" t="e">
        <v>#N/A</v>
      </c>
      <c r="AL18" s="213" t="e">
        <v>#N/A</v>
      </c>
      <c r="AM18" s="214" t="str">
        <f>Table1[[#This Row],[2019 Scope 2 ]]</f>
        <v>#ERROR!</v>
      </c>
      <c r="AN18" s="215" t="str">
        <f t="shared" si="4"/>
        <v>#ERROR!</v>
      </c>
      <c r="AO18" s="216" t="str">
        <f t="shared" si="5"/>
        <v>#ERROR!</v>
      </c>
      <c r="AP18" s="215" t="str">
        <f t="shared" si="6"/>
        <v>#ERROR!</v>
      </c>
      <c r="AQ18" s="216" t="str">
        <f t="shared" si="7"/>
        <v>#ERROR!</v>
      </c>
      <c r="AR18" s="217" t="str">
        <f>Table1[[#This Row],[2019 Scope 3 ]]</f>
        <v>#ERROR!</v>
      </c>
      <c r="AS18" s="218" t="str">
        <f t="shared" si="8"/>
        <v>#ERROR!</v>
      </c>
      <c r="AT18" s="219" t="str">
        <f t="shared" si="9"/>
        <v>#ERROR!</v>
      </c>
    </row>
    <row r="19" ht="12.75" hidden="1" customHeight="1">
      <c r="A19" s="5">
        <f>companies!A19</f>
        <v>18</v>
      </c>
      <c r="B19" s="200" t="s">
        <v>1254</v>
      </c>
      <c r="C19" s="200">
        <v>67031.0</v>
      </c>
      <c r="D19" s="200">
        <v>36802.0</v>
      </c>
      <c r="E19" s="200">
        <v>106.0</v>
      </c>
      <c r="F19" s="200">
        <v>334954.0</v>
      </c>
      <c r="G19" s="200">
        <v>32759.0</v>
      </c>
      <c r="H19" s="200">
        <v>10515.0</v>
      </c>
      <c r="I19" s="200" t="s">
        <v>683</v>
      </c>
      <c r="J19" s="200">
        <v>645.0</v>
      </c>
      <c r="K19" s="200">
        <v>24083.0</v>
      </c>
      <c r="L19" s="200">
        <v>9516.0</v>
      </c>
      <c r="M19" s="213">
        <v>0.0</v>
      </c>
      <c r="N19" s="213" t="s">
        <v>683</v>
      </c>
      <c r="O19" s="213" t="s">
        <v>683</v>
      </c>
      <c r="P19" s="213" t="s">
        <v>683</v>
      </c>
      <c r="Q19" s="213">
        <v>12065.0</v>
      </c>
      <c r="R19" s="200" t="s">
        <v>683</v>
      </c>
      <c r="S19" s="213" t="s">
        <v>683</v>
      </c>
      <c r="T19" s="213" t="s">
        <v>683</v>
      </c>
      <c r="U19" s="213" t="s">
        <v>683</v>
      </c>
      <c r="V19" s="213" t="s">
        <v>683</v>
      </c>
      <c r="W19" s="213">
        <f t="shared" si="10"/>
        <v>424537</v>
      </c>
      <c r="X19" s="200">
        <v>106.0</v>
      </c>
      <c r="Y19" s="200">
        <v>491674.0</v>
      </c>
      <c r="Z19" s="200"/>
      <c r="AA19" s="200"/>
      <c r="AB19" s="200"/>
      <c r="AC19" s="200"/>
      <c r="AD19" s="213" t="s">
        <v>683</v>
      </c>
      <c r="AE19" s="213" t="s">
        <v>683</v>
      </c>
      <c r="AF19" s="214" t="str">
        <f>Table1[[#This Row],[2019 Scope 1 (MeT Co2)]]</f>
        <v>#ERROR!</v>
      </c>
      <c r="AG19" s="215" t="str">
        <f t="shared" si="2"/>
        <v>#ERROR!</v>
      </c>
      <c r="AH19" s="216" t="str">
        <f t="shared" si="3"/>
        <v>#ERROR!</v>
      </c>
      <c r="AI19" s="210"/>
      <c r="AJ19" s="210"/>
      <c r="AK19" s="213" t="s">
        <v>683</v>
      </c>
      <c r="AL19" s="213" t="s">
        <v>683</v>
      </c>
      <c r="AM19" s="214" t="str">
        <f>Table1[[#This Row],[2019 Scope 2 ]]</f>
        <v>#ERROR!</v>
      </c>
      <c r="AN19" s="215" t="str">
        <f t="shared" si="4"/>
        <v>#ERROR!</v>
      </c>
      <c r="AO19" s="216" t="str">
        <f t="shared" si="5"/>
        <v>#ERROR!</v>
      </c>
      <c r="AP19" s="215" t="str">
        <f t="shared" si="6"/>
        <v>#ERROR!</v>
      </c>
      <c r="AQ19" s="216" t="str">
        <f t="shared" si="7"/>
        <v>#ERROR!</v>
      </c>
      <c r="AR19" s="217" t="str">
        <f>Table1[[#This Row],[2019 Scope 3 ]]</f>
        <v>#ERROR!</v>
      </c>
      <c r="AS19" s="218" t="str">
        <f t="shared" si="8"/>
        <v>#ERROR!</v>
      </c>
      <c r="AT19" s="219" t="str">
        <f t="shared" si="9"/>
        <v>#ERROR!</v>
      </c>
      <c r="BI19" s="4">
        <v>1857.0</v>
      </c>
    </row>
    <row r="20" ht="12.75" hidden="1" customHeight="1">
      <c r="A20" s="5">
        <f>companies!A20</f>
        <v>19</v>
      </c>
      <c r="B20" s="200" t="s">
        <v>1254</v>
      </c>
      <c r="C20" s="200">
        <v>5589.0</v>
      </c>
      <c r="D20" s="200">
        <v>20369.0</v>
      </c>
      <c r="E20" s="200">
        <v>0.0</v>
      </c>
      <c r="F20" s="200">
        <v>351950.0</v>
      </c>
      <c r="G20" s="200">
        <v>15521.0</v>
      </c>
      <c r="H20" s="200">
        <v>7865.0</v>
      </c>
      <c r="I20" s="200">
        <v>2462.0</v>
      </c>
      <c r="J20" s="200">
        <v>1162.0</v>
      </c>
      <c r="K20" s="200">
        <v>39116.0</v>
      </c>
      <c r="L20" s="200">
        <v>1161.0</v>
      </c>
      <c r="M20" s="213">
        <v>777.0</v>
      </c>
      <c r="N20" s="213" t="s">
        <v>683</v>
      </c>
      <c r="O20" s="213" t="s">
        <v>683</v>
      </c>
      <c r="P20" s="213" t="s">
        <v>683</v>
      </c>
      <c r="Q20" s="213" t="s">
        <v>683</v>
      </c>
      <c r="R20" s="200" t="s">
        <v>683</v>
      </c>
      <c r="S20" s="213" t="s">
        <v>683</v>
      </c>
      <c r="T20" s="213" t="s">
        <v>683</v>
      </c>
      <c r="U20" s="213" t="s">
        <v>683</v>
      </c>
      <c r="V20" s="213" t="s">
        <v>683</v>
      </c>
      <c r="W20" s="213">
        <f t="shared" si="10"/>
        <v>420014</v>
      </c>
      <c r="X20" s="200">
        <v>20369.0</v>
      </c>
      <c r="Y20" s="200">
        <v>445972.0</v>
      </c>
      <c r="Z20" s="200"/>
      <c r="AA20" s="200"/>
      <c r="AB20" s="200"/>
      <c r="AC20" s="200"/>
      <c r="AD20" s="213" t="s">
        <v>683</v>
      </c>
      <c r="AE20" s="213" t="s">
        <v>683</v>
      </c>
      <c r="AF20" s="214" t="str">
        <f>Table1[[#This Row],[2019 Scope 1 (MeT Co2)]]</f>
        <v>#ERROR!</v>
      </c>
      <c r="AG20" s="215" t="str">
        <f t="shared" si="2"/>
        <v>#ERROR!</v>
      </c>
      <c r="AH20" s="216" t="str">
        <f t="shared" si="3"/>
        <v>#ERROR!</v>
      </c>
      <c r="AI20" s="210"/>
      <c r="AJ20" s="210"/>
      <c r="AK20" s="213" t="s">
        <v>683</v>
      </c>
      <c r="AL20" s="213" t="s">
        <v>683</v>
      </c>
      <c r="AM20" s="214" t="str">
        <f>Table1[[#This Row],[2019 Scope 2 ]]</f>
        <v>#ERROR!</v>
      </c>
      <c r="AN20" s="215" t="str">
        <f t="shared" si="4"/>
        <v>#ERROR!</v>
      </c>
      <c r="AO20" s="216" t="str">
        <f t="shared" si="5"/>
        <v>#ERROR!</v>
      </c>
      <c r="AP20" s="215" t="str">
        <f t="shared" si="6"/>
        <v>#ERROR!</v>
      </c>
      <c r="AQ20" s="216" t="str">
        <f t="shared" si="7"/>
        <v>#ERROR!</v>
      </c>
      <c r="AR20" s="217" t="str">
        <f>Table1[[#This Row],[2019 Scope 3 ]]</f>
        <v>#ERROR!</v>
      </c>
      <c r="AS20" s="218" t="str">
        <f t="shared" si="8"/>
        <v>#ERROR!</v>
      </c>
      <c r="AT20" s="219" t="str">
        <f t="shared" si="9"/>
        <v>#ERROR!</v>
      </c>
      <c r="BI20" s="4">
        <v>1875.0</v>
      </c>
    </row>
    <row r="21" ht="12.75" hidden="1" customHeight="1">
      <c r="A21" s="5">
        <f>companies!A21</f>
        <v>20</v>
      </c>
      <c r="B21" s="200" t="s">
        <v>1254</v>
      </c>
      <c r="C21" s="200">
        <v>613000.0</v>
      </c>
      <c r="D21" s="200">
        <v>871000.0</v>
      </c>
      <c r="E21" s="200">
        <v>733000.0</v>
      </c>
      <c r="F21" s="200" t="s">
        <v>683</v>
      </c>
      <c r="G21" s="200" t="s">
        <v>683</v>
      </c>
      <c r="H21" s="200" t="s">
        <v>683</v>
      </c>
      <c r="I21" s="200" t="s">
        <v>683</v>
      </c>
      <c r="J21" s="200" t="s">
        <v>683</v>
      </c>
      <c r="K21" s="200">
        <v>290000.0</v>
      </c>
      <c r="L21" s="200" t="s">
        <v>683</v>
      </c>
      <c r="M21" s="213" t="s">
        <v>683</v>
      </c>
      <c r="N21" s="213" t="s">
        <v>683</v>
      </c>
      <c r="O21" s="213" t="s">
        <v>683</v>
      </c>
      <c r="P21" s="213" t="s">
        <v>683</v>
      </c>
      <c r="Q21" s="213" t="s">
        <v>683</v>
      </c>
      <c r="R21" s="200" t="s">
        <v>683</v>
      </c>
      <c r="S21" s="213" t="s">
        <v>683</v>
      </c>
      <c r="T21" s="213" t="s">
        <v>683</v>
      </c>
      <c r="U21" s="213" t="s">
        <v>683</v>
      </c>
      <c r="V21" s="213" t="s">
        <v>683</v>
      </c>
      <c r="W21" s="213">
        <f t="shared" si="10"/>
        <v>290000</v>
      </c>
      <c r="X21" s="200">
        <v>733000.0</v>
      </c>
      <c r="Y21" s="200">
        <v>1636000.0</v>
      </c>
      <c r="Z21" s="200"/>
      <c r="AA21" s="200"/>
      <c r="AB21" s="200"/>
      <c r="AC21" s="200"/>
      <c r="AD21" s="213" t="s">
        <v>683</v>
      </c>
      <c r="AE21" s="213" t="s">
        <v>683</v>
      </c>
      <c r="AF21" s="214" t="str">
        <f>Table1[[#This Row],[2019 Scope 1 (MeT Co2)]]</f>
        <v>#ERROR!</v>
      </c>
      <c r="AG21" s="215" t="str">
        <f t="shared" si="2"/>
        <v>#ERROR!</v>
      </c>
      <c r="AH21" s="216" t="str">
        <f t="shared" si="3"/>
        <v>#ERROR!</v>
      </c>
      <c r="AI21" s="210"/>
      <c r="AJ21" s="210"/>
      <c r="AK21" s="213" t="s">
        <v>683</v>
      </c>
      <c r="AL21" s="213" t="s">
        <v>683</v>
      </c>
      <c r="AM21" s="214" t="str">
        <f>Table1[[#This Row],[2019 Scope 2 ]]</f>
        <v>#ERROR!</v>
      </c>
      <c r="AN21" s="215" t="str">
        <f t="shared" si="4"/>
        <v>#ERROR!</v>
      </c>
      <c r="AO21" s="216" t="str">
        <f t="shared" si="5"/>
        <v>#ERROR!</v>
      </c>
      <c r="AP21" s="215" t="str">
        <f t="shared" si="6"/>
        <v>#ERROR!</v>
      </c>
      <c r="AQ21" s="216" t="str">
        <f t="shared" si="7"/>
        <v>#ERROR!</v>
      </c>
      <c r="AR21" s="217" t="str">
        <f>Table1[[#This Row],[2019 Scope 3 ]]</f>
        <v>#ERROR!</v>
      </c>
      <c r="AS21" s="218" t="str">
        <f t="shared" si="8"/>
        <v>#ERROR!</v>
      </c>
      <c r="AT21" s="219" t="str">
        <f t="shared" si="9"/>
        <v>#ERROR!</v>
      </c>
      <c r="BI21" s="4">
        <v>2017.0</v>
      </c>
    </row>
    <row r="22" ht="12.75" hidden="1" customHeight="1">
      <c r="A22" s="5">
        <f>companies!A22</f>
        <v>21</v>
      </c>
      <c r="B22" s="200" t="s">
        <v>1254</v>
      </c>
      <c r="C22" s="200" t="s">
        <v>1262</v>
      </c>
      <c r="D22" s="200" t="s">
        <v>1262</v>
      </c>
      <c r="E22" s="200" t="s">
        <v>1262</v>
      </c>
      <c r="F22" s="200" t="s">
        <v>1262</v>
      </c>
      <c r="G22" s="200" t="s">
        <v>1262</v>
      </c>
      <c r="H22" s="200" t="s">
        <v>1262</v>
      </c>
      <c r="I22" s="200" t="s">
        <v>1262</v>
      </c>
      <c r="J22" s="200" t="s">
        <v>1262</v>
      </c>
      <c r="K22" s="200" t="s">
        <v>1262</v>
      </c>
      <c r="L22" s="200" t="s">
        <v>1262</v>
      </c>
      <c r="M22" s="200" t="s">
        <v>1262</v>
      </c>
      <c r="N22" s="200" t="s">
        <v>1262</v>
      </c>
      <c r="O22" s="200" t="s">
        <v>1262</v>
      </c>
      <c r="P22" s="200" t="s">
        <v>1262</v>
      </c>
      <c r="Q22" s="200" t="s">
        <v>1262</v>
      </c>
      <c r="R22" s="200" t="s">
        <v>1262</v>
      </c>
      <c r="S22" s="200" t="s">
        <v>1262</v>
      </c>
      <c r="T22" s="200" t="s">
        <v>1262</v>
      </c>
      <c r="U22" s="200" t="s">
        <v>1262</v>
      </c>
      <c r="V22" s="200" t="s">
        <v>1262</v>
      </c>
      <c r="W22" s="213">
        <f t="shared" si="10"/>
        <v>0</v>
      </c>
      <c r="X22" s="200">
        <v>0.0</v>
      </c>
      <c r="Y22" s="200"/>
      <c r="Z22" s="200"/>
      <c r="AA22" s="200"/>
      <c r="AB22" s="213"/>
      <c r="AC22" s="213"/>
      <c r="AD22" s="213" t="e">
        <v>#N/A</v>
      </c>
      <c r="AE22" s="213" t="e">
        <v>#N/A</v>
      </c>
      <c r="AF22" s="214" t="str">
        <f>Table1[[#This Row],[2019 Scope 1 (MeT Co2)]]</f>
        <v>#ERROR!</v>
      </c>
      <c r="AG22" s="215" t="str">
        <f t="shared" si="2"/>
        <v>#ERROR!</v>
      </c>
      <c r="AH22" s="216" t="str">
        <f t="shared" si="3"/>
        <v>#ERROR!</v>
      </c>
      <c r="AI22" s="210"/>
      <c r="AJ22" s="210"/>
      <c r="AK22" s="213" t="e">
        <v>#N/A</v>
      </c>
      <c r="AL22" s="213" t="e">
        <v>#N/A</v>
      </c>
      <c r="AM22" s="214" t="str">
        <f>Table1[[#This Row],[2019 Scope 2 ]]</f>
        <v>#ERROR!</v>
      </c>
      <c r="AN22" s="215" t="str">
        <f t="shared" si="4"/>
        <v>#ERROR!</v>
      </c>
      <c r="AO22" s="216" t="str">
        <f t="shared" si="5"/>
        <v>#ERROR!</v>
      </c>
      <c r="AP22" s="215" t="str">
        <f t="shared" si="6"/>
        <v>#ERROR!</v>
      </c>
      <c r="AQ22" s="216" t="str">
        <f t="shared" si="7"/>
        <v>#ERROR!</v>
      </c>
      <c r="AR22" s="217" t="str">
        <f>Table1[[#This Row],[2019 Scope 3 ]]</f>
        <v>#ERROR!</v>
      </c>
      <c r="AS22" s="218" t="str">
        <f t="shared" si="8"/>
        <v>#ERROR!</v>
      </c>
      <c r="AT22" s="219" t="str">
        <f t="shared" si="9"/>
        <v>#ERROR!</v>
      </c>
    </row>
    <row r="23" ht="12.75" hidden="1" customHeight="1">
      <c r="A23" s="5">
        <f>companies!A23</f>
        <v>22</v>
      </c>
      <c r="B23" s="200" t="s">
        <v>1254</v>
      </c>
      <c r="C23" s="200">
        <v>189193.665</v>
      </c>
      <c r="D23" s="200">
        <v>122295.068</v>
      </c>
      <c r="E23" s="200">
        <v>111155.772</v>
      </c>
      <c r="F23" s="200">
        <v>1.705209485E7</v>
      </c>
      <c r="G23" s="200" t="s">
        <v>683</v>
      </c>
      <c r="H23" s="200">
        <v>23768.4</v>
      </c>
      <c r="I23" s="200">
        <v>28267.28</v>
      </c>
      <c r="J23" s="200">
        <v>4607.31</v>
      </c>
      <c r="K23" s="200">
        <v>55785.66</v>
      </c>
      <c r="L23" s="200">
        <v>20400.0</v>
      </c>
      <c r="M23" s="213" t="s">
        <v>683</v>
      </c>
      <c r="N23" s="213" t="s">
        <v>683</v>
      </c>
      <c r="O23" s="213" t="s">
        <v>683</v>
      </c>
      <c r="P23" s="213" t="s">
        <v>683</v>
      </c>
      <c r="Q23" s="213" t="s">
        <v>683</v>
      </c>
      <c r="R23" s="200" t="s">
        <v>683</v>
      </c>
      <c r="S23" s="213" t="s">
        <v>683</v>
      </c>
      <c r="T23" s="213" t="s">
        <v>683</v>
      </c>
      <c r="U23" s="213" t="s">
        <v>683</v>
      </c>
      <c r="V23" s="213" t="s">
        <v>683</v>
      </c>
      <c r="W23" s="213">
        <f t="shared" si="10"/>
        <v>17184923.5</v>
      </c>
      <c r="X23" s="200">
        <v>111155.772</v>
      </c>
      <c r="Y23" s="200">
        <v>1.7485272937E7</v>
      </c>
      <c r="Z23" s="200"/>
      <c r="AA23" s="200"/>
      <c r="AB23" s="213"/>
      <c r="AC23" s="213"/>
      <c r="AD23" s="213" t="s">
        <v>683</v>
      </c>
      <c r="AE23" s="213" t="s">
        <v>683</v>
      </c>
      <c r="AF23" s="214" t="str">
        <f>Table1[[#This Row],[2019 Scope 1 (MeT Co2)]]</f>
        <v>#ERROR!</v>
      </c>
      <c r="AG23" s="215" t="str">
        <f t="shared" si="2"/>
        <v>#ERROR!</v>
      </c>
      <c r="AH23" s="216" t="str">
        <f t="shared" si="3"/>
        <v>#ERROR!</v>
      </c>
      <c r="AI23" s="210"/>
      <c r="AJ23" s="210"/>
      <c r="AK23" s="213" t="s">
        <v>683</v>
      </c>
      <c r="AL23" s="213" t="s">
        <v>683</v>
      </c>
      <c r="AM23" s="214" t="str">
        <f>Table1[[#This Row],[2019 Scope 2 ]]</f>
        <v>#ERROR!</v>
      </c>
      <c r="AN23" s="215" t="str">
        <f t="shared" si="4"/>
        <v>#ERROR!</v>
      </c>
      <c r="AO23" s="216" t="str">
        <f t="shared" si="5"/>
        <v>#ERROR!</v>
      </c>
      <c r="AP23" s="215" t="str">
        <f t="shared" si="6"/>
        <v>#ERROR!</v>
      </c>
      <c r="AQ23" s="216" t="str">
        <f t="shared" si="7"/>
        <v>#ERROR!</v>
      </c>
      <c r="AR23" s="217" t="str">
        <f>Table1[[#This Row],[2019 Scope 3 ]]</f>
        <v>#ERROR!</v>
      </c>
      <c r="AS23" s="218" t="str">
        <f t="shared" si="8"/>
        <v>#ERROR!</v>
      </c>
      <c r="AT23" s="219" t="str">
        <f t="shared" si="9"/>
        <v>#ERROR!</v>
      </c>
      <c r="BI23" s="4">
        <v>2191.0</v>
      </c>
    </row>
    <row r="24" ht="12.75" hidden="1" customHeight="1">
      <c r="A24" s="5">
        <f>companies!A24</f>
        <v>23</v>
      </c>
      <c r="B24" s="200" t="s">
        <v>1254</v>
      </c>
      <c r="C24" s="200">
        <v>9495.0</v>
      </c>
      <c r="D24" s="200">
        <v>146671.0</v>
      </c>
      <c r="E24" s="200">
        <v>135.0</v>
      </c>
      <c r="F24" s="200">
        <v>165571.0</v>
      </c>
      <c r="G24" s="200" t="s">
        <v>683</v>
      </c>
      <c r="H24" s="200">
        <v>8156.0</v>
      </c>
      <c r="I24" s="200">
        <v>67870.0</v>
      </c>
      <c r="J24" s="200">
        <v>4762.0</v>
      </c>
      <c r="K24" s="200">
        <v>37500.0</v>
      </c>
      <c r="L24" s="200">
        <v>101249.0</v>
      </c>
      <c r="M24" s="213" t="s">
        <v>683</v>
      </c>
      <c r="N24" s="213" t="s">
        <v>683</v>
      </c>
      <c r="O24" s="213" t="s">
        <v>683</v>
      </c>
      <c r="P24" s="213" t="s">
        <v>683</v>
      </c>
      <c r="Q24" s="213" t="s">
        <v>683</v>
      </c>
      <c r="R24" s="200">
        <v>5866.51</v>
      </c>
      <c r="S24" s="213" t="s">
        <v>683</v>
      </c>
      <c r="T24" s="213" t="s">
        <v>683</v>
      </c>
      <c r="U24" s="213" t="s">
        <v>683</v>
      </c>
      <c r="V24" s="213" t="s">
        <v>683</v>
      </c>
      <c r="W24" s="213">
        <f t="shared" si="10"/>
        <v>390974.51</v>
      </c>
      <c r="X24" s="200">
        <v>135.0</v>
      </c>
      <c r="Y24" s="200">
        <v>400604.51</v>
      </c>
      <c r="Z24" s="200"/>
      <c r="AA24" s="200"/>
      <c r="AB24" s="200"/>
      <c r="AC24" s="200"/>
      <c r="AD24" s="213" t="s">
        <v>683</v>
      </c>
      <c r="AE24" s="213" t="s">
        <v>683</v>
      </c>
      <c r="AF24" s="214" t="str">
        <f>Table1[[#This Row],[2019 Scope 1 (MeT Co2)]]</f>
        <v>#ERROR!</v>
      </c>
      <c r="AG24" s="215" t="str">
        <f t="shared" si="2"/>
        <v>#ERROR!</v>
      </c>
      <c r="AH24" s="216" t="str">
        <f t="shared" si="3"/>
        <v>#ERROR!</v>
      </c>
      <c r="AI24" s="210"/>
      <c r="AJ24" s="210"/>
      <c r="AK24" s="213" t="s">
        <v>683</v>
      </c>
      <c r="AL24" s="213" t="s">
        <v>683</v>
      </c>
      <c r="AM24" s="214" t="str">
        <f>Table1[[#This Row],[2019 Scope 2 ]]</f>
        <v>#ERROR!</v>
      </c>
      <c r="AN24" s="215" t="str">
        <f t="shared" si="4"/>
        <v>#ERROR!</v>
      </c>
      <c r="AO24" s="216" t="str">
        <f t="shared" si="5"/>
        <v>#ERROR!</v>
      </c>
      <c r="AP24" s="215" t="str">
        <f t="shared" si="6"/>
        <v>#ERROR!</v>
      </c>
      <c r="AQ24" s="216" t="str">
        <f t="shared" si="7"/>
        <v>#ERROR!</v>
      </c>
      <c r="AR24" s="217" t="str">
        <f>Table1[[#This Row],[2019 Scope 3 ]]</f>
        <v>#ERROR!</v>
      </c>
      <c r="AS24" s="218" t="str">
        <f t="shared" si="8"/>
        <v>#ERROR!</v>
      </c>
      <c r="AT24" s="219" t="str">
        <f t="shared" si="9"/>
        <v>#ERROR!</v>
      </c>
      <c r="BI24" s="4">
        <v>2695.0</v>
      </c>
    </row>
    <row r="25" ht="12.75" hidden="1" customHeight="1">
      <c r="A25" s="5">
        <f>companies!A25</f>
        <v>24</v>
      </c>
      <c r="B25" s="200" t="s">
        <v>1254</v>
      </c>
      <c r="C25" s="200" t="s">
        <v>1262</v>
      </c>
      <c r="D25" s="200" t="s">
        <v>1262</v>
      </c>
      <c r="E25" s="200" t="s">
        <v>1262</v>
      </c>
      <c r="F25" s="200" t="s">
        <v>1262</v>
      </c>
      <c r="G25" s="200" t="s">
        <v>1262</v>
      </c>
      <c r="H25" s="200" t="s">
        <v>1262</v>
      </c>
      <c r="I25" s="200" t="s">
        <v>1262</v>
      </c>
      <c r="J25" s="200" t="s">
        <v>1262</v>
      </c>
      <c r="K25" s="200" t="s">
        <v>1262</v>
      </c>
      <c r="L25" s="200" t="s">
        <v>1262</v>
      </c>
      <c r="M25" s="200" t="s">
        <v>1262</v>
      </c>
      <c r="N25" s="200" t="s">
        <v>1262</v>
      </c>
      <c r="O25" s="200" t="s">
        <v>1262</v>
      </c>
      <c r="P25" s="200" t="s">
        <v>1262</v>
      </c>
      <c r="Q25" s="200" t="s">
        <v>1262</v>
      </c>
      <c r="R25" s="200" t="s">
        <v>1262</v>
      </c>
      <c r="S25" s="200" t="s">
        <v>1262</v>
      </c>
      <c r="T25" s="200" t="s">
        <v>1262</v>
      </c>
      <c r="U25" s="200" t="s">
        <v>1262</v>
      </c>
      <c r="V25" s="200" t="s">
        <v>1262</v>
      </c>
      <c r="W25" s="213">
        <f t="shared" si="10"/>
        <v>0</v>
      </c>
      <c r="X25" s="200">
        <v>0.0</v>
      </c>
      <c r="Y25" s="200"/>
      <c r="Z25" s="200"/>
      <c r="AA25" s="200"/>
      <c r="AB25" s="213"/>
      <c r="AC25" s="213"/>
      <c r="AD25" s="213" t="e">
        <v>#N/A</v>
      </c>
      <c r="AE25" s="213" t="e">
        <v>#N/A</v>
      </c>
      <c r="AF25" s="214" t="str">
        <f>Table1[[#This Row],[2019 Scope 1 (MeT Co2)]]</f>
        <v>#ERROR!</v>
      </c>
      <c r="AG25" s="215" t="str">
        <f t="shared" si="2"/>
        <v>#ERROR!</v>
      </c>
      <c r="AH25" s="216" t="str">
        <f t="shared" si="3"/>
        <v>#ERROR!</v>
      </c>
      <c r="AI25" s="210"/>
      <c r="AJ25" s="210"/>
      <c r="AK25" s="213" t="e">
        <v>#N/A</v>
      </c>
      <c r="AL25" s="213" t="e">
        <v>#N/A</v>
      </c>
      <c r="AM25" s="214" t="str">
        <f>Table1[[#This Row],[2019 Scope 2 ]]</f>
        <v>#ERROR!</v>
      </c>
      <c r="AN25" s="215" t="str">
        <f t="shared" si="4"/>
        <v>#ERROR!</v>
      </c>
      <c r="AO25" s="216" t="str">
        <f t="shared" si="5"/>
        <v>#ERROR!</v>
      </c>
      <c r="AP25" s="215" t="str">
        <f t="shared" si="6"/>
        <v>#ERROR!</v>
      </c>
      <c r="AQ25" s="216" t="str">
        <f t="shared" si="7"/>
        <v>#ERROR!</v>
      </c>
      <c r="AR25" s="217" t="str">
        <f>Table1[[#This Row],[2019 Scope 3 ]]</f>
        <v>#ERROR!</v>
      </c>
      <c r="AS25" s="218" t="str">
        <f t="shared" si="8"/>
        <v>#ERROR!</v>
      </c>
      <c r="AT25" s="219" t="str">
        <f t="shared" si="9"/>
        <v>#ERROR!</v>
      </c>
    </row>
    <row r="26" ht="12.75" hidden="1" customHeight="1">
      <c r="A26" s="5">
        <f>companies!A26</f>
        <v>25</v>
      </c>
      <c r="B26" s="200" t="s">
        <v>1254</v>
      </c>
      <c r="C26" s="200" t="s">
        <v>1262</v>
      </c>
      <c r="D26" s="200" t="s">
        <v>1262</v>
      </c>
      <c r="E26" s="200" t="s">
        <v>1262</v>
      </c>
      <c r="F26" s="200" t="s">
        <v>1262</v>
      </c>
      <c r="G26" s="200" t="s">
        <v>1262</v>
      </c>
      <c r="H26" s="200" t="s">
        <v>1262</v>
      </c>
      <c r="I26" s="200" t="s">
        <v>1262</v>
      </c>
      <c r="J26" s="200" t="s">
        <v>1262</v>
      </c>
      <c r="K26" s="200" t="s">
        <v>1262</v>
      </c>
      <c r="L26" s="200" t="s">
        <v>1262</v>
      </c>
      <c r="M26" s="200" t="s">
        <v>1262</v>
      </c>
      <c r="N26" s="200" t="s">
        <v>1262</v>
      </c>
      <c r="O26" s="200" t="s">
        <v>1262</v>
      </c>
      <c r="P26" s="200" t="s">
        <v>1262</v>
      </c>
      <c r="Q26" s="200" t="s">
        <v>1262</v>
      </c>
      <c r="R26" s="200" t="s">
        <v>1262</v>
      </c>
      <c r="S26" s="200" t="s">
        <v>1262</v>
      </c>
      <c r="T26" s="200" t="s">
        <v>1262</v>
      </c>
      <c r="U26" s="200" t="s">
        <v>1262</v>
      </c>
      <c r="V26" s="200" t="s">
        <v>1262</v>
      </c>
      <c r="W26" s="213">
        <f t="shared" si="10"/>
        <v>0</v>
      </c>
      <c r="X26" s="200">
        <v>0.0</v>
      </c>
      <c r="Y26" s="200"/>
      <c r="Z26" s="200"/>
      <c r="AA26" s="200"/>
      <c r="AB26" s="213"/>
      <c r="AC26" s="213"/>
      <c r="AD26" s="213" t="e">
        <v>#N/A</v>
      </c>
      <c r="AE26" s="213" t="e">
        <v>#N/A</v>
      </c>
      <c r="AF26" s="214" t="str">
        <f>Table1[[#This Row],[2019 Scope 1 (MeT Co2)]]</f>
        <v>#ERROR!</v>
      </c>
      <c r="AG26" s="215" t="str">
        <f t="shared" si="2"/>
        <v>#ERROR!</v>
      </c>
      <c r="AH26" s="216" t="str">
        <f t="shared" si="3"/>
        <v>#ERROR!</v>
      </c>
      <c r="AI26" s="210"/>
      <c r="AJ26" s="210"/>
      <c r="AK26" s="213" t="e">
        <v>#N/A</v>
      </c>
      <c r="AL26" s="213" t="e">
        <v>#N/A</v>
      </c>
      <c r="AM26" s="214" t="str">
        <f>Table1[[#This Row],[2019 Scope 2 ]]</f>
        <v>#ERROR!</v>
      </c>
      <c r="AN26" s="215" t="str">
        <f t="shared" si="4"/>
        <v>#ERROR!</v>
      </c>
      <c r="AO26" s="216" t="str">
        <f t="shared" si="5"/>
        <v>#ERROR!</v>
      </c>
      <c r="AP26" s="215" t="str">
        <f t="shared" si="6"/>
        <v>#ERROR!</v>
      </c>
      <c r="AQ26" s="216" t="str">
        <f t="shared" si="7"/>
        <v>#ERROR!</v>
      </c>
      <c r="AR26" s="217" t="str">
        <f>Table1[[#This Row],[2019 Scope 3 ]]</f>
        <v>#ERROR!</v>
      </c>
      <c r="AS26" s="218" t="str">
        <f t="shared" si="8"/>
        <v>#ERROR!</v>
      </c>
      <c r="AT26" s="219" t="str">
        <f t="shared" si="9"/>
        <v>#ERROR!</v>
      </c>
    </row>
    <row r="27" ht="12.75" hidden="1" customHeight="1">
      <c r="A27" s="5">
        <f>companies!A27</f>
        <v>26</v>
      </c>
      <c r="B27" s="200" t="s">
        <v>1254</v>
      </c>
      <c r="C27" s="200" t="s">
        <v>1262</v>
      </c>
      <c r="D27" s="200" t="s">
        <v>1262</v>
      </c>
      <c r="E27" s="200" t="s">
        <v>1262</v>
      </c>
      <c r="F27" s="200" t="s">
        <v>1262</v>
      </c>
      <c r="G27" s="200" t="s">
        <v>1262</v>
      </c>
      <c r="H27" s="200" t="s">
        <v>1262</v>
      </c>
      <c r="I27" s="200" t="s">
        <v>1262</v>
      </c>
      <c r="J27" s="200" t="s">
        <v>1262</v>
      </c>
      <c r="K27" s="200" t="s">
        <v>1262</v>
      </c>
      <c r="L27" s="200" t="s">
        <v>1262</v>
      </c>
      <c r="M27" s="200" t="s">
        <v>1262</v>
      </c>
      <c r="N27" s="200" t="s">
        <v>1262</v>
      </c>
      <c r="O27" s="200" t="s">
        <v>1262</v>
      </c>
      <c r="P27" s="200" t="s">
        <v>1262</v>
      </c>
      <c r="Q27" s="200" t="s">
        <v>1262</v>
      </c>
      <c r="R27" s="200" t="s">
        <v>1262</v>
      </c>
      <c r="S27" s="200" t="s">
        <v>1262</v>
      </c>
      <c r="T27" s="200" t="s">
        <v>1262</v>
      </c>
      <c r="U27" s="200" t="s">
        <v>1262</v>
      </c>
      <c r="V27" s="200" t="s">
        <v>1262</v>
      </c>
      <c r="W27" s="213">
        <f t="shared" si="10"/>
        <v>0</v>
      </c>
      <c r="X27" s="200">
        <v>0.0</v>
      </c>
      <c r="Y27" s="200"/>
      <c r="Z27" s="200"/>
      <c r="AA27" s="200"/>
      <c r="AB27" s="213"/>
      <c r="AC27" s="213"/>
      <c r="AD27" s="213" t="e">
        <v>#N/A</v>
      </c>
      <c r="AE27" s="213" t="e">
        <v>#N/A</v>
      </c>
      <c r="AF27" s="214" t="str">
        <f>Table1[[#This Row],[2019 Scope 1 (MeT Co2)]]</f>
        <v>#ERROR!</v>
      </c>
      <c r="AG27" s="215" t="str">
        <f t="shared" si="2"/>
        <v>#ERROR!</v>
      </c>
      <c r="AH27" s="216" t="str">
        <f t="shared" si="3"/>
        <v>#ERROR!</v>
      </c>
      <c r="AI27" s="210"/>
      <c r="AJ27" s="210"/>
      <c r="AK27" s="213" t="e">
        <v>#N/A</v>
      </c>
      <c r="AL27" s="213" t="e">
        <v>#N/A</v>
      </c>
      <c r="AM27" s="214" t="str">
        <f>Table1[[#This Row],[2019 Scope 2 ]]</f>
        <v>#ERROR!</v>
      </c>
      <c r="AN27" s="215" t="str">
        <f t="shared" si="4"/>
        <v>#ERROR!</v>
      </c>
      <c r="AO27" s="216" t="str">
        <f t="shared" si="5"/>
        <v>#ERROR!</v>
      </c>
      <c r="AP27" s="215" t="str">
        <f t="shared" si="6"/>
        <v>#ERROR!</v>
      </c>
      <c r="AQ27" s="216" t="str">
        <f t="shared" si="7"/>
        <v>#ERROR!</v>
      </c>
      <c r="AR27" s="217" t="str">
        <f>Table1[[#This Row],[2019 Scope 3 ]]</f>
        <v>#ERROR!</v>
      </c>
      <c r="AS27" s="218" t="str">
        <f t="shared" si="8"/>
        <v>#ERROR!</v>
      </c>
      <c r="AT27" s="219" t="str">
        <f t="shared" si="9"/>
        <v>#ERROR!</v>
      </c>
    </row>
    <row r="28" ht="12.75" hidden="1" customHeight="1">
      <c r="A28" s="5">
        <f>companies!A28</f>
        <v>27</v>
      </c>
      <c r="B28" s="200" t="s">
        <v>1254</v>
      </c>
      <c r="C28" s="200">
        <v>41181.0</v>
      </c>
      <c r="D28" s="200">
        <v>651331.0</v>
      </c>
      <c r="E28" s="200">
        <v>187428.0</v>
      </c>
      <c r="F28" s="200">
        <v>1154682.0</v>
      </c>
      <c r="G28" s="200">
        <v>40020.0</v>
      </c>
      <c r="H28" s="200">
        <v>39054.0</v>
      </c>
      <c r="I28" s="200">
        <v>36598.0</v>
      </c>
      <c r="J28" s="200">
        <v>779.0</v>
      </c>
      <c r="K28" s="200">
        <v>207323.0</v>
      </c>
      <c r="L28" s="200">
        <v>79699.0</v>
      </c>
      <c r="M28" s="213" t="s">
        <v>683</v>
      </c>
      <c r="N28" s="213">
        <v>83396.0</v>
      </c>
      <c r="O28" s="213" t="s">
        <v>683</v>
      </c>
      <c r="P28" s="213">
        <v>2.4929174E7</v>
      </c>
      <c r="Q28" s="213">
        <v>272.0</v>
      </c>
      <c r="R28" s="200" t="s">
        <v>683</v>
      </c>
      <c r="S28" s="213" t="s">
        <v>683</v>
      </c>
      <c r="T28" s="213" t="s">
        <v>683</v>
      </c>
      <c r="U28" s="213" t="s">
        <v>683</v>
      </c>
      <c r="V28" s="213" t="s">
        <v>683</v>
      </c>
      <c r="W28" s="213">
        <f t="shared" si="10"/>
        <v>26570997</v>
      </c>
      <c r="X28" s="200">
        <v>187428.0</v>
      </c>
      <c r="Y28" s="200">
        <v>2.6799606E7</v>
      </c>
      <c r="Z28" s="200"/>
      <c r="AA28" s="200"/>
      <c r="AB28" s="200"/>
      <c r="AC28" s="200"/>
      <c r="AD28" s="213" t="s">
        <v>683</v>
      </c>
      <c r="AE28" s="213" t="s">
        <v>683</v>
      </c>
      <c r="AF28" s="214" t="str">
        <f>Table1[[#This Row],[2019 Scope 1 (MeT Co2)]]</f>
        <v>#ERROR!</v>
      </c>
      <c r="AG28" s="215" t="str">
        <f t="shared" si="2"/>
        <v>#ERROR!</v>
      </c>
      <c r="AH28" s="216" t="str">
        <f t="shared" si="3"/>
        <v>#ERROR!</v>
      </c>
      <c r="AI28" s="210"/>
      <c r="AJ28" s="210"/>
      <c r="AK28" s="213" t="s">
        <v>683</v>
      </c>
      <c r="AL28" s="213" t="s">
        <v>683</v>
      </c>
      <c r="AM28" s="214" t="str">
        <f>Table1[[#This Row],[2019 Scope 2 ]]</f>
        <v>#ERROR!</v>
      </c>
      <c r="AN28" s="215" t="str">
        <f t="shared" si="4"/>
        <v>#ERROR!</v>
      </c>
      <c r="AO28" s="216" t="str">
        <f t="shared" si="5"/>
        <v>#ERROR!</v>
      </c>
      <c r="AP28" s="215" t="str">
        <f t="shared" si="6"/>
        <v>#ERROR!</v>
      </c>
      <c r="AQ28" s="216" t="str">
        <f t="shared" si="7"/>
        <v>#ERROR!</v>
      </c>
      <c r="AR28" s="217" t="str">
        <f>Table1[[#This Row],[2019 Scope 3 ]]</f>
        <v>#ERROR!</v>
      </c>
      <c r="AS28" s="218" t="str">
        <f t="shared" si="8"/>
        <v>#ERROR!</v>
      </c>
      <c r="AT28" s="219" t="str">
        <f t="shared" si="9"/>
        <v>#ERROR!</v>
      </c>
      <c r="BI28" s="4">
        <v>3329.0</v>
      </c>
    </row>
    <row r="29" ht="12.75" hidden="1" customHeight="1">
      <c r="A29" s="5">
        <f>companies!A29</f>
        <v>28</v>
      </c>
      <c r="B29" s="200" t="s">
        <v>1254</v>
      </c>
      <c r="C29" s="200">
        <v>23289.0</v>
      </c>
      <c r="D29" s="200">
        <v>593611.0</v>
      </c>
      <c r="E29" s="200">
        <v>359748.0</v>
      </c>
      <c r="F29" s="200">
        <v>3057.83</v>
      </c>
      <c r="G29" s="200">
        <v>365372.29</v>
      </c>
      <c r="H29" s="200">
        <v>170626.34</v>
      </c>
      <c r="I29" s="200" t="s">
        <v>683</v>
      </c>
      <c r="J29" s="200" t="s">
        <v>683</v>
      </c>
      <c r="K29" s="200">
        <v>126229.0</v>
      </c>
      <c r="L29" s="200">
        <v>82627.85</v>
      </c>
      <c r="M29" s="213" t="s">
        <v>683</v>
      </c>
      <c r="N29" s="213" t="s">
        <v>683</v>
      </c>
      <c r="O29" s="213" t="s">
        <v>683</v>
      </c>
      <c r="P29" s="213" t="s">
        <v>683</v>
      </c>
      <c r="Q29" s="213" t="s">
        <v>683</v>
      </c>
      <c r="R29" s="200" t="s">
        <v>683</v>
      </c>
      <c r="S29" s="213" t="s">
        <v>683</v>
      </c>
      <c r="T29" s="213" t="s">
        <v>683</v>
      </c>
      <c r="U29" s="213" t="s">
        <v>683</v>
      </c>
      <c r="V29" s="213" t="s">
        <v>683</v>
      </c>
      <c r="W29" s="213">
        <f t="shared" si="10"/>
        <v>747913.31</v>
      </c>
      <c r="X29" s="200">
        <v>359748.0</v>
      </c>
      <c r="Y29" s="200">
        <v>1130950.31</v>
      </c>
      <c r="Z29" s="200"/>
      <c r="AA29" s="200"/>
      <c r="AB29" s="200"/>
      <c r="AC29" s="200"/>
      <c r="AD29" s="213" t="s">
        <v>683</v>
      </c>
      <c r="AE29" s="213" t="s">
        <v>683</v>
      </c>
      <c r="AF29" s="214" t="str">
        <f>Table1[[#This Row],[2019 Scope 1 (MeT Co2)]]</f>
        <v>#ERROR!</v>
      </c>
      <c r="AG29" s="215" t="str">
        <f t="shared" si="2"/>
        <v>#ERROR!</v>
      </c>
      <c r="AH29" s="216" t="str">
        <f t="shared" si="3"/>
        <v>#ERROR!</v>
      </c>
      <c r="AI29" s="210"/>
      <c r="AJ29" s="210"/>
      <c r="AK29" s="213" t="s">
        <v>683</v>
      </c>
      <c r="AL29" s="213" t="s">
        <v>683</v>
      </c>
      <c r="AM29" s="214" t="str">
        <f>Table1[[#This Row],[2019 Scope 2 ]]</f>
        <v>#ERROR!</v>
      </c>
      <c r="AN29" s="215" t="str">
        <f t="shared" si="4"/>
        <v>#ERROR!</v>
      </c>
      <c r="AO29" s="216" t="str">
        <f t="shared" si="5"/>
        <v>#ERROR!</v>
      </c>
      <c r="AP29" s="215" t="str">
        <f t="shared" si="6"/>
        <v>#ERROR!</v>
      </c>
      <c r="AQ29" s="216" t="str">
        <f t="shared" si="7"/>
        <v>#ERROR!</v>
      </c>
      <c r="AR29" s="217" t="str">
        <f>Table1[[#This Row],[2019 Scope 3 ]]</f>
        <v>#ERROR!</v>
      </c>
      <c r="AS29" s="218" t="str">
        <f t="shared" si="8"/>
        <v>#ERROR!</v>
      </c>
      <c r="AT29" s="219" t="str">
        <f t="shared" si="9"/>
        <v>#ERROR!</v>
      </c>
      <c r="BI29" s="4">
        <v>3398.0</v>
      </c>
    </row>
    <row r="30" ht="12.75" hidden="1" customHeight="1">
      <c r="A30" s="5">
        <f>companies!A30</f>
        <v>29</v>
      </c>
      <c r="B30" s="200" t="s">
        <v>1254</v>
      </c>
      <c r="C30" s="200">
        <v>687597.0</v>
      </c>
      <c r="D30" s="200">
        <v>868343.0</v>
      </c>
      <c r="E30" s="200">
        <v>871304.0</v>
      </c>
      <c r="F30" s="200">
        <v>2.2809959E7</v>
      </c>
      <c r="G30" s="200">
        <v>1799000.0</v>
      </c>
      <c r="H30" s="200" t="s">
        <v>683</v>
      </c>
      <c r="I30" s="200" t="s">
        <v>683</v>
      </c>
      <c r="J30" s="200">
        <v>0.0</v>
      </c>
      <c r="K30" s="200">
        <v>130838.0</v>
      </c>
      <c r="L30" s="200" t="s">
        <v>683</v>
      </c>
      <c r="M30" s="213" t="s">
        <v>683</v>
      </c>
      <c r="N30" s="213">
        <v>2290854.0</v>
      </c>
      <c r="O30" s="213">
        <v>2.2630377E7</v>
      </c>
      <c r="P30" s="213" t="s">
        <v>683</v>
      </c>
      <c r="Q30" s="213" t="s">
        <v>683</v>
      </c>
      <c r="R30" s="200" t="s">
        <v>683</v>
      </c>
      <c r="S30" s="213">
        <v>4378013.0</v>
      </c>
      <c r="T30" s="213" t="s">
        <v>683</v>
      </c>
      <c r="U30" s="213" t="s">
        <v>683</v>
      </c>
      <c r="V30" s="213" t="s">
        <v>683</v>
      </c>
      <c r="W30" s="213">
        <f t="shared" si="10"/>
        <v>54039041</v>
      </c>
      <c r="X30" s="200">
        <v>868343.0</v>
      </c>
      <c r="Y30" s="200">
        <v>5.5594981E7</v>
      </c>
      <c r="Z30" s="200"/>
      <c r="AA30" s="200"/>
      <c r="AB30" s="200"/>
      <c r="AC30" s="200"/>
      <c r="AD30" s="213" t="s">
        <v>683</v>
      </c>
      <c r="AE30" s="213" t="s">
        <v>683</v>
      </c>
      <c r="AF30" s="214" t="str">
        <f>Table1[[#This Row],[2019 Scope 1 (MeT Co2)]]</f>
        <v>#ERROR!</v>
      </c>
      <c r="AG30" s="215" t="str">
        <f t="shared" si="2"/>
        <v>#ERROR!</v>
      </c>
      <c r="AH30" s="220" t="str">
        <f t="shared" si="3"/>
        <v>#ERROR!</v>
      </c>
      <c r="AI30" s="210"/>
      <c r="AJ30" s="210"/>
      <c r="AK30" s="213" t="s">
        <v>683</v>
      </c>
      <c r="AL30" s="213" t="s">
        <v>683</v>
      </c>
      <c r="AM30" s="214" t="str">
        <f>Table1[[#This Row],[2019 Scope 2 ]]</f>
        <v>#ERROR!</v>
      </c>
      <c r="AN30" s="215" t="str">
        <f t="shared" si="4"/>
        <v>#ERROR!</v>
      </c>
      <c r="AO30" s="220" t="str">
        <f t="shared" si="5"/>
        <v>#ERROR!</v>
      </c>
      <c r="AP30" s="215" t="str">
        <f t="shared" si="6"/>
        <v>#ERROR!</v>
      </c>
      <c r="AQ30" s="220" t="str">
        <f t="shared" si="7"/>
        <v>#ERROR!</v>
      </c>
      <c r="AR30" s="217" t="str">
        <f>Table1[[#This Row],[2019 Scope 3 ]]</f>
        <v>#ERROR!</v>
      </c>
      <c r="AS30" s="218" t="str">
        <f t="shared" si="8"/>
        <v>#ERROR!</v>
      </c>
      <c r="AT30" s="219" t="str">
        <f t="shared" si="9"/>
        <v>#ERROR!</v>
      </c>
      <c r="BI30" s="200">
        <v>3564.0</v>
      </c>
    </row>
    <row r="31" ht="12.75" hidden="1" customHeight="1">
      <c r="A31" s="5">
        <f>companies!A31</f>
        <v>30</v>
      </c>
      <c r="B31" s="200" t="s">
        <v>1254</v>
      </c>
      <c r="C31" s="200">
        <v>197523.0</v>
      </c>
      <c r="D31" s="200">
        <v>379901.0</v>
      </c>
      <c r="E31" s="200">
        <v>283289.0</v>
      </c>
      <c r="F31" s="200">
        <v>3998484.0</v>
      </c>
      <c r="G31" s="200">
        <v>107147.0</v>
      </c>
      <c r="H31" s="200">
        <v>144711.0</v>
      </c>
      <c r="I31" s="200">
        <v>622256.0</v>
      </c>
      <c r="J31" s="200">
        <v>43842.0</v>
      </c>
      <c r="K31" s="200">
        <v>43504.0</v>
      </c>
      <c r="L31" s="200">
        <v>75573.0</v>
      </c>
      <c r="M31" s="213">
        <v>70599.0</v>
      </c>
      <c r="N31" s="213" t="s">
        <v>683</v>
      </c>
      <c r="O31" s="213" t="s">
        <v>683</v>
      </c>
      <c r="P31" s="213">
        <v>4.2014727E7</v>
      </c>
      <c r="Q31" s="213">
        <v>1559375.0</v>
      </c>
      <c r="R31" s="200" t="s">
        <v>683</v>
      </c>
      <c r="S31" s="213" t="s">
        <v>683</v>
      </c>
      <c r="T31" s="213" t="s">
        <v>683</v>
      </c>
      <c r="U31" s="213" t="s">
        <v>683</v>
      </c>
      <c r="V31" s="213" t="s">
        <v>683</v>
      </c>
      <c r="W31" s="213">
        <f t="shared" si="10"/>
        <v>48680218</v>
      </c>
      <c r="X31" s="200">
        <v>283289.0</v>
      </c>
      <c r="Y31" s="200">
        <v>4.916103E7</v>
      </c>
      <c r="Z31" s="200"/>
      <c r="AA31" s="200"/>
      <c r="AB31" s="200"/>
      <c r="AC31" s="200"/>
      <c r="AD31" s="213" t="s">
        <v>683</v>
      </c>
      <c r="AE31" s="213" t="s">
        <v>683</v>
      </c>
      <c r="AF31" s="214" t="str">
        <f>Table1[[#This Row],[2019 Scope 1 (MeT Co2)]]</f>
        <v>#ERROR!</v>
      </c>
      <c r="AG31" s="215" t="str">
        <f t="shared" si="2"/>
        <v>#ERROR!</v>
      </c>
      <c r="AH31" s="216" t="str">
        <f t="shared" si="3"/>
        <v>#ERROR!</v>
      </c>
      <c r="AI31" s="210"/>
      <c r="AJ31" s="210"/>
      <c r="AK31" s="213" t="s">
        <v>683</v>
      </c>
      <c r="AL31" s="213" t="s">
        <v>683</v>
      </c>
      <c r="AM31" s="214" t="str">
        <f>Table1[[#This Row],[2019 Scope 2 ]]</f>
        <v>#ERROR!</v>
      </c>
      <c r="AN31" s="215" t="str">
        <f t="shared" si="4"/>
        <v>#ERROR!</v>
      </c>
      <c r="AO31" s="216" t="str">
        <f t="shared" si="5"/>
        <v>#ERROR!</v>
      </c>
      <c r="AP31" s="215" t="str">
        <f t="shared" si="6"/>
        <v>#ERROR!</v>
      </c>
      <c r="AQ31" s="216" t="str">
        <f t="shared" si="7"/>
        <v>#ERROR!</v>
      </c>
      <c r="AR31" s="217" t="str">
        <f>Table1[[#This Row],[2019 Scope 3 ]]</f>
        <v>#ERROR!</v>
      </c>
      <c r="AS31" s="218" t="str">
        <f t="shared" si="8"/>
        <v>#ERROR!</v>
      </c>
      <c r="AT31" s="219" t="str">
        <f t="shared" si="9"/>
        <v>#ERROR!</v>
      </c>
      <c r="BI31" s="200">
        <v>3551.0</v>
      </c>
    </row>
    <row r="32" ht="12.75" hidden="1" customHeight="1">
      <c r="A32" s="5">
        <f>companies!A32</f>
        <v>31</v>
      </c>
      <c r="B32" s="200" t="s">
        <v>1254</v>
      </c>
      <c r="C32" s="200">
        <v>498455.0</v>
      </c>
      <c r="D32" s="200">
        <v>1568717.0</v>
      </c>
      <c r="E32" s="200">
        <v>1496771.0</v>
      </c>
      <c r="F32" s="200" t="s">
        <v>683</v>
      </c>
      <c r="G32" s="200" t="s">
        <v>683</v>
      </c>
      <c r="H32" s="200" t="s">
        <v>683</v>
      </c>
      <c r="I32" s="200" t="s">
        <v>683</v>
      </c>
      <c r="J32" s="200" t="s">
        <v>683</v>
      </c>
      <c r="K32" s="200" t="s">
        <v>683</v>
      </c>
      <c r="L32" s="200" t="s">
        <v>683</v>
      </c>
      <c r="M32" s="213" t="s">
        <v>683</v>
      </c>
      <c r="N32" s="213" t="s">
        <v>683</v>
      </c>
      <c r="O32" s="213" t="s">
        <v>683</v>
      </c>
      <c r="P32" s="213" t="s">
        <v>683</v>
      </c>
      <c r="Q32" s="213" t="s">
        <v>683</v>
      </c>
      <c r="R32" s="200" t="s">
        <v>683</v>
      </c>
      <c r="S32" s="213" t="s">
        <v>683</v>
      </c>
      <c r="T32" s="213" t="s">
        <v>683</v>
      </c>
      <c r="U32" s="213" t="s">
        <v>683</v>
      </c>
      <c r="V32" s="213" t="s">
        <v>683</v>
      </c>
      <c r="W32" s="213">
        <f t="shared" si="10"/>
        <v>0</v>
      </c>
      <c r="X32" s="200">
        <v>1496771.0</v>
      </c>
      <c r="Y32" s="200">
        <v>1995226.0</v>
      </c>
      <c r="Z32" s="200"/>
      <c r="AA32" s="200"/>
      <c r="AB32" s="200"/>
      <c r="AC32" s="200"/>
      <c r="AD32" s="213" t="s">
        <v>683</v>
      </c>
      <c r="AE32" s="213" t="s">
        <v>683</v>
      </c>
      <c r="AF32" s="214" t="str">
        <f>Table1[[#This Row],[2019 Scope 1 (MeT Co2)]]</f>
        <v>#ERROR!</v>
      </c>
      <c r="AG32" s="215" t="str">
        <f t="shared" si="2"/>
        <v>#ERROR!</v>
      </c>
      <c r="AH32" s="216" t="str">
        <f t="shared" si="3"/>
        <v>#ERROR!</v>
      </c>
      <c r="AI32" s="210"/>
      <c r="AJ32" s="210"/>
      <c r="AK32" s="213" t="s">
        <v>683</v>
      </c>
      <c r="AL32" s="213" t="s">
        <v>683</v>
      </c>
      <c r="AM32" s="214" t="str">
        <f>Table1[[#This Row],[2019 Scope 2 ]]</f>
        <v>#ERROR!</v>
      </c>
      <c r="AN32" s="215" t="str">
        <f t="shared" si="4"/>
        <v>#ERROR!</v>
      </c>
      <c r="AO32" s="216" t="str">
        <f t="shared" si="5"/>
        <v>#ERROR!</v>
      </c>
      <c r="AP32" s="215" t="str">
        <f t="shared" si="6"/>
        <v>#ERROR!</v>
      </c>
      <c r="AQ32" s="216" t="str">
        <f t="shared" si="7"/>
        <v>#ERROR!</v>
      </c>
      <c r="AR32" s="217" t="str">
        <f>Table1[[#This Row],[2019 Scope 3 ]]</f>
        <v>#ERROR!</v>
      </c>
      <c r="AS32" s="218" t="str">
        <f t="shared" si="8"/>
        <v>#ERROR!</v>
      </c>
      <c r="AT32" s="219" t="str">
        <f t="shared" si="9"/>
        <v>#ERROR!</v>
      </c>
      <c r="BI32" s="4">
        <v>3635.0</v>
      </c>
    </row>
    <row r="33" ht="12.75" hidden="1" customHeight="1">
      <c r="A33" s="5">
        <f>companies!A33</f>
        <v>32</v>
      </c>
      <c r="B33" s="200" t="s">
        <v>1254</v>
      </c>
      <c r="C33" s="200">
        <v>1.9500244E7</v>
      </c>
      <c r="D33" s="200">
        <v>956931.0</v>
      </c>
      <c r="E33" s="200" t="s">
        <v>683</v>
      </c>
      <c r="F33" s="200" t="s">
        <v>683</v>
      </c>
      <c r="G33" s="200" t="s">
        <v>683</v>
      </c>
      <c r="H33" s="200" t="s">
        <v>683</v>
      </c>
      <c r="I33" s="200">
        <v>2672913.0</v>
      </c>
      <c r="J33" s="200" t="s">
        <v>683</v>
      </c>
      <c r="K33" s="200" t="s">
        <v>683</v>
      </c>
      <c r="L33" s="200" t="s">
        <v>683</v>
      </c>
      <c r="M33" s="213" t="s">
        <v>683</v>
      </c>
      <c r="N33" s="213">
        <v>4901363.0</v>
      </c>
      <c r="O33" s="213">
        <v>1.4236023E7</v>
      </c>
      <c r="P33" s="213">
        <v>1.73354465E8</v>
      </c>
      <c r="Q33" s="213" t="s">
        <v>683</v>
      </c>
      <c r="R33" s="200" t="s">
        <v>683</v>
      </c>
      <c r="S33" s="213" t="s">
        <v>683</v>
      </c>
      <c r="T33" s="213" t="s">
        <v>683</v>
      </c>
      <c r="U33" s="213" t="s">
        <v>683</v>
      </c>
      <c r="V33" s="213" t="s">
        <v>683</v>
      </c>
      <c r="W33" s="213">
        <f t="shared" si="10"/>
        <v>195164764</v>
      </c>
      <c r="X33" s="200">
        <v>956931.0</v>
      </c>
      <c r="Y33" s="200">
        <v>2.15621939E8</v>
      </c>
      <c r="Z33" s="200"/>
      <c r="AA33" s="200"/>
      <c r="AB33" s="213"/>
      <c r="AC33" s="213"/>
      <c r="AD33" s="213" t="s">
        <v>683</v>
      </c>
      <c r="AE33" s="213" t="s">
        <v>683</v>
      </c>
      <c r="AF33" s="214" t="str">
        <f>Table1[[#This Row],[2019 Scope 1 (MeT Co2)]]</f>
        <v>#ERROR!</v>
      </c>
      <c r="AG33" s="215" t="str">
        <f t="shared" si="2"/>
        <v>#ERROR!</v>
      </c>
      <c r="AH33" s="216" t="str">
        <f t="shared" si="3"/>
        <v>#ERROR!</v>
      </c>
      <c r="AI33" s="210"/>
      <c r="AJ33" s="210"/>
      <c r="AK33" s="213" t="s">
        <v>683</v>
      </c>
      <c r="AL33" s="213" t="s">
        <v>683</v>
      </c>
      <c r="AM33" s="214" t="str">
        <f>Table1[[#This Row],[2019 Scope 2 ]]</f>
        <v>#ERROR!</v>
      </c>
      <c r="AN33" s="215" t="str">
        <f t="shared" si="4"/>
        <v>#ERROR!</v>
      </c>
      <c r="AO33" s="216" t="str">
        <f t="shared" si="5"/>
        <v>#ERROR!</v>
      </c>
      <c r="AP33" s="215" t="str">
        <f t="shared" si="6"/>
        <v>#ERROR!</v>
      </c>
      <c r="AQ33" s="216" t="str">
        <f t="shared" si="7"/>
        <v>#ERROR!</v>
      </c>
      <c r="AR33" s="217" t="str">
        <f>Table1[[#This Row],[2019 Scope 3 ]]</f>
        <v>#ERROR!</v>
      </c>
      <c r="AS33" s="218" t="str">
        <f t="shared" si="8"/>
        <v>#ERROR!</v>
      </c>
      <c r="AT33" s="219" t="str">
        <f t="shared" si="9"/>
        <v>#ERROR!</v>
      </c>
      <c r="BI33" s="200">
        <v>3751.0</v>
      </c>
    </row>
    <row r="34" ht="12.75" hidden="1" customHeight="1">
      <c r="A34" s="5">
        <f>companies!A34</f>
        <v>33</v>
      </c>
      <c r="B34" s="200" t="s">
        <v>1254</v>
      </c>
      <c r="C34" s="200">
        <v>1108562.25</v>
      </c>
      <c r="D34" s="200">
        <v>1473874.16</v>
      </c>
      <c r="E34" s="200" t="s">
        <v>683</v>
      </c>
      <c r="F34" s="200" t="s">
        <v>683</v>
      </c>
      <c r="G34" s="200" t="s">
        <v>683</v>
      </c>
      <c r="H34" s="200" t="s">
        <v>683</v>
      </c>
      <c r="I34" s="200" t="s">
        <v>683</v>
      </c>
      <c r="J34" s="200" t="s">
        <v>683</v>
      </c>
      <c r="K34" s="200" t="s">
        <v>683</v>
      </c>
      <c r="L34" s="200" t="s">
        <v>683</v>
      </c>
      <c r="M34" s="213" t="s">
        <v>683</v>
      </c>
      <c r="N34" s="213" t="s">
        <v>683</v>
      </c>
      <c r="O34" s="213" t="s">
        <v>683</v>
      </c>
      <c r="P34" s="213" t="s">
        <v>683</v>
      </c>
      <c r="Q34" s="213" t="s">
        <v>683</v>
      </c>
      <c r="R34" s="200" t="s">
        <v>683</v>
      </c>
      <c r="S34" s="213" t="s">
        <v>683</v>
      </c>
      <c r="T34" s="213" t="s">
        <v>683</v>
      </c>
      <c r="U34" s="213" t="s">
        <v>683</v>
      </c>
      <c r="V34" s="213" t="s">
        <v>683</v>
      </c>
      <c r="W34" s="213">
        <f t="shared" si="10"/>
        <v>0</v>
      </c>
      <c r="X34" s="200">
        <v>1473874.16</v>
      </c>
      <c r="Y34" s="200">
        <v>2582436.41</v>
      </c>
      <c r="Z34" s="200"/>
      <c r="AA34" s="200"/>
      <c r="AB34" s="213"/>
      <c r="AC34" s="213"/>
      <c r="AD34" s="213" t="s">
        <v>1255</v>
      </c>
      <c r="AE34" s="213" t="s">
        <v>1256</v>
      </c>
      <c r="AF34" s="214" t="str">
        <f>Table1[[#This Row],[2019 Scope 1 (MeT Co2)]]</f>
        <v>#ERROR!</v>
      </c>
      <c r="AG34" s="215" t="str">
        <f t="shared" si="2"/>
        <v>#ERROR!</v>
      </c>
      <c r="AH34" s="216" t="str">
        <f t="shared" si="3"/>
        <v>#ERROR!</v>
      </c>
      <c r="AI34" s="210"/>
      <c r="AJ34" s="210"/>
      <c r="AK34" s="213" t="s">
        <v>1255</v>
      </c>
      <c r="AL34" s="213" t="s">
        <v>1256</v>
      </c>
      <c r="AM34" s="214" t="str">
        <f>Table1[[#This Row],[2019 Scope 2 ]]</f>
        <v>#ERROR!</v>
      </c>
      <c r="AN34" s="215" t="str">
        <f t="shared" si="4"/>
        <v>#ERROR!</v>
      </c>
      <c r="AO34" s="216" t="str">
        <f t="shared" si="5"/>
        <v>#ERROR!</v>
      </c>
      <c r="AP34" s="215" t="str">
        <f t="shared" si="6"/>
        <v>#ERROR!</v>
      </c>
      <c r="AQ34" s="216" t="str">
        <f t="shared" si="7"/>
        <v>#ERROR!</v>
      </c>
      <c r="AR34" s="217" t="str">
        <f>Table1[[#This Row],[2019 Scope 3 ]]</f>
        <v>#ERROR!</v>
      </c>
      <c r="AS34" s="218" t="str">
        <f t="shared" si="8"/>
        <v>#ERROR!</v>
      </c>
      <c r="AT34" s="219" t="str">
        <f t="shared" si="9"/>
        <v>#ERROR!</v>
      </c>
      <c r="BI34" s="4">
        <v>3944.0</v>
      </c>
    </row>
    <row r="35" ht="12.75" hidden="1" customHeight="1">
      <c r="A35" s="5">
        <f>companies!A35</f>
        <v>34</v>
      </c>
      <c r="B35" s="200" t="s">
        <v>1254</v>
      </c>
      <c r="C35" s="200">
        <v>157199.32</v>
      </c>
      <c r="D35" s="200">
        <v>1024681.56</v>
      </c>
      <c r="E35" s="200">
        <v>1036690.44</v>
      </c>
      <c r="F35" s="200">
        <v>1.458473912E7</v>
      </c>
      <c r="G35" s="200">
        <v>1011729.83</v>
      </c>
      <c r="H35" s="200">
        <v>51656.89</v>
      </c>
      <c r="I35" s="200" t="s">
        <v>683</v>
      </c>
      <c r="J35" s="200">
        <v>35236.88</v>
      </c>
      <c r="K35" s="200">
        <v>106796.09</v>
      </c>
      <c r="L35" s="200">
        <v>20400.0</v>
      </c>
      <c r="M35" s="213" t="s">
        <v>683</v>
      </c>
      <c r="N35" s="213">
        <v>46624.82</v>
      </c>
      <c r="O35" s="213" t="s">
        <v>683</v>
      </c>
      <c r="P35" s="213" t="s">
        <v>683</v>
      </c>
      <c r="Q35" s="213" t="s">
        <v>683</v>
      </c>
      <c r="R35" s="200" t="s">
        <v>683</v>
      </c>
      <c r="S35" s="213" t="s">
        <v>683</v>
      </c>
      <c r="T35" s="213" t="s">
        <v>683</v>
      </c>
      <c r="U35" s="213" t="s">
        <v>683</v>
      </c>
      <c r="V35" s="213" t="s">
        <v>683</v>
      </c>
      <c r="W35" s="213">
        <f t="shared" si="10"/>
        <v>15857183.63</v>
      </c>
      <c r="X35" s="200">
        <v>1024681.56</v>
      </c>
      <c r="Y35" s="200">
        <v>1.703906451E7</v>
      </c>
      <c r="Z35" s="200"/>
      <c r="AA35" s="200"/>
      <c r="AB35" s="213"/>
      <c r="AC35" s="213"/>
      <c r="AD35" s="213" t="s">
        <v>683</v>
      </c>
      <c r="AE35" s="213" t="s">
        <v>683</v>
      </c>
      <c r="AF35" s="214" t="str">
        <f>Table1[[#This Row],[2019 Scope 1 (MeT Co2)]]</f>
        <v>#ERROR!</v>
      </c>
      <c r="AG35" s="215" t="str">
        <f t="shared" si="2"/>
        <v>#ERROR!</v>
      </c>
      <c r="AH35" s="216" t="str">
        <f t="shared" si="3"/>
        <v>#ERROR!</v>
      </c>
      <c r="AI35" s="210"/>
      <c r="AJ35" s="210"/>
      <c r="AK35" s="213" t="s">
        <v>683</v>
      </c>
      <c r="AL35" s="213" t="s">
        <v>683</v>
      </c>
      <c r="AM35" s="214" t="str">
        <f>Table1[[#This Row],[2019 Scope 2 ]]</f>
        <v>#ERROR!</v>
      </c>
      <c r="AN35" s="215" t="str">
        <f t="shared" si="4"/>
        <v>#ERROR!</v>
      </c>
      <c r="AO35" s="216" t="str">
        <f t="shared" si="5"/>
        <v>#ERROR!</v>
      </c>
      <c r="AP35" s="215" t="str">
        <f t="shared" si="6"/>
        <v>#ERROR!</v>
      </c>
      <c r="AQ35" s="216" t="str">
        <f t="shared" si="7"/>
        <v>#ERROR!</v>
      </c>
      <c r="AR35" s="217" t="str">
        <f>Table1[[#This Row],[2019 Scope 3 ]]</f>
        <v>#ERROR!</v>
      </c>
      <c r="AS35" s="218" t="str">
        <f t="shared" si="8"/>
        <v>#ERROR!</v>
      </c>
      <c r="AT35" s="219" t="str">
        <f t="shared" si="9"/>
        <v>#ERROR!</v>
      </c>
      <c r="BI35" s="200">
        <v>4151.0</v>
      </c>
    </row>
    <row r="36" ht="12.75" hidden="1" customHeight="1">
      <c r="A36" s="5">
        <f>companies!A36</f>
        <v>35</v>
      </c>
      <c r="B36" s="200" t="s">
        <v>1254</v>
      </c>
      <c r="C36" s="200" t="s">
        <v>1262</v>
      </c>
      <c r="D36" s="200" t="s">
        <v>1262</v>
      </c>
      <c r="E36" s="200" t="s">
        <v>1262</v>
      </c>
      <c r="F36" s="200" t="s">
        <v>1262</v>
      </c>
      <c r="G36" s="200" t="s">
        <v>1262</v>
      </c>
      <c r="H36" s="200" t="s">
        <v>1262</v>
      </c>
      <c r="I36" s="200" t="s">
        <v>1262</v>
      </c>
      <c r="J36" s="200" t="s">
        <v>1262</v>
      </c>
      <c r="K36" s="200" t="s">
        <v>1262</v>
      </c>
      <c r="L36" s="200" t="s">
        <v>1262</v>
      </c>
      <c r="M36" s="200" t="s">
        <v>1262</v>
      </c>
      <c r="N36" s="200" t="s">
        <v>1262</v>
      </c>
      <c r="O36" s="200" t="s">
        <v>1262</v>
      </c>
      <c r="P36" s="200" t="s">
        <v>1262</v>
      </c>
      <c r="Q36" s="200" t="s">
        <v>1262</v>
      </c>
      <c r="R36" s="200" t="s">
        <v>1262</v>
      </c>
      <c r="S36" s="200" t="s">
        <v>1262</v>
      </c>
      <c r="T36" s="200" t="s">
        <v>1262</v>
      </c>
      <c r="U36" s="200" t="s">
        <v>1262</v>
      </c>
      <c r="V36" s="200" t="s">
        <v>1262</v>
      </c>
      <c r="W36" s="213">
        <f t="shared" si="10"/>
        <v>0</v>
      </c>
      <c r="X36" s="200">
        <v>0.0</v>
      </c>
      <c r="Y36" s="200"/>
      <c r="Z36" s="200"/>
      <c r="AA36" s="200"/>
      <c r="AB36" s="213"/>
      <c r="AC36" s="213"/>
      <c r="AD36" s="213" t="e">
        <v>#N/A</v>
      </c>
      <c r="AE36" s="213" t="e">
        <v>#N/A</v>
      </c>
      <c r="AF36" s="214" t="str">
        <f>Table1[[#This Row],[2019 Scope 1 (MeT Co2)]]</f>
        <v>#ERROR!</v>
      </c>
      <c r="AG36" s="215" t="str">
        <f t="shared" si="2"/>
        <v>#ERROR!</v>
      </c>
      <c r="AH36" s="216" t="str">
        <f t="shared" si="3"/>
        <v>#ERROR!</v>
      </c>
      <c r="AI36" s="210"/>
      <c r="AJ36" s="210"/>
      <c r="AK36" s="213" t="e">
        <v>#N/A</v>
      </c>
      <c r="AL36" s="213" t="e">
        <v>#N/A</v>
      </c>
      <c r="AM36" s="214" t="str">
        <f>Table1[[#This Row],[2019 Scope 2 ]]</f>
        <v>#ERROR!</v>
      </c>
      <c r="AN36" s="215" t="str">
        <f t="shared" si="4"/>
        <v>#ERROR!</v>
      </c>
      <c r="AO36" s="216" t="str">
        <f t="shared" si="5"/>
        <v>#ERROR!</v>
      </c>
      <c r="AP36" s="215" t="str">
        <f t="shared" si="6"/>
        <v>#ERROR!</v>
      </c>
      <c r="AQ36" s="216" t="str">
        <f t="shared" si="7"/>
        <v>#ERROR!</v>
      </c>
      <c r="AR36" s="217" t="str">
        <f>Table1[[#This Row],[2019 Scope 3 ]]</f>
        <v>#ERROR!</v>
      </c>
      <c r="AS36" s="218" t="str">
        <f t="shared" si="8"/>
        <v>#ERROR!</v>
      </c>
      <c r="AT36" s="219" t="str">
        <f t="shared" si="9"/>
        <v>#ERROR!</v>
      </c>
    </row>
    <row r="37" ht="12.75" hidden="1" customHeight="1">
      <c r="A37" s="5">
        <f>companies!A37</f>
        <v>36</v>
      </c>
      <c r="B37" s="200" t="s">
        <v>1254</v>
      </c>
      <c r="C37" s="200">
        <v>2.7522854E7</v>
      </c>
      <c r="D37" s="200">
        <v>5058885.0</v>
      </c>
      <c r="E37" s="200">
        <v>6058164.0</v>
      </c>
      <c r="F37" s="200">
        <v>6.0053499E7</v>
      </c>
      <c r="G37" s="200">
        <v>2776452.0</v>
      </c>
      <c r="H37" s="200">
        <v>8269874.0</v>
      </c>
      <c r="I37" s="200" t="s">
        <v>683</v>
      </c>
      <c r="J37" s="200">
        <v>1560507.0</v>
      </c>
      <c r="K37" s="200">
        <v>31832.0</v>
      </c>
      <c r="L37" s="200">
        <v>86849.0</v>
      </c>
      <c r="M37" s="213">
        <v>16600.0</v>
      </c>
      <c r="N37" s="213">
        <v>4094062.0</v>
      </c>
      <c r="O37" s="213" t="s">
        <v>683</v>
      </c>
      <c r="P37" s="213">
        <v>3184348.0</v>
      </c>
      <c r="Q37" s="213">
        <v>7052492.0</v>
      </c>
      <c r="R37" s="200" t="s">
        <v>683</v>
      </c>
      <c r="S37" s="213" t="s">
        <v>683</v>
      </c>
      <c r="T37" s="213">
        <v>4295442.0</v>
      </c>
      <c r="U37" s="213" t="s">
        <v>683</v>
      </c>
      <c r="V37" s="213" t="s">
        <v>683</v>
      </c>
      <c r="W37" s="213">
        <f t="shared" si="10"/>
        <v>91421957</v>
      </c>
      <c r="X37" s="200">
        <v>5058885.0</v>
      </c>
      <c r="Y37" s="200">
        <v>1.24003696E8</v>
      </c>
      <c r="Z37" s="200"/>
      <c r="AA37" s="200"/>
      <c r="AB37" s="200"/>
      <c r="AC37" s="200"/>
      <c r="AD37" s="213" t="s">
        <v>1255</v>
      </c>
      <c r="AE37" s="213" t="s">
        <v>1256</v>
      </c>
      <c r="AF37" s="214" t="str">
        <f>Table1[[#This Row],[2019 Scope 1 (MeT Co2)]]</f>
        <v>#ERROR!</v>
      </c>
      <c r="AG37" s="215" t="str">
        <f t="shared" si="2"/>
        <v>#ERROR!</v>
      </c>
      <c r="AH37" s="216" t="str">
        <f t="shared" si="3"/>
        <v>#ERROR!</v>
      </c>
      <c r="AI37" s="210"/>
      <c r="AJ37" s="210"/>
      <c r="AK37" s="213" t="s">
        <v>1255</v>
      </c>
      <c r="AL37" s="213" t="s">
        <v>1256</v>
      </c>
      <c r="AM37" s="214" t="str">
        <f>Table1[[#This Row],[2019 Scope 2 ]]</f>
        <v>#ERROR!</v>
      </c>
      <c r="AN37" s="215" t="str">
        <f t="shared" si="4"/>
        <v>#ERROR!</v>
      </c>
      <c r="AO37" s="216" t="str">
        <f t="shared" si="5"/>
        <v>#ERROR!</v>
      </c>
      <c r="AP37" s="215" t="str">
        <f t="shared" si="6"/>
        <v>#ERROR!</v>
      </c>
      <c r="AQ37" s="216" t="str">
        <f t="shared" si="7"/>
        <v>#ERROR!</v>
      </c>
      <c r="AR37" s="217" t="str">
        <f>Table1[[#This Row],[2019 Scope 3 ]]</f>
        <v>#ERROR!</v>
      </c>
      <c r="AS37" s="218" t="str">
        <f t="shared" si="8"/>
        <v>#ERROR!</v>
      </c>
      <c r="AT37" s="219" t="str">
        <f t="shared" si="9"/>
        <v>#ERROR!</v>
      </c>
      <c r="BI37" s="26">
        <v>4826.0</v>
      </c>
    </row>
    <row r="38" ht="12.75" hidden="1" customHeight="1">
      <c r="A38" s="5">
        <f>companies!A38</f>
        <v>37</v>
      </c>
      <c r="B38" s="200" t="s">
        <v>1254</v>
      </c>
      <c r="C38" s="200">
        <v>8.5525E7</v>
      </c>
      <c r="D38" s="200">
        <v>5200.0</v>
      </c>
      <c r="E38" s="200" t="s">
        <v>683</v>
      </c>
      <c r="F38" s="200" t="s">
        <v>683</v>
      </c>
      <c r="G38" s="200" t="s">
        <v>683</v>
      </c>
      <c r="H38" s="200">
        <v>1.21E7</v>
      </c>
      <c r="I38" s="200" t="s">
        <v>683</v>
      </c>
      <c r="J38" s="200" t="s">
        <v>683</v>
      </c>
      <c r="K38" s="200">
        <v>15113.0</v>
      </c>
      <c r="L38" s="200" t="s">
        <v>683</v>
      </c>
      <c r="M38" s="213" t="s">
        <v>683</v>
      </c>
      <c r="N38" s="213" t="s">
        <v>683</v>
      </c>
      <c r="O38" s="213" t="s">
        <v>683</v>
      </c>
      <c r="P38" s="213">
        <v>1.76E7</v>
      </c>
      <c r="Q38" s="213" t="s">
        <v>683</v>
      </c>
      <c r="R38" s="200" t="s">
        <v>683</v>
      </c>
      <c r="S38" s="213" t="s">
        <v>683</v>
      </c>
      <c r="T38" s="213" t="s">
        <v>683</v>
      </c>
      <c r="U38" s="213" t="s">
        <v>683</v>
      </c>
      <c r="V38" s="213" t="s">
        <v>683</v>
      </c>
      <c r="W38" s="213">
        <f t="shared" si="10"/>
        <v>29715113</v>
      </c>
      <c r="X38" s="200">
        <v>5200.0</v>
      </c>
      <c r="Y38" s="200">
        <v>1.15245313E8</v>
      </c>
      <c r="Z38" s="200"/>
      <c r="AA38" s="200"/>
      <c r="AB38" s="213"/>
      <c r="AC38" s="213"/>
      <c r="AD38" s="213" t="s">
        <v>683</v>
      </c>
      <c r="AE38" s="213" t="s">
        <v>683</v>
      </c>
      <c r="AF38" s="214" t="str">
        <f>Table1[[#This Row],[2019 Scope 1 (MeT Co2)]]</f>
        <v>#ERROR!</v>
      </c>
      <c r="AG38" s="215" t="str">
        <f t="shared" si="2"/>
        <v>#ERROR!</v>
      </c>
      <c r="AH38" s="220" t="str">
        <f t="shared" si="3"/>
        <v>#ERROR!</v>
      </c>
      <c r="AI38" s="210"/>
      <c r="AJ38" s="210"/>
      <c r="AK38" s="213" t="s">
        <v>683</v>
      </c>
      <c r="AL38" s="213" t="s">
        <v>683</v>
      </c>
      <c r="AM38" s="214" t="str">
        <f>Table1[[#This Row],[2019 Scope 2 ]]</f>
        <v>#ERROR!</v>
      </c>
      <c r="AN38" s="215" t="str">
        <f t="shared" si="4"/>
        <v>#ERROR!</v>
      </c>
      <c r="AO38" s="220" t="str">
        <f t="shared" si="5"/>
        <v>#ERROR!</v>
      </c>
      <c r="AP38" s="215" t="str">
        <f t="shared" si="6"/>
        <v>#ERROR!</v>
      </c>
      <c r="AQ38" s="220" t="str">
        <f t="shared" si="7"/>
        <v>#ERROR!</v>
      </c>
      <c r="AR38" s="217" t="str">
        <f>Table1[[#This Row],[2019 Scope 3 ]]</f>
        <v>#ERROR!</v>
      </c>
      <c r="AS38" s="218" t="str">
        <f t="shared" si="8"/>
        <v>#ERROR!</v>
      </c>
      <c r="AT38" s="219" t="str">
        <f t="shared" si="9"/>
        <v>#ERROR!</v>
      </c>
      <c r="BI38" s="200">
        <v>5052.0</v>
      </c>
    </row>
    <row r="39" ht="12.75" hidden="1" customHeight="1">
      <c r="A39" s="5">
        <f>companies!A39</f>
        <v>38</v>
      </c>
      <c r="B39" s="200" t="s">
        <v>1254</v>
      </c>
      <c r="C39" s="200">
        <v>3057437.0</v>
      </c>
      <c r="D39" s="200">
        <v>2322922.0</v>
      </c>
      <c r="E39" s="200">
        <v>2532756.0</v>
      </c>
      <c r="F39" s="200" t="s">
        <v>683</v>
      </c>
      <c r="G39" s="200" t="s">
        <v>683</v>
      </c>
      <c r="H39" s="200">
        <v>1207243.0</v>
      </c>
      <c r="I39" s="200" t="s">
        <v>683</v>
      </c>
      <c r="J39" s="200" t="s">
        <v>683</v>
      </c>
      <c r="K39" s="200">
        <v>23037.0</v>
      </c>
      <c r="L39" s="200" t="s">
        <v>683</v>
      </c>
      <c r="M39" s="213" t="s">
        <v>683</v>
      </c>
      <c r="N39" s="213" t="s">
        <v>683</v>
      </c>
      <c r="O39" s="213" t="s">
        <v>683</v>
      </c>
      <c r="P39" s="213" t="s">
        <v>683</v>
      </c>
      <c r="Q39" s="213" t="s">
        <v>683</v>
      </c>
      <c r="R39" s="200">
        <v>72464.0</v>
      </c>
      <c r="S39" s="213" t="s">
        <v>683</v>
      </c>
      <c r="T39" s="213" t="s">
        <v>683</v>
      </c>
      <c r="U39" s="213" t="s">
        <v>683</v>
      </c>
      <c r="V39" s="213" t="s">
        <v>683</v>
      </c>
      <c r="W39" s="213">
        <f t="shared" si="10"/>
        <v>1302744</v>
      </c>
      <c r="X39" s="200">
        <v>2322922.0</v>
      </c>
      <c r="Y39" s="200">
        <v>6683103.0</v>
      </c>
      <c r="Z39" s="200"/>
      <c r="AA39" s="200"/>
      <c r="AB39" s="200"/>
      <c r="AC39" s="200"/>
      <c r="AD39" s="213" t="s">
        <v>683</v>
      </c>
      <c r="AE39" s="213" t="s">
        <v>683</v>
      </c>
      <c r="AF39" s="214" t="str">
        <f>Table1[[#This Row],[2019 Scope 1 (MeT Co2)]]</f>
        <v>#ERROR!</v>
      </c>
      <c r="AG39" s="215" t="str">
        <f t="shared" si="2"/>
        <v>#ERROR!</v>
      </c>
      <c r="AH39" s="216" t="str">
        <f t="shared" si="3"/>
        <v>#ERROR!</v>
      </c>
      <c r="AI39" s="210"/>
      <c r="AJ39" s="210"/>
      <c r="AK39" s="213" t="s">
        <v>683</v>
      </c>
      <c r="AL39" s="213" t="s">
        <v>683</v>
      </c>
      <c r="AM39" s="214" t="str">
        <f>Table1[[#This Row],[2019 Scope 2 ]]</f>
        <v>#ERROR!</v>
      </c>
      <c r="AN39" s="215" t="str">
        <f t="shared" si="4"/>
        <v>#ERROR!</v>
      </c>
      <c r="AO39" s="216" t="str">
        <f t="shared" si="5"/>
        <v>#ERROR!</v>
      </c>
      <c r="AP39" s="215" t="str">
        <f t="shared" si="6"/>
        <v>#ERROR!</v>
      </c>
      <c r="AQ39" s="216" t="str">
        <f t="shared" si="7"/>
        <v>#ERROR!</v>
      </c>
      <c r="AR39" s="217" t="str">
        <f>Table1[[#This Row],[2019 Scope 3 ]]</f>
        <v>#ERROR!</v>
      </c>
      <c r="AS39" s="218" t="str">
        <f t="shared" si="8"/>
        <v>#ERROR!</v>
      </c>
      <c r="AT39" s="219" t="str">
        <f t="shared" si="9"/>
        <v>#ERROR!</v>
      </c>
      <c r="BI39" s="200">
        <v>73894.0</v>
      </c>
    </row>
    <row r="40" ht="12.75" hidden="1" customHeight="1">
      <c r="A40" s="5">
        <f>companies!A40</f>
        <v>39</v>
      </c>
      <c r="B40" s="200" t="s">
        <v>1254</v>
      </c>
      <c r="C40" s="200">
        <v>192075.0</v>
      </c>
      <c r="D40" s="200">
        <v>616431.0</v>
      </c>
      <c r="E40" s="200">
        <v>556855.0</v>
      </c>
      <c r="F40" s="200" t="s">
        <v>683</v>
      </c>
      <c r="G40" s="200" t="s">
        <v>683</v>
      </c>
      <c r="H40" s="200" t="s">
        <v>683</v>
      </c>
      <c r="I40" s="200">
        <v>32680.0</v>
      </c>
      <c r="J40" s="200">
        <v>42021.0</v>
      </c>
      <c r="K40" s="200">
        <v>98410.0</v>
      </c>
      <c r="L40" s="200">
        <v>61685.0</v>
      </c>
      <c r="M40" s="213">
        <v>0.0</v>
      </c>
      <c r="N40" s="213" t="s">
        <v>683</v>
      </c>
      <c r="O40" s="213" t="s">
        <v>683</v>
      </c>
      <c r="P40" s="213" t="s">
        <v>683</v>
      </c>
      <c r="Q40" s="213" t="s">
        <v>683</v>
      </c>
      <c r="R40" s="200">
        <v>0.0</v>
      </c>
      <c r="S40" s="213">
        <v>0.0</v>
      </c>
      <c r="T40" s="213">
        <v>0.0</v>
      </c>
      <c r="U40" s="213" t="s">
        <v>683</v>
      </c>
      <c r="V40" s="213" t="s">
        <v>683</v>
      </c>
      <c r="W40" s="213">
        <f t="shared" si="10"/>
        <v>234796</v>
      </c>
      <c r="X40" s="200">
        <v>556855.0</v>
      </c>
      <c r="Y40" s="200">
        <v>983726.0</v>
      </c>
      <c r="Z40" s="200"/>
      <c r="AA40" s="200"/>
      <c r="AB40" s="200"/>
      <c r="AC40" s="200"/>
      <c r="AD40" s="213" t="s">
        <v>683</v>
      </c>
      <c r="AE40" s="213" t="s">
        <v>683</v>
      </c>
      <c r="AF40" s="214" t="str">
        <f>Table1[[#This Row],[2019 Scope 1 (MeT Co2)]]</f>
        <v>#ERROR!</v>
      </c>
      <c r="AG40" s="215" t="str">
        <f t="shared" si="2"/>
        <v>#ERROR!</v>
      </c>
      <c r="AH40" s="216" t="str">
        <f t="shared" si="3"/>
        <v>#ERROR!</v>
      </c>
      <c r="AI40" s="210"/>
      <c r="AJ40" s="210"/>
      <c r="AK40" s="213" t="s">
        <v>683</v>
      </c>
      <c r="AL40" s="213" t="s">
        <v>683</v>
      </c>
      <c r="AM40" s="214" t="str">
        <f>Table1[[#This Row],[2019 Scope 2 ]]</f>
        <v>#ERROR!</v>
      </c>
      <c r="AN40" s="215" t="str">
        <f t="shared" si="4"/>
        <v>#ERROR!</v>
      </c>
      <c r="AO40" s="220" t="str">
        <f t="shared" si="5"/>
        <v>#ERROR!</v>
      </c>
      <c r="AP40" s="215" t="str">
        <f t="shared" si="6"/>
        <v>#ERROR!</v>
      </c>
      <c r="AQ40" s="220" t="str">
        <f t="shared" si="7"/>
        <v>#ERROR!</v>
      </c>
      <c r="AR40" s="217" t="str">
        <f>Table1[[#This Row],[2019 Scope 3 ]]</f>
        <v>#ERROR!</v>
      </c>
      <c r="AS40" s="218" t="str">
        <f t="shared" si="8"/>
        <v>#ERROR!</v>
      </c>
      <c r="AT40" s="219" t="str">
        <f t="shared" si="9"/>
        <v>#ERROR!</v>
      </c>
      <c r="BI40" s="200">
        <v>5377.0</v>
      </c>
    </row>
    <row r="41" ht="12.75" hidden="1" customHeight="1">
      <c r="A41" s="5">
        <f>companies!A41</f>
        <v>40</v>
      </c>
      <c r="B41" s="200" t="s">
        <v>1254</v>
      </c>
      <c r="C41" s="200" t="s">
        <v>1262</v>
      </c>
      <c r="D41" s="200" t="s">
        <v>1262</v>
      </c>
      <c r="E41" s="200" t="s">
        <v>1262</v>
      </c>
      <c r="F41" s="200" t="s">
        <v>1262</v>
      </c>
      <c r="G41" s="200" t="s">
        <v>1262</v>
      </c>
      <c r="H41" s="200" t="s">
        <v>1262</v>
      </c>
      <c r="I41" s="200" t="s">
        <v>1262</v>
      </c>
      <c r="J41" s="200" t="s">
        <v>1262</v>
      </c>
      <c r="K41" s="200" t="s">
        <v>1262</v>
      </c>
      <c r="L41" s="200" t="s">
        <v>1262</v>
      </c>
      <c r="M41" s="200" t="s">
        <v>1262</v>
      </c>
      <c r="N41" s="200" t="s">
        <v>1262</v>
      </c>
      <c r="O41" s="200" t="s">
        <v>1262</v>
      </c>
      <c r="P41" s="200" t="s">
        <v>1262</v>
      </c>
      <c r="Q41" s="200" t="s">
        <v>1262</v>
      </c>
      <c r="R41" s="200" t="s">
        <v>1262</v>
      </c>
      <c r="S41" s="200" t="s">
        <v>1262</v>
      </c>
      <c r="T41" s="200" t="s">
        <v>1262</v>
      </c>
      <c r="U41" s="200" t="s">
        <v>1262</v>
      </c>
      <c r="V41" s="200" t="s">
        <v>1262</v>
      </c>
      <c r="W41" s="213">
        <f t="shared" si="10"/>
        <v>0</v>
      </c>
      <c r="X41" s="200">
        <v>0.0</v>
      </c>
      <c r="Y41" s="200"/>
      <c r="Z41" s="200"/>
      <c r="AA41" s="200"/>
      <c r="AB41" s="213"/>
      <c r="AC41" s="213"/>
      <c r="AD41" s="213" t="e">
        <v>#N/A</v>
      </c>
      <c r="AE41" s="213" t="e">
        <v>#N/A</v>
      </c>
      <c r="AF41" s="214" t="str">
        <f>Table1[[#This Row],[2019 Scope 1 (MeT Co2)]]</f>
        <v>#ERROR!</v>
      </c>
      <c r="AG41" s="215" t="str">
        <f t="shared" si="2"/>
        <v>#ERROR!</v>
      </c>
      <c r="AH41" s="216" t="str">
        <f t="shared" si="3"/>
        <v>#ERROR!</v>
      </c>
      <c r="AI41" s="210"/>
      <c r="AJ41" s="210"/>
      <c r="AK41" s="213" t="e">
        <v>#N/A</v>
      </c>
      <c r="AL41" s="213" t="e">
        <v>#N/A</v>
      </c>
      <c r="AM41" s="214" t="str">
        <f>Table1[[#This Row],[2019 Scope 2 ]]</f>
        <v>#ERROR!</v>
      </c>
      <c r="AN41" s="215" t="str">
        <f t="shared" si="4"/>
        <v>#ERROR!</v>
      </c>
      <c r="AO41" s="216" t="str">
        <f t="shared" si="5"/>
        <v>#ERROR!</v>
      </c>
      <c r="AP41" s="215" t="str">
        <f t="shared" si="6"/>
        <v>#ERROR!</v>
      </c>
      <c r="AQ41" s="216" t="str">
        <f t="shared" si="7"/>
        <v>#ERROR!</v>
      </c>
      <c r="AR41" s="217" t="str">
        <f>Table1[[#This Row],[2019 Scope 3 ]]</f>
        <v>#ERROR!</v>
      </c>
      <c r="AS41" s="218" t="str">
        <f t="shared" si="8"/>
        <v>#ERROR!</v>
      </c>
      <c r="AT41" s="219" t="str">
        <f t="shared" si="9"/>
        <v>#ERROR!</v>
      </c>
    </row>
    <row r="42" ht="12.75" hidden="1" customHeight="1">
      <c r="A42" s="5">
        <f>companies!A42</f>
        <v>41</v>
      </c>
      <c r="B42" s="200" t="s">
        <v>1254</v>
      </c>
      <c r="C42" s="200">
        <v>9394598.0</v>
      </c>
      <c r="D42" s="200">
        <v>6103307.0</v>
      </c>
      <c r="E42" s="200">
        <v>4913525.0</v>
      </c>
      <c r="F42" s="200" t="s">
        <v>683</v>
      </c>
      <c r="G42" s="200" t="s">
        <v>683</v>
      </c>
      <c r="H42" s="200">
        <v>1.8864278E7</v>
      </c>
      <c r="I42" s="200" t="s">
        <v>683</v>
      </c>
      <c r="J42" s="200">
        <v>63094.0</v>
      </c>
      <c r="K42" s="200">
        <v>28980.0</v>
      </c>
      <c r="L42" s="200" t="s">
        <v>683</v>
      </c>
      <c r="M42" s="213">
        <v>19363.0</v>
      </c>
      <c r="N42" s="213">
        <v>0.0</v>
      </c>
      <c r="O42" s="213">
        <v>0.0</v>
      </c>
      <c r="P42" s="213">
        <v>8.4817268E7</v>
      </c>
      <c r="Q42" s="213">
        <v>0.0</v>
      </c>
      <c r="R42" s="200" t="s">
        <v>683</v>
      </c>
      <c r="S42" s="213">
        <v>0.0</v>
      </c>
      <c r="T42" s="213" t="s">
        <v>683</v>
      </c>
      <c r="U42" s="213">
        <v>0.0</v>
      </c>
      <c r="V42" s="213">
        <v>76320.0</v>
      </c>
      <c r="W42" s="213">
        <f t="shared" si="10"/>
        <v>103869303</v>
      </c>
      <c r="X42" s="200">
        <v>4913525.0</v>
      </c>
      <c r="Y42" s="200">
        <v>1.18177426E8</v>
      </c>
      <c r="Z42" s="200"/>
      <c r="AA42" s="200"/>
      <c r="AB42" s="200"/>
      <c r="AC42" s="200"/>
      <c r="AD42" s="213" t="s">
        <v>683</v>
      </c>
      <c r="AE42" s="213" t="s">
        <v>683</v>
      </c>
      <c r="AF42" s="214" t="str">
        <f>Table1[[#This Row],[2019 Scope 1 (MeT Co2)]]</f>
        <v>#ERROR!</v>
      </c>
      <c r="AG42" s="215" t="str">
        <f t="shared" si="2"/>
        <v>#ERROR!</v>
      </c>
      <c r="AH42" s="216" t="str">
        <f t="shared" si="3"/>
        <v>#ERROR!</v>
      </c>
      <c r="AI42" s="210"/>
      <c r="AJ42" s="210"/>
      <c r="AK42" s="213" t="s">
        <v>683</v>
      </c>
      <c r="AL42" s="213" t="s">
        <v>683</v>
      </c>
      <c r="AM42" s="214" t="str">
        <f>Table1[[#This Row],[2019 Scope 2 ]]</f>
        <v>#ERROR!</v>
      </c>
      <c r="AN42" s="215" t="str">
        <f t="shared" si="4"/>
        <v>#ERROR!</v>
      </c>
      <c r="AO42" s="216" t="str">
        <f t="shared" si="5"/>
        <v>#ERROR!</v>
      </c>
      <c r="AP42" s="215" t="str">
        <f t="shared" si="6"/>
        <v>#ERROR!</v>
      </c>
      <c r="AQ42" s="216" t="str">
        <f t="shared" si="7"/>
        <v>#ERROR!</v>
      </c>
      <c r="AR42" s="217" t="str">
        <f>Table1[[#This Row],[2019 Scope 3 ]]</f>
        <v>#ERROR!</v>
      </c>
      <c r="AS42" s="218" t="str">
        <f t="shared" si="8"/>
        <v>#ERROR!</v>
      </c>
      <c r="AT42" s="219" t="str">
        <f t="shared" si="9"/>
        <v>#ERROR!</v>
      </c>
      <c r="BI42" s="200">
        <v>6113.0</v>
      </c>
    </row>
    <row r="43" ht="12.75" hidden="1" customHeight="1">
      <c r="A43" s="5">
        <f>companies!A43</f>
        <v>42</v>
      </c>
      <c r="B43" s="200" t="s">
        <v>1254</v>
      </c>
      <c r="C43" s="200" t="s">
        <v>1262</v>
      </c>
      <c r="D43" s="200" t="s">
        <v>1262</v>
      </c>
      <c r="E43" s="200" t="s">
        <v>1262</v>
      </c>
      <c r="F43" s="200" t="s">
        <v>1262</v>
      </c>
      <c r="G43" s="200" t="s">
        <v>1262</v>
      </c>
      <c r="H43" s="200" t="s">
        <v>1262</v>
      </c>
      <c r="I43" s="200" t="s">
        <v>1262</v>
      </c>
      <c r="J43" s="200" t="s">
        <v>1262</v>
      </c>
      <c r="K43" s="200" t="s">
        <v>1262</v>
      </c>
      <c r="L43" s="200" t="s">
        <v>1262</v>
      </c>
      <c r="M43" s="200" t="s">
        <v>1262</v>
      </c>
      <c r="N43" s="200" t="s">
        <v>1262</v>
      </c>
      <c r="O43" s="200" t="s">
        <v>1262</v>
      </c>
      <c r="P43" s="200" t="s">
        <v>1262</v>
      </c>
      <c r="Q43" s="200" t="s">
        <v>1262</v>
      </c>
      <c r="R43" s="200" t="s">
        <v>1262</v>
      </c>
      <c r="S43" s="200" t="s">
        <v>1262</v>
      </c>
      <c r="T43" s="200" t="s">
        <v>1262</v>
      </c>
      <c r="U43" s="200" t="s">
        <v>1262</v>
      </c>
      <c r="V43" s="200" t="s">
        <v>1262</v>
      </c>
      <c r="W43" s="213">
        <f t="shared" si="10"/>
        <v>0</v>
      </c>
      <c r="X43" s="200">
        <v>0.0</v>
      </c>
      <c r="Y43" s="200"/>
      <c r="Z43" s="200"/>
      <c r="AA43" s="200"/>
      <c r="AB43" s="213"/>
      <c r="AC43" s="213"/>
      <c r="AD43" s="213" t="e">
        <v>#N/A</v>
      </c>
      <c r="AE43" s="213" t="e">
        <v>#N/A</v>
      </c>
      <c r="AF43" s="214" t="str">
        <f>Table1[[#This Row],[2019 Scope 1 (MeT Co2)]]</f>
        <v>#ERROR!</v>
      </c>
      <c r="AG43" s="215" t="str">
        <f t="shared" si="2"/>
        <v>#ERROR!</v>
      </c>
      <c r="AH43" s="216" t="str">
        <f t="shared" si="3"/>
        <v>#ERROR!</v>
      </c>
      <c r="AI43" s="210"/>
      <c r="AJ43" s="210"/>
      <c r="AK43" s="213" t="e">
        <v>#N/A</v>
      </c>
      <c r="AL43" s="213" t="e">
        <v>#N/A</v>
      </c>
      <c r="AM43" s="214" t="str">
        <f>Table1[[#This Row],[2019 Scope 2 ]]</f>
        <v>#ERROR!</v>
      </c>
      <c r="AN43" s="215" t="str">
        <f t="shared" si="4"/>
        <v>#ERROR!</v>
      </c>
      <c r="AO43" s="216" t="str">
        <f t="shared" si="5"/>
        <v>#ERROR!</v>
      </c>
      <c r="AP43" s="215" t="str">
        <f t="shared" si="6"/>
        <v>#ERROR!</v>
      </c>
      <c r="AQ43" s="216" t="str">
        <f t="shared" si="7"/>
        <v>#ERROR!</v>
      </c>
      <c r="AR43" s="217" t="str">
        <f>Table1[[#This Row],[2019 Scope 3 ]]</f>
        <v>#ERROR!</v>
      </c>
      <c r="AS43" s="218" t="str">
        <f t="shared" si="8"/>
        <v>#ERROR!</v>
      </c>
      <c r="AT43" s="219" t="str">
        <f t="shared" si="9"/>
        <v>#ERROR!</v>
      </c>
    </row>
    <row r="44" ht="12.75" hidden="1" customHeight="1">
      <c r="A44" s="5">
        <f>companies!A44</f>
        <v>43</v>
      </c>
      <c r="B44" s="200" t="s">
        <v>1254</v>
      </c>
      <c r="C44" s="200" t="s">
        <v>1262</v>
      </c>
      <c r="D44" s="200" t="s">
        <v>1262</v>
      </c>
      <c r="E44" s="200" t="s">
        <v>1262</v>
      </c>
      <c r="F44" s="200" t="s">
        <v>1262</v>
      </c>
      <c r="G44" s="200" t="s">
        <v>1262</v>
      </c>
      <c r="H44" s="200" t="s">
        <v>1262</v>
      </c>
      <c r="I44" s="200" t="s">
        <v>1262</v>
      </c>
      <c r="J44" s="200" t="s">
        <v>1262</v>
      </c>
      <c r="K44" s="200" t="s">
        <v>1262</v>
      </c>
      <c r="L44" s="200" t="s">
        <v>1262</v>
      </c>
      <c r="M44" s="200" t="s">
        <v>1262</v>
      </c>
      <c r="N44" s="200" t="s">
        <v>1262</v>
      </c>
      <c r="O44" s="200" t="s">
        <v>1262</v>
      </c>
      <c r="P44" s="200" t="s">
        <v>1262</v>
      </c>
      <c r="Q44" s="200" t="s">
        <v>1262</v>
      </c>
      <c r="R44" s="200" t="s">
        <v>1262</v>
      </c>
      <c r="S44" s="200" t="s">
        <v>1262</v>
      </c>
      <c r="T44" s="200" t="s">
        <v>1262</v>
      </c>
      <c r="U44" s="200" t="s">
        <v>1262</v>
      </c>
      <c r="V44" s="200" t="s">
        <v>1262</v>
      </c>
      <c r="W44" s="213">
        <f t="shared" si="10"/>
        <v>0</v>
      </c>
      <c r="X44" s="200">
        <v>0.0</v>
      </c>
      <c r="Y44" s="200"/>
      <c r="Z44" s="200"/>
      <c r="AA44" s="200"/>
      <c r="AB44" s="213"/>
      <c r="AC44" s="213"/>
      <c r="AD44" s="213" t="e">
        <v>#N/A</v>
      </c>
      <c r="AE44" s="213" t="e">
        <v>#N/A</v>
      </c>
      <c r="AF44" s="214" t="str">
        <f>Table1[[#This Row],[2019 Scope 1 (MeT Co2)]]</f>
        <v>#ERROR!</v>
      </c>
      <c r="AG44" s="215" t="str">
        <f t="shared" si="2"/>
        <v>#ERROR!</v>
      </c>
      <c r="AH44" s="216" t="str">
        <f t="shared" si="3"/>
        <v>#ERROR!</v>
      </c>
      <c r="AI44" s="210"/>
      <c r="AJ44" s="210"/>
      <c r="AK44" s="213" t="e">
        <v>#N/A</v>
      </c>
      <c r="AL44" s="213" t="e">
        <v>#N/A</v>
      </c>
      <c r="AM44" s="214" t="str">
        <f>Table1[[#This Row],[2019 Scope 2 ]]</f>
        <v>#ERROR!</v>
      </c>
      <c r="AN44" s="215" t="str">
        <f t="shared" si="4"/>
        <v>#ERROR!</v>
      </c>
      <c r="AO44" s="216" t="str">
        <f t="shared" si="5"/>
        <v>#ERROR!</v>
      </c>
      <c r="AP44" s="215" t="str">
        <f t="shared" si="6"/>
        <v>#ERROR!</v>
      </c>
      <c r="AQ44" s="216" t="str">
        <f t="shared" si="7"/>
        <v>#ERROR!</v>
      </c>
      <c r="AR44" s="217" t="str">
        <f>Table1[[#This Row],[2019 Scope 3 ]]</f>
        <v>#ERROR!</v>
      </c>
      <c r="AS44" s="218" t="str">
        <f t="shared" si="8"/>
        <v>#ERROR!</v>
      </c>
      <c r="AT44" s="219" t="str">
        <f t="shared" si="9"/>
        <v>#ERROR!</v>
      </c>
    </row>
    <row r="45" ht="12.75" hidden="1" customHeight="1">
      <c r="A45" s="5">
        <f>companies!A45</f>
        <v>44</v>
      </c>
      <c r="B45" s="200" t="s">
        <v>1254</v>
      </c>
      <c r="C45" s="200">
        <v>1.5406173E7</v>
      </c>
      <c r="D45" s="200">
        <v>995988.0</v>
      </c>
      <c r="E45" s="200">
        <v>995988.0</v>
      </c>
      <c r="F45" s="200" t="s">
        <v>683</v>
      </c>
      <c r="G45" s="200" t="s">
        <v>683</v>
      </c>
      <c r="H45" s="200" t="s">
        <v>683</v>
      </c>
      <c r="I45" s="200">
        <v>2817829.0</v>
      </c>
      <c r="J45" s="200" t="s">
        <v>683</v>
      </c>
      <c r="K45" s="200">
        <v>79054.0</v>
      </c>
      <c r="L45" s="200" t="s">
        <v>683</v>
      </c>
      <c r="M45" s="213" t="s">
        <v>683</v>
      </c>
      <c r="N45" s="213" t="s">
        <v>683</v>
      </c>
      <c r="O45" s="213" t="s">
        <v>683</v>
      </c>
      <c r="P45" s="213" t="s">
        <v>683</v>
      </c>
      <c r="Q45" s="213" t="s">
        <v>683</v>
      </c>
      <c r="R45" s="200">
        <v>202410.0</v>
      </c>
      <c r="S45" s="213" t="s">
        <v>683</v>
      </c>
      <c r="T45" s="213" t="s">
        <v>683</v>
      </c>
      <c r="U45" s="213" t="s">
        <v>683</v>
      </c>
      <c r="V45" s="213" t="s">
        <v>683</v>
      </c>
      <c r="W45" s="213">
        <f t="shared" si="10"/>
        <v>3099293</v>
      </c>
      <c r="X45" s="200">
        <v>995988.0</v>
      </c>
      <c r="Y45" s="200">
        <v>1.9501454E7</v>
      </c>
      <c r="Z45" s="200"/>
      <c r="AA45" s="200"/>
      <c r="AB45" s="200"/>
      <c r="AC45" s="200"/>
      <c r="AD45" s="213" t="s">
        <v>683</v>
      </c>
      <c r="AE45" s="213" t="s">
        <v>683</v>
      </c>
      <c r="AF45" s="214" t="str">
        <f>Table1[[#This Row],[2019 Scope 1 (MeT Co2)]]</f>
        <v>#ERROR!</v>
      </c>
      <c r="AG45" s="215" t="str">
        <f t="shared" si="2"/>
        <v>#ERROR!</v>
      </c>
      <c r="AH45" s="216" t="str">
        <f t="shared" si="3"/>
        <v>#ERROR!</v>
      </c>
      <c r="AI45" s="210"/>
      <c r="AJ45" s="210"/>
      <c r="AK45" s="213" t="s">
        <v>683</v>
      </c>
      <c r="AL45" s="213" t="s">
        <v>683</v>
      </c>
      <c r="AM45" s="214" t="str">
        <f>Table1[[#This Row],[2019 Scope 2 ]]</f>
        <v>#ERROR!</v>
      </c>
      <c r="AN45" s="215" t="str">
        <f t="shared" si="4"/>
        <v>#ERROR!</v>
      </c>
      <c r="AO45" s="216" t="str">
        <f t="shared" si="5"/>
        <v>#ERROR!</v>
      </c>
      <c r="AP45" s="215" t="str">
        <f t="shared" si="6"/>
        <v>#ERROR!</v>
      </c>
      <c r="AQ45" s="216" t="str">
        <f t="shared" si="7"/>
        <v>#ERROR!</v>
      </c>
      <c r="AR45" s="217" t="str">
        <f>Table1[[#This Row],[2019 Scope 3 ]]</f>
        <v>#ERROR!</v>
      </c>
      <c r="AS45" s="218" t="str">
        <f t="shared" si="8"/>
        <v>#ERROR!</v>
      </c>
      <c r="AT45" s="219" t="str">
        <f t="shared" si="9"/>
        <v>#ERROR!</v>
      </c>
      <c r="BI45" s="4">
        <v>6287.0</v>
      </c>
    </row>
    <row r="46" ht="12.75" hidden="1" customHeight="1">
      <c r="A46" s="5">
        <f>companies!A46</f>
        <v>45</v>
      </c>
      <c r="B46" s="200" t="s">
        <v>1254</v>
      </c>
      <c r="C46" s="200">
        <v>1451947.0</v>
      </c>
      <c r="D46" s="200">
        <v>3195704.0</v>
      </c>
      <c r="E46" s="200">
        <v>3068182.0</v>
      </c>
      <c r="F46" s="200">
        <v>3.9676648E7</v>
      </c>
      <c r="G46" s="200">
        <v>1280384.0</v>
      </c>
      <c r="H46" s="200">
        <v>1066000.0</v>
      </c>
      <c r="I46" s="200">
        <v>2102900.0</v>
      </c>
      <c r="J46" s="200">
        <v>9297.0</v>
      </c>
      <c r="K46" s="200">
        <v>61306.0</v>
      </c>
      <c r="L46" s="200">
        <v>803387.0</v>
      </c>
      <c r="M46" s="213" t="s">
        <v>683</v>
      </c>
      <c r="N46" s="213" t="s">
        <v>683</v>
      </c>
      <c r="O46" s="213" t="s">
        <v>683</v>
      </c>
      <c r="P46" s="213">
        <v>1.3476E8</v>
      </c>
      <c r="Q46" s="213">
        <v>1360000.0</v>
      </c>
      <c r="R46" s="200" t="s">
        <v>683</v>
      </c>
      <c r="S46" s="213">
        <v>1957800.0</v>
      </c>
      <c r="T46" s="213" t="s">
        <v>683</v>
      </c>
      <c r="U46" s="213" t="s">
        <v>683</v>
      </c>
      <c r="V46" s="213" t="s">
        <v>683</v>
      </c>
      <c r="W46" s="213">
        <f t="shared" si="10"/>
        <v>183077722</v>
      </c>
      <c r="X46" s="200">
        <v>3068182.0</v>
      </c>
      <c r="Y46" s="200">
        <v>1.87597851E8</v>
      </c>
      <c r="Z46" s="200"/>
      <c r="AA46" s="200"/>
      <c r="AB46" s="200"/>
      <c r="AC46" s="200"/>
      <c r="AD46" s="213" t="s">
        <v>683</v>
      </c>
      <c r="AE46" s="213" t="s">
        <v>683</v>
      </c>
      <c r="AF46" s="214" t="str">
        <f>Table1[[#This Row],[2019 Scope 1 (MeT Co2)]]</f>
        <v>#ERROR!</v>
      </c>
      <c r="AG46" s="215" t="str">
        <f t="shared" si="2"/>
        <v>#ERROR!</v>
      </c>
      <c r="AH46" s="216" t="str">
        <f t="shared" si="3"/>
        <v>#ERROR!</v>
      </c>
      <c r="AI46" s="210"/>
      <c r="AJ46" s="210"/>
      <c r="AK46" s="213" t="s">
        <v>683</v>
      </c>
      <c r="AL46" s="213" t="s">
        <v>683</v>
      </c>
      <c r="AM46" s="214" t="str">
        <f>Table1[[#This Row],[2019 Scope 2 ]]</f>
        <v>#ERROR!</v>
      </c>
      <c r="AN46" s="215" t="str">
        <f t="shared" si="4"/>
        <v>#ERROR!</v>
      </c>
      <c r="AO46" s="216" t="str">
        <f t="shared" si="5"/>
        <v>#ERROR!</v>
      </c>
      <c r="AP46" s="215" t="str">
        <f t="shared" si="6"/>
        <v>#ERROR!</v>
      </c>
      <c r="AQ46" s="216" t="str">
        <f t="shared" si="7"/>
        <v>#ERROR!</v>
      </c>
      <c r="AR46" s="217" t="str">
        <f>Table1[[#This Row],[2019 Scope 3 ]]</f>
        <v>#ERROR!</v>
      </c>
      <c r="AS46" s="218" t="str">
        <f t="shared" si="8"/>
        <v>#ERROR!</v>
      </c>
      <c r="AT46" s="219" t="str">
        <f t="shared" si="9"/>
        <v>#ERROR!</v>
      </c>
      <c r="BI46" s="4">
        <v>6595.0</v>
      </c>
    </row>
    <row r="47" ht="12.75" hidden="1" customHeight="1">
      <c r="A47" s="5">
        <f>companies!A47</f>
        <v>46</v>
      </c>
      <c r="B47" s="200" t="s">
        <v>1254</v>
      </c>
      <c r="C47" s="200">
        <v>317081.0</v>
      </c>
      <c r="D47" s="200" t="s">
        <v>683</v>
      </c>
      <c r="E47" s="200">
        <v>445119.0</v>
      </c>
      <c r="F47" s="200" t="s">
        <v>683</v>
      </c>
      <c r="G47" s="200" t="s">
        <v>683</v>
      </c>
      <c r="H47" s="200" t="s">
        <v>683</v>
      </c>
      <c r="I47" s="200" t="s">
        <v>683</v>
      </c>
      <c r="J47" s="200" t="s">
        <v>683</v>
      </c>
      <c r="K47" s="200" t="s">
        <v>683</v>
      </c>
      <c r="L47" s="200" t="s">
        <v>683</v>
      </c>
      <c r="M47" s="213" t="s">
        <v>683</v>
      </c>
      <c r="N47" s="213" t="s">
        <v>683</v>
      </c>
      <c r="O47" s="213" t="s">
        <v>683</v>
      </c>
      <c r="P47" s="213" t="s">
        <v>683</v>
      </c>
      <c r="Q47" s="213" t="s">
        <v>683</v>
      </c>
      <c r="R47" s="200" t="s">
        <v>683</v>
      </c>
      <c r="S47" s="213" t="s">
        <v>683</v>
      </c>
      <c r="T47" s="213" t="s">
        <v>683</v>
      </c>
      <c r="U47" s="213" t="s">
        <v>683</v>
      </c>
      <c r="V47" s="213" t="s">
        <v>683</v>
      </c>
      <c r="W47" s="213">
        <f t="shared" si="10"/>
        <v>0</v>
      </c>
      <c r="X47" s="200">
        <v>445119.0</v>
      </c>
      <c r="Y47" s="200">
        <v>762200.0</v>
      </c>
      <c r="Z47" s="200"/>
      <c r="AA47" s="200"/>
      <c r="AB47" s="200"/>
      <c r="AC47" s="200"/>
      <c r="AD47" s="213" t="s">
        <v>1255</v>
      </c>
      <c r="AE47" s="213" t="s">
        <v>1256</v>
      </c>
      <c r="AF47" s="214" t="str">
        <f>Table1[[#This Row],[2019 Scope 1 (MeT Co2)]]</f>
        <v>#ERROR!</v>
      </c>
      <c r="AG47" s="215" t="str">
        <f t="shared" si="2"/>
        <v>#ERROR!</v>
      </c>
      <c r="AH47" s="216" t="str">
        <f t="shared" si="3"/>
        <v>#ERROR!</v>
      </c>
      <c r="AI47" s="210"/>
      <c r="AJ47" s="210"/>
      <c r="AK47" s="213" t="s">
        <v>1255</v>
      </c>
      <c r="AL47" s="213" t="s">
        <v>1256</v>
      </c>
      <c r="AM47" s="214" t="str">
        <f>Table1[[#This Row],[2019 Scope 2 ]]</f>
        <v>#ERROR!</v>
      </c>
      <c r="AN47" s="215" t="str">
        <f t="shared" si="4"/>
        <v>#ERROR!</v>
      </c>
      <c r="AO47" s="216" t="str">
        <f t="shared" si="5"/>
        <v>#ERROR!</v>
      </c>
      <c r="AP47" s="215" t="str">
        <f t="shared" si="6"/>
        <v>#ERROR!</v>
      </c>
      <c r="AQ47" s="216" t="str">
        <f t="shared" si="7"/>
        <v>#ERROR!</v>
      </c>
      <c r="AR47" s="217" t="str">
        <f>Table1[[#This Row],[2019 Scope 3 ]]</f>
        <v>#ERROR!</v>
      </c>
      <c r="AS47" s="218" t="str">
        <f t="shared" si="8"/>
        <v>#ERROR!</v>
      </c>
      <c r="AT47" s="219" t="str">
        <f t="shared" si="9"/>
        <v>#ERROR!</v>
      </c>
      <c r="BI47" s="4">
        <v>7147.0</v>
      </c>
    </row>
    <row r="48" ht="12.75" hidden="1" customHeight="1">
      <c r="A48" s="5">
        <f>companies!A48</f>
        <v>47</v>
      </c>
      <c r="B48" s="200" t="s">
        <v>1254</v>
      </c>
      <c r="C48" s="200">
        <v>997409.519</v>
      </c>
      <c r="D48" s="200">
        <v>1416578.884</v>
      </c>
      <c r="E48" s="200">
        <v>1387615.018</v>
      </c>
      <c r="F48" s="200" t="s">
        <v>683</v>
      </c>
      <c r="G48" s="200" t="s">
        <v>683</v>
      </c>
      <c r="H48" s="200" t="s">
        <v>683</v>
      </c>
      <c r="I48" s="200" t="s">
        <v>683</v>
      </c>
      <c r="J48" s="200" t="s">
        <v>683</v>
      </c>
      <c r="K48" s="200">
        <v>183639.078</v>
      </c>
      <c r="L48" s="200" t="s">
        <v>683</v>
      </c>
      <c r="M48" s="213" t="s">
        <v>683</v>
      </c>
      <c r="N48" s="213" t="s">
        <v>683</v>
      </c>
      <c r="O48" s="213" t="s">
        <v>683</v>
      </c>
      <c r="P48" s="213" t="s">
        <v>683</v>
      </c>
      <c r="Q48" s="213" t="s">
        <v>683</v>
      </c>
      <c r="R48" s="200" t="s">
        <v>683</v>
      </c>
      <c r="S48" s="213" t="s">
        <v>683</v>
      </c>
      <c r="T48" s="213">
        <v>682075.0</v>
      </c>
      <c r="U48" s="213" t="s">
        <v>683</v>
      </c>
      <c r="V48" s="213" t="s">
        <v>683</v>
      </c>
      <c r="W48" s="213">
        <f t="shared" si="10"/>
        <v>865714.078</v>
      </c>
      <c r="X48" s="200">
        <v>1387615.018</v>
      </c>
      <c r="Y48" s="200">
        <v>3250738.615</v>
      </c>
      <c r="Z48" s="200"/>
      <c r="AA48" s="200"/>
      <c r="AB48" s="213"/>
      <c r="AC48" s="213"/>
      <c r="AD48" s="213" t="s">
        <v>683</v>
      </c>
      <c r="AE48" s="213" t="s">
        <v>683</v>
      </c>
      <c r="AF48" s="214" t="str">
        <f>Table1[[#This Row],[2019 Scope 1 (MeT Co2)]]</f>
        <v>#ERROR!</v>
      </c>
      <c r="AG48" s="215" t="str">
        <f t="shared" si="2"/>
        <v>#ERROR!</v>
      </c>
      <c r="AH48" s="216" t="str">
        <f t="shared" si="3"/>
        <v>#ERROR!</v>
      </c>
      <c r="AI48" s="210"/>
      <c r="AJ48" s="210"/>
      <c r="AK48" s="213" t="s">
        <v>683</v>
      </c>
      <c r="AL48" s="213" t="s">
        <v>683</v>
      </c>
      <c r="AM48" s="214" t="str">
        <f>Table1[[#This Row],[2019 Scope 2 ]]</f>
        <v>#ERROR!</v>
      </c>
      <c r="AN48" s="215" t="str">
        <f t="shared" si="4"/>
        <v>#ERROR!</v>
      </c>
      <c r="AO48" s="216" t="str">
        <f t="shared" si="5"/>
        <v>#ERROR!</v>
      </c>
      <c r="AP48" s="215" t="str">
        <f t="shared" si="6"/>
        <v>#ERROR!</v>
      </c>
      <c r="AQ48" s="216" t="str">
        <f t="shared" si="7"/>
        <v>#ERROR!</v>
      </c>
      <c r="AR48" s="217" t="str">
        <f>Table1[[#This Row],[2019 Scope 3 ]]</f>
        <v>#ERROR!</v>
      </c>
      <c r="AS48" s="218" t="str">
        <f t="shared" si="8"/>
        <v>#ERROR!</v>
      </c>
      <c r="AT48" s="219" t="str">
        <f t="shared" si="9"/>
        <v>#ERROR!</v>
      </c>
      <c r="BI48" s="200">
        <v>7166.0</v>
      </c>
    </row>
    <row r="49" ht="12.75" hidden="1" customHeight="1">
      <c r="A49" s="5">
        <f>companies!A49</f>
        <v>48</v>
      </c>
      <c r="B49" s="200" t="s">
        <v>1254</v>
      </c>
      <c r="C49" s="200">
        <v>1589700.0</v>
      </c>
      <c r="D49" s="200">
        <v>4381970.0</v>
      </c>
      <c r="E49" s="200">
        <v>3721875.0</v>
      </c>
      <c r="F49" s="200">
        <v>4.5505504E7</v>
      </c>
      <c r="G49" s="200">
        <v>4597425.0</v>
      </c>
      <c r="H49" s="200">
        <v>322403.0</v>
      </c>
      <c r="I49" s="200">
        <v>3449729.0</v>
      </c>
      <c r="J49" s="200">
        <v>954.0</v>
      </c>
      <c r="K49" s="200">
        <v>40051.0</v>
      </c>
      <c r="L49" s="200">
        <v>123000.0</v>
      </c>
      <c r="M49" s="213">
        <v>10077.0</v>
      </c>
      <c r="N49" s="213">
        <v>1922037.0</v>
      </c>
      <c r="O49" s="213">
        <v>120731.0</v>
      </c>
      <c r="P49" s="213">
        <v>1.90123729E8</v>
      </c>
      <c r="Q49" s="213">
        <v>2938656.0</v>
      </c>
      <c r="R49" s="200">
        <v>20459.0</v>
      </c>
      <c r="S49" s="213">
        <v>138641.0</v>
      </c>
      <c r="T49" s="213" t="s">
        <v>683</v>
      </c>
      <c r="U49" s="213" t="s">
        <v>683</v>
      </c>
      <c r="V49" s="213" t="s">
        <v>683</v>
      </c>
      <c r="W49" s="213">
        <f t="shared" si="10"/>
        <v>249313396</v>
      </c>
      <c r="X49" s="200">
        <v>3721875.0</v>
      </c>
      <c r="Y49" s="200">
        <v>2.54624971E8</v>
      </c>
      <c r="Z49" s="200"/>
      <c r="AA49" s="200"/>
      <c r="AB49" s="200"/>
      <c r="AC49" s="200"/>
      <c r="AD49" s="213" t="s">
        <v>683</v>
      </c>
      <c r="AE49" s="213" t="s">
        <v>683</v>
      </c>
      <c r="AF49" s="214" t="str">
        <f>Table1[[#This Row],[2019 Scope 1 (MeT Co2)]]</f>
        <v>#ERROR!</v>
      </c>
      <c r="AG49" s="215" t="str">
        <f t="shared" si="2"/>
        <v>#ERROR!</v>
      </c>
      <c r="AH49" s="216" t="str">
        <f t="shared" si="3"/>
        <v>#ERROR!</v>
      </c>
      <c r="AI49" s="210"/>
      <c r="AJ49" s="210"/>
      <c r="AK49" s="213" t="s">
        <v>683</v>
      </c>
      <c r="AL49" s="213" t="s">
        <v>683</v>
      </c>
      <c r="AM49" s="214" t="str">
        <f>Table1[[#This Row],[2019 Scope 2 ]]</f>
        <v>#ERROR!</v>
      </c>
      <c r="AN49" s="215" t="str">
        <f t="shared" si="4"/>
        <v>#ERROR!</v>
      </c>
      <c r="AO49" s="216" t="str">
        <f t="shared" si="5"/>
        <v>#ERROR!</v>
      </c>
      <c r="AP49" s="215" t="str">
        <f t="shared" si="6"/>
        <v>#ERROR!</v>
      </c>
      <c r="AQ49" s="216" t="str">
        <f t="shared" si="7"/>
        <v>#ERROR!</v>
      </c>
      <c r="AR49" s="217" t="str">
        <f>Table1[[#This Row],[2019 Scope 3 ]]</f>
        <v>#ERROR!</v>
      </c>
      <c r="AS49" s="218" t="str">
        <f t="shared" si="8"/>
        <v>#ERROR!</v>
      </c>
      <c r="AT49" s="219" t="str">
        <f t="shared" si="9"/>
        <v>#ERROR!</v>
      </c>
      <c r="BI49" s="4">
        <v>7164.0</v>
      </c>
    </row>
    <row r="50" ht="12.75" hidden="1" customHeight="1">
      <c r="A50" s="5">
        <f>companies!A50</f>
        <v>49</v>
      </c>
      <c r="B50" s="200" t="s">
        <v>1254</v>
      </c>
      <c r="C50" s="200">
        <v>52019.0</v>
      </c>
      <c r="D50" s="200">
        <v>42546.0</v>
      </c>
      <c r="E50" s="200">
        <v>21716.0</v>
      </c>
      <c r="F50" s="200">
        <v>1229479.0</v>
      </c>
      <c r="G50" s="200">
        <v>95700.0</v>
      </c>
      <c r="H50" s="200">
        <v>25250.0</v>
      </c>
      <c r="I50" s="200">
        <v>17003.0</v>
      </c>
      <c r="J50" s="200">
        <v>4810.0</v>
      </c>
      <c r="K50" s="200">
        <v>40399.0</v>
      </c>
      <c r="L50" s="200">
        <v>23656.0</v>
      </c>
      <c r="M50" s="213" t="s">
        <v>683</v>
      </c>
      <c r="N50" s="213" t="s">
        <v>683</v>
      </c>
      <c r="O50" s="213" t="s">
        <v>683</v>
      </c>
      <c r="P50" s="213" t="s">
        <v>683</v>
      </c>
      <c r="Q50" s="213" t="s">
        <v>683</v>
      </c>
      <c r="R50" s="200" t="s">
        <v>683</v>
      </c>
      <c r="S50" s="213" t="s">
        <v>683</v>
      </c>
      <c r="T50" s="213" t="s">
        <v>683</v>
      </c>
      <c r="U50" s="213" t="s">
        <v>683</v>
      </c>
      <c r="V50" s="213" t="s">
        <v>683</v>
      </c>
      <c r="W50" s="213">
        <f t="shared" si="10"/>
        <v>1436297</v>
      </c>
      <c r="X50" s="200">
        <v>21716.0</v>
      </c>
      <c r="Y50" s="200">
        <v>1510032.0</v>
      </c>
      <c r="Z50" s="200"/>
      <c r="AA50" s="200"/>
      <c r="AB50" s="200"/>
      <c r="AC50" s="200"/>
      <c r="AD50" s="213" t="s">
        <v>683</v>
      </c>
      <c r="AE50" s="213" t="s">
        <v>683</v>
      </c>
      <c r="AF50" s="214" t="str">
        <f>Table1[[#This Row],[2019 Scope 1 (MeT Co2)]]</f>
        <v>#ERROR!</v>
      </c>
      <c r="AG50" s="215" t="str">
        <f t="shared" si="2"/>
        <v>#ERROR!</v>
      </c>
      <c r="AH50" s="216" t="str">
        <f t="shared" si="3"/>
        <v>#ERROR!</v>
      </c>
      <c r="AI50" s="210"/>
      <c r="AJ50" s="210"/>
      <c r="AK50" s="213" t="s">
        <v>683</v>
      </c>
      <c r="AL50" s="213" t="s">
        <v>683</v>
      </c>
      <c r="AM50" s="214" t="str">
        <f>Table1[[#This Row],[2019 Scope 2 ]]</f>
        <v>#ERROR!</v>
      </c>
      <c r="AN50" s="215" t="str">
        <f t="shared" si="4"/>
        <v>#ERROR!</v>
      </c>
      <c r="AO50" s="216" t="str">
        <f t="shared" si="5"/>
        <v>#ERROR!</v>
      </c>
      <c r="AP50" s="215" t="str">
        <f t="shared" si="6"/>
        <v>#ERROR!</v>
      </c>
      <c r="AQ50" s="216" t="str">
        <f t="shared" si="7"/>
        <v>#ERROR!</v>
      </c>
      <c r="AR50" s="217" t="str">
        <f>Table1[[#This Row],[2019 Scope 3 ]]</f>
        <v>#ERROR!</v>
      </c>
      <c r="AS50" s="218" t="str">
        <f t="shared" si="8"/>
        <v>#ERROR!</v>
      </c>
      <c r="AT50" s="219" t="str">
        <f t="shared" si="9"/>
        <v>#ERROR!</v>
      </c>
      <c r="BI50" s="4">
        <v>7345.0</v>
      </c>
    </row>
    <row r="51" ht="12.75" hidden="1" customHeight="1">
      <c r="A51" s="5">
        <f>companies!A51</f>
        <v>50</v>
      </c>
      <c r="B51" s="200" t="s">
        <v>1254</v>
      </c>
      <c r="C51" s="200">
        <v>12673.0</v>
      </c>
      <c r="D51" s="200">
        <v>166249.0</v>
      </c>
      <c r="E51" s="200">
        <v>9109.0</v>
      </c>
      <c r="F51" s="200">
        <v>1125000.0</v>
      </c>
      <c r="G51" s="200" t="s">
        <v>683</v>
      </c>
      <c r="H51" s="200">
        <v>40000.0</v>
      </c>
      <c r="I51" s="200" t="s">
        <v>683</v>
      </c>
      <c r="J51" s="200">
        <v>291.0</v>
      </c>
      <c r="K51" s="200">
        <v>135473.0</v>
      </c>
      <c r="L51" s="200">
        <v>91000.0</v>
      </c>
      <c r="M51" s="213" t="s">
        <v>683</v>
      </c>
      <c r="N51" s="213" t="s">
        <v>683</v>
      </c>
      <c r="O51" s="213" t="s">
        <v>683</v>
      </c>
      <c r="P51" s="213" t="s">
        <v>683</v>
      </c>
      <c r="Q51" s="213" t="s">
        <v>683</v>
      </c>
      <c r="R51" s="200">
        <v>12700.0</v>
      </c>
      <c r="S51" s="213" t="s">
        <v>683</v>
      </c>
      <c r="T51" s="213" t="s">
        <v>683</v>
      </c>
      <c r="U51" s="213" t="s">
        <v>683</v>
      </c>
      <c r="V51" s="213" t="s">
        <v>683</v>
      </c>
      <c r="W51" s="213">
        <f t="shared" si="10"/>
        <v>1404464</v>
      </c>
      <c r="X51" s="200">
        <v>9109.0</v>
      </c>
      <c r="Y51" s="200">
        <v>1426246.0</v>
      </c>
      <c r="Z51" s="200"/>
      <c r="AA51" s="200"/>
      <c r="AB51" s="200"/>
      <c r="AC51" s="200"/>
      <c r="AD51" s="213" t="s">
        <v>683</v>
      </c>
      <c r="AE51" s="213" t="s">
        <v>683</v>
      </c>
      <c r="AF51" s="214" t="str">
        <f>Table1[[#This Row],[2019 Scope 1 (MeT Co2)]]</f>
        <v>#ERROR!</v>
      </c>
      <c r="AG51" s="215" t="str">
        <f t="shared" si="2"/>
        <v>#ERROR!</v>
      </c>
      <c r="AH51" s="216" t="str">
        <f t="shared" si="3"/>
        <v>#ERROR!</v>
      </c>
      <c r="AI51" s="210"/>
      <c r="AJ51" s="210"/>
      <c r="AK51" s="213" t="s">
        <v>683</v>
      </c>
      <c r="AL51" s="213" t="s">
        <v>683</v>
      </c>
      <c r="AM51" s="214" t="str">
        <f>Table1[[#This Row],[2019 Scope 2 ]]</f>
        <v>#ERROR!</v>
      </c>
      <c r="AN51" s="215" t="str">
        <f t="shared" si="4"/>
        <v>#ERROR!</v>
      </c>
      <c r="AO51" s="216" t="str">
        <f t="shared" si="5"/>
        <v>#ERROR!</v>
      </c>
      <c r="AP51" s="215" t="str">
        <f t="shared" si="6"/>
        <v>#ERROR!</v>
      </c>
      <c r="AQ51" s="216" t="str">
        <f t="shared" si="7"/>
        <v>#ERROR!</v>
      </c>
      <c r="AR51" s="217" t="str">
        <f>Table1[[#This Row],[2019 Scope 3 ]]</f>
        <v>#ERROR!</v>
      </c>
      <c r="AS51" s="218" t="str">
        <f t="shared" si="8"/>
        <v>#ERROR!</v>
      </c>
      <c r="AT51" s="219" t="str">
        <f t="shared" si="9"/>
        <v>#ERROR!</v>
      </c>
      <c r="BI51" s="4">
        <v>7599.0</v>
      </c>
    </row>
    <row r="52" ht="12.75" hidden="1" customHeight="1">
      <c r="A52" s="5">
        <f>companies!A52</f>
        <v>51</v>
      </c>
      <c r="B52" s="200" t="s">
        <v>1254</v>
      </c>
      <c r="C52" s="200">
        <v>554317.0</v>
      </c>
      <c r="D52" s="200">
        <v>1393916.0</v>
      </c>
      <c r="E52" s="200">
        <v>1302648.0</v>
      </c>
      <c r="F52" s="200">
        <v>4.4487507E7</v>
      </c>
      <c r="G52" s="200" t="s">
        <v>683</v>
      </c>
      <c r="H52" s="200">
        <v>420000.0</v>
      </c>
      <c r="I52" s="200">
        <v>2665080.0</v>
      </c>
      <c r="J52" s="200" t="s">
        <v>683</v>
      </c>
      <c r="K52" s="200" t="s">
        <v>683</v>
      </c>
      <c r="L52" s="200">
        <v>564400.0</v>
      </c>
      <c r="M52" s="213" t="s">
        <v>683</v>
      </c>
      <c r="N52" s="213" t="s">
        <v>683</v>
      </c>
      <c r="O52" s="213" t="s">
        <v>683</v>
      </c>
      <c r="P52" s="213">
        <v>1.56500611E8</v>
      </c>
      <c r="Q52" s="213" t="s">
        <v>683</v>
      </c>
      <c r="R52" s="200" t="s">
        <v>683</v>
      </c>
      <c r="S52" s="213" t="s">
        <v>683</v>
      </c>
      <c r="T52" s="213" t="s">
        <v>683</v>
      </c>
      <c r="U52" s="213" t="s">
        <v>683</v>
      </c>
      <c r="V52" s="213" t="s">
        <v>683</v>
      </c>
      <c r="W52" s="213">
        <f t="shared" si="10"/>
        <v>204637598</v>
      </c>
      <c r="X52" s="200">
        <v>1302648.0</v>
      </c>
      <c r="Y52" s="200">
        <v>2.06494563E8</v>
      </c>
      <c r="Z52" s="200"/>
      <c r="AA52" s="200"/>
      <c r="AB52" s="200"/>
      <c r="AC52" s="200"/>
      <c r="AD52" s="213" t="s">
        <v>683</v>
      </c>
      <c r="AE52" s="213" t="s">
        <v>683</v>
      </c>
      <c r="AF52" s="214" t="str">
        <f>Table1[[#This Row],[2019 Scope 1 (MeT Co2)]]</f>
        <v>#ERROR!</v>
      </c>
      <c r="AG52" s="215" t="str">
        <f t="shared" si="2"/>
        <v>#ERROR!</v>
      </c>
      <c r="AH52" s="216" t="str">
        <f t="shared" si="3"/>
        <v>#ERROR!</v>
      </c>
      <c r="AI52" s="210"/>
      <c r="AJ52" s="210"/>
      <c r="AK52" s="213" t="s">
        <v>683</v>
      </c>
      <c r="AL52" s="213" t="s">
        <v>683</v>
      </c>
      <c r="AM52" s="214" t="str">
        <f>Table1[[#This Row],[2019 Scope 2 ]]</f>
        <v>#ERROR!</v>
      </c>
      <c r="AN52" s="215" t="str">
        <f t="shared" si="4"/>
        <v>#ERROR!</v>
      </c>
      <c r="AO52" s="216" t="str">
        <f t="shared" si="5"/>
        <v>#ERROR!</v>
      </c>
      <c r="AP52" s="215" t="str">
        <f t="shared" si="6"/>
        <v>#ERROR!</v>
      </c>
      <c r="AQ52" s="216" t="str">
        <f t="shared" si="7"/>
        <v>#ERROR!</v>
      </c>
      <c r="AR52" s="217" t="str">
        <f>Table1[[#This Row],[2019 Scope 3 ]]</f>
        <v>#ERROR!</v>
      </c>
      <c r="AS52" s="218" t="str">
        <f t="shared" si="8"/>
        <v>#ERROR!</v>
      </c>
      <c r="AT52" s="219" t="str">
        <f t="shared" si="9"/>
        <v>#ERROR!</v>
      </c>
      <c r="BI52" s="4">
        <v>8526.0</v>
      </c>
    </row>
    <row r="53" ht="12.75" hidden="1" customHeight="1">
      <c r="A53" s="5">
        <f>companies!A53</f>
        <v>52</v>
      </c>
      <c r="B53" s="200" t="s">
        <v>1254</v>
      </c>
      <c r="C53" s="200">
        <v>1090649.0</v>
      </c>
      <c r="D53" s="200">
        <v>951982.0</v>
      </c>
      <c r="E53" s="200">
        <v>933484.0</v>
      </c>
      <c r="F53" s="200">
        <v>1.6976983E7</v>
      </c>
      <c r="G53" s="200">
        <v>518408.0</v>
      </c>
      <c r="H53" s="200">
        <v>306478.0</v>
      </c>
      <c r="I53" s="200" t="s">
        <v>683</v>
      </c>
      <c r="J53" s="200" t="s">
        <v>683</v>
      </c>
      <c r="K53" s="200">
        <v>163207.0</v>
      </c>
      <c r="L53" s="200">
        <v>104444.0</v>
      </c>
      <c r="M53" s="213" t="s">
        <v>683</v>
      </c>
      <c r="N53" s="213" t="s">
        <v>683</v>
      </c>
      <c r="O53" s="213" t="s">
        <v>683</v>
      </c>
      <c r="P53" s="213" t="s">
        <v>683</v>
      </c>
      <c r="Q53" s="213" t="s">
        <v>683</v>
      </c>
      <c r="R53" s="200">
        <v>17530.0</v>
      </c>
      <c r="S53" s="213" t="s">
        <v>683</v>
      </c>
      <c r="T53" s="213" t="s">
        <v>683</v>
      </c>
      <c r="U53" s="213" t="s">
        <v>683</v>
      </c>
      <c r="V53" s="213" t="s">
        <v>683</v>
      </c>
      <c r="W53" s="213">
        <f t="shared" si="10"/>
        <v>18087050</v>
      </c>
      <c r="X53" s="200">
        <v>933484.0</v>
      </c>
      <c r="Y53" s="200">
        <v>2.0111183E7</v>
      </c>
      <c r="Z53" s="200"/>
      <c r="AA53" s="200"/>
      <c r="AB53" s="200"/>
      <c r="AC53" s="200"/>
      <c r="AD53" s="213" t="s">
        <v>683</v>
      </c>
      <c r="AE53" s="213" t="s">
        <v>683</v>
      </c>
      <c r="AF53" s="214" t="str">
        <f>Table1[[#This Row],[2019 Scope 1 (MeT Co2)]]</f>
        <v>#ERROR!</v>
      </c>
      <c r="AG53" s="215" t="str">
        <f t="shared" si="2"/>
        <v>#ERROR!</v>
      </c>
      <c r="AH53" s="216" t="str">
        <f t="shared" si="3"/>
        <v>#ERROR!</v>
      </c>
      <c r="AI53" s="210"/>
      <c r="AJ53" s="210"/>
      <c r="AK53" s="213" t="s">
        <v>683</v>
      </c>
      <c r="AL53" s="213" t="s">
        <v>683</v>
      </c>
      <c r="AM53" s="214" t="str">
        <f>Table1[[#This Row],[2019 Scope 2 ]]</f>
        <v>#ERROR!</v>
      </c>
      <c r="AN53" s="215" t="str">
        <f t="shared" si="4"/>
        <v>#ERROR!</v>
      </c>
      <c r="AO53" s="216" t="str">
        <f t="shared" si="5"/>
        <v>#ERROR!</v>
      </c>
      <c r="AP53" s="215" t="str">
        <f t="shared" si="6"/>
        <v>#ERROR!</v>
      </c>
      <c r="AQ53" s="216" t="str">
        <f t="shared" si="7"/>
        <v>#ERROR!</v>
      </c>
      <c r="AR53" s="217" t="str">
        <f>Table1[[#This Row],[2019 Scope 3 ]]</f>
        <v>#ERROR!</v>
      </c>
      <c r="AS53" s="218" t="str">
        <f t="shared" si="8"/>
        <v>#ERROR!</v>
      </c>
      <c r="AT53" s="219" t="str">
        <f t="shared" si="9"/>
        <v>#ERROR!</v>
      </c>
      <c r="BI53" s="4">
        <v>8553.0</v>
      </c>
    </row>
    <row r="54" ht="12.75" hidden="1" customHeight="1">
      <c r="A54" s="5">
        <f>companies!A54</f>
        <v>53</v>
      </c>
      <c r="B54" s="200" t="s">
        <v>1254</v>
      </c>
      <c r="C54" s="200">
        <v>117723.0</v>
      </c>
      <c r="D54" s="200">
        <v>987066.0</v>
      </c>
      <c r="E54" s="200">
        <v>827369.0</v>
      </c>
      <c r="F54" s="200">
        <v>318989.0</v>
      </c>
      <c r="G54" s="200" t="s">
        <v>683</v>
      </c>
      <c r="H54" s="200" t="s">
        <v>683</v>
      </c>
      <c r="I54" s="200" t="s">
        <v>683</v>
      </c>
      <c r="J54" s="200" t="s">
        <v>683</v>
      </c>
      <c r="K54" s="200">
        <v>393448.0</v>
      </c>
      <c r="L54" s="200">
        <v>119404.0</v>
      </c>
      <c r="M54" s="213">
        <v>39505.0</v>
      </c>
      <c r="N54" s="213" t="s">
        <v>683</v>
      </c>
      <c r="O54" s="213" t="s">
        <v>683</v>
      </c>
      <c r="P54" s="213">
        <v>287068.0</v>
      </c>
      <c r="Q54" s="213" t="s">
        <v>683</v>
      </c>
      <c r="R54" s="200" t="s">
        <v>683</v>
      </c>
      <c r="S54" s="213" t="s">
        <v>683</v>
      </c>
      <c r="T54" s="213" t="s">
        <v>683</v>
      </c>
      <c r="U54" s="213" t="s">
        <v>683</v>
      </c>
      <c r="V54" s="213" t="s">
        <v>683</v>
      </c>
      <c r="W54" s="213">
        <f t="shared" si="10"/>
        <v>1158414</v>
      </c>
      <c r="X54" s="200">
        <v>827369.0</v>
      </c>
      <c r="Y54" s="200">
        <v>2103506.0</v>
      </c>
      <c r="Z54" s="200"/>
      <c r="AA54" s="200"/>
      <c r="AB54" s="200"/>
      <c r="AC54" s="200"/>
      <c r="AD54" s="213" t="s">
        <v>683</v>
      </c>
      <c r="AE54" s="213" t="s">
        <v>683</v>
      </c>
      <c r="AF54" s="214" t="str">
        <f>Table1[[#This Row],[2019 Scope 1 (MeT Co2)]]</f>
        <v>#ERROR!</v>
      </c>
      <c r="AG54" s="215" t="str">
        <f t="shared" si="2"/>
        <v>#ERROR!</v>
      </c>
      <c r="AH54" s="216" t="str">
        <f t="shared" si="3"/>
        <v>#ERROR!</v>
      </c>
      <c r="AI54" s="210"/>
      <c r="AJ54" s="210"/>
      <c r="AK54" s="213" t="s">
        <v>683</v>
      </c>
      <c r="AL54" s="213" t="s">
        <v>683</v>
      </c>
      <c r="AM54" s="214" t="str">
        <f>Table1[[#This Row],[2019 Scope 2 ]]</f>
        <v>#ERROR!</v>
      </c>
      <c r="AN54" s="215" t="str">
        <f t="shared" si="4"/>
        <v>#ERROR!</v>
      </c>
      <c r="AO54" s="216" t="str">
        <f t="shared" si="5"/>
        <v>#ERROR!</v>
      </c>
      <c r="AP54" s="215" t="str">
        <f t="shared" si="6"/>
        <v>#ERROR!</v>
      </c>
      <c r="AQ54" s="216" t="str">
        <f t="shared" si="7"/>
        <v>#ERROR!</v>
      </c>
      <c r="AR54" s="217" t="str">
        <f>Table1[[#This Row],[2019 Scope 3 ]]</f>
        <v>#ERROR!</v>
      </c>
      <c r="AS54" s="218" t="str">
        <f t="shared" si="8"/>
        <v>#ERROR!</v>
      </c>
      <c r="AT54" s="219" t="str">
        <f t="shared" si="9"/>
        <v>#ERROR!</v>
      </c>
      <c r="BI54" s="200">
        <v>9284.0</v>
      </c>
    </row>
    <row r="55" ht="12.75" hidden="1" customHeight="1">
      <c r="A55" s="5">
        <f>companies!A55</f>
        <v>54</v>
      </c>
      <c r="B55" s="200" t="s">
        <v>1254</v>
      </c>
      <c r="C55" s="200">
        <v>1489000.0</v>
      </c>
      <c r="D55" s="200">
        <v>3345000.0</v>
      </c>
      <c r="E55" s="200">
        <v>1299000.0</v>
      </c>
      <c r="F55" s="200">
        <v>4446000.0</v>
      </c>
      <c r="G55" s="200">
        <v>36000.0</v>
      </c>
      <c r="H55" s="200">
        <v>115000.0</v>
      </c>
      <c r="I55" s="200">
        <v>157000.0</v>
      </c>
      <c r="J55" s="200">
        <v>2000.0</v>
      </c>
      <c r="K55" s="200">
        <v>136000.0</v>
      </c>
      <c r="L55" s="200">
        <v>516000.0</v>
      </c>
      <c r="M55" s="213">
        <v>21000.0</v>
      </c>
      <c r="N55" s="213">
        <v>98000.0</v>
      </c>
      <c r="O55" s="213">
        <v>285000.0</v>
      </c>
      <c r="P55" s="213">
        <v>3927000.0</v>
      </c>
      <c r="Q55" s="213" t="s">
        <v>683</v>
      </c>
      <c r="R55" s="200" t="s">
        <v>683</v>
      </c>
      <c r="S55" s="213" t="s">
        <v>683</v>
      </c>
      <c r="T55" s="213" t="s">
        <v>683</v>
      </c>
      <c r="U55" s="213" t="s">
        <v>683</v>
      </c>
      <c r="V55" s="213" t="s">
        <v>683</v>
      </c>
      <c r="W55" s="213">
        <f t="shared" si="10"/>
        <v>9739000</v>
      </c>
      <c r="X55" s="200">
        <v>1299000.0</v>
      </c>
      <c r="Y55" s="200">
        <v>1.2527E7</v>
      </c>
      <c r="Z55" s="200"/>
      <c r="AA55" s="200"/>
      <c r="AB55" s="200"/>
      <c r="AC55" s="200"/>
      <c r="AD55" s="213" t="s">
        <v>683</v>
      </c>
      <c r="AE55" s="213" t="s">
        <v>683</v>
      </c>
      <c r="AF55" s="214" t="str">
        <f>Table1[[#This Row],[2019 Scope 1 (MeT Co2)]]</f>
        <v>#ERROR!</v>
      </c>
      <c r="AG55" s="215" t="str">
        <f t="shared" si="2"/>
        <v>#ERROR!</v>
      </c>
      <c r="AH55" s="216" t="str">
        <f t="shared" si="3"/>
        <v>#ERROR!</v>
      </c>
      <c r="AI55" s="210"/>
      <c r="AJ55" s="210"/>
      <c r="AK55" s="213" t="s">
        <v>683</v>
      </c>
      <c r="AL55" s="213" t="s">
        <v>683</v>
      </c>
      <c r="AM55" s="214" t="str">
        <f>Table1[[#This Row],[2019 Scope 2 ]]</f>
        <v>#ERROR!</v>
      </c>
      <c r="AN55" s="215" t="str">
        <f t="shared" si="4"/>
        <v>#ERROR!</v>
      </c>
      <c r="AO55" s="216" t="str">
        <f t="shared" si="5"/>
        <v>#ERROR!</v>
      </c>
      <c r="AP55" s="215" t="str">
        <f t="shared" si="6"/>
        <v>#ERROR!</v>
      </c>
      <c r="AQ55" s="216" t="str">
        <f t="shared" si="7"/>
        <v>#ERROR!</v>
      </c>
      <c r="AR55" s="217" t="str">
        <f>Table1[[#This Row],[2019 Scope 3 ]]</f>
        <v>#ERROR!</v>
      </c>
      <c r="AS55" s="218" t="str">
        <f t="shared" si="8"/>
        <v>#ERROR!</v>
      </c>
      <c r="AT55" s="219" t="str">
        <f t="shared" si="9"/>
        <v>#ERROR!</v>
      </c>
      <c r="BI55" s="4">
        <v>9298.0</v>
      </c>
    </row>
    <row r="56" ht="12.75" hidden="1" customHeight="1">
      <c r="A56" s="5">
        <f>companies!A56</f>
        <v>55</v>
      </c>
      <c r="B56" s="200" t="s">
        <v>1254</v>
      </c>
      <c r="C56" s="200">
        <v>415094.0</v>
      </c>
      <c r="D56" s="200">
        <v>648598.0</v>
      </c>
      <c r="E56" s="200">
        <v>518542.0</v>
      </c>
      <c r="F56" s="200">
        <v>9229943.0</v>
      </c>
      <c r="G56" s="200">
        <v>281092.0</v>
      </c>
      <c r="H56" s="200">
        <v>47245.0</v>
      </c>
      <c r="I56" s="200">
        <v>2201590.0</v>
      </c>
      <c r="J56" s="200">
        <v>3618.0</v>
      </c>
      <c r="K56" s="200">
        <v>601637.0</v>
      </c>
      <c r="L56" s="200">
        <v>267881.0</v>
      </c>
      <c r="M56" s="213">
        <v>39830.0</v>
      </c>
      <c r="N56" s="213">
        <v>65447.0</v>
      </c>
      <c r="O56" s="213" t="s">
        <v>683</v>
      </c>
      <c r="P56" s="213">
        <v>7417224.0</v>
      </c>
      <c r="Q56" s="213">
        <v>209994.0</v>
      </c>
      <c r="R56" s="200" t="s">
        <v>683</v>
      </c>
      <c r="S56" s="213" t="s">
        <v>683</v>
      </c>
      <c r="T56" s="213" t="s">
        <v>683</v>
      </c>
      <c r="U56" s="213" t="s">
        <v>683</v>
      </c>
      <c r="V56" s="213" t="s">
        <v>683</v>
      </c>
      <c r="W56" s="213">
        <f t="shared" si="10"/>
        <v>20365501</v>
      </c>
      <c r="X56" s="200">
        <v>518542.0</v>
      </c>
      <c r="Y56" s="200">
        <v>2.1299137E7</v>
      </c>
      <c r="Z56" s="200"/>
      <c r="AA56" s="200"/>
      <c r="AB56" s="200"/>
      <c r="AC56" s="200"/>
      <c r="AD56" s="213" t="s">
        <v>683</v>
      </c>
      <c r="AE56" s="213" t="s">
        <v>683</v>
      </c>
      <c r="AF56" s="214" t="str">
        <f>Table1[[#This Row],[2019 Scope 1 (MeT Co2)]]</f>
        <v>#ERROR!</v>
      </c>
      <c r="AG56" s="215" t="str">
        <f t="shared" si="2"/>
        <v>#ERROR!</v>
      </c>
      <c r="AH56" s="216" t="str">
        <f t="shared" si="3"/>
        <v>#ERROR!</v>
      </c>
      <c r="AI56" s="210"/>
      <c r="AJ56" s="210"/>
      <c r="AK56" s="213" t="s">
        <v>683</v>
      </c>
      <c r="AL56" s="213" t="s">
        <v>683</v>
      </c>
      <c r="AM56" s="214" t="str">
        <f>Table1[[#This Row],[2019 Scope 2 ]]</f>
        <v>#ERROR!</v>
      </c>
      <c r="AN56" s="215" t="str">
        <f t="shared" si="4"/>
        <v>#ERROR!</v>
      </c>
      <c r="AO56" s="216" t="str">
        <f t="shared" si="5"/>
        <v>#ERROR!</v>
      </c>
      <c r="AP56" s="215" t="str">
        <f t="shared" si="6"/>
        <v>#ERROR!</v>
      </c>
      <c r="AQ56" s="216" t="str">
        <f t="shared" si="7"/>
        <v>#ERROR!</v>
      </c>
      <c r="AR56" s="217" t="str">
        <f>Table1[[#This Row],[2019 Scope 3 ]]</f>
        <v>#ERROR!</v>
      </c>
      <c r="AS56" s="218" t="str">
        <f t="shared" si="8"/>
        <v>#ERROR!</v>
      </c>
      <c r="AT56" s="219" t="str">
        <f t="shared" si="9"/>
        <v>#ERROR!</v>
      </c>
      <c r="BI56" s="4">
        <v>9829.0</v>
      </c>
    </row>
    <row r="57" ht="12.75" hidden="1" customHeight="1">
      <c r="A57" s="5">
        <f>companies!A57</f>
        <v>56</v>
      </c>
      <c r="B57" s="200" t="s">
        <v>1254</v>
      </c>
      <c r="C57" s="200">
        <v>81655.0</v>
      </c>
      <c r="D57" s="200">
        <v>692299.0</v>
      </c>
      <c r="E57" s="200">
        <v>556142.0</v>
      </c>
      <c r="F57" s="200" t="s">
        <v>683</v>
      </c>
      <c r="G57" s="200" t="s">
        <v>683</v>
      </c>
      <c r="H57" s="200">
        <v>32229.0</v>
      </c>
      <c r="I57" s="200" t="s">
        <v>683</v>
      </c>
      <c r="J57" s="200" t="s">
        <v>683</v>
      </c>
      <c r="K57" s="200">
        <v>181004.0</v>
      </c>
      <c r="L57" s="200" t="s">
        <v>683</v>
      </c>
      <c r="M57" s="213" t="s">
        <v>683</v>
      </c>
      <c r="N57" s="213" t="s">
        <v>683</v>
      </c>
      <c r="O57" s="213" t="s">
        <v>683</v>
      </c>
      <c r="P57" s="213" t="s">
        <v>683</v>
      </c>
      <c r="Q57" s="213" t="s">
        <v>683</v>
      </c>
      <c r="R57" s="200" t="s">
        <v>683</v>
      </c>
      <c r="S57" s="213" t="s">
        <v>683</v>
      </c>
      <c r="T57" s="213" t="s">
        <v>683</v>
      </c>
      <c r="U57" s="213" t="s">
        <v>683</v>
      </c>
      <c r="V57" s="213" t="s">
        <v>683</v>
      </c>
      <c r="W57" s="213">
        <f t="shared" si="10"/>
        <v>213233</v>
      </c>
      <c r="X57" s="200">
        <v>556142.0</v>
      </c>
      <c r="Y57" s="200">
        <v>851030.0</v>
      </c>
      <c r="Z57" s="200"/>
      <c r="AA57" s="200"/>
      <c r="AB57" s="200"/>
      <c r="AC57" s="200"/>
      <c r="AD57" s="213" t="s">
        <v>683</v>
      </c>
      <c r="AE57" s="213" t="s">
        <v>683</v>
      </c>
      <c r="AF57" s="214" t="str">
        <f>Table1[[#This Row],[2019 Scope 1 (MeT Co2)]]</f>
        <v>#ERROR!</v>
      </c>
      <c r="AG57" s="215" t="str">
        <f t="shared" si="2"/>
        <v>#ERROR!</v>
      </c>
      <c r="AH57" s="216" t="str">
        <f t="shared" si="3"/>
        <v>#ERROR!</v>
      </c>
      <c r="AI57" s="210"/>
      <c r="AJ57" s="210"/>
      <c r="AK57" s="213" t="s">
        <v>683</v>
      </c>
      <c r="AL57" s="213" t="s">
        <v>683</v>
      </c>
      <c r="AM57" s="214" t="str">
        <f>Table1[[#This Row],[2019 Scope 2 ]]</f>
        <v>#ERROR!</v>
      </c>
      <c r="AN57" s="215" t="str">
        <f t="shared" si="4"/>
        <v>#ERROR!</v>
      </c>
      <c r="AO57" s="216" t="str">
        <f t="shared" si="5"/>
        <v>#ERROR!</v>
      </c>
      <c r="AP57" s="215" t="str">
        <f t="shared" si="6"/>
        <v>#ERROR!</v>
      </c>
      <c r="AQ57" s="216" t="str">
        <f t="shared" si="7"/>
        <v>#ERROR!</v>
      </c>
      <c r="AR57" s="217" t="str">
        <f>Table1[[#This Row],[2019 Scope 3 ]]</f>
        <v>#ERROR!</v>
      </c>
      <c r="AS57" s="218" t="str">
        <f t="shared" si="8"/>
        <v>#ERROR!</v>
      </c>
      <c r="AT57" s="219" t="str">
        <f t="shared" si="9"/>
        <v>#ERROR!</v>
      </c>
      <c r="BI57" s="4">
        <v>9871.0</v>
      </c>
    </row>
    <row r="58" ht="12.75" hidden="1" customHeight="1">
      <c r="A58" s="5">
        <f>companies!A58</f>
        <v>57</v>
      </c>
      <c r="B58" s="200" t="s">
        <v>1254</v>
      </c>
      <c r="C58" s="200" t="s">
        <v>1262</v>
      </c>
      <c r="D58" s="200" t="s">
        <v>1262</v>
      </c>
      <c r="E58" s="200" t="s">
        <v>1262</v>
      </c>
      <c r="F58" s="200" t="s">
        <v>1262</v>
      </c>
      <c r="G58" s="200" t="s">
        <v>1262</v>
      </c>
      <c r="H58" s="200" t="s">
        <v>1262</v>
      </c>
      <c r="I58" s="200" t="s">
        <v>1262</v>
      </c>
      <c r="J58" s="200" t="s">
        <v>1262</v>
      </c>
      <c r="K58" s="200" t="s">
        <v>1262</v>
      </c>
      <c r="L58" s="200" t="s">
        <v>1262</v>
      </c>
      <c r="M58" s="200" t="s">
        <v>1262</v>
      </c>
      <c r="N58" s="200" t="s">
        <v>1262</v>
      </c>
      <c r="O58" s="200" t="s">
        <v>1262</v>
      </c>
      <c r="P58" s="200" t="s">
        <v>1262</v>
      </c>
      <c r="Q58" s="200" t="s">
        <v>1262</v>
      </c>
      <c r="R58" s="200" t="s">
        <v>1262</v>
      </c>
      <c r="S58" s="200" t="s">
        <v>1262</v>
      </c>
      <c r="T58" s="200" t="s">
        <v>1262</v>
      </c>
      <c r="U58" s="200" t="s">
        <v>1262</v>
      </c>
      <c r="V58" s="200" t="s">
        <v>1262</v>
      </c>
      <c r="W58" s="213">
        <f t="shared" si="10"/>
        <v>0</v>
      </c>
      <c r="X58" s="200">
        <v>0.0</v>
      </c>
      <c r="Y58" s="200"/>
      <c r="Z58" s="200"/>
      <c r="AA58" s="200"/>
      <c r="AB58" s="213"/>
      <c r="AC58" s="213"/>
      <c r="AD58" s="213" t="e">
        <v>#N/A</v>
      </c>
      <c r="AE58" s="213" t="e">
        <v>#N/A</v>
      </c>
      <c r="AF58" s="214" t="str">
        <f>Table1[[#This Row],[2019 Scope 1 (MeT Co2)]]</f>
        <v>#ERROR!</v>
      </c>
      <c r="AG58" s="215" t="str">
        <f t="shared" si="2"/>
        <v>#ERROR!</v>
      </c>
      <c r="AH58" s="216" t="str">
        <f t="shared" si="3"/>
        <v>#ERROR!</v>
      </c>
      <c r="AI58" s="210"/>
      <c r="AJ58" s="210"/>
      <c r="AK58" s="213" t="e">
        <v>#N/A</v>
      </c>
      <c r="AL58" s="213" t="e">
        <v>#N/A</v>
      </c>
      <c r="AM58" s="214" t="str">
        <f>Table1[[#This Row],[2019 Scope 2 ]]</f>
        <v>#ERROR!</v>
      </c>
      <c r="AN58" s="215" t="str">
        <f t="shared" si="4"/>
        <v>#ERROR!</v>
      </c>
      <c r="AO58" s="216" t="str">
        <f t="shared" si="5"/>
        <v>#ERROR!</v>
      </c>
      <c r="AP58" s="215" t="str">
        <f t="shared" si="6"/>
        <v>#ERROR!</v>
      </c>
      <c r="AQ58" s="216" t="str">
        <f t="shared" si="7"/>
        <v>#ERROR!</v>
      </c>
      <c r="AR58" s="217" t="str">
        <f>Table1[[#This Row],[2019 Scope 3 ]]</f>
        <v>#ERROR!</v>
      </c>
      <c r="AS58" s="218" t="str">
        <f t="shared" si="8"/>
        <v>#ERROR!</v>
      </c>
      <c r="AT58" s="219" t="str">
        <f t="shared" si="9"/>
        <v>#ERROR!</v>
      </c>
    </row>
    <row r="59" ht="12.75" hidden="1" customHeight="1">
      <c r="A59" s="5">
        <f>companies!A59</f>
        <v>58</v>
      </c>
      <c r="B59" s="200" t="s">
        <v>1254</v>
      </c>
      <c r="C59" s="200">
        <v>649256.0</v>
      </c>
      <c r="D59" s="200">
        <v>773066.0</v>
      </c>
      <c r="E59" s="200" t="s">
        <v>683</v>
      </c>
      <c r="F59" s="200">
        <v>1.8282750168E7</v>
      </c>
      <c r="G59" s="200">
        <v>397603.648</v>
      </c>
      <c r="H59" s="200">
        <v>717228.775</v>
      </c>
      <c r="I59" s="200">
        <v>1366415.404</v>
      </c>
      <c r="J59" s="200">
        <v>52106.122</v>
      </c>
      <c r="K59" s="200">
        <v>18988.075</v>
      </c>
      <c r="L59" s="200">
        <v>105896.625</v>
      </c>
      <c r="M59" s="213" t="s">
        <v>683</v>
      </c>
      <c r="N59" s="213">
        <v>1307392.304</v>
      </c>
      <c r="O59" s="213" t="s">
        <v>683</v>
      </c>
      <c r="P59" s="213" t="s">
        <v>683</v>
      </c>
      <c r="Q59" s="213">
        <v>1029151.785</v>
      </c>
      <c r="R59" s="200" t="s">
        <v>683</v>
      </c>
      <c r="S59" s="213" t="s">
        <v>683</v>
      </c>
      <c r="T59" s="213" t="s">
        <v>683</v>
      </c>
      <c r="U59" s="213" t="s">
        <v>683</v>
      </c>
      <c r="V59" s="213" t="s">
        <v>683</v>
      </c>
      <c r="W59" s="213">
        <f t="shared" si="10"/>
        <v>23277532.91</v>
      </c>
      <c r="X59" s="200">
        <v>773066.0</v>
      </c>
      <c r="Y59" s="200">
        <v>2.4699854906E7</v>
      </c>
      <c r="Z59" s="200"/>
      <c r="AA59" s="200"/>
      <c r="AB59" s="213"/>
      <c r="AC59" s="213"/>
      <c r="AD59" s="213" t="s">
        <v>683</v>
      </c>
      <c r="AE59" s="213" t="s">
        <v>683</v>
      </c>
      <c r="AF59" s="214" t="str">
        <f>Table1[[#This Row],[2019 Scope 1 (MeT Co2)]]</f>
        <v>#ERROR!</v>
      </c>
      <c r="AG59" s="215" t="str">
        <f t="shared" si="2"/>
        <v>#ERROR!</v>
      </c>
      <c r="AH59" s="216" t="str">
        <f t="shared" si="3"/>
        <v>#ERROR!</v>
      </c>
      <c r="AI59" s="210"/>
      <c r="AJ59" s="210"/>
      <c r="AK59" s="213" t="s">
        <v>683</v>
      </c>
      <c r="AL59" s="213" t="s">
        <v>683</v>
      </c>
      <c r="AM59" s="214" t="str">
        <f>Table1[[#This Row],[2019 Scope 2 ]]</f>
        <v>#ERROR!</v>
      </c>
      <c r="AN59" s="215" t="str">
        <f t="shared" si="4"/>
        <v>#ERROR!</v>
      </c>
      <c r="AO59" s="216" t="str">
        <f t="shared" si="5"/>
        <v>#ERROR!</v>
      </c>
      <c r="AP59" s="215" t="str">
        <f t="shared" si="6"/>
        <v>#ERROR!</v>
      </c>
      <c r="AQ59" s="216" t="str">
        <f t="shared" si="7"/>
        <v>#ERROR!</v>
      </c>
      <c r="AR59" s="217" t="str">
        <f>Table1[[#This Row],[2019 Scope 3 ]]</f>
        <v>#ERROR!</v>
      </c>
      <c r="AS59" s="218" t="str">
        <f t="shared" si="8"/>
        <v>#ERROR!</v>
      </c>
      <c r="AT59" s="219" t="str">
        <f t="shared" si="9"/>
        <v>#ERROR!</v>
      </c>
      <c r="BI59" s="4">
        <v>58857.0</v>
      </c>
    </row>
    <row r="60" ht="12.75" hidden="1" customHeight="1">
      <c r="A60" s="5">
        <f>companies!A60</f>
        <v>59</v>
      </c>
      <c r="B60" s="200" t="s">
        <v>1254</v>
      </c>
      <c r="C60" s="200">
        <v>305362.0</v>
      </c>
      <c r="D60" s="200">
        <v>662659.0</v>
      </c>
      <c r="E60" s="200">
        <v>466073.0</v>
      </c>
      <c r="F60" s="200">
        <v>7700000.0</v>
      </c>
      <c r="G60" s="200">
        <v>370000.0</v>
      </c>
      <c r="H60" s="200">
        <v>105000.0</v>
      </c>
      <c r="I60" s="200">
        <v>60000.0</v>
      </c>
      <c r="J60" s="200">
        <v>4500.0</v>
      </c>
      <c r="K60" s="200">
        <v>190000.0</v>
      </c>
      <c r="L60" s="200">
        <v>215000.0</v>
      </c>
      <c r="M60" s="213" t="s">
        <v>683</v>
      </c>
      <c r="N60" s="213" t="s">
        <v>683</v>
      </c>
      <c r="O60" s="213" t="s">
        <v>683</v>
      </c>
      <c r="P60" s="213">
        <v>2.2E7</v>
      </c>
      <c r="Q60" s="213" t="s">
        <v>683</v>
      </c>
      <c r="R60" s="200" t="s">
        <v>683</v>
      </c>
      <c r="S60" s="213" t="s">
        <v>683</v>
      </c>
      <c r="T60" s="213" t="s">
        <v>683</v>
      </c>
      <c r="U60" s="213" t="s">
        <v>683</v>
      </c>
      <c r="V60" s="213" t="s">
        <v>683</v>
      </c>
      <c r="W60" s="213">
        <f t="shared" si="10"/>
        <v>30644500</v>
      </c>
      <c r="X60" s="200">
        <v>466073.0</v>
      </c>
      <c r="Y60" s="200">
        <v>3.1415935E7</v>
      </c>
      <c r="Z60" s="200"/>
      <c r="AA60" s="200"/>
      <c r="AB60" s="200"/>
      <c r="AC60" s="200"/>
      <c r="AD60" s="213" t="s">
        <v>683</v>
      </c>
      <c r="AE60" s="213" t="s">
        <v>683</v>
      </c>
      <c r="AF60" s="214" t="str">
        <f>Table1[[#This Row],[2019 Scope 1 (MeT Co2)]]</f>
        <v>#ERROR!</v>
      </c>
      <c r="AG60" s="215" t="str">
        <f t="shared" si="2"/>
        <v>#ERROR!</v>
      </c>
      <c r="AH60" s="216" t="str">
        <f t="shared" si="3"/>
        <v>#ERROR!</v>
      </c>
      <c r="AI60" s="210"/>
      <c r="AJ60" s="210"/>
      <c r="AK60" s="213" t="s">
        <v>683</v>
      </c>
      <c r="AL60" s="213" t="s">
        <v>683</v>
      </c>
      <c r="AM60" s="214" t="str">
        <f>Table1[[#This Row],[2019 Scope 2 ]]</f>
        <v>#ERROR!</v>
      </c>
      <c r="AN60" s="215" t="str">
        <f t="shared" si="4"/>
        <v>#ERROR!</v>
      </c>
      <c r="AO60" s="216" t="str">
        <f t="shared" si="5"/>
        <v>#ERROR!</v>
      </c>
      <c r="AP60" s="215" t="str">
        <f t="shared" si="6"/>
        <v>#ERROR!</v>
      </c>
      <c r="AQ60" s="216" t="str">
        <f t="shared" si="7"/>
        <v>#ERROR!</v>
      </c>
      <c r="AR60" s="217" t="str">
        <f>Table1[[#This Row],[2019 Scope 3 ]]</f>
        <v>#ERROR!</v>
      </c>
      <c r="AS60" s="218" t="str">
        <f t="shared" si="8"/>
        <v>#ERROR!</v>
      </c>
      <c r="AT60" s="219" t="str">
        <f t="shared" si="9"/>
        <v>#ERROR!</v>
      </c>
      <c r="BI60" s="4" t="s">
        <v>1259</v>
      </c>
    </row>
    <row r="61" ht="12.75" hidden="1" customHeight="1">
      <c r="A61" s="5">
        <f>companies!A61</f>
        <v>60</v>
      </c>
      <c r="B61" s="200" t="s">
        <v>1254</v>
      </c>
      <c r="C61" s="200">
        <v>484737.0</v>
      </c>
      <c r="D61" s="200">
        <v>1623768.0</v>
      </c>
      <c r="E61" s="200" t="s">
        <v>683</v>
      </c>
      <c r="F61" s="200" t="s">
        <v>683</v>
      </c>
      <c r="G61" s="200" t="s">
        <v>683</v>
      </c>
      <c r="H61" s="200" t="s">
        <v>683</v>
      </c>
      <c r="I61" s="200">
        <v>426134.0</v>
      </c>
      <c r="J61" s="200" t="s">
        <v>683</v>
      </c>
      <c r="K61" s="200">
        <v>10700.0</v>
      </c>
      <c r="L61" s="200" t="s">
        <v>683</v>
      </c>
      <c r="M61" s="213" t="s">
        <v>683</v>
      </c>
      <c r="N61" s="213" t="s">
        <v>683</v>
      </c>
      <c r="O61" s="213" t="s">
        <v>683</v>
      </c>
      <c r="P61" s="213">
        <v>1.2320822578E8</v>
      </c>
      <c r="Q61" s="213" t="s">
        <v>683</v>
      </c>
      <c r="R61" s="200" t="s">
        <v>683</v>
      </c>
      <c r="S61" s="213" t="s">
        <v>683</v>
      </c>
      <c r="T61" s="213" t="s">
        <v>683</v>
      </c>
      <c r="U61" s="213" t="s">
        <v>683</v>
      </c>
      <c r="V61" s="213" t="s">
        <v>683</v>
      </c>
      <c r="W61" s="213">
        <f t="shared" si="10"/>
        <v>123645059.8</v>
      </c>
      <c r="X61" s="200">
        <v>1623768.0</v>
      </c>
      <c r="Y61" s="200">
        <v>1.2575356478E8</v>
      </c>
      <c r="Z61" s="200"/>
      <c r="AA61" s="200"/>
      <c r="AB61" s="213"/>
      <c r="AC61" s="213"/>
      <c r="AD61" s="213" t="s">
        <v>683</v>
      </c>
      <c r="AE61" s="213" t="s">
        <v>683</v>
      </c>
      <c r="AF61" s="214" t="str">
        <f>Table1[[#This Row],[2019 Scope 1 (MeT Co2)]]</f>
        <v>#ERROR!</v>
      </c>
      <c r="AG61" s="215" t="str">
        <f t="shared" si="2"/>
        <v>#ERROR!</v>
      </c>
      <c r="AH61" s="216" t="str">
        <f t="shared" si="3"/>
        <v>#ERROR!</v>
      </c>
      <c r="AI61" s="210"/>
      <c r="AJ61" s="210"/>
      <c r="AK61" s="213" t="s">
        <v>683</v>
      </c>
      <c r="AL61" s="213" t="s">
        <v>683</v>
      </c>
      <c r="AM61" s="214" t="str">
        <f>Table1[[#This Row],[2019 Scope 2 ]]</f>
        <v>#ERROR!</v>
      </c>
      <c r="AN61" s="215" t="str">
        <f t="shared" si="4"/>
        <v>#ERROR!</v>
      </c>
      <c r="AO61" s="216" t="str">
        <f t="shared" si="5"/>
        <v>#ERROR!</v>
      </c>
      <c r="AP61" s="215" t="str">
        <f t="shared" si="6"/>
        <v>#ERROR!</v>
      </c>
      <c r="AQ61" s="216" t="str">
        <f t="shared" si="7"/>
        <v>#ERROR!</v>
      </c>
      <c r="AR61" s="217" t="str">
        <f>Table1[[#This Row],[2019 Scope 3 ]]</f>
        <v>#ERROR!</v>
      </c>
      <c r="AS61" s="218" t="str">
        <f t="shared" si="8"/>
        <v>#ERROR!</v>
      </c>
      <c r="AT61" s="219" t="str">
        <f t="shared" si="9"/>
        <v>#ERROR!</v>
      </c>
      <c r="BI61" s="4">
        <v>11017.0</v>
      </c>
    </row>
    <row r="62" ht="12.75" hidden="1" customHeight="1">
      <c r="A62" s="5">
        <f>companies!A62</f>
        <v>61</v>
      </c>
      <c r="B62" s="200" t="s">
        <v>1254</v>
      </c>
      <c r="C62" s="200">
        <v>4758.4</v>
      </c>
      <c r="D62" s="200">
        <v>52140.56</v>
      </c>
      <c r="E62" s="200">
        <v>162.0</v>
      </c>
      <c r="F62" s="200">
        <v>396269.96</v>
      </c>
      <c r="G62" s="200">
        <v>0.0</v>
      </c>
      <c r="H62" s="200">
        <v>8451.87</v>
      </c>
      <c r="I62" s="200">
        <v>0.0</v>
      </c>
      <c r="J62" s="200">
        <v>1288.49</v>
      </c>
      <c r="K62" s="200">
        <v>53738.0</v>
      </c>
      <c r="L62" s="200">
        <v>43263.87</v>
      </c>
      <c r="M62" s="213" t="s">
        <v>683</v>
      </c>
      <c r="N62" s="213" t="s">
        <v>683</v>
      </c>
      <c r="O62" s="213" t="s">
        <v>683</v>
      </c>
      <c r="P62" s="213" t="s">
        <v>683</v>
      </c>
      <c r="Q62" s="213" t="s">
        <v>683</v>
      </c>
      <c r="R62" s="200" t="s">
        <v>683</v>
      </c>
      <c r="S62" s="213" t="s">
        <v>683</v>
      </c>
      <c r="T62" s="213" t="s">
        <v>683</v>
      </c>
      <c r="U62" s="213" t="s">
        <v>683</v>
      </c>
      <c r="V62" s="213" t="s">
        <v>683</v>
      </c>
      <c r="W62" s="213">
        <f t="shared" si="10"/>
        <v>503012.19</v>
      </c>
      <c r="X62" s="200">
        <v>162.0</v>
      </c>
      <c r="Y62" s="200">
        <v>507932.59</v>
      </c>
      <c r="Z62" s="200"/>
      <c r="AA62" s="200"/>
      <c r="AB62" s="200"/>
      <c r="AC62" s="200"/>
      <c r="AD62" s="213" t="s">
        <v>683</v>
      </c>
      <c r="AE62" s="213" t="s">
        <v>683</v>
      </c>
      <c r="AF62" s="214" t="str">
        <f>Table1[[#This Row],[2019 Scope 1 (MeT Co2)]]</f>
        <v>#ERROR!</v>
      </c>
      <c r="AG62" s="215" t="str">
        <f t="shared" si="2"/>
        <v>#ERROR!</v>
      </c>
      <c r="AH62" s="216" t="str">
        <f t="shared" si="3"/>
        <v>#ERROR!</v>
      </c>
      <c r="AI62" s="210"/>
      <c r="AJ62" s="210"/>
      <c r="AK62" s="213" t="s">
        <v>683</v>
      </c>
      <c r="AL62" s="213" t="s">
        <v>683</v>
      </c>
      <c r="AM62" s="214" t="str">
        <f>Table1[[#This Row],[2019 Scope 2 ]]</f>
        <v>#ERROR!</v>
      </c>
      <c r="AN62" s="215" t="str">
        <f t="shared" si="4"/>
        <v>#ERROR!</v>
      </c>
      <c r="AO62" s="216" t="str">
        <f t="shared" si="5"/>
        <v>#ERROR!</v>
      </c>
      <c r="AP62" s="215" t="str">
        <f t="shared" si="6"/>
        <v>#ERROR!</v>
      </c>
      <c r="AQ62" s="216" t="str">
        <f t="shared" si="7"/>
        <v>#ERROR!</v>
      </c>
      <c r="AR62" s="217" t="str">
        <f>Table1[[#This Row],[2019 Scope 3 ]]</f>
        <v>#ERROR!</v>
      </c>
      <c r="AS62" s="218" t="str">
        <f t="shared" si="8"/>
        <v>#ERROR!</v>
      </c>
      <c r="AT62" s="219" t="str">
        <f t="shared" si="9"/>
        <v>#ERROR!</v>
      </c>
      <c r="BI62" s="4">
        <v>11421.0</v>
      </c>
    </row>
    <row r="63" ht="12.75" hidden="1" customHeight="1">
      <c r="A63" s="5">
        <f>companies!A63</f>
        <v>62</v>
      </c>
      <c r="B63" s="200" t="s">
        <v>1254</v>
      </c>
      <c r="C63" s="200">
        <v>107034.65</v>
      </c>
      <c r="D63" s="200">
        <v>569598.23</v>
      </c>
      <c r="E63" s="200">
        <v>492114.18</v>
      </c>
      <c r="F63" s="200">
        <v>4.111585155E7</v>
      </c>
      <c r="G63" s="200" t="s">
        <v>683</v>
      </c>
      <c r="H63" s="200">
        <v>2358793.15</v>
      </c>
      <c r="I63" s="200">
        <v>1947637.85</v>
      </c>
      <c r="J63" s="200">
        <v>1535857.79</v>
      </c>
      <c r="K63" s="200" t="s">
        <v>683</v>
      </c>
      <c r="L63" s="200" t="s">
        <v>683</v>
      </c>
      <c r="M63" s="213" t="s">
        <v>683</v>
      </c>
      <c r="N63" s="213" t="s">
        <v>683</v>
      </c>
      <c r="O63" s="213" t="s">
        <v>683</v>
      </c>
      <c r="P63" s="213" t="s">
        <v>683</v>
      </c>
      <c r="Q63" s="213" t="s">
        <v>683</v>
      </c>
      <c r="R63" s="200" t="s">
        <v>683</v>
      </c>
      <c r="S63" s="213">
        <v>5997501.76</v>
      </c>
      <c r="T63" s="213" t="s">
        <v>683</v>
      </c>
      <c r="U63" s="213" t="s">
        <v>683</v>
      </c>
      <c r="V63" s="213" t="s">
        <v>683</v>
      </c>
      <c r="W63" s="213">
        <f t="shared" si="10"/>
        <v>52955642.1</v>
      </c>
      <c r="X63" s="200">
        <v>492114.18</v>
      </c>
      <c r="Y63" s="200">
        <v>5.355479092999999E7</v>
      </c>
      <c r="Z63" s="200"/>
      <c r="AA63" s="200"/>
      <c r="AB63" s="213"/>
      <c r="AC63" s="213"/>
      <c r="AD63" s="213" t="s">
        <v>1255</v>
      </c>
      <c r="AE63" s="213" t="s">
        <v>1256</v>
      </c>
      <c r="AF63" s="214" t="str">
        <f>Table1[[#This Row],[2019 Scope 1 (MeT Co2)]]</f>
        <v>#ERROR!</v>
      </c>
      <c r="AG63" s="215" t="str">
        <f t="shared" si="2"/>
        <v>#ERROR!</v>
      </c>
      <c r="AH63" s="216" t="str">
        <f t="shared" si="3"/>
        <v>#ERROR!</v>
      </c>
      <c r="AI63" s="210"/>
      <c r="AJ63" s="210"/>
      <c r="AK63" s="213" t="s">
        <v>1255</v>
      </c>
      <c r="AL63" s="213" t="s">
        <v>1256</v>
      </c>
      <c r="AM63" s="214" t="str">
        <f>Table1[[#This Row],[2019 Scope 2 ]]</f>
        <v>#ERROR!</v>
      </c>
      <c r="AN63" s="215" t="str">
        <f t="shared" si="4"/>
        <v>#ERROR!</v>
      </c>
      <c r="AO63" s="216" t="str">
        <f t="shared" si="5"/>
        <v>#ERROR!</v>
      </c>
      <c r="AP63" s="215" t="str">
        <f t="shared" si="6"/>
        <v>#ERROR!</v>
      </c>
      <c r="AQ63" s="216" t="str">
        <f t="shared" si="7"/>
        <v>#ERROR!</v>
      </c>
      <c r="AR63" s="217" t="str">
        <f>Table1[[#This Row],[2019 Scope 3 ]]</f>
        <v>#ERROR!</v>
      </c>
      <c r="AS63" s="218" t="str">
        <f t="shared" si="8"/>
        <v>#ERROR!</v>
      </c>
      <c r="AT63" s="219" t="str">
        <f t="shared" si="9"/>
        <v>#ERROR!</v>
      </c>
      <c r="BI63" s="4">
        <v>11581.0</v>
      </c>
    </row>
    <row r="64" ht="12.75" hidden="1" customHeight="1">
      <c r="A64" s="5">
        <f>companies!A64</f>
        <v>63</v>
      </c>
      <c r="B64" s="200" t="s">
        <v>1254</v>
      </c>
      <c r="C64" s="200">
        <v>61803.0</v>
      </c>
      <c r="D64" s="200" t="s">
        <v>683</v>
      </c>
      <c r="E64" s="200">
        <v>218742.0</v>
      </c>
      <c r="F64" s="200" t="s">
        <v>683</v>
      </c>
      <c r="G64" s="200" t="s">
        <v>683</v>
      </c>
      <c r="H64" s="200" t="s">
        <v>683</v>
      </c>
      <c r="I64" s="200" t="s">
        <v>683</v>
      </c>
      <c r="J64" s="200" t="s">
        <v>683</v>
      </c>
      <c r="K64" s="200">
        <v>235863.0</v>
      </c>
      <c r="L64" s="200" t="s">
        <v>683</v>
      </c>
      <c r="M64" s="213" t="s">
        <v>683</v>
      </c>
      <c r="N64" s="213">
        <v>42619.0</v>
      </c>
      <c r="O64" s="213" t="s">
        <v>683</v>
      </c>
      <c r="P64" s="213" t="s">
        <v>683</v>
      </c>
      <c r="Q64" s="213" t="s">
        <v>683</v>
      </c>
      <c r="R64" s="200" t="s">
        <v>683</v>
      </c>
      <c r="S64" s="213" t="s">
        <v>683</v>
      </c>
      <c r="T64" s="213" t="s">
        <v>683</v>
      </c>
      <c r="U64" s="213" t="s">
        <v>683</v>
      </c>
      <c r="V64" s="213" t="s">
        <v>683</v>
      </c>
      <c r="W64" s="213">
        <f t="shared" si="10"/>
        <v>278482</v>
      </c>
      <c r="X64" s="200">
        <v>218742.0</v>
      </c>
      <c r="Y64" s="200">
        <v>559027.0</v>
      </c>
      <c r="Z64" s="200"/>
      <c r="AA64" s="200"/>
      <c r="AB64" s="200"/>
      <c r="AC64" s="200"/>
      <c r="AD64" s="213" t="s">
        <v>683</v>
      </c>
      <c r="AE64" s="213" t="s">
        <v>683</v>
      </c>
      <c r="AF64" s="214" t="str">
        <f>Table1[[#This Row],[2019 Scope 1 (MeT Co2)]]</f>
        <v>#ERROR!</v>
      </c>
      <c r="AG64" s="215" t="str">
        <f t="shared" si="2"/>
        <v>#ERROR!</v>
      </c>
      <c r="AH64" s="216" t="str">
        <f t="shared" si="3"/>
        <v>#ERROR!</v>
      </c>
      <c r="AI64" s="210"/>
      <c r="AJ64" s="210"/>
      <c r="AK64" s="213" t="s">
        <v>683</v>
      </c>
      <c r="AL64" s="213" t="s">
        <v>683</v>
      </c>
      <c r="AM64" s="214" t="str">
        <f>Table1[[#This Row],[2019 Scope 2 ]]</f>
        <v>#ERROR!</v>
      </c>
      <c r="AN64" s="215" t="str">
        <f t="shared" si="4"/>
        <v>#ERROR!</v>
      </c>
      <c r="AO64" s="216" t="str">
        <f t="shared" si="5"/>
        <v>#ERROR!</v>
      </c>
      <c r="AP64" s="215" t="str">
        <f t="shared" si="6"/>
        <v>#ERROR!</v>
      </c>
      <c r="AQ64" s="216" t="str">
        <f t="shared" si="7"/>
        <v>#ERROR!</v>
      </c>
      <c r="AR64" s="217" t="str">
        <f>Table1[[#This Row],[2019 Scope 3 ]]</f>
        <v>#ERROR!</v>
      </c>
      <c r="AS64" s="218" t="str">
        <f t="shared" si="8"/>
        <v>#ERROR!</v>
      </c>
      <c r="AT64" s="219" t="str">
        <f t="shared" si="9"/>
        <v>#ERROR!</v>
      </c>
      <c r="BI64" s="200">
        <v>11651.0</v>
      </c>
    </row>
    <row r="65" ht="12.75" hidden="1" customHeight="1">
      <c r="A65" s="5">
        <f>companies!A65</f>
        <v>64</v>
      </c>
      <c r="B65" s="200" t="s">
        <v>1254</v>
      </c>
      <c r="C65" s="200">
        <v>755340.0</v>
      </c>
      <c r="D65" s="200">
        <v>413550.0</v>
      </c>
      <c r="E65" s="200">
        <v>316630.0</v>
      </c>
      <c r="F65" s="200">
        <v>5155100.0</v>
      </c>
      <c r="G65" s="200">
        <v>339900.0</v>
      </c>
      <c r="H65" s="200">
        <v>240700.0</v>
      </c>
      <c r="I65" s="200">
        <v>271200.0</v>
      </c>
      <c r="J65" s="200">
        <v>19500.0</v>
      </c>
      <c r="K65" s="200">
        <v>340400.0</v>
      </c>
      <c r="L65" s="200">
        <v>272000.0</v>
      </c>
      <c r="M65" s="213" t="s">
        <v>683</v>
      </c>
      <c r="N65" s="213">
        <v>133200.0</v>
      </c>
      <c r="O65" s="213" t="s">
        <v>683</v>
      </c>
      <c r="P65" s="213">
        <v>142100.0</v>
      </c>
      <c r="Q65" s="213">
        <v>51500.0</v>
      </c>
      <c r="R65" s="200" t="s">
        <v>683</v>
      </c>
      <c r="S65" s="213" t="s">
        <v>683</v>
      </c>
      <c r="T65" s="213" t="s">
        <v>683</v>
      </c>
      <c r="U65" s="213" t="s">
        <v>683</v>
      </c>
      <c r="V65" s="213" t="s">
        <v>683</v>
      </c>
      <c r="W65" s="213">
        <f t="shared" si="10"/>
        <v>6965600</v>
      </c>
      <c r="X65" s="200">
        <v>316630.0</v>
      </c>
      <c r="Y65" s="200">
        <v>8037570.0</v>
      </c>
      <c r="Z65" s="200"/>
      <c r="AA65" s="200"/>
      <c r="AB65" s="200"/>
      <c r="AC65" s="200"/>
      <c r="AD65" s="213" t="s">
        <v>683</v>
      </c>
      <c r="AE65" s="213" t="s">
        <v>683</v>
      </c>
      <c r="AF65" s="214" t="str">
        <f>Table1[[#This Row],[2019 Scope 1 (MeT Co2)]]</f>
        <v>#ERROR!</v>
      </c>
      <c r="AG65" s="215" t="str">
        <f t="shared" si="2"/>
        <v>#ERROR!</v>
      </c>
      <c r="AH65" s="216" t="str">
        <f t="shared" si="3"/>
        <v>#ERROR!</v>
      </c>
      <c r="AI65" s="210"/>
      <c r="AJ65" s="210"/>
      <c r="AK65" s="213" t="s">
        <v>683</v>
      </c>
      <c r="AL65" s="213" t="s">
        <v>683</v>
      </c>
      <c r="AM65" s="214" t="str">
        <f>Table1[[#This Row],[2019 Scope 2 ]]</f>
        <v>#ERROR!</v>
      </c>
      <c r="AN65" s="215" t="str">
        <f t="shared" si="4"/>
        <v>#ERROR!</v>
      </c>
      <c r="AO65" s="216" t="str">
        <f t="shared" si="5"/>
        <v>#ERROR!</v>
      </c>
      <c r="AP65" s="215" t="str">
        <f t="shared" si="6"/>
        <v>#ERROR!</v>
      </c>
      <c r="AQ65" s="216" t="str">
        <f t="shared" si="7"/>
        <v>#ERROR!</v>
      </c>
      <c r="AR65" s="217" t="str">
        <f>Table1[[#This Row],[2019 Scope 3 ]]</f>
        <v>#ERROR!</v>
      </c>
      <c r="AS65" s="218" t="str">
        <f t="shared" si="8"/>
        <v>#ERROR!</v>
      </c>
      <c r="AT65" s="219" t="str">
        <f t="shared" si="9"/>
        <v>#ERROR!</v>
      </c>
      <c r="BI65" s="4">
        <v>11765.0</v>
      </c>
    </row>
    <row r="66" ht="12.75" hidden="1" customHeight="1">
      <c r="A66" s="5">
        <f>companies!A66</f>
        <v>65</v>
      </c>
      <c r="B66" s="200" t="s">
        <v>1254</v>
      </c>
      <c r="C66" s="200">
        <v>13613.0</v>
      </c>
      <c r="D66" s="200">
        <v>90280.0</v>
      </c>
      <c r="E66" s="200">
        <v>0.0</v>
      </c>
      <c r="F66" s="200">
        <v>5248302.0</v>
      </c>
      <c r="G66" s="200">
        <v>261.15</v>
      </c>
      <c r="H66" s="200">
        <v>21804.0</v>
      </c>
      <c r="I66" s="200">
        <v>6781.0</v>
      </c>
      <c r="J66" s="200">
        <v>810.0</v>
      </c>
      <c r="K66" s="200">
        <v>25959.0</v>
      </c>
      <c r="L66" s="200">
        <v>150269.0</v>
      </c>
      <c r="M66" s="213" t="s">
        <v>683</v>
      </c>
      <c r="N66" s="213" t="s">
        <v>683</v>
      </c>
      <c r="O66" s="213" t="s">
        <v>683</v>
      </c>
      <c r="P66" s="213" t="s">
        <v>683</v>
      </c>
      <c r="Q66" s="213" t="s">
        <v>683</v>
      </c>
      <c r="R66" s="200">
        <v>7777.0</v>
      </c>
      <c r="S66" s="213" t="s">
        <v>683</v>
      </c>
      <c r="T66" s="213" t="s">
        <v>683</v>
      </c>
      <c r="U66" s="213" t="s">
        <v>683</v>
      </c>
      <c r="V66" s="213" t="s">
        <v>683</v>
      </c>
      <c r="W66" s="213">
        <f t="shared" si="10"/>
        <v>5461963.15</v>
      </c>
      <c r="X66" s="200">
        <v>90280.0</v>
      </c>
      <c r="Y66" s="200">
        <v>5565856.15</v>
      </c>
      <c r="Z66" s="200"/>
      <c r="AA66" s="200"/>
      <c r="AB66" s="200"/>
      <c r="AC66" s="200"/>
      <c r="AD66" s="213" t="s">
        <v>683</v>
      </c>
      <c r="AE66" s="213" t="s">
        <v>683</v>
      </c>
      <c r="AF66" s="214" t="str">
        <f>Table1[[#This Row],[2019 Scope 1 (MeT Co2)]]</f>
        <v>#ERROR!</v>
      </c>
      <c r="AG66" s="215" t="str">
        <f t="shared" si="2"/>
        <v>#ERROR!</v>
      </c>
      <c r="AH66" s="216" t="str">
        <f t="shared" si="3"/>
        <v>#ERROR!</v>
      </c>
      <c r="AI66" s="210"/>
      <c r="AJ66" s="210"/>
      <c r="AK66" s="213" t="s">
        <v>683</v>
      </c>
      <c r="AL66" s="213" t="s">
        <v>683</v>
      </c>
      <c r="AM66" s="214" t="str">
        <f>Table1[[#This Row],[2019 Scope 2 ]]</f>
        <v>#ERROR!</v>
      </c>
      <c r="AN66" s="215" t="str">
        <f t="shared" si="4"/>
        <v>#ERROR!</v>
      </c>
      <c r="AO66" s="216" t="str">
        <f t="shared" si="5"/>
        <v>#ERROR!</v>
      </c>
      <c r="AP66" s="215" t="str">
        <f t="shared" si="6"/>
        <v>#ERROR!</v>
      </c>
      <c r="AQ66" s="216" t="str">
        <f t="shared" si="7"/>
        <v>#ERROR!</v>
      </c>
      <c r="AR66" s="217" t="str">
        <f>Table1[[#This Row],[2019 Scope 3 ]]</f>
        <v>#ERROR!</v>
      </c>
      <c r="AS66" s="218" t="str">
        <f t="shared" si="8"/>
        <v>#ERROR!</v>
      </c>
      <c r="AT66" s="219" t="str">
        <f t="shared" si="9"/>
        <v>#ERROR!</v>
      </c>
      <c r="BI66" s="4">
        <v>11796.0</v>
      </c>
    </row>
    <row r="67" ht="12.75" hidden="1" customHeight="1">
      <c r="A67" s="5">
        <f>companies!A67</f>
        <v>66</v>
      </c>
      <c r="B67" s="200" t="s">
        <v>1254</v>
      </c>
      <c r="C67" s="200">
        <v>113412.0</v>
      </c>
      <c r="D67" s="200">
        <v>3556553.0</v>
      </c>
      <c r="E67" s="200">
        <v>275375.0</v>
      </c>
      <c r="F67" s="200">
        <v>4200000.0</v>
      </c>
      <c r="G67" s="200">
        <v>2100000.0</v>
      </c>
      <c r="H67" s="200">
        <v>170000.0</v>
      </c>
      <c r="I67" s="200">
        <v>60000.0</v>
      </c>
      <c r="J67" s="200">
        <v>1200.0</v>
      </c>
      <c r="K67" s="200">
        <v>392557.0</v>
      </c>
      <c r="L67" s="200">
        <v>395000.0</v>
      </c>
      <c r="M67" s="213" t="s">
        <v>683</v>
      </c>
      <c r="N67" s="213">
        <v>53000.0</v>
      </c>
      <c r="O67" s="213" t="s">
        <v>683</v>
      </c>
      <c r="P67" s="213">
        <v>3874000.0</v>
      </c>
      <c r="Q67" s="213">
        <v>76000.0</v>
      </c>
      <c r="R67" s="200">
        <v>770.0</v>
      </c>
      <c r="S67" s="213" t="s">
        <v>683</v>
      </c>
      <c r="T67" s="213" t="s">
        <v>683</v>
      </c>
      <c r="U67" s="213" t="s">
        <v>683</v>
      </c>
      <c r="V67" s="213" t="s">
        <v>683</v>
      </c>
      <c r="W67" s="213">
        <f t="shared" si="10"/>
        <v>11322527</v>
      </c>
      <c r="X67" s="200">
        <v>275375.0</v>
      </c>
      <c r="Y67" s="200">
        <v>1.1711314E7</v>
      </c>
      <c r="Z67" s="200"/>
      <c r="AA67" s="200"/>
      <c r="AB67" s="200"/>
      <c r="AC67" s="200"/>
      <c r="AD67" s="213" t="s">
        <v>683</v>
      </c>
      <c r="AE67" s="213" t="s">
        <v>683</v>
      </c>
      <c r="AF67" s="214" t="str">
        <f>Table1[[#This Row],[2019 Scope 1 (MeT Co2)]]</f>
        <v>#ERROR!</v>
      </c>
      <c r="AG67" s="215" t="str">
        <f t="shared" si="2"/>
        <v>#ERROR!</v>
      </c>
      <c r="AH67" s="216" t="str">
        <f t="shared" si="3"/>
        <v>#ERROR!</v>
      </c>
      <c r="AI67" s="210"/>
      <c r="AJ67" s="210"/>
      <c r="AK67" s="213" t="s">
        <v>683</v>
      </c>
      <c r="AL67" s="213" t="s">
        <v>683</v>
      </c>
      <c r="AM67" s="214" t="str">
        <f>Table1[[#This Row],[2019 Scope 2 ]]</f>
        <v>#ERROR!</v>
      </c>
      <c r="AN67" s="215" t="str">
        <f t="shared" si="4"/>
        <v>#ERROR!</v>
      </c>
      <c r="AO67" s="216" t="str">
        <f t="shared" si="5"/>
        <v>#ERROR!</v>
      </c>
      <c r="AP67" s="215" t="str">
        <f t="shared" si="6"/>
        <v>#ERROR!</v>
      </c>
      <c r="AQ67" s="216" t="str">
        <f t="shared" si="7"/>
        <v>#ERROR!</v>
      </c>
      <c r="AR67" s="217" t="str">
        <f>Table1[[#This Row],[2019 Scope 3 ]]</f>
        <v>#ERROR!</v>
      </c>
      <c r="AS67" s="218" t="str">
        <f t="shared" si="8"/>
        <v>#ERROR!</v>
      </c>
      <c r="AT67" s="219" t="str">
        <f t="shared" si="9"/>
        <v>#ERROR!</v>
      </c>
      <c r="BI67" s="4">
        <v>11930.0</v>
      </c>
    </row>
    <row r="68" ht="12.75" hidden="1" customHeight="1">
      <c r="A68" s="5">
        <f>companies!A68</f>
        <v>67</v>
      </c>
      <c r="B68" s="200" t="s">
        <v>1254</v>
      </c>
      <c r="C68" s="200">
        <v>856590.0</v>
      </c>
      <c r="D68" s="200">
        <v>938601.0</v>
      </c>
      <c r="E68" s="200">
        <v>906349.0</v>
      </c>
      <c r="F68" s="200">
        <v>1.5034298E7</v>
      </c>
      <c r="G68" s="200" t="s">
        <v>683</v>
      </c>
      <c r="H68" s="200">
        <v>1164761.0</v>
      </c>
      <c r="I68" s="200">
        <v>2311217.0</v>
      </c>
      <c r="J68" s="200">
        <v>84072.0</v>
      </c>
      <c r="K68" s="200">
        <v>41446.0</v>
      </c>
      <c r="L68" s="200">
        <v>190306.0</v>
      </c>
      <c r="M68" s="213" t="s">
        <v>683</v>
      </c>
      <c r="N68" s="213">
        <v>89945.0</v>
      </c>
      <c r="O68" s="213" t="s">
        <v>683</v>
      </c>
      <c r="P68" s="213">
        <v>52986.0</v>
      </c>
      <c r="Q68" s="213">
        <v>883179.0</v>
      </c>
      <c r="R68" s="200" t="s">
        <v>683</v>
      </c>
      <c r="S68" s="213" t="s">
        <v>683</v>
      </c>
      <c r="T68" s="213" t="s">
        <v>683</v>
      </c>
      <c r="U68" s="213" t="s">
        <v>683</v>
      </c>
      <c r="V68" s="213" t="s">
        <v>683</v>
      </c>
      <c r="W68" s="213">
        <f t="shared" si="10"/>
        <v>19852210</v>
      </c>
      <c r="X68" s="200">
        <v>906349.0</v>
      </c>
      <c r="Y68" s="200">
        <v>2.1615149E7</v>
      </c>
      <c r="Z68" s="200"/>
      <c r="AA68" s="200"/>
      <c r="AB68" s="200"/>
      <c r="AC68" s="200"/>
      <c r="AD68" s="213" t="s">
        <v>683</v>
      </c>
      <c r="AE68" s="213" t="s">
        <v>683</v>
      </c>
      <c r="AF68" s="214" t="str">
        <f>Table1[[#This Row],[2019 Scope 1 (MeT Co2)]]</f>
        <v>#ERROR!</v>
      </c>
      <c r="AG68" s="215" t="str">
        <f t="shared" si="2"/>
        <v>#ERROR!</v>
      </c>
      <c r="AH68" s="216" t="str">
        <f t="shared" si="3"/>
        <v>#ERROR!</v>
      </c>
      <c r="AI68" s="210"/>
      <c r="AJ68" s="210"/>
      <c r="AK68" s="213" t="s">
        <v>683</v>
      </c>
      <c r="AL68" s="213" t="s">
        <v>683</v>
      </c>
      <c r="AM68" s="214" t="str">
        <f>Table1[[#This Row],[2019 Scope 2 ]]</f>
        <v>#ERROR!</v>
      </c>
      <c r="AN68" s="215" t="str">
        <f t="shared" si="4"/>
        <v>#ERROR!</v>
      </c>
      <c r="AO68" s="216" t="str">
        <f t="shared" si="5"/>
        <v>#ERROR!</v>
      </c>
      <c r="AP68" s="215" t="str">
        <f t="shared" si="6"/>
        <v>#ERROR!</v>
      </c>
      <c r="AQ68" s="216" t="str">
        <f t="shared" si="7"/>
        <v>#ERROR!</v>
      </c>
      <c r="AR68" s="217" t="str">
        <f>Table1[[#This Row],[2019 Scope 3 ]]</f>
        <v>#ERROR!</v>
      </c>
      <c r="AS68" s="218" t="str">
        <f t="shared" si="8"/>
        <v>#ERROR!</v>
      </c>
      <c r="AT68" s="219" t="str">
        <f t="shared" si="9"/>
        <v>#ERROR!</v>
      </c>
      <c r="BI68" s="4">
        <v>42037.0</v>
      </c>
    </row>
    <row r="69" ht="12.75" hidden="1" customHeight="1">
      <c r="A69" s="5">
        <f>companies!A69</f>
        <v>68</v>
      </c>
      <c r="B69" s="200" t="s">
        <v>1254</v>
      </c>
      <c r="C69" s="200">
        <v>28300.0</v>
      </c>
      <c r="D69" s="200">
        <v>199800.0</v>
      </c>
      <c r="E69" s="200">
        <v>176200.0</v>
      </c>
      <c r="F69" s="200">
        <v>911000.0</v>
      </c>
      <c r="G69" s="200">
        <v>192000.0</v>
      </c>
      <c r="H69" s="200">
        <v>46600.0</v>
      </c>
      <c r="I69" s="200" t="s">
        <v>683</v>
      </c>
      <c r="J69" s="200">
        <v>6490.0</v>
      </c>
      <c r="K69" s="200">
        <v>99700.0</v>
      </c>
      <c r="L69" s="200">
        <v>112550.0</v>
      </c>
      <c r="M69" s="213" t="s">
        <v>683</v>
      </c>
      <c r="N69" s="213" t="s">
        <v>683</v>
      </c>
      <c r="O69" s="213" t="s">
        <v>683</v>
      </c>
      <c r="P69" s="213" t="s">
        <v>683</v>
      </c>
      <c r="Q69" s="213">
        <v>6000.0</v>
      </c>
      <c r="R69" s="200">
        <v>200.0</v>
      </c>
      <c r="S69" s="213" t="s">
        <v>683</v>
      </c>
      <c r="T69" s="213" t="s">
        <v>683</v>
      </c>
      <c r="U69" s="213" t="s">
        <v>683</v>
      </c>
      <c r="V69" s="213" t="s">
        <v>683</v>
      </c>
      <c r="W69" s="213">
        <f t="shared" si="10"/>
        <v>1374540</v>
      </c>
      <c r="X69" s="200">
        <v>176200.0</v>
      </c>
      <c r="Y69" s="200">
        <v>1579040.0</v>
      </c>
      <c r="Z69" s="200"/>
      <c r="AA69" s="200"/>
      <c r="AB69" s="200"/>
      <c r="AC69" s="200"/>
      <c r="AD69" s="213" t="s">
        <v>683</v>
      </c>
      <c r="AE69" s="213" t="s">
        <v>683</v>
      </c>
      <c r="AF69" s="214" t="str">
        <f>Table1[[#This Row],[2019 Scope 1 (MeT Co2)]]</f>
        <v>#ERROR!</v>
      </c>
      <c r="AG69" s="215" t="str">
        <f t="shared" si="2"/>
        <v>#ERROR!</v>
      </c>
      <c r="AH69" s="216" t="str">
        <f t="shared" si="3"/>
        <v>#ERROR!</v>
      </c>
      <c r="AI69" s="210"/>
      <c r="AJ69" s="210"/>
      <c r="AK69" s="213" t="s">
        <v>683</v>
      </c>
      <c r="AL69" s="213" t="s">
        <v>683</v>
      </c>
      <c r="AM69" s="214" t="str">
        <f>Table1[[#This Row],[2019 Scope 2 ]]</f>
        <v>#ERROR!</v>
      </c>
      <c r="AN69" s="215" t="str">
        <f t="shared" si="4"/>
        <v>#ERROR!</v>
      </c>
      <c r="AO69" s="216" t="str">
        <f t="shared" si="5"/>
        <v>#ERROR!</v>
      </c>
      <c r="AP69" s="215" t="str">
        <f t="shared" si="6"/>
        <v>#ERROR!</v>
      </c>
      <c r="AQ69" s="216" t="str">
        <f t="shared" si="7"/>
        <v>#ERROR!</v>
      </c>
      <c r="AR69" s="217" t="str">
        <f>Table1[[#This Row],[2019 Scope 3 ]]</f>
        <v>#ERROR!</v>
      </c>
      <c r="AS69" s="218" t="str">
        <f t="shared" si="8"/>
        <v>#ERROR!</v>
      </c>
      <c r="AT69" s="219" t="str">
        <f t="shared" si="9"/>
        <v>#ERROR!</v>
      </c>
      <c r="BI69" s="4">
        <v>12406.0</v>
      </c>
    </row>
    <row r="70" ht="12.75" hidden="1" customHeight="1">
      <c r="A70" s="5">
        <f>companies!A70</f>
        <v>69</v>
      </c>
      <c r="B70" s="200" t="s">
        <v>1254</v>
      </c>
      <c r="C70" s="200" t="s">
        <v>1262</v>
      </c>
      <c r="D70" s="200" t="s">
        <v>1262</v>
      </c>
      <c r="E70" s="200" t="s">
        <v>1262</v>
      </c>
      <c r="F70" s="200" t="s">
        <v>1262</v>
      </c>
      <c r="G70" s="200" t="s">
        <v>1262</v>
      </c>
      <c r="H70" s="200" t="s">
        <v>1262</v>
      </c>
      <c r="I70" s="200" t="s">
        <v>1262</v>
      </c>
      <c r="J70" s="200" t="s">
        <v>1262</v>
      </c>
      <c r="K70" s="200" t="s">
        <v>1262</v>
      </c>
      <c r="L70" s="200" t="s">
        <v>1262</v>
      </c>
      <c r="M70" s="200" t="s">
        <v>1262</v>
      </c>
      <c r="N70" s="200" t="s">
        <v>1262</v>
      </c>
      <c r="O70" s="200" t="s">
        <v>1262</v>
      </c>
      <c r="P70" s="200" t="s">
        <v>1262</v>
      </c>
      <c r="Q70" s="200" t="s">
        <v>1262</v>
      </c>
      <c r="R70" s="200" t="s">
        <v>1262</v>
      </c>
      <c r="S70" s="200" t="s">
        <v>1262</v>
      </c>
      <c r="T70" s="200" t="s">
        <v>1262</v>
      </c>
      <c r="U70" s="200" t="s">
        <v>1262</v>
      </c>
      <c r="V70" s="200" t="s">
        <v>1262</v>
      </c>
      <c r="W70" s="213">
        <f t="shared" si="10"/>
        <v>0</v>
      </c>
      <c r="X70" s="200">
        <v>0.0</v>
      </c>
      <c r="Y70" s="200"/>
      <c r="Z70" s="200"/>
      <c r="AA70" s="200"/>
      <c r="AB70" s="213"/>
      <c r="AC70" s="213"/>
      <c r="AD70" s="213" t="e">
        <v>#N/A</v>
      </c>
      <c r="AE70" s="213" t="e">
        <v>#N/A</v>
      </c>
      <c r="AF70" s="214" t="str">
        <f>Table1[[#This Row],[2019 Scope 1 (MeT Co2)]]</f>
        <v>#ERROR!</v>
      </c>
      <c r="AG70" s="215" t="str">
        <f t="shared" si="2"/>
        <v>#ERROR!</v>
      </c>
      <c r="AH70" s="216" t="str">
        <f t="shared" si="3"/>
        <v>#ERROR!</v>
      </c>
      <c r="AI70" s="210"/>
      <c r="AJ70" s="210"/>
      <c r="AK70" s="213" t="e">
        <v>#N/A</v>
      </c>
      <c r="AL70" s="213" t="e">
        <v>#N/A</v>
      </c>
      <c r="AM70" s="214" t="str">
        <f>Table1[[#This Row],[2019 Scope 2 ]]</f>
        <v>#ERROR!</v>
      </c>
      <c r="AN70" s="215" t="str">
        <f t="shared" si="4"/>
        <v>#ERROR!</v>
      </c>
      <c r="AO70" s="216" t="str">
        <f t="shared" si="5"/>
        <v>#ERROR!</v>
      </c>
      <c r="AP70" s="215" t="str">
        <f t="shared" si="6"/>
        <v>#ERROR!</v>
      </c>
      <c r="AQ70" s="216" t="str">
        <f t="shared" si="7"/>
        <v>#ERROR!</v>
      </c>
      <c r="AR70" s="217" t="str">
        <f>Table1[[#This Row],[2019 Scope 3 ]]</f>
        <v>#ERROR!</v>
      </c>
      <c r="AS70" s="218" t="str">
        <f t="shared" si="8"/>
        <v>#ERROR!</v>
      </c>
      <c r="AT70" s="219" t="str">
        <f t="shared" si="9"/>
        <v>#ERROR!</v>
      </c>
    </row>
    <row r="71" ht="12.75" hidden="1" customHeight="1">
      <c r="A71" s="5">
        <f>companies!A71</f>
        <v>70</v>
      </c>
      <c r="B71" s="200" t="s">
        <v>1254</v>
      </c>
      <c r="C71" s="200" t="s">
        <v>1262</v>
      </c>
      <c r="D71" s="200" t="s">
        <v>1262</v>
      </c>
      <c r="E71" s="200" t="s">
        <v>1262</v>
      </c>
      <c r="F71" s="200" t="s">
        <v>1262</v>
      </c>
      <c r="G71" s="200" t="s">
        <v>1262</v>
      </c>
      <c r="H71" s="200" t="s">
        <v>1262</v>
      </c>
      <c r="I71" s="200" t="s">
        <v>1262</v>
      </c>
      <c r="J71" s="200" t="s">
        <v>1262</v>
      </c>
      <c r="K71" s="200" t="s">
        <v>1262</v>
      </c>
      <c r="L71" s="200" t="s">
        <v>1262</v>
      </c>
      <c r="M71" s="200" t="s">
        <v>1262</v>
      </c>
      <c r="N71" s="200" t="s">
        <v>1262</v>
      </c>
      <c r="O71" s="200" t="s">
        <v>1262</v>
      </c>
      <c r="P71" s="200" t="s">
        <v>1262</v>
      </c>
      <c r="Q71" s="200" t="s">
        <v>1262</v>
      </c>
      <c r="R71" s="200" t="s">
        <v>1262</v>
      </c>
      <c r="S71" s="200" t="s">
        <v>1262</v>
      </c>
      <c r="T71" s="200" t="s">
        <v>1262</v>
      </c>
      <c r="U71" s="200" t="s">
        <v>1262</v>
      </c>
      <c r="V71" s="200" t="s">
        <v>1262</v>
      </c>
      <c r="W71" s="213">
        <f t="shared" si="10"/>
        <v>0</v>
      </c>
      <c r="X71" s="200">
        <v>0.0</v>
      </c>
      <c r="Y71" s="200"/>
      <c r="Z71" s="200"/>
      <c r="AA71" s="200"/>
      <c r="AB71" s="213"/>
      <c r="AC71" s="213"/>
      <c r="AD71" s="213" t="e">
        <v>#N/A</v>
      </c>
      <c r="AE71" s="213" t="e">
        <v>#N/A</v>
      </c>
      <c r="AF71" s="214" t="str">
        <f>Table1[[#This Row],[2019 Scope 1 (MeT Co2)]]</f>
        <v>#ERROR!</v>
      </c>
      <c r="AG71" s="215" t="str">
        <f t="shared" si="2"/>
        <v>#ERROR!</v>
      </c>
      <c r="AH71" s="216" t="str">
        <f t="shared" si="3"/>
        <v>#ERROR!</v>
      </c>
      <c r="AI71" s="210"/>
      <c r="AJ71" s="210"/>
      <c r="AK71" s="213" t="e">
        <v>#N/A</v>
      </c>
      <c r="AL71" s="213" t="e">
        <v>#N/A</v>
      </c>
      <c r="AM71" s="214" t="str">
        <f>Table1[[#This Row],[2019 Scope 2 ]]</f>
        <v>#ERROR!</v>
      </c>
      <c r="AN71" s="215" t="str">
        <f t="shared" si="4"/>
        <v>#ERROR!</v>
      </c>
      <c r="AO71" s="216" t="str">
        <f t="shared" si="5"/>
        <v>#ERROR!</v>
      </c>
      <c r="AP71" s="215" t="str">
        <f t="shared" si="6"/>
        <v>#ERROR!</v>
      </c>
      <c r="AQ71" s="216" t="str">
        <f t="shared" si="7"/>
        <v>#ERROR!</v>
      </c>
      <c r="AR71" s="217" t="str">
        <f>Table1[[#This Row],[2019 Scope 3 ]]</f>
        <v>#ERROR!</v>
      </c>
      <c r="AS71" s="218" t="str">
        <f t="shared" si="8"/>
        <v>#ERROR!</v>
      </c>
      <c r="AT71" s="219" t="str">
        <f t="shared" si="9"/>
        <v>#ERROR!</v>
      </c>
    </row>
    <row r="72" ht="12.75" hidden="1" customHeight="1">
      <c r="A72" s="5">
        <f>companies!A72</f>
        <v>71</v>
      </c>
      <c r="B72" s="200" t="s">
        <v>1254</v>
      </c>
      <c r="C72" s="200">
        <v>46714.0</v>
      </c>
      <c r="D72" s="200">
        <v>258171.0</v>
      </c>
      <c r="E72" s="200">
        <v>209065.0</v>
      </c>
      <c r="F72" s="200">
        <v>7700000.0</v>
      </c>
      <c r="G72" s="200" t="s">
        <v>683</v>
      </c>
      <c r="H72" s="200">
        <v>15000.0</v>
      </c>
      <c r="I72" s="200">
        <v>1100000.0</v>
      </c>
      <c r="J72" s="200">
        <v>2000.0</v>
      </c>
      <c r="K72" s="200">
        <v>89000.0</v>
      </c>
      <c r="L72" s="200">
        <v>131000.0</v>
      </c>
      <c r="M72" s="213" t="s">
        <v>683</v>
      </c>
      <c r="N72" s="213">
        <v>101000.0</v>
      </c>
      <c r="O72" s="213" t="s">
        <v>683</v>
      </c>
      <c r="P72" s="213">
        <v>6200000.0</v>
      </c>
      <c r="Q72" s="213">
        <v>439000.0</v>
      </c>
      <c r="R72" s="200" t="s">
        <v>683</v>
      </c>
      <c r="S72" s="213" t="s">
        <v>683</v>
      </c>
      <c r="T72" s="213" t="s">
        <v>683</v>
      </c>
      <c r="U72" s="213" t="s">
        <v>683</v>
      </c>
      <c r="V72" s="213" t="s">
        <v>683</v>
      </c>
      <c r="W72" s="213">
        <f t="shared" si="10"/>
        <v>15777000</v>
      </c>
      <c r="X72" s="200">
        <v>209065.0</v>
      </c>
      <c r="Y72" s="200">
        <v>1.6032779E7</v>
      </c>
      <c r="Z72" s="200"/>
      <c r="AA72" s="200"/>
      <c r="AB72" s="200"/>
      <c r="AC72" s="200"/>
      <c r="AD72" s="213" t="s">
        <v>1260</v>
      </c>
      <c r="AE72" s="213" t="s">
        <v>1261</v>
      </c>
      <c r="AF72" s="214" t="str">
        <f>Table1[[#This Row],[2019 Scope 1 (MeT Co2)]]</f>
        <v>#ERROR!</v>
      </c>
      <c r="AG72" s="215" t="str">
        <f t="shared" si="2"/>
        <v>#ERROR!</v>
      </c>
      <c r="AH72" s="216" t="str">
        <f t="shared" si="3"/>
        <v>#ERROR!</v>
      </c>
      <c r="AI72" s="210"/>
      <c r="AJ72" s="210"/>
      <c r="AK72" s="213" t="s">
        <v>1260</v>
      </c>
      <c r="AL72" s="213" t="s">
        <v>1261</v>
      </c>
      <c r="AM72" s="214" t="str">
        <f>Table1[[#This Row],[2019 Scope 2 ]]</f>
        <v>#ERROR!</v>
      </c>
      <c r="AN72" s="215" t="str">
        <f t="shared" si="4"/>
        <v>#ERROR!</v>
      </c>
      <c r="AO72" s="216" t="str">
        <f t="shared" si="5"/>
        <v>#ERROR!</v>
      </c>
      <c r="AP72" s="215" t="str">
        <f t="shared" si="6"/>
        <v>#ERROR!</v>
      </c>
      <c r="AQ72" s="216" t="str">
        <f t="shared" si="7"/>
        <v>#ERROR!</v>
      </c>
      <c r="AR72" s="217" t="str">
        <f>Table1[[#This Row],[2019 Scope 3 ]]</f>
        <v>#ERROR!</v>
      </c>
      <c r="AS72" s="218" t="str">
        <f t="shared" si="8"/>
        <v>#ERROR!</v>
      </c>
      <c r="AT72" s="219" t="str">
        <f t="shared" si="9"/>
        <v>#ERROR!</v>
      </c>
      <c r="BI72" s="4">
        <v>13279.0</v>
      </c>
    </row>
    <row r="73" ht="12.75" hidden="1" customHeight="1">
      <c r="A73" s="5">
        <f>companies!A73</f>
        <v>72</v>
      </c>
      <c r="B73" s="200" t="s">
        <v>1254</v>
      </c>
      <c r="C73" s="200">
        <v>2817.0</v>
      </c>
      <c r="D73" s="200">
        <v>74692.0</v>
      </c>
      <c r="E73" s="200">
        <v>65936.0</v>
      </c>
      <c r="F73" s="200">
        <v>224687.0</v>
      </c>
      <c r="G73" s="200">
        <v>72946.0</v>
      </c>
      <c r="H73" s="200">
        <v>27885.0</v>
      </c>
      <c r="I73" s="200">
        <v>30380.0</v>
      </c>
      <c r="J73" s="200">
        <v>752.0</v>
      </c>
      <c r="K73" s="200">
        <v>31285.0</v>
      </c>
      <c r="L73" s="200">
        <v>17929.0</v>
      </c>
      <c r="M73" s="213">
        <v>9329.0</v>
      </c>
      <c r="N73" s="213" t="s">
        <v>683</v>
      </c>
      <c r="O73" s="213" t="s">
        <v>683</v>
      </c>
      <c r="P73" s="213" t="s">
        <v>683</v>
      </c>
      <c r="Q73" s="213" t="s">
        <v>683</v>
      </c>
      <c r="R73" s="200" t="s">
        <v>683</v>
      </c>
      <c r="S73" s="213" t="s">
        <v>683</v>
      </c>
      <c r="T73" s="213" t="s">
        <v>683</v>
      </c>
      <c r="U73" s="213" t="s">
        <v>683</v>
      </c>
      <c r="V73" s="213" t="s">
        <v>683</v>
      </c>
      <c r="W73" s="213">
        <f t="shared" si="10"/>
        <v>415193</v>
      </c>
      <c r="X73" s="200">
        <v>65936.0</v>
      </c>
      <c r="Y73" s="200">
        <v>483946.0</v>
      </c>
      <c r="Z73" s="200"/>
      <c r="AA73" s="200"/>
      <c r="AB73" s="200"/>
      <c r="AC73" s="200"/>
      <c r="AD73" s="213" t="s">
        <v>683</v>
      </c>
      <c r="AE73" s="213" t="s">
        <v>683</v>
      </c>
      <c r="AF73" s="214" t="str">
        <f>Table1[[#This Row],[2019 Scope 1 (MeT Co2)]]</f>
        <v>#ERROR!</v>
      </c>
      <c r="AG73" s="215" t="str">
        <f t="shared" si="2"/>
        <v>#ERROR!</v>
      </c>
      <c r="AH73" s="216" t="str">
        <f t="shared" si="3"/>
        <v>#ERROR!</v>
      </c>
      <c r="AI73" s="210"/>
      <c r="AJ73" s="210"/>
      <c r="AK73" s="213" t="s">
        <v>683</v>
      </c>
      <c r="AL73" s="213" t="s">
        <v>683</v>
      </c>
      <c r="AM73" s="214" t="str">
        <f>Table1[[#This Row],[2019 Scope 2 ]]</f>
        <v>#ERROR!</v>
      </c>
      <c r="AN73" s="215" t="str">
        <f t="shared" si="4"/>
        <v>#ERROR!</v>
      </c>
      <c r="AO73" s="220" t="str">
        <f t="shared" si="5"/>
        <v>#ERROR!</v>
      </c>
      <c r="AP73" s="215" t="str">
        <f t="shared" si="6"/>
        <v>#ERROR!</v>
      </c>
      <c r="AQ73" s="220" t="str">
        <f t="shared" si="7"/>
        <v>#ERROR!</v>
      </c>
      <c r="AR73" s="217" t="str">
        <f>Table1[[#This Row],[2019 Scope 3 ]]</f>
        <v>#ERROR!</v>
      </c>
      <c r="AS73" s="218" t="str">
        <f t="shared" si="8"/>
        <v>#ERROR!</v>
      </c>
      <c r="AT73" s="219" t="str">
        <f t="shared" si="9"/>
        <v>#ERROR!</v>
      </c>
      <c r="BI73" s="200">
        <v>13604.0</v>
      </c>
    </row>
    <row r="74" ht="12.75" hidden="1" customHeight="1">
      <c r="A74" s="5">
        <f>companies!A74</f>
        <v>73</v>
      </c>
      <c r="B74" s="200" t="s">
        <v>1254</v>
      </c>
      <c r="C74" s="200">
        <v>2.2430197E7</v>
      </c>
      <c r="D74" s="200">
        <v>6420000.0</v>
      </c>
      <c r="E74" s="200" t="s">
        <v>683</v>
      </c>
      <c r="F74" s="200" t="s">
        <v>683</v>
      </c>
      <c r="G74" s="200" t="s">
        <v>683</v>
      </c>
      <c r="H74" s="200" t="s">
        <v>683</v>
      </c>
      <c r="I74" s="200">
        <v>0.0</v>
      </c>
      <c r="J74" s="200" t="s">
        <v>683</v>
      </c>
      <c r="K74" s="200" t="s">
        <v>683</v>
      </c>
      <c r="L74" s="200" t="s">
        <v>683</v>
      </c>
      <c r="M74" s="213" t="s">
        <v>683</v>
      </c>
      <c r="N74" s="213" t="s">
        <v>683</v>
      </c>
      <c r="O74" s="213">
        <v>1.03E8</v>
      </c>
      <c r="P74" s="213">
        <v>1.03E8</v>
      </c>
      <c r="Q74" s="213" t="s">
        <v>683</v>
      </c>
      <c r="R74" s="200" t="s">
        <v>683</v>
      </c>
      <c r="S74" s="213" t="s">
        <v>683</v>
      </c>
      <c r="T74" s="213" t="s">
        <v>683</v>
      </c>
      <c r="U74" s="213" t="s">
        <v>683</v>
      </c>
      <c r="V74" s="213" t="s">
        <v>683</v>
      </c>
      <c r="W74" s="213">
        <f t="shared" si="10"/>
        <v>206000000</v>
      </c>
      <c r="X74" s="200">
        <v>6420000.0</v>
      </c>
      <c r="Y74" s="200">
        <v>2.34850197E8</v>
      </c>
      <c r="Z74" s="200"/>
      <c r="AA74" s="200"/>
      <c r="AB74" s="213"/>
      <c r="AC74" s="213"/>
      <c r="AD74" s="213" t="s">
        <v>683</v>
      </c>
      <c r="AE74" s="213" t="s">
        <v>683</v>
      </c>
      <c r="AF74" s="214" t="str">
        <f>Table1[[#This Row],[2019 Scope 1 (MeT Co2)]]</f>
        <v>#ERROR!</v>
      </c>
      <c r="AG74" s="215" t="str">
        <f t="shared" si="2"/>
        <v>#ERROR!</v>
      </c>
      <c r="AH74" s="216" t="str">
        <f t="shared" si="3"/>
        <v>#ERROR!</v>
      </c>
      <c r="AI74" s="210"/>
      <c r="AJ74" s="210"/>
      <c r="AK74" s="213" t="s">
        <v>683</v>
      </c>
      <c r="AL74" s="213" t="s">
        <v>683</v>
      </c>
      <c r="AM74" s="214" t="str">
        <f>Table1[[#This Row],[2019 Scope 2 ]]</f>
        <v>#ERROR!</v>
      </c>
      <c r="AN74" s="215" t="str">
        <f t="shared" si="4"/>
        <v>#ERROR!</v>
      </c>
      <c r="AO74" s="216" t="str">
        <f t="shared" si="5"/>
        <v>#ERROR!</v>
      </c>
      <c r="AP74" s="215" t="str">
        <f t="shared" si="6"/>
        <v>#ERROR!</v>
      </c>
      <c r="AQ74" s="216" t="str">
        <f t="shared" si="7"/>
        <v>#ERROR!</v>
      </c>
      <c r="AR74" s="217" t="str">
        <f>Table1[[#This Row],[2019 Scope 3 ]]</f>
        <v>#ERROR!</v>
      </c>
      <c r="AS74" s="218" t="str">
        <f t="shared" si="8"/>
        <v>#ERROR!</v>
      </c>
      <c r="AT74" s="219" t="str">
        <f t="shared" si="9"/>
        <v>#ERROR!</v>
      </c>
      <c r="BI74" s="4">
        <v>13649.0</v>
      </c>
    </row>
    <row r="75" ht="12.75" hidden="1" customHeight="1">
      <c r="A75" s="5">
        <f>companies!A75</f>
        <v>74</v>
      </c>
      <c r="B75" s="200" t="s">
        <v>1254</v>
      </c>
      <c r="C75" s="200">
        <v>16520.0</v>
      </c>
      <c r="D75" s="200">
        <v>560683.0</v>
      </c>
      <c r="E75" s="200">
        <v>349022.0</v>
      </c>
      <c r="F75" s="200">
        <v>1139792.0</v>
      </c>
      <c r="G75" s="200">
        <v>151888.0</v>
      </c>
      <c r="H75" s="200">
        <v>21233.0</v>
      </c>
      <c r="I75" s="200">
        <v>8956.0</v>
      </c>
      <c r="J75" s="200">
        <v>1055.0</v>
      </c>
      <c r="K75" s="200">
        <v>173807.0</v>
      </c>
      <c r="L75" s="200">
        <v>70.0</v>
      </c>
      <c r="M75" s="213" t="s">
        <v>683</v>
      </c>
      <c r="N75" s="213">
        <v>35824.0</v>
      </c>
      <c r="O75" s="213" t="s">
        <v>683</v>
      </c>
      <c r="P75" s="213" t="s">
        <v>683</v>
      </c>
      <c r="Q75" s="213" t="s">
        <v>683</v>
      </c>
      <c r="R75" s="200">
        <v>10915.0</v>
      </c>
      <c r="S75" s="213" t="s">
        <v>683</v>
      </c>
      <c r="T75" s="213" t="s">
        <v>683</v>
      </c>
      <c r="U75" s="213" t="s">
        <v>683</v>
      </c>
      <c r="V75" s="213" t="s">
        <v>683</v>
      </c>
      <c r="W75" s="213">
        <f t="shared" si="10"/>
        <v>1543540</v>
      </c>
      <c r="X75" s="200">
        <v>349022.0</v>
      </c>
      <c r="Y75" s="200">
        <v>1909082.0</v>
      </c>
      <c r="Z75" s="200"/>
      <c r="AA75" s="200"/>
      <c r="AB75" s="200"/>
      <c r="AC75" s="200"/>
      <c r="AD75" s="213" t="s">
        <v>683</v>
      </c>
      <c r="AE75" s="213" t="s">
        <v>683</v>
      </c>
      <c r="AF75" s="214" t="str">
        <f>Table1[[#This Row],[2019 Scope 1 (MeT Co2)]]</f>
        <v>#ERROR!</v>
      </c>
      <c r="AG75" s="215" t="str">
        <f t="shared" si="2"/>
        <v>#ERROR!</v>
      </c>
      <c r="AH75" s="216" t="str">
        <f t="shared" si="3"/>
        <v>#ERROR!</v>
      </c>
      <c r="AI75" s="210"/>
      <c r="AJ75" s="210"/>
      <c r="AK75" s="213" t="s">
        <v>683</v>
      </c>
      <c r="AL75" s="213" t="s">
        <v>683</v>
      </c>
      <c r="AM75" s="214" t="str">
        <f>Table1[[#This Row],[2019 Scope 2 ]]</f>
        <v>#ERROR!</v>
      </c>
      <c r="AN75" s="215" t="str">
        <f t="shared" si="4"/>
        <v>#ERROR!</v>
      </c>
      <c r="AO75" s="216" t="str">
        <f t="shared" si="5"/>
        <v>#ERROR!</v>
      </c>
      <c r="AP75" s="215" t="str">
        <f t="shared" si="6"/>
        <v>#ERROR!</v>
      </c>
      <c r="AQ75" s="216" t="str">
        <f t="shared" si="7"/>
        <v>#ERROR!</v>
      </c>
      <c r="AR75" s="217" t="str">
        <f>Table1[[#This Row],[2019 Scope 3 ]]</f>
        <v>#ERROR!</v>
      </c>
      <c r="AS75" s="218" t="str">
        <f t="shared" si="8"/>
        <v>#ERROR!</v>
      </c>
      <c r="AT75" s="219" t="str">
        <f t="shared" si="9"/>
        <v>#ERROR!</v>
      </c>
      <c r="BI75" s="4">
        <v>14013.0</v>
      </c>
    </row>
    <row r="76" ht="12.75" hidden="1" customHeight="1">
      <c r="A76" s="5">
        <f>companies!A76</f>
        <v>75</v>
      </c>
      <c r="B76" s="200" t="s">
        <v>1254</v>
      </c>
      <c r="C76" s="200">
        <v>9897.0</v>
      </c>
      <c r="D76" s="200" t="s">
        <v>683</v>
      </c>
      <c r="E76" s="200">
        <v>47911.0</v>
      </c>
      <c r="F76" s="200" t="s">
        <v>683</v>
      </c>
      <c r="G76" s="200" t="s">
        <v>683</v>
      </c>
      <c r="H76" s="200" t="s">
        <v>683</v>
      </c>
      <c r="I76" s="200" t="s">
        <v>683</v>
      </c>
      <c r="J76" s="200" t="s">
        <v>683</v>
      </c>
      <c r="K76" s="200">
        <v>32130.06</v>
      </c>
      <c r="L76" s="200" t="s">
        <v>683</v>
      </c>
      <c r="M76" s="213" t="s">
        <v>683</v>
      </c>
      <c r="N76" s="213" t="s">
        <v>683</v>
      </c>
      <c r="O76" s="213" t="s">
        <v>683</v>
      </c>
      <c r="P76" s="213" t="s">
        <v>683</v>
      </c>
      <c r="Q76" s="213" t="s">
        <v>683</v>
      </c>
      <c r="R76" s="200" t="s">
        <v>683</v>
      </c>
      <c r="S76" s="213" t="s">
        <v>683</v>
      </c>
      <c r="T76" s="213" t="s">
        <v>683</v>
      </c>
      <c r="U76" s="213" t="s">
        <v>683</v>
      </c>
      <c r="V76" s="213" t="s">
        <v>683</v>
      </c>
      <c r="W76" s="213">
        <f t="shared" si="10"/>
        <v>32130.06</v>
      </c>
      <c r="X76" s="200">
        <v>47911.0</v>
      </c>
      <c r="Y76" s="200">
        <v>89938.06</v>
      </c>
      <c r="Z76" s="200"/>
      <c r="AA76" s="200"/>
      <c r="AB76" s="200"/>
      <c r="AC76" s="200"/>
      <c r="AD76" s="213" t="s">
        <v>1255</v>
      </c>
      <c r="AE76" s="213" t="s">
        <v>1256</v>
      </c>
      <c r="AF76" s="214" t="str">
        <f>Table1[[#This Row],[2019 Scope 1 (MeT Co2)]]</f>
        <v>#ERROR!</v>
      </c>
      <c r="AG76" s="215" t="str">
        <f t="shared" si="2"/>
        <v>#ERROR!</v>
      </c>
      <c r="AH76" s="216" t="str">
        <f t="shared" si="3"/>
        <v>#ERROR!</v>
      </c>
      <c r="AI76" s="210"/>
      <c r="AJ76" s="210"/>
      <c r="AK76" s="213" t="s">
        <v>1255</v>
      </c>
      <c r="AL76" s="213" t="s">
        <v>1256</v>
      </c>
      <c r="AM76" s="214" t="str">
        <f>Table1[[#This Row],[2019 Scope 2 ]]</f>
        <v>#ERROR!</v>
      </c>
      <c r="AN76" s="215" t="str">
        <f t="shared" si="4"/>
        <v>#ERROR!</v>
      </c>
      <c r="AO76" s="216" t="str">
        <f t="shared" si="5"/>
        <v>#ERROR!</v>
      </c>
      <c r="AP76" s="215" t="str">
        <f t="shared" si="6"/>
        <v>#ERROR!</v>
      </c>
      <c r="AQ76" s="216" t="str">
        <f t="shared" si="7"/>
        <v>#ERROR!</v>
      </c>
      <c r="AR76" s="217" t="str">
        <f>Table1[[#This Row],[2019 Scope 3 ]]</f>
        <v>#ERROR!</v>
      </c>
      <c r="AS76" s="218" t="str">
        <f t="shared" si="8"/>
        <v>#ERROR!</v>
      </c>
      <c r="AT76" s="219" t="str">
        <f t="shared" si="9"/>
        <v>#ERROR!</v>
      </c>
      <c r="BI76" s="200">
        <v>58304.0</v>
      </c>
    </row>
    <row r="77" ht="12.75" hidden="1" customHeight="1">
      <c r="A77" s="5">
        <f>companies!A77</f>
        <v>76</v>
      </c>
      <c r="B77" s="200" t="s">
        <v>1254</v>
      </c>
      <c r="C77" s="200">
        <v>3552415.0</v>
      </c>
      <c r="D77" s="200">
        <v>1556523.0</v>
      </c>
      <c r="E77" s="200">
        <v>1425255.0</v>
      </c>
      <c r="F77" s="200">
        <v>3.3599797E7</v>
      </c>
      <c r="G77" s="200">
        <v>600278.0</v>
      </c>
      <c r="H77" s="200">
        <v>946616.0</v>
      </c>
      <c r="I77" s="200">
        <v>720951.0</v>
      </c>
      <c r="J77" s="200">
        <v>25353.0</v>
      </c>
      <c r="K77" s="200">
        <v>140452.0</v>
      </c>
      <c r="L77" s="200">
        <v>201663.0</v>
      </c>
      <c r="M77" s="213" t="s">
        <v>683</v>
      </c>
      <c r="N77" s="213">
        <v>1.1088559E7</v>
      </c>
      <c r="O77" s="213">
        <v>231426.0</v>
      </c>
      <c r="P77" s="213" t="s">
        <v>683</v>
      </c>
      <c r="Q77" s="213">
        <v>811130.0</v>
      </c>
      <c r="R77" s="200" t="s">
        <v>683</v>
      </c>
      <c r="S77" s="213">
        <v>1843424.0</v>
      </c>
      <c r="T77" s="213">
        <v>255417.0</v>
      </c>
      <c r="U77" s="213" t="s">
        <v>683</v>
      </c>
      <c r="V77" s="213" t="s">
        <v>683</v>
      </c>
      <c r="W77" s="213">
        <f t="shared" si="10"/>
        <v>50465066</v>
      </c>
      <c r="X77" s="200">
        <v>1425255.0</v>
      </c>
      <c r="Y77" s="200">
        <v>5.5442736E7</v>
      </c>
      <c r="Z77" s="200"/>
      <c r="AA77" s="200"/>
      <c r="AB77" s="200"/>
      <c r="AC77" s="200"/>
      <c r="AD77" s="213" t="s">
        <v>683</v>
      </c>
      <c r="AE77" s="213" t="s">
        <v>683</v>
      </c>
      <c r="AF77" s="214" t="str">
        <f>Table1[[#This Row],[2019 Scope 1 (MeT Co2)]]</f>
        <v>#ERROR!</v>
      </c>
      <c r="AG77" s="215" t="str">
        <f t="shared" si="2"/>
        <v>#ERROR!</v>
      </c>
      <c r="AH77" s="216" t="str">
        <f t="shared" si="3"/>
        <v>#ERROR!</v>
      </c>
      <c r="AI77" s="210"/>
      <c r="AJ77" s="210"/>
      <c r="AK77" s="213" t="s">
        <v>683</v>
      </c>
      <c r="AL77" s="213" t="s">
        <v>683</v>
      </c>
      <c r="AM77" s="214" t="str">
        <f>Table1[[#This Row],[2019 Scope 2 ]]</f>
        <v>#ERROR!</v>
      </c>
      <c r="AN77" s="215" t="str">
        <f t="shared" si="4"/>
        <v>#ERROR!</v>
      </c>
      <c r="AO77" s="216" t="str">
        <f t="shared" si="5"/>
        <v>#ERROR!</v>
      </c>
      <c r="AP77" s="215" t="str">
        <f t="shared" si="6"/>
        <v>#ERROR!</v>
      </c>
      <c r="AQ77" s="216" t="str">
        <f t="shared" si="7"/>
        <v>#ERROR!</v>
      </c>
      <c r="AR77" s="217" t="str">
        <f>Table1[[#This Row],[2019 Scope 3 ]]</f>
        <v>#ERROR!</v>
      </c>
      <c r="AS77" s="218" t="str">
        <f t="shared" si="8"/>
        <v>#ERROR!</v>
      </c>
      <c r="AT77" s="219" t="str">
        <f t="shared" si="9"/>
        <v>#ERROR!</v>
      </c>
      <c r="BI77" s="4">
        <v>14605.0</v>
      </c>
    </row>
    <row r="78" ht="12.75" hidden="1" customHeight="1">
      <c r="A78" s="5">
        <f>companies!A78</f>
        <v>77</v>
      </c>
      <c r="B78" s="200" t="s">
        <v>1254</v>
      </c>
      <c r="C78" s="200">
        <v>734638.0</v>
      </c>
      <c r="D78" s="200">
        <v>762286.0</v>
      </c>
      <c r="E78" s="200">
        <v>634205.0</v>
      </c>
      <c r="F78" s="200">
        <v>3794093.0</v>
      </c>
      <c r="G78" s="200">
        <v>345953.0</v>
      </c>
      <c r="H78" s="200">
        <v>252909.0</v>
      </c>
      <c r="I78" s="200">
        <v>873030.0</v>
      </c>
      <c r="J78" s="200">
        <v>16420.0</v>
      </c>
      <c r="K78" s="200">
        <v>195718.0</v>
      </c>
      <c r="L78" s="200">
        <v>60645.0</v>
      </c>
      <c r="M78" s="213">
        <v>36273.0</v>
      </c>
      <c r="N78" s="213">
        <v>99576.0</v>
      </c>
      <c r="O78" s="213" t="s">
        <v>683</v>
      </c>
      <c r="P78" s="213" t="s">
        <v>683</v>
      </c>
      <c r="Q78" s="213" t="s">
        <v>683</v>
      </c>
      <c r="R78" s="200" t="s">
        <v>683</v>
      </c>
      <c r="S78" s="213" t="s">
        <v>683</v>
      </c>
      <c r="T78" s="213">
        <v>33892.0</v>
      </c>
      <c r="U78" s="213" t="s">
        <v>683</v>
      </c>
      <c r="V78" s="213" t="s">
        <v>683</v>
      </c>
      <c r="W78" s="213">
        <f t="shared" si="10"/>
        <v>5708509</v>
      </c>
      <c r="X78" s="200">
        <v>634205.0</v>
      </c>
      <c r="Y78" s="200">
        <v>7077352.0</v>
      </c>
      <c r="Z78" s="200"/>
      <c r="AA78" s="200"/>
      <c r="AB78" s="200"/>
      <c r="AC78" s="200"/>
      <c r="AD78" s="213" t="s">
        <v>1255</v>
      </c>
      <c r="AE78" s="213" t="s">
        <v>1256</v>
      </c>
      <c r="AF78" s="214" t="str">
        <f>Table1[[#This Row],[2019 Scope 1 (MeT Co2)]]</f>
        <v>#ERROR!</v>
      </c>
      <c r="AG78" s="215" t="str">
        <f t="shared" si="2"/>
        <v>#ERROR!</v>
      </c>
      <c r="AH78" s="216" t="str">
        <f t="shared" si="3"/>
        <v>#ERROR!</v>
      </c>
      <c r="AI78" s="210"/>
      <c r="AJ78" s="210"/>
      <c r="AK78" s="213" t="s">
        <v>1255</v>
      </c>
      <c r="AL78" s="213" t="s">
        <v>1256</v>
      </c>
      <c r="AM78" s="214" t="str">
        <f>Table1[[#This Row],[2019 Scope 2 ]]</f>
        <v>#ERROR!</v>
      </c>
      <c r="AN78" s="215" t="str">
        <f t="shared" si="4"/>
        <v>#ERROR!</v>
      </c>
      <c r="AO78" s="216" t="str">
        <f t="shared" si="5"/>
        <v>#ERROR!</v>
      </c>
      <c r="AP78" s="215" t="str">
        <f t="shared" si="6"/>
        <v>#ERROR!</v>
      </c>
      <c r="AQ78" s="216" t="str">
        <f t="shared" si="7"/>
        <v>#ERROR!</v>
      </c>
      <c r="AR78" s="217" t="str">
        <f>Table1[[#This Row],[2019 Scope 3 ]]</f>
        <v>#ERROR!</v>
      </c>
      <c r="AS78" s="218" t="str">
        <f t="shared" si="8"/>
        <v>#ERROR!</v>
      </c>
      <c r="AT78" s="219" t="str">
        <f t="shared" si="9"/>
        <v>#ERROR!</v>
      </c>
      <c r="BI78" s="4">
        <v>14683.0</v>
      </c>
    </row>
    <row r="79" ht="12.75" hidden="1" customHeight="1">
      <c r="A79" s="5">
        <f>companies!A79</f>
        <v>78</v>
      </c>
      <c r="B79" s="200" t="s">
        <v>1254</v>
      </c>
      <c r="C79" s="200">
        <v>397210.0</v>
      </c>
      <c r="D79" s="200">
        <v>447322.0</v>
      </c>
      <c r="E79" s="200">
        <v>158672.0</v>
      </c>
      <c r="F79" s="200">
        <v>3079756.0</v>
      </c>
      <c r="G79" s="200">
        <v>112716.0</v>
      </c>
      <c r="H79" s="200">
        <v>113778.0</v>
      </c>
      <c r="I79" s="200">
        <v>437675.0</v>
      </c>
      <c r="J79" s="200">
        <v>1832.0</v>
      </c>
      <c r="K79" s="200">
        <v>111283.0</v>
      </c>
      <c r="L79" s="200">
        <v>58200.0</v>
      </c>
      <c r="M79" s="213" t="s">
        <v>683</v>
      </c>
      <c r="N79" s="213">
        <v>46621.0</v>
      </c>
      <c r="O79" s="213" t="s">
        <v>683</v>
      </c>
      <c r="P79" s="213">
        <v>107477.0</v>
      </c>
      <c r="Q79" s="213">
        <v>57272.0</v>
      </c>
      <c r="R79" s="200" t="s">
        <v>683</v>
      </c>
      <c r="S79" s="213" t="s">
        <v>683</v>
      </c>
      <c r="T79" s="213" t="s">
        <v>683</v>
      </c>
      <c r="U79" s="213" t="s">
        <v>683</v>
      </c>
      <c r="V79" s="213" t="s">
        <v>683</v>
      </c>
      <c r="W79" s="213">
        <f t="shared" si="10"/>
        <v>4126610</v>
      </c>
      <c r="X79" s="200">
        <v>158672.0</v>
      </c>
      <c r="Y79" s="200">
        <v>4682492.0</v>
      </c>
      <c r="Z79" s="200"/>
      <c r="AA79" s="200"/>
      <c r="AB79" s="200"/>
      <c r="AC79" s="200"/>
      <c r="AD79" s="213" t="s">
        <v>683</v>
      </c>
      <c r="AE79" s="213" t="s">
        <v>683</v>
      </c>
      <c r="AF79" s="214" t="str">
        <f>Table1[[#This Row],[2019 Scope 1 (MeT Co2)]]</f>
        <v>#ERROR!</v>
      </c>
      <c r="AG79" s="215" t="str">
        <f t="shared" si="2"/>
        <v>#ERROR!</v>
      </c>
      <c r="AH79" s="216" t="str">
        <f t="shared" si="3"/>
        <v>#ERROR!</v>
      </c>
      <c r="AI79" s="210"/>
      <c r="AJ79" s="210"/>
      <c r="AK79" s="213" t="s">
        <v>683</v>
      </c>
      <c r="AL79" s="213" t="s">
        <v>683</v>
      </c>
      <c r="AM79" s="214" t="str">
        <f>Table1[[#This Row],[2019 Scope 2 ]]</f>
        <v>#ERROR!</v>
      </c>
      <c r="AN79" s="215" t="str">
        <f t="shared" si="4"/>
        <v>#ERROR!</v>
      </c>
      <c r="AO79" s="216" t="str">
        <f t="shared" si="5"/>
        <v>#ERROR!</v>
      </c>
      <c r="AP79" s="215" t="str">
        <f t="shared" si="6"/>
        <v>#ERROR!</v>
      </c>
      <c r="AQ79" s="216" t="str">
        <f t="shared" si="7"/>
        <v>#ERROR!</v>
      </c>
      <c r="AR79" s="217" t="str">
        <f>Table1[[#This Row],[2019 Scope 3 ]]</f>
        <v>#ERROR!</v>
      </c>
      <c r="AS79" s="218" t="str">
        <f t="shared" si="8"/>
        <v>#ERROR!</v>
      </c>
      <c r="AT79" s="219" t="str">
        <f t="shared" si="9"/>
        <v>#ERROR!</v>
      </c>
      <c r="BI79" s="200">
        <v>14712.0</v>
      </c>
    </row>
    <row r="80" ht="12.75" hidden="1" customHeight="1">
      <c r="A80" s="5">
        <f>companies!A80</f>
        <v>79</v>
      </c>
      <c r="B80" s="200" t="s">
        <v>1254</v>
      </c>
      <c r="C80" s="200">
        <v>2210497.0</v>
      </c>
      <c r="D80" s="200">
        <v>2544389.0</v>
      </c>
      <c r="E80" s="200">
        <v>1839862.0</v>
      </c>
      <c r="F80" s="200">
        <v>1.64210001E8</v>
      </c>
      <c r="G80" s="200">
        <v>247000.0</v>
      </c>
      <c r="H80" s="200">
        <v>495000.0</v>
      </c>
      <c r="I80" s="200">
        <v>0.0</v>
      </c>
      <c r="J80" s="200">
        <v>9000.0</v>
      </c>
      <c r="K80" s="200">
        <v>151042.0</v>
      </c>
      <c r="L80" s="200">
        <v>117000.0</v>
      </c>
      <c r="M80" s="213" t="s">
        <v>683</v>
      </c>
      <c r="N80" s="213">
        <v>3700000.0</v>
      </c>
      <c r="O80" s="213" t="s">
        <v>683</v>
      </c>
      <c r="P80" s="213">
        <v>1.99133E8</v>
      </c>
      <c r="Q80" s="213">
        <v>1.3251E7</v>
      </c>
      <c r="R80" s="200" t="s">
        <v>683</v>
      </c>
      <c r="S80" s="213" t="s">
        <v>683</v>
      </c>
      <c r="T80" s="213" t="s">
        <v>683</v>
      </c>
      <c r="U80" s="213" t="s">
        <v>683</v>
      </c>
      <c r="V80" s="213" t="s">
        <v>683</v>
      </c>
      <c r="W80" s="213">
        <f t="shared" si="10"/>
        <v>381313043</v>
      </c>
      <c r="X80" s="200">
        <v>1839862.0</v>
      </c>
      <c r="Y80" s="200">
        <v>3.85363402E8</v>
      </c>
      <c r="Z80" s="200"/>
      <c r="AA80" s="200"/>
      <c r="AB80" s="200"/>
      <c r="AC80" s="200"/>
      <c r="AD80" s="213" t="s">
        <v>683</v>
      </c>
      <c r="AE80" s="213" t="s">
        <v>683</v>
      </c>
      <c r="AF80" s="214" t="str">
        <f>Table1[[#This Row],[2019 Scope 1 (MeT Co2)]]</f>
        <v>#ERROR!</v>
      </c>
      <c r="AG80" s="215" t="str">
        <f t="shared" si="2"/>
        <v>#ERROR!</v>
      </c>
      <c r="AH80" s="216" t="str">
        <f t="shared" si="3"/>
        <v>#ERROR!</v>
      </c>
      <c r="AI80" s="210"/>
      <c r="AJ80" s="210"/>
      <c r="AK80" s="213" t="s">
        <v>683</v>
      </c>
      <c r="AL80" s="213" t="s">
        <v>683</v>
      </c>
      <c r="AM80" s="214" t="str">
        <f>Table1[[#This Row],[2019 Scope 2 ]]</f>
        <v>#ERROR!</v>
      </c>
      <c r="AN80" s="215" t="str">
        <f t="shared" si="4"/>
        <v>#ERROR!</v>
      </c>
      <c r="AO80" s="216" t="str">
        <f t="shared" si="5"/>
        <v>#ERROR!</v>
      </c>
      <c r="AP80" s="215" t="str">
        <f t="shared" si="6"/>
        <v>#ERROR!</v>
      </c>
      <c r="AQ80" s="216" t="str">
        <f t="shared" si="7"/>
        <v>#ERROR!</v>
      </c>
      <c r="AR80" s="217" t="str">
        <f>Table1[[#This Row],[2019 Scope 3 ]]</f>
        <v>#ERROR!</v>
      </c>
      <c r="AS80" s="218" t="str">
        <f t="shared" si="8"/>
        <v>#ERROR!</v>
      </c>
      <c r="AT80" s="219" t="str">
        <f t="shared" si="9"/>
        <v>#ERROR!</v>
      </c>
      <c r="BI80" s="200">
        <v>15132.0</v>
      </c>
    </row>
    <row r="81" ht="12.75" hidden="1" customHeight="1">
      <c r="A81" s="5">
        <f>companies!A81</f>
        <v>80</v>
      </c>
      <c r="B81" s="200" t="s">
        <v>1254</v>
      </c>
      <c r="C81" s="200">
        <v>78290.0</v>
      </c>
      <c r="D81" s="200">
        <v>135967.0</v>
      </c>
      <c r="E81" s="200">
        <v>114060.0</v>
      </c>
      <c r="F81" s="200" t="s">
        <v>683</v>
      </c>
      <c r="G81" s="200" t="s">
        <v>683</v>
      </c>
      <c r="H81" s="200" t="s">
        <v>683</v>
      </c>
      <c r="I81" s="200" t="s">
        <v>683</v>
      </c>
      <c r="J81" s="200" t="s">
        <v>683</v>
      </c>
      <c r="K81" s="200">
        <v>80928.0</v>
      </c>
      <c r="L81" s="200">
        <v>30324.0</v>
      </c>
      <c r="M81" s="213" t="s">
        <v>683</v>
      </c>
      <c r="N81" s="213" t="s">
        <v>683</v>
      </c>
      <c r="O81" s="213" t="s">
        <v>683</v>
      </c>
      <c r="P81" s="213" t="s">
        <v>683</v>
      </c>
      <c r="Q81" s="213" t="s">
        <v>683</v>
      </c>
      <c r="R81" s="200" t="s">
        <v>683</v>
      </c>
      <c r="S81" s="213" t="s">
        <v>683</v>
      </c>
      <c r="T81" s="213" t="s">
        <v>683</v>
      </c>
      <c r="U81" s="213" t="s">
        <v>683</v>
      </c>
      <c r="V81" s="213" t="s">
        <v>683</v>
      </c>
      <c r="W81" s="213">
        <f t="shared" si="10"/>
        <v>111252</v>
      </c>
      <c r="X81" s="200">
        <v>114060.0</v>
      </c>
      <c r="Y81" s="200">
        <v>303602.0</v>
      </c>
      <c r="Z81" s="200"/>
      <c r="AA81" s="200"/>
      <c r="AB81" s="200"/>
      <c r="AC81" s="200"/>
      <c r="AD81" s="213" t="s">
        <v>683</v>
      </c>
      <c r="AE81" s="213" t="s">
        <v>683</v>
      </c>
      <c r="AF81" s="214" t="str">
        <f>Table1[[#This Row],[2019 Scope 1 (MeT Co2)]]</f>
        <v>#ERROR!</v>
      </c>
      <c r="AG81" s="215" t="str">
        <f t="shared" si="2"/>
        <v>#ERROR!</v>
      </c>
      <c r="AH81" s="216" t="str">
        <f t="shared" si="3"/>
        <v>#ERROR!</v>
      </c>
      <c r="AI81" s="210"/>
      <c r="AJ81" s="210"/>
      <c r="AK81" s="213" t="s">
        <v>683</v>
      </c>
      <c r="AL81" s="213" t="s">
        <v>683</v>
      </c>
      <c r="AM81" s="214" t="str">
        <f>Table1[[#This Row],[2019 Scope 2 ]]</f>
        <v>#ERROR!</v>
      </c>
      <c r="AN81" s="215" t="str">
        <f t="shared" si="4"/>
        <v>#ERROR!</v>
      </c>
      <c r="AO81" s="216" t="str">
        <f t="shared" si="5"/>
        <v>#ERROR!</v>
      </c>
      <c r="AP81" s="215" t="str">
        <f t="shared" si="6"/>
        <v>#ERROR!</v>
      </c>
      <c r="AQ81" s="216" t="str">
        <f t="shared" si="7"/>
        <v>#ERROR!</v>
      </c>
      <c r="AR81" s="217" t="str">
        <f>Table1[[#This Row],[2019 Scope 3 ]]</f>
        <v>#ERROR!</v>
      </c>
      <c r="AS81" s="218" t="str">
        <f t="shared" si="8"/>
        <v>#ERROR!</v>
      </c>
      <c r="AT81" s="219" t="str">
        <f t="shared" si="9"/>
        <v>#ERROR!</v>
      </c>
      <c r="BI81" s="200">
        <v>15419.0</v>
      </c>
    </row>
    <row r="82" ht="12.75" hidden="1" customHeight="1">
      <c r="A82" s="5">
        <f>companies!A82</f>
        <v>81</v>
      </c>
      <c r="B82" s="200" t="s">
        <v>1254</v>
      </c>
      <c r="C82" s="200" t="s">
        <v>1262</v>
      </c>
      <c r="D82" s="200" t="s">
        <v>1262</v>
      </c>
      <c r="E82" s="200" t="s">
        <v>1262</v>
      </c>
      <c r="F82" s="200" t="s">
        <v>1262</v>
      </c>
      <c r="G82" s="200" t="s">
        <v>1262</v>
      </c>
      <c r="H82" s="200" t="s">
        <v>1262</v>
      </c>
      <c r="I82" s="200" t="s">
        <v>1262</v>
      </c>
      <c r="J82" s="200" t="s">
        <v>1262</v>
      </c>
      <c r="K82" s="200" t="s">
        <v>1262</v>
      </c>
      <c r="L82" s="200" t="s">
        <v>1262</v>
      </c>
      <c r="M82" s="200" t="s">
        <v>1262</v>
      </c>
      <c r="N82" s="200" t="s">
        <v>1262</v>
      </c>
      <c r="O82" s="200" t="s">
        <v>1262</v>
      </c>
      <c r="P82" s="200" t="s">
        <v>1262</v>
      </c>
      <c r="Q82" s="200" t="s">
        <v>1262</v>
      </c>
      <c r="R82" s="200" t="s">
        <v>1262</v>
      </c>
      <c r="S82" s="200" t="s">
        <v>1262</v>
      </c>
      <c r="T82" s="200" t="s">
        <v>1262</v>
      </c>
      <c r="U82" s="200" t="s">
        <v>1262</v>
      </c>
      <c r="V82" s="200" t="s">
        <v>1262</v>
      </c>
      <c r="W82" s="213">
        <f t="shared" si="10"/>
        <v>0</v>
      </c>
      <c r="X82" s="200">
        <v>0.0</v>
      </c>
      <c r="Y82" s="200"/>
      <c r="Z82" s="200"/>
      <c r="AA82" s="200"/>
      <c r="AB82" s="213"/>
      <c r="AC82" s="213"/>
      <c r="AD82" s="213" t="e">
        <v>#N/A</v>
      </c>
      <c r="AE82" s="213" t="e">
        <v>#N/A</v>
      </c>
      <c r="AF82" s="214" t="str">
        <f>Table1[[#This Row],[2019 Scope 1 (MeT Co2)]]</f>
        <v>#ERROR!</v>
      </c>
      <c r="AG82" s="215" t="str">
        <f t="shared" si="2"/>
        <v>#ERROR!</v>
      </c>
      <c r="AH82" s="216" t="str">
        <f t="shared" si="3"/>
        <v>#ERROR!</v>
      </c>
      <c r="AI82" s="210"/>
      <c r="AJ82" s="210"/>
      <c r="AK82" s="213" t="e">
        <v>#N/A</v>
      </c>
      <c r="AL82" s="213" t="e">
        <v>#N/A</v>
      </c>
      <c r="AM82" s="214" t="str">
        <f>Table1[[#This Row],[2019 Scope 2 ]]</f>
        <v>#ERROR!</v>
      </c>
      <c r="AN82" s="215" t="str">
        <f t="shared" si="4"/>
        <v>#ERROR!</v>
      </c>
      <c r="AO82" s="216" t="str">
        <f t="shared" si="5"/>
        <v>#ERROR!</v>
      </c>
      <c r="AP82" s="215" t="str">
        <f t="shared" si="6"/>
        <v>#ERROR!</v>
      </c>
      <c r="AQ82" s="216" t="str">
        <f t="shared" si="7"/>
        <v>#ERROR!</v>
      </c>
      <c r="AR82" s="217" t="str">
        <f>Table1[[#This Row],[2019 Scope 3 ]]</f>
        <v>#ERROR!</v>
      </c>
      <c r="AS82" s="218" t="str">
        <f t="shared" si="8"/>
        <v>#ERROR!</v>
      </c>
      <c r="AT82" s="219" t="str">
        <f t="shared" si="9"/>
        <v>#ERROR!</v>
      </c>
    </row>
    <row r="83" ht="12.75" customHeight="1">
      <c r="A83" s="5">
        <f>companies!A83</f>
        <v>82</v>
      </c>
      <c r="B83" s="200" t="s">
        <v>1254</v>
      </c>
      <c r="C83" s="200">
        <v>5747.0</v>
      </c>
      <c r="D83" s="200">
        <v>290938.0</v>
      </c>
      <c r="E83" s="200">
        <v>134760.0</v>
      </c>
      <c r="F83" s="200">
        <v>550606.0</v>
      </c>
      <c r="G83" s="200">
        <v>149751.0</v>
      </c>
      <c r="H83" s="200">
        <v>25675.0</v>
      </c>
      <c r="I83" s="200">
        <v>4517.0</v>
      </c>
      <c r="J83" s="200">
        <v>221.0</v>
      </c>
      <c r="K83" s="200">
        <v>142000.0</v>
      </c>
      <c r="L83" s="200">
        <v>36000.0</v>
      </c>
      <c r="M83" s="213">
        <v>95321.0</v>
      </c>
      <c r="N83" s="213" t="s">
        <v>683</v>
      </c>
      <c r="O83" s="213" t="s">
        <v>683</v>
      </c>
      <c r="P83" s="213">
        <v>22020.0</v>
      </c>
      <c r="Q83" s="213" t="s">
        <v>683</v>
      </c>
      <c r="R83" s="200" t="s">
        <v>683</v>
      </c>
      <c r="S83" s="213" t="s">
        <v>683</v>
      </c>
      <c r="T83" s="213">
        <v>1440.0</v>
      </c>
      <c r="U83" s="213" t="s">
        <v>683</v>
      </c>
      <c r="V83" s="213" t="s">
        <v>683</v>
      </c>
      <c r="W83" s="213">
        <f t="shared" si="10"/>
        <v>1027551</v>
      </c>
      <c r="X83" s="200">
        <v>134760.0</v>
      </c>
      <c r="Y83" s="200">
        <v>1168058.0</v>
      </c>
      <c r="Z83" s="213"/>
      <c r="AA83" s="213"/>
      <c r="AB83" s="200"/>
      <c r="AC83" s="200"/>
      <c r="AD83" s="213" t="s">
        <v>683</v>
      </c>
      <c r="AE83" s="213" t="s">
        <v>683</v>
      </c>
      <c r="AF83" s="214" t="str">
        <f>Table1[[#This Row],[2019 Scope 1 (MeT Co2)]]</f>
        <v>#ERROR!</v>
      </c>
      <c r="AG83" s="215" t="str">
        <f t="shared" si="2"/>
        <v>#ERROR!</v>
      </c>
      <c r="AH83" s="220" t="str">
        <f t="shared" si="3"/>
        <v>#ERROR!</v>
      </c>
      <c r="AI83" s="210"/>
      <c r="AJ83" s="210"/>
      <c r="AK83" s="213" t="s">
        <v>683</v>
      </c>
      <c r="AL83" s="213" t="s">
        <v>683</v>
      </c>
      <c r="AM83" s="214" t="str">
        <f>Table1[[#This Row],[2019 Scope 2 ]]</f>
        <v>#ERROR!</v>
      </c>
      <c r="AN83" s="215" t="str">
        <f t="shared" si="4"/>
        <v>#ERROR!</v>
      </c>
      <c r="AO83" s="220" t="str">
        <f t="shared" si="5"/>
        <v>#ERROR!</v>
      </c>
      <c r="AP83" s="215" t="str">
        <f t="shared" si="6"/>
        <v>#ERROR!</v>
      </c>
      <c r="AQ83" s="220" t="str">
        <f t="shared" si="7"/>
        <v>#ERROR!</v>
      </c>
      <c r="AR83" s="217" t="str">
        <f>Table1[[#This Row],[2019 Scope 3 ]]</f>
        <v>#ERROR!</v>
      </c>
      <c r="AS83" s="218" t="str">
        <f t="shared" si="8"/>
        <v>#ERROR!</v>
      </c>
      <c r="AT83" s="219" t="str">
        <f t="shared" si="9"/>
        <v>#ERROR!</v>
      </c>
      <c r="BI83" s="200">
        <v>16158.0</v>
      </c>
    </row>
    <row r="84" ht="12.75" hidden="1" customHeight="1">
      <c r="A84" s="5">
        <f>companies!A84</f>
        <v>83</v>
      </c>
      <c r="B84" s="200" t="s">
        <v>1254</v>
      </c>
      <c r="C84" s="200" t="s">
        <v>1262</v>
      </c>
      <c r="D84" s="200" t="s">
        <v>1262</v>
      </c>
      <c r="E84" s="200" t="s">
        <v>1262</v>
      </c>
      <c r="F84" s="200" t="s">
        <v>1262</v>
      </c>
      <c r="G84" s="200" t="s">
        <v>1262</v>
      </c>
      <c r="H84" s="200" t="s">
        <v>1262</v>
      </c>
      <c r="I84" s="200" t="s">
        <v>1262</v>
      </c>
      <c r="J84" s="200" t="s">
        <v>1262</v>
      </c>
      <c r="K84" s="200" t="s">
        <v>1262</v>
      </c>
      <c r="L84" s="200" t="s">
        <v>1262</v>
      </c>
      <c r="M84" s="200" t="s">
        <v>1262</v>
      </c>
      <c r="N84" s="200" t="s">
        <v>1262</v>
      </c>
      <c r="O84" s="200" t="s">
        <v>1262</v>
      </c>
      <c r="P84" s="200" t="s">
        <v>1262</v>
      </c>
      <c r="Q84" s="200" t="s">
        <v>1262</v>
      </c>
      <c r="R84" s="200" t="s">
        <v>1262</v>
      </c>
      <c r="S84" s="200" t="s">
        <v>1262</v>
      </c>
      <c r="T84" s="200" t="s">
        <v>1262</v>
      </c>
      <c r="U84" s="200" t="s">
        <v>1262</v>
      </c>
      <c r="V84" s="200" t="s">
        <v>1262</v>
      </c>
      <c r="W84" s="213">
        <f t="shared" si="10"/>
        <v>0</v>
      </c>
      <c r="X84" s="200">
        <v>0.0</v>
      </c>
      <c r="Y84" s="200"/>
      <c r="Z84" s="200"/>
      <c r="AA84" s="200"/>
      <c r="AB84" s="213"/>
      <c r="AC84" s="213"/>
      <c r="AD84" s="213" t="e">
        <v>#N/A</v>
      </c>
      <c r="AE84" s="213" t="e">
        <v>#N/A</v>
      </c>
      <c r="AF84" s="214" t="str">
        <f>Table1[[#This Row],[2019 Scope 1 (MeT Co2)]]</f>
        <v>#ERROR!</v>
      </c>
      <c r="AG84" s="215" t="str">
        <f t="shared" si="2"/>
        <v>#ERROR!</v>
      </c>
      <c r="AH84" s="216" t="str">
        <f t="shared" si="3"/>
        <v>#ERROR!</v>
      </c>
      <c r="AI84" s="210"/>
      <c r="AJ84" s="210"/>
      <c r="AK84" s="213" t="e">
        <v>#N/A</v>
      </c>
      <c r="AL84" s="213" t="e">
        <v>#N/A</v>
      </c>
      <c r="AM84" s="214" t="str">
        <f>Table1[[#This Row],[2019 Scope 2 ]]</f>
        <v>#ERROR!</v>
      </c>
      <c r="AN84" s="215" t="str">
        <f t="shared" si="4"/>
        <v>#ERROR!</v>
      </c>
      <c r="AO84" s="216" t="str">
        <f t="shared" si="5"/>
        <v>#ERROR!</v>
      </c>
      <c r="AP84" s="215" t="str">
        <f t="shared" si="6"/>
        <v>#ERROR!</v>
      </c>
      <c r="AQ84" s="216" t="str">
        <f t="shared" si="7"/>
        <v>#ERROR!</v>
      </c>
      <c r="AR84" s="217" t="str">
        <f>Table1[[#This Row],[2019 Scope 3 ]]</f>
        <v>#ERROR!</v>
      </c>
      <c r="AS84" s="218" t="str">
        <f t="shared" si="8"/>
        <v>#ERROR!</v>
      </c>
      <c r="AT84" s="219" t="str">
        <f t="shared" si="9"/>
        <v>#ERROR!</v>
      </c>
    </row>
    <row r="85" ht="12.75" hidden="1" customHeight="1">
      <c r="A85" s="5">
        <f>companies!A85</f>
        <v>84</v>
      </c>
      <c r="B85" s="200" t="s">
        <v>1254</v>
      </c>
      <c r="C85" s="200">
        <v>16863.186</v>
      </c>
      <c r="D85" s="200">
        <v>249714.82</v>
      </c>
      <c r="E85" s="200">
        <v>249714.82</v>
      </c>
      <c r="F85" s="200" t="s">
        <v>683</v>
      </c>
      <c r="G85" s="200" t="s">
        <v>683</v>
      </c>
      <c r="H85" s="200">
        <v>11746.0</v>
      </c>
      <c r="I85" s="200" t="s">
        <v>683</v>
      </c>
      <c r="J85" s="200">
        <v>136900.0</v>
      </c>
      <c r="K85" s="200">
        <v>5154.0</v>
      </c>
      <c r="L85" s="200">
        <v>6531.0</v>
      </c>
      <c r="M85" s="213" t="s">
        <v>683</v>
      </c>
      <c r="N85" s="213" t="s">
        <v>683</v>
      </c>
      <c r="O85" s="213" t="s">
        <v>683</v>
      </c>
      <c r="P85" s="213" t="s">
        <v>683</v>
      </c>
      <c r="Q85" s="213" t="s">
        <v>683</v>
      </c>
      <c r="R85" s="200">
        <v>419157.0</v>
      </c>
      <c r="S85" s="213" t="s">
        <v>683</v>
      </c>
      <c r="T85" s="213" t="s">
        <v>683</v>
      </c>
      <c r="U85" s="213" t="s">
        <v>683</v>
      </c>
      <c r="V85" s="213" t="s">
        <v>683</v>
      </c>
      <c r="W85" s="213">
        <f t="shared" si="10"/>
        <v>579488</v>
      </c>
      <c r="X85" s="200">
        <v>249714.82</v>
      </c>
      <c r="Y85" s="200">
        <v>846066.006</v>
      </c>
      <c r="Z85" s="200"/>
      <c r="AA85" s="200"/>
      <c r="AB85" s="213"/>
      <c r="AC85" s="213"/>
      <c r="AD85" s="213" t="s">
        <v>1255</v>
      </c>
      <c r="AE85" s="213" t="s">
        <v>1256</v>
      </c>
      <c r="AF85" s="214" t="str">
        <f>Table1[[#This Row],[2019 Scope 1 (MeT Co2)]]</f>
        <v>#ERROR!</v>
      </c>
      <c r="AG85" s="215" t="str">
        <f t="shared" si="2"/>
        <v>#ERROR!</v>
      </c>
      <c r="AH85" s="216" t="str">
        <f t="shared" si="3"/>
        <v>#ERROR!</v>
      </c>
      <c r="AI85" s="210"/>
      <c r="AJ85" s="210"/>
      <c r="AK85" s="213" t="s">
        <v>1255</v>
      </c>
      <c r="AL85" s="213" t="s">
        <v>1256</v>
      </c>
      <c r="AM85" s="214" t="str">
        <f>Table1[[#This Row],[2019 Scope 2 ]]</f>
        <v>#ERROR!</v>
      </c>
      <c r="AN85" s="215" t="str">
        <f t="shared" si="4"/>
        <v>#ERROR!</v>
      </c>
      <c r="AO85" s="216" t="str">
        <f t="shared" si="5"/>
        <v>#ERROR!</v>
      </c>
      <c r="AP85" s="215" t="str">
        <f t="shared" si="6"/>
        <v>#ERROR!</v>
      </c>
      <c r="AQ85" s="216" t="str">
        <f t="shared" si="7"/>
        <v>#ERROR!</v>
      </c>
      <c r="AR85" s="217" t="str">
        <f>Table1[[#This Row],[2019 Scope 3 ]]</f>
        <v>#ERROR!</v>
      </c>
      <c r="AS85" s="218" t="str">
        <f t="shared" si="8"/>
        <v>#ERROR!</v>
      </c>
      <c r="AT85" s="219" t="str">
        <f t="shared" si="9"/>
        <v>#ERROR!</v>
      </c>
      <c r="BI85" s="4">
        <v>17069.0</v>
      </c>
    </row>
    <row r="86" ht="12.75" hidden="1" customHeight="1">
      <c r="A86" s="5">
        <f>companies!A86</f>
        <v>85</v>
      </c>
      <c r="B86" s="200" t="s">
        <v>1254</v>
      </c>
      <c r="C86" s="200">
        <v>8.8213565E7</v>
      </c>
      <c r="D86" s="200">
        <v>36845.0</v>
      </c>
      <c r="E86" s="200">
        <v>35568.0</v>
      </c>
      <c r="F86" s="200" t="s">
        <v>683</v>
      </c>
      <c r="G86" s="200" t="s">
        <v>683</v>
      </c>
      <c r="H86" s="200">
        <v>3423778.0</v>
      </c>
      <c r="I86" s="200" t="s">
        <v>683</v>
      </c>
      <c r="J86" s="200" t="s">
        <v>683</v>
      </c>
      <c r="K86" s="200" t="s">
        <v>683</v>
      </c>
      <c r="L86" s="200" t="s">
        <v>683</v>
      </c>
      <c r="M86" s="213">
        <v>88879.0</v>
      </c>
      <c r="N86" s="213" t="s">
        <v>683</v>
      </c>
      <c r="O86" s="213" t="s">
        <v>683</v>
      </c>
      <c r="P86" s="213">
        <v>3.5260791E7</v>
      </c>
      <c r="Q86" s="213" t="s">
        <v>683</v>
      </c>
      <c r="R86" s="200" t="s">
        <v>683</v>
      </c>
      <c r="S86" s="213" t="s">
        <v>683</v>
      </c>
      <c r="T86" s="213" t="s">
        <v>683</v>
      </c>
      <c r="U86" s="213" t="s">
        <v>683</v>
      </c>
      <c r="V86" s="213" t="s">
        <v>683</v>
      </c>
      <c r="W86" s="213">
        <f t="shared" si="10"/>
        <v>38773448</v>
      </c>
      <c r="X86" s="200">
        <v>35568.0</v>
      </c>
      <c r="Y86" s="200">
        <v>1.27022581E8</v>
      </c>
      <c r="Z86" s="200"/>
      <c r="AA86" s="200"/>
      <c r="AB86" s="200"/>
      <c r="AC86" s="200"/>
      <c r="AD86" s="213" t="s">
        <v>683</v>
      </c>
      <c r="AE86" s="213" t="s">
        <v>683</v>
      </c>
      <c r="AF86" s="214" t="str">
        <f>Table1[[#This Row],[2019 Scope 1 (MeT Co2)]]</f>
        <v>#ERROR!</v>
      </c>
      <c r="AG86" s="215" t="str">
        <f t="shared" si="2"/>
        <v>#ERROR!</v>
      </c>
      <c r="AH86" s="216" t="str">
        <f t="shared" si="3"/>
        <v>#ERROR!</v>
      </c>
      <c r="AI86" s="210"/>
      <c r="AJ86" s="210"/>
      <c r="AK86" s="213" t="s">
        <v>683</v>
      </c>
      <c r="AL86" s="213" t="s">
        <v>683</v>
      </c>
      <c r="AM86" s="214" t="str">
        <f>Table1[[#This Row],[2019 Scope 2 ]]</f>
        <v>#ERROR!</v>
      </c>
      <c r="AN86" s="215" t="str">
        <f t="shared" si="4"/>
        <v>#ERROR!</v>
      </c>
      <c r="AO86" s="216" t="str">
        <f t="shared" si="5"/>
        <v>#ERROR!</v>
      </c>
      <c r="AP86" s="215" t="str">
        <f t="shared" si="6"/>
        <v>#ERROR!</v>
      </c>
      <c r="AQ86" s="216" t="str">
        <f t="shared" si="7"/>
        <v>#ERROR!</v>
      </c>
      <c r="AR86" s="217" t="str">
        <f>Table1[[#This Row],[2019 Scope 3 ]]</f>
        <v>#ERROR!</v>
      </c>
      <c r="AS86" s="218" t="str">
        <f t="shared" si="8"/>
        <v>#ERROR!</v>
      </c>
      <c r="AT86" s="219" t="str">
        <f t="shared" si="9"/>
        <v>#ERROR!</v>
      </c>
      <c r="BI86" s="4">
        <v>18951.0</v>
      </c>
    </row>
    <row r="87" ht="12.75" hidden="1" customHeight="1">
      <c r="A87" s="5">
        <f>companies!A87</f>
        <v>86</v>
      </c>
      <c r="B87" s="200" t="s">
        <v>1254</v>
      </c>
      <c r="C87" s="200">
        <v>381198.61</v>
      </c>
      <c r="D87" s="200">
        <v>790373.35</v>
      </c>
      <c r="E87" s="200">
        <v>281700.89</v>
      </c>
      <c r="F87" s="200">
        <v>8844532.71</v>
      </c>
      <c r="G87" s="200">
        <v>1549767.91</v>
      </c>
      <c r="H87" s="200">
        <v>1339261.73</v>
      </c>
      <c r="I87" s="200">
        <v>544171.31</v>
      </c>
      <c r="J87" s="200">
        <v>1022025.11</v>
      </c>
      <c r="K87" s="200">
        <v>19035.53</v>
      </c>
      <c r="L87" s="200">
        <v>821116.5</v>
      </c>
      <c r="M87" s="213" t="s">
        <v>683</v>
      </c>
      <c r="N87" s="213" t="s">
        <v>683</v>
      </c>
      <c r="O87" s="213">
        <v>62449.06</v>
      </c>
      <c r="P87" s="213">
        <v>149443.2</v>
      </c>
      <c r="Q87" s="213">
        <v>612189.99</v>
      </c>
      <c r="R87" s="200" t="s">
        <v>683</v>
      </c>
      <c r="S87" s="213" t="s">
        <v>683</v>
      </c>
      <c r="T87" s="213" t="s">
        <v>683</v>
      </c>
      <c r="U87" s="213" t="s">
        <v>683</v>
      </c>
      <c r="V87" s="213" t="s">
        <v>683</v>
      </c>
      <c r="W87" s="213">
        <f t="shared" si="10"/>
        <v>14963993.05</v>
      </c>
      <c r="X87" s="200">
        <v>281700.89</v>
      </c>
      <c r="Y87" s="200">
        <v>1.562689255E7</v>
      </c>
      <c r="Z87" s="200"/>
      <c r="AA87" s="200"/>
      <c r="AB87" s="213"/>
      <c r="AC87" s="213"/>
      <c r="AD87" s="213" t="s">
        <v>683</v>
      </c>
      <c r="AE87" s="213" t="s">
        <v>683</v>
      </c>
      <c r="AF87" s="214" t="str">
        <f>Table1[[#This Row],[2019 Scope 1 (MeT Co2)]]</f>
        <v>#ERROR!</v>
      </c>
      <c r="AG87" s="215" t="str">
        <f t="shared" si="2"/>
        <v>#ERROR!</v>
      </c>
      <c r="AH87" s="216" t="str">
        <f t="shared" si="3"/>
        <v>#ERROR!</v>
      </c>
      <c r="AI87" s="210"/>
      <c r="AJ87" s="210"/>
      <c r="AK87" s="213" t="s">
        <v>683</v>
      </c>
      <c r="AL87" s="213" t="s">
        <v>683</v>
      </c>
      <c r="AM87" s="214" t="str">
        <f>Table1[[#This Row],[2019 Scope 2 ]]</f>
        <v>#ERROR!</v>
      </c>
      <c r="AN87" s="215" t="str">
        <f t="shared" si="4"/>
        <v>#ERROR!</v>
      </c>
      <c r="AO87" s="216" t="str">
        <f t="shared" si="5"/>
        <v>#ERROR!</v>
      </c>
      <c r="AP87" s="215" t="str">
        <f t="shared" si="6"/>
        <v>#ERROR!</v>
      </c>
      <c r="AQ87" s="216" t="str">
        <f t="shared" si="7"/>
        <v>#ERROR!</v>
      </c>
      <c r="AR87" s="217" t="str">
        <f>Table1[[#This Row],[2019 Scope 3 ]]</f>
        <v>#ERROR!</v>
      </c>
      <c r="AS87" s="218" t="str">
        <f t="shared" si="8"/>
        <v>#ERROR!</v>
      </c>
      <c r="AT87" s="219" t="str">
        <f t="shared" si="9"/>
        <v>#ERROR!</v>
      </c>
      <c r="BI87" s="4">
        <v>17652.0</v>
      </c>
    </row>
    <row r="88" ht="12.75" hidden="1" customHeight="1">
      <c r="A88" s="5">
        <f>companies!A88</f>
        <v>87</v>
      </c>
      <c r="B88" s="200" t="s">
        <v>1254</v>
      </c>
      <c r="C88" s="200">
        <v>752552.0</v>
      </c>
      <c r="D88" s="200">
        <v>1680682.0</v>
      </c>
      <c r="E88" s="200">
        <v>1545898.0</v>
      </c>
      <c r="F88" s="200">
        <v>2.7389E7</v>
      </c>
      <c r="G88" s="200">
        <v>743000.0</v>
      </c>
      <c r="H88" s="200">
        <v>509000.0</v>
      </c>
      <c r="I88" s="200">
        <v>1655000.0</v>
      </c>
      <c r="J88" s="200">
        <v>271000.0</v>
      </c>
      <c r="K88" s="200">
        <v>22000.0</v>
      </c>
      <c r="L88" s="200">
        <v>585000.0</v>
      </c>
      <c r="M88" s="213" t="s">
        <v>683</v>
      </c>
      <c r="N88" s="213">
        <v>5672000.0</v>
      </c>
      <c r="O88" s="213" t="s">
        <v>683</v>
      </c>
      <c r="P88" s="213">
        <v>1.2897E7</v>
      </c>
      <c r="Q88" s="213">
        <v>2306000.0</v>
      </c>
      <c r="R88" s="200" t="s">
        <v>683</v>
      </c>
      <c r="S88" s="213" t="s">
        <v>683</v>
      </c>
      <c r="T88" s="213" t="s">
        <v>683</v>
      </c>
      <c r="U88" s="213" t="s">
        <v>683</v>
      </c>
      <c r="V88" s="213" t="s">
        <v>683</v>
      </c>
      <c r="W88" s="213">
        <f t="shared" si="10"/>
        <v>52049000</v>
      </c>
      <c r="X88" s="200">
        <v>1545898.0</v>
      </c>
      <c r="Y88" s="200">
        <v>5.434745E7</v>
      </c>
      <c r="Z88" s="200"/>
      <c r="AA88" s="200"/>
      <c r="AB88" s="200"/>
      <c r="AC88" s="200"/>
      <c r="AD88" s="213" t="s">
        <v>683</v>
      </c>
      <c r="AE88" s="213" t="s">
        <v>683</v>
      </c>
      <c r="AF88" s="214" t="str">
        <f>Table1[[#This Row],[2019 Scope 1 (MeT Co2)]]</f>
        <v>#ERROR!</v>
      </c>
      <c r="AG88" s="215" t="str">
        <f t="shared" si="2"/>
        <v>#ERROR!</v>
      </c>
      <c r="AH88" s="216" t="str">
        <f t="shared" si="3"/>
        <v>#ERROR!</v>
      </c>
      <c r="AI88" s="210"/>
      <c r="AJ88" s="210"/>
      <c r="AK88" s="213" t="s">
        <v>683</v>
      </c>
      <c r="AL88" s="213" t="s">
        <v>683</v>
      </c>
      <c r="AM88" s="214" t="str">
        <f>Table1[[#This Row],[2019 Scope 2 ]]</f>
        <v>#ERROR!</v>
      </c>
      <c r="AN88" s="215" t="str">
        <f t="shared" si="4"/>
        <v>#ERROR!</v>
      </c>
      <c r="AO88" s="216" t="str">
        <f t="shared" si="5"/>
        <v>#ERROR!</v>
      </c>
      <c r="AP88" s="215" t="str">
        <f t="shared" si="6"/>
        <v>#ERROR!</v>
      </c>
      <c r="AQ88" s="216" t="str">
        <f t="shared" si="7"/>
        <v>#ERROR!</v>
      </c>
      <c r="AR88" s="217" t="str">
        <f>Table1[[#This Row],[2019 Scope 3 ]]</f>
        <v>#ERROR!</v>
      </c>
      <c r="AS88" s="218" t="str">
        <f t="shared" si="8"/>
        <v>#ERROR!</v>
      </c>
      <c r="AT88" s="219" t="str">
        <f t="shared" si="9"/>
        <v>#ERROR!</v>
      </c>
      <c r="BI88" s="4">
        <v>18320.0</v>
      </c>
    </row>
    <row r="89" ht="12.75" hidden="1" customHeight="1">
      <c r="A89" s="5">
        <f>companies!A89</f>
        <v>88</v>
      </c>
      <c r="B89" s="200" t="s">
        <v>1254</v>
      </c>
      <c r="C89" s="200">
        <v>966579.0</v>
      </c>
      <c r="D89" s="200">
        <v>1054751.0</v>
      </c>
      <c r="E89" s="200">
        <v>13430.0</v>
      </c>
      <c r="F89" s="200" t="s">
        <v>683</v>
      </c>
      <c r="G89" s="200" t="s">
        <v>683</v>
      </c>
      <c r="H89" s="200" t="s">
        <v>683</v>
      </c>
      <c r="I89" s="200" t="s">
        <v>683</v>
      </c>
      <c r="J89" s="200" t="s">
        <v>683</v>
      </c>
      <c r="K89" s="200">
        <v>27544.0</v>
      </c>
      <c r="L89" s="200" t="s">
        <v>683</v>
      </c>
      <c r="M89" s="213" t="s">
        <v>683</v>
      </c>
      <c r="N89" s="213" t="s">
        <v>683</v>
      </c>
      <c r="O89" s="213" t="s">
        <v>683</v>
      </c>
      <c r="P89" s="213" t="s">
        <v>683</v>
      </c>
      <c r="Q89" s="213" t="s">
        <v>683</v>
      </c>
      <c r="R89" s="200" t="s">
        <v>683</v>
      </c>
      <c r="S89" s="213" t="s">
        <v>683</v>
      </c>
      <c r="T89" s="213" t="s">
        <v>683</v>
      </c>
      <c r="U89" s="213" t="s">
        <v>683</v>
      </c>
      <c r="V89" s="213" t="s">
        <v>683</v>
      </c>
      <c r="W89" s="213">
        <f t="shared" si="10"/>
        <v>27544</v>
      </c>
      <c r="X89" s="200">
        <v>13430.0</v>
      </c>
      <c r="Y89" s="200">
        <v>1007553.0</v>
      </c>
      <c r="Z89" s="200"/>
      <c r="AA89" s="200"/>
      <c r="AB89" s="200"/>
      <c r="AC89" s="200"/>
      <c r="AD89" s="213" t="s">
        <v>683</v>
      </c>
      <c r="AE89" s="213" t="s">
        <v>683</v>
      </c>
      <c r="AF89" s="214" t="str">
        <f>Table1[[#This Row],[2019 Scope 1 (MeT Co2)]]</f>
        <v>#ERROR!</v>
      </c>
      <c r="AG89" s="215" t="str">
        <f t="shared" si="2"/>
        <v>#ERROR!</v>
      </c>
      <c r="AH89" s="216" t="str">
        <f t="shared" si="3"/>
        <v>#ERROR!</v>
      </c>
      <c r="AI89" s="210"/>
      <c r="AJ89" s="210"/>
      <c r="AK89" s="213" t="s">
        <v>683</v>
      </c>
      <c r="AL89" s="213" t="s">
        <v>683</v>
      </c>
      <c r="AM89" s="214" t="str">
        <f>Table1[[#This Row],[2019 Scope 2 ]]</f>
        <v>#ERROR!</v>
      </c>
      <c r="AN89" s="215" t="str">
        <f t="shared" si="4"/>
        <v>#ERROR!</v>
      </c>
      <c r="AO89" s="216" t="str">
        <f t="shared" si="5"/>
        <v>#ERROR!</v>
      </c>
      <c r="AP89" s="215" t="str">
        <f t="shared" si="6"/>
        <v>#ERROR!</v>
      </c>
      <c r="AQ89" s="216" t="str">
        <f t="shared" si="7"/>
        <v>#ERROR!</v>
      </c>
      <c r="AR89" s="217" t="str">
        <f>Table1[[#This Row],[2019 Scope 3 ]]</f>
        <v>#ERROR!</v>
      </c>
      <c r="AS89" s="218" t="str">
        <f t="shared" si="8"/>
        <v>#ERROR!</v>
      </c>
      <c r="AT89" s="219" t="str">
        <f t="shared" si="9"/>
        <v>#ERROR!</v>
      </c>
      <c r="BI89" s="4">
        <v>18640.0</v>
      </c>
    </row>
    <row r="90" ht="12.75" hidden="1" customHeight="1">
      <c r="A90" s="5">
        <f>companies!A90</f>
        <v>89</v>
      </c>
      <c r="B90" s="200" t="s">
        <v>1254</v>
      </c>
      <c r="C90" s="200">
        <v>8102.0</v>
      </c>
      <c r="D90" s="200">
        <v>130205.0</v>
      </c>
      <c r="E90" s="200">
        <v>3397.0</v>
      </c>
      <c r="F90" s="200">
        <v>292735.0</v>
      </c>
      <c r="G90" s="200">
        <v>37090.0</v>
      </c>
      <c r="H90" s="200">
        <v>12987.0</v>
      </c>
      <c r="I90" s="200">
        <v>1719.0</v>
      </c>
      <c r="J90" s="200">
        <v>638.0</v>
      </c>
      <c r="K90" s="200">
        <v>14605.0</v>
      </c>
      <c r="L90" s="200">
        <v>72090.0</v>
      </c>
      <c r="M90" s="213" t="s">
        <v>683</v>
      </c>
      <c r="N90" s="213" t="s">
        <v>683</v>
      </c>
      <c r="O90" s="213" t="s">
        <v>683</v>
      </c>
      <c r="P90" s="213" t="s">
        <v>683</v>
      </c>
      <c r="Q90" s="213" t="s">
        <v>683</v>
      </c>
      <c r="R90" s="200">
        <v>3095.0</v>
      </c>
      <c r="S90" s="213" t="s">
        <v>683</v>
      </c>
      <c r="T90" s="213" t="s">
        <v>683</v>
      </c>
      <c r="U90" s="213" t="s">
        <v>683</v>
      </c>
      <c r="V90" s="213" t="s">
        <v>683</v>
      </c>
      <c r="W90" s="213">
        <f t="shared" si="10"/>
        <v>434959</v>
      </c>
      <c r="X90" s="200">
        <v>3397.0</v>
      </c>
      <c r="Y90" s="200">
        <v>446458.0</v>
      </c>
      <c r="Z90" s="200"/>
      <c r="AA90" s="200"/>
      <c r="AB90" s="200"/>
      <c r="AC90" s="200"/>
      <c r="AD90" s="213" t="s">
        <v>683</v>
      </c>
      <c r="AE90" s="213" t="s">
        <v>683</v>
      </c>
      <c r="AF90" s="214" t="str">
        <f>Table1[[#This Row],[2019 Scope 1 (MeT Co2)]]</f>
        <v>#ERROR!</v>
      </c>
      <c r="AG90" s="215" t="str">
        <f t="shared" si="2"/>
        <v>#ERROR!</v>
      </c>
      <c r="AH90" s="216" t="str">
        <f t="shared" si="3"/>
        <v>#ERROR!</v>
      </c>
      <c r="AI90" s="210"/>
      <c r="AJ90" s="210"/>
      <c r="AK90" s="213" t="s">
        <v>683</v>
      </c>
      <c r="AL90" s="213" t="s">
        <v>683</v>
      </c>
      <c r="AM90" s="214" t="str">
        <f>Table1[[#This Row],[2019 Scope 2 ]]</f>
        <v>#ERROR!</v>
      </c>
      <c r="AN90" s="215" t="str">
        <f t="shared" si="4"/>
        <v>#ERROR!</v>
      </c>
      <c r="AO90" s="216" t="str">
        <f t="shared" si="5"/>
        <v>#ERROR!</v>
      </c>
      <c r="AP90" s="215" t="str">
        <f t="shared" si="6"/>
        <v>#ERROR!</v>
      </c>
      <c r="AQ90" s="216" t="str">
        <f t="shared" si="7"/>
        <v>#ERROR!</v>
      </c>
      <c r="AR90" s="217" t="str">
        <f>Table1[[#This Row],[2019 Scope 3 ]]</f>
        <v>#ERROR!</v>
      </c>
      <c r="AS90" s="218" t="str">
        <f t="shared" si="8"/>
        <v>#ERROR!</v>
      </c>
      <c r="AT90" s="219" t="str">
        <f t="shared" si="9"/>
        <v>#ERROR!</v>
      </c>
      <c r="BI90" s="4">
        <v>1464.0</v>
      </c>
    </row>
    <row r="91" ht="12.75" hidden="1" customHeight="1">
      <c r="A91" s="5">
        <f>companies!A91</f>
        <v>90</v>
      </c>
      <c r="B91" s="200" t="s">
        <v>1254</v>
      </c>
      <c r="C91" s="200">
        <v>855073.0</v>
      </c>
      <c r="D91" s="200">
        <v>1010307.0</v>
      </c>
      <c r="E91" s="200">
        <v>931544.0</v>
      </c>
      <c r="F91" s="200" t="s">
        <v>683</v>
      </c>
      <c r="G91" s="200" t="s">
        <v>683</v>
      </c>
      <c r="H91" s="200" t="s">
        <v>683</v>
      </c>
      <c r="I91" s="200" t="s">
        <v>683</v>
      </c>
      <c r="J91" s="200" t="s">
        <v>683</v>
      </c>
      <c r="K91" s="200" t="s">
        <v>683</v>
      </c>
      <c r="L91" s="200" t="s">
        <v>683</v>
      </c>
      <c r="M91" s="213" t="s">
        <v>683</v>
      </c>
      <c r="N91" s="213" t="s">
        <v>683</v>
      </c>
      <c r="O91" s="213" t="s">
        <v>683</v>
      </c>
      <c r="P91" s="213" t="s">
        <v>683</v>
      </c>
      <c r="Q91" s="213" t="s">
        <v>683</v>
      </c>
      <c r="R91" s="200" t="s">
        <v>683</v>
      </c>
      <c r="S91" s="213" t="s">
        <v>683</v>
      </c>
      <c r="T91" s="213" t="s">
        <v>683</v>
      </c>
      <c r="U91" s="213" t="s">
        <v>683</v>
      </c>
      <c r="V91" s="213" t="s">
        <v>683</v>
      </c>
      <c r="W91" s="213">
        <f t="shared" si="10"/>
        <v>0</v>
      </c>
      <c r="X91" s="200">
        <v>931544.0</v>
      </c>
      <c r="Y91" s="200">
        <v>1786617.0</v>
      </c>
      <c r="Z91" s="200"/>
      <c r="AA91" s="200"/>
      <c r="AB91" s="200"/>
      <c r="AC91" s="200"/>
      <c r="AD91" s="213" t="s">
        <v>683</v>
      </c>
      <c r="AE91" s="213" t="s">
        <v>683</v>
      </c>
      <c r="AF91" s="214" t="str">
        <f>Table1[[#This Row],[2019 Scope 1 (MeT Co2)]]</f>
        <v>#ERROR!</v>
      </c>
      <c r="AG91" s="215" t="str">
        <f t="shared" si="2"/>
        <v>#ERROR!</v>
      </c>
      <c r="AH91" s="216" t="str">
        <f t="shared" si="3"/>
        <v>#ERROR!</v>
      </c>
      <c r="AI91" s="210"/>
      <c r="AJ91" s="210"/>
      <c r="AK91" s="213" t="s">
        <v>683</v>
      </c>
      <c r="AL91" s="213" t="s">
        <v>683</v>
      </c>
      <c r="AM91" s="214" t="str">
        <f>Table1[[#This Row],[2019 Scope 2 ]]</f>
        <v>#ERROR!</v>
      </c>
      <c r="AN91" s="215" t="str">
        <f t="shared" si="4"/>
        <v>#ERROR!</v>
      </c>
      <c r="AO91" s="216" t="str">
        <f t="shared" si="5"/>
        <v>#ERROR!</v>
      </c>
      <c r="AP91" s="215" t="str">
        <f t="shared" si="6"/>
        <v>#ERROR!</v>
      </c>
      <c r="AQ91" s="216" t="str">
        <f t="shared" si="7"/>
        <v>#ERROR!</v>
      </c>
      <c r="AR91" s="217" t="str">
        <f>Table1[[#This Row],[2019 Scope 3 ]]</f>
        <v>#ERROR!</v>
      </c>
      <c r="AS91" s="218" t="str">
        <f t="shared" si="8"/>
        <v>#ERROR!</v>
      </c>
      <c r="AT91" s="219" t="str">
        <f t="shared" si="9"/>
        <v>#ERROR!</v>
      </c>
      <c r="BI91" s="4">
        <v>20384.0</v>
      </c>
    </row>
    <row r="92" ht="12.75" hidden="1" customHeight="1">
      <c r="A92" s="5">
        <f>companies!A92</f>
        <v>91</v>
      </c>
      <c r="B92" s="200" t="s">
        <v>1254</v>
      </c>
      <c r="C92" s="200" t="s">
        <v>1262</v>
      </c>
      <c r="D92" s="200" t="s">
        <v>1262</v>
      </c>
      <c r="E92" s="200" t="s">
        <v>1262</v>
      </c>
      <c r="F92" s="200" t="s">
        <v>1262</v>
      </c>
      <c r="G92" s="200" t="s">
        <v>1262</v>
      </c>
      <c r="H92" s="200" t="s">
        <v>1262</v>
      </c>
      <c r="I92" s="200" t="s">
        <v>1262</v>
      </c>
      <c r="J92" s="200" t="s">
        <v>1262</v>
      </c>
      <c r="K92" s="200" t="s">
        <v>1262</v>
      </c>
      <c r="L92" s="200" t="s">
        <v>1262</v>
      </c>
      <c r="M92" s="200" t="s">
        <v>1262</v>
      </c>
      <c r="N92" s="200" t="s">
        <v>1262</v>
      </c>
      <c r="O92" s="200" t="s">
        <v>1262</v>
      </c>
      <c r="P92" s="200" t="s">
        <v>1262</v>
      </c>
      <c r="Q92" s="200" t="s">
        <v>1262</v>
      </c>
      <c r="R92" s="200" t="s">
        <v>1262</v>
      </c>
      <c r="S92" s="200" t="s">
        <v>1262</v>
      </c>
      <c r="T92" s="200" t="s">
        <v>1262</v>
      </c>
      <c r="U92" s="200" t="s">
        <v>1262</v>
      </c>
      <c r="V92" s="200" t="s">
        <v>1262</v>
      </c>
      <c r="W92" s="213">
        <f t="shared" si="10"/>
        <v>0</v>
      </c>
      <c r="X92" s="200">
        <v>0.0</v>
      </c>
      <c r="Y92" s="200"/>
      <c r="Z92" s="200"/>
      <c r="AA92" s="200"/>
      <c r="AB92" s="213"/>
      <c r="AC92" s="213"/>
      <c r="AD92" s="213" t="e">
        <v>#N/A</v>
      </c>
      <c r="AE92" s="213" t="e">
        <v>#N/A</v>
      </c>
      <c r="AF92" s="214" t="str">
        <f>Table1[[#This Row],[2019 Scope 1 (MeT Co2)]]</f>
        <v>#ERROR!</v>
      </c>
      <c r="AG92" s="215" t="str">
        <f t="shared" si="2"/>
        <v>#ERROR!</v>
      </c>
      <c r="AH92" s="216" t="str">
        <f t="shared" si="3"/>
        <v>#ERROR!</v>
      </c>
      <c r="AI92" s="210"/>
      <c r="AJ92" s="210"/>
      <c r="AK92" s="213" t="e">
        <v>#N/A</v>
      </c>
      <c r="AL92" s="213" t="e">
        <v>#N/A</v>
      </c>
      <c r="AM92" s="214" t="str">
        <f>Table1[[#This Row],[2019 Scope 2 ]]</f>
        <v>#ERROR!</v>
      </c>
      <c r="AN92" s="215" t="str">
        <f t="shared" si="4"/>
        <v>#ERROR!</v>
      </c>
      <c r="AO92" s="216" t="str">
        <f t="shared" si="5"/>
        <v>#ERROR!</v>
      </c>
      <c r="AP92" s="215" t="str">
        <f t="shared" si="6"/>
        <v>#ERROR!</v>
      </c>
      <c r="AQ92" s="216" t="str">
        <f t="shared" si="7"/>
        <v>#ERROR!</v>
      </c>
      <c r="AR92" s="217" t="str">
        <f>Table1[[#This Row],[2019 Scope 3 ]]</f>
        <v>#ERROR!</v>
      </c>
      <c r="AS92" s="218" t="str">
        <f t="shared" si="8"/>
        <v>#ERROR!</v>
      </c>
      <c r="AT92" s="219" t="str">
        <f t="shared" si="9"/>
        <v>#ERROR!</v>
      </c>
    </row>
    <row r="93" ht="12.75" hidden="1" customHeight="1">
      <c r="A93" s="5">
        <f>companies!A93</f>
        <v>92</v>
      </c>
      <c r="B93" s="200" t="s">
        <v>1254</v>
      </c>
      <c r="C93" s="200">
        <v>1.0066595E7</v>
      </c>
      <c r="D93" s="200">
        <v>344024.0</v>
      </c>
      <c r="E93" s="200">
        <v>314075.0</v>
      </c>
      <c r="F93" s="200">
        <v>11587.0</v>
      </c>
      <c r="G93" s="200">
        <v>197684.0</v>
      </c>
      <c r="H93" s="200">
        <v>2486703.0</v>
      </c>
      <c r="I93" s="200">
        <v>7967.0</v>
      </c>
      <c r="J93" s="200">
        <v>452268.0</v>
      </c>
      <c r="K93" s="200">
        <v>15499.0</v>
      </c>
      <c r="L93" s="200">
        <v>3712.0</v>
      </c>
      <c r="M93" s="213" t="s">
        <v>683</v>
      </c>
      <c r="N93" s="213" t="s">
        <v>683</v>
      </c>
      <c r="O93" s="213" t="s">
        <v>683</v>
      </c>
      <c r="P93" s="213" t="s">
        <v>683</v>
      </c>
      <c r="Q93" s="213" t="s">
        <v>683</v>
      </c>
      <c r="R93" s="200" t="s">
        <v>683</v>
      </c>
      <c r="S93" s="213" t="s">
        <v>683</v>
      </c>
      <c r="T93" s="213" t="s">
        <v>683</v>
      </c>
      <c r="U93" s="213" t="s">
        <v>683</v>
      </c>
      <c r="V93" s="213" t="s">
        <v>683</v>
      </c>
      <c r="W93" s="213">
        <f t="shared" si="10"/>
        <v>3175420</v>
      </c>
      <c r="X93" s="200">
        <v>314075.0</v>
      </c>
      <c r="Y93" s="200">
        <v>1.355609E7</v>
      </c>
      <c r="Z93" s="200"/>
      <c r="AA93" s="200"/>
      <c r="AB93" s="200"/>
      <c r="AC93" s="200"/>
      <c r="AD93" s="213" t="s">
        <v>683</v>
      </c>
      <c r="AE93" s="213" t="s">
        <v>683</v>
      </c>
      <c r="AF93" s="214" t="str">
        <f>Table1[[#This Row],[2019 Scope 1 (MeT Co2)]]</f>
        <v>#ERROR!</v>
      </c>
      <c r="AG93" s="215" t="str">
        <f t="shared" si="2"/>
        <v>#ERROR!</v>
      </c>
      <c r="AH93" s="216" t="str">
        <f t="shared" si="3"/>
        <v>#ERROR!</v>
      </c>
      <c r="AI93" s="210"/>
      <c r="AJ93" s="210"/>
      <c r="AK93" s="213" t="s">
        <v>683</v>
      </c>
      <c r="AL93" s="213" t="s">
        <v>683</v>
      </c>
      <c r="AM93" s="214" t="str">
        <f>Table1[[#This Row],[2019 Scope 2 ]]</f>
        <v>#ERROR!</v>
      </c>
      <c r="AN93" s="215" t="str">
        <f t="shared" si="4"/>
        <v>#ERROR!</v>
      </c>
      <c r="AO93" s="220" t="str">
        <f t="shared" si="5"/>
        <v>#ERROR!</v>
      </c>
      <c r="AP93" s="215" t="str">
        <f t="shared" si="6"/>
        <v>#ERROR!</v>
      </c>
      <c r="AQ93" s="220" t="str">
        <f t="shared" si="7"/>
        <v>#ERROR!</v>
      </c>
      <c r="AR93" s="217" t="str">
        <f>Table1[[#This Row],[2019 Scope 3 ]]</f>
        <v>#ERROR!</v>
      </c>
      <c r="AS93" s="218" t="str">
        <f t="shared" si="8"/>
        <v>#ERROR!</v>
      </c>
      <c r="AT93" s="219" t="str">
        <f t="shared" si="9"/>
        <v>#ERROR!</v>
      </c>
      <c r="BI93" s="200">
        <v>19845.0</v>
      </c>
    </row>
    <row r="94" ht="12.75" hidden="1" customHeight="1">
      <c r="A94" s="5">
        <f>companies!A94</f>
        <v>93</v>
      </c>
      <c r="B94" s="200" t="s">
        <v>1254</v>
      </c>
      <c r="C94" s="200">
        <v>17709.0</v>
      </c>
      <c r="D94" s="200">
        <v>153004.0</v>
      </c>
      <c r="E94" s="200">
        <v>149418.0</v>
      </c>
      <c r="F94" s="200" t="s">
        <v>683</v>
      </c>
      <c r="G94" s="200" t="s">
        <v>683</v>
      </c>
      <c r="H94" s="200" t="s">
        <v>683</v>
      </c>
      <c r="I94" s="200" t="s">
        <v>683</v>
      </c>
      <c r="J94" s="200">
        <v>25934.0</v>
      </c>
      <c r="K94" s="200">
        <v>63005.0</v>
      </c>
      <c r="L94" s="200">
        <v>252683.0</v>
      </c>
      <c r="M94" s="213">
        <v>88189.0</v>
      </c>
      <c r="N94" s="213" t="s">
        <v>683</v>
      </c>
      <c r="O94" s="213" t="s">
        <v>683</v>
      </c>
      <c r="P94" s="213" t="s">
        <v>683</v>
      </c>
      <c r="Q94" s="213" t="s">
        <v>683</v>
      </c>
      <c r="R94" s="200" t="s">
        <v>683</v>
      </c>
      <c r="S94" s="213" t="s">
        <v>683</v>
      </c>
      <c r="T94" s="213" t="s">
        <v>683</v>
      </c>
      <c r="U94" s="213" t="s">
        <v>683</v>
      </c>
      <c r="V94" s="213" t="s">
        <v>683</v>
      </c>
      <c r="W94" s="213">
        <f t="shared" si="10"/>
        <v>429811</v>
      </c>
      <c r="X94" s="200">
        <v>149418.0</v>
      </c>
      <c r="Y94" s="200">
        <v>596938.0</v>
      </c>
      <c r="Z94" s="200"/>
      <c r="AA94" s="200"/>
      <c r="AB94" s="200"/>
      <c r="AC94" s="200"/>
      <c r="AD94" s="213" t="s">
        <v>683</v>
      </c>
      <c r="AE94" s="213" t="s">
        <v>683</v>
      </c>
      <c r="AF94" s="214" t="str">
        <f>Table1[[#This Row],[2019 Scope 1 (MeT Co2)]]</f>
        <v>#ERROR!</v>
      </c>
      <c r="AG94" s="215" t="str">
        <f t="shared" si="2"/>
        <v>#ERROR!</v>
      </c>
      <c r="AH94" s="216" t="str">
        <f t="shared" si="3"/>
        <v>#ERROR!</v>
      </c>
      <c r="AI94" s="210"/>
      <c r="AJ94" s="210"/>
      <c r="AK94" s="213" t="s">
        <v>683</v>
      </c>
      <c r="AL94" s="213" t="s">
        <v>683</v>
      </c>
      <c r="AM94" s="214" t="str">
        <f>Table1[[#This Row],[2019 Scope 2 ]]</f>
        <v>#ERROR!</v>
      </c>
      <c r="AN94" s="215" t="str">
        <f t="shared" si="4"/>
        <v>#ERROR!</v>
      </c>
      <c r="AO94" s="216" t="str">
        <f t="shared" si="5"/>
        <v>#ERROR!</v>
      </c>
      <c r="AP94" s="215" t="str">
        <f t="shared" si="6"/>
        <v>#ERROR!</v>
      </c>
      <c r="AQ94" s="216" t="str">
        <f t="shared" si="7"/>
        <v>#ERROR!</v>
      </c>
      <c r="AR94" s="217" t="str">
        <f>Table1[[#This Row],[2019 Scope 3 ]]</f>
        <v>#ERROR!</v>
      </c>
      <c r="AS94" s="218" t="str">
        <f t="shared" si="8"/>
        <v>#ERROR!</v>
      </c>
      <c r="AT94" s="219" t="str">
        <f t="shared" si="9"/>
        <v>#ERROR!</v>
      </c>
      <c r="BI94" s="4">
        <v>19858.0</v>
      </c>
    </row>
    <row r="95" ht="12.75" hidden="1" customHeight="1">
      <c r="A95" s="5">
        <f>companies!A95</f>
        <v>94</v>
      </c>
      <c r="B95" s="200" t="s">
        <v>1254</v>
      </c>
      <c r="C95" s="200">
        <v>1.4223E7</v>
      </c>
      <c r="D95" s="200">
        <v>754000.0</v>
      </c>
      <c r="E95" s="200">
        <v>731000.0</v>
      </c>
      <c r="F95" s="200">
        <v>3122000.0</v>
      </c>
      <c r="G95" s="200">
        <v>4629000.0</v>
      </c>
      <c r="H95" s="200">
        <v>2820000.0</v>
      </c>
      <c r="I95" s="200">
        <v>8198000.0</v>
      </c>
      <c r="J95" s="200">
        <v>25000.0</v>
      </c>
      <c r="K95" s="200">
        <v>69000.0</v>
      </c>
      <c r="L95" s="200">
        <v>2079000.0</v>
      </c>
      <c r="M95" s="213" t="s">
        <v>683</v>
      </c>
      <c r="N95" s="213" t="s">
        <v>683</v>
      </c>
      <c r="O95" s="213" t="s">
        <v>683</v>
      </c>
      <c r="P95" s="213" t="s">
        <v>683</v>
      </c>
      <c r="Q95" s="213">
        <v>9000.0</v>
      </c>
      <c r="R95" s="200" t="s">
        <v>683</v>
      </c>
      <c r="S95" s="213">
        <v>57000.0</v>
      </c>
      <c r="T95" s="213" t="s">
        <v>683</v>
      </c>
      <c r="U95" s="213" t="s">
        <v>683</v>
      </c>
      <c r="V95" s="213" t="s">
        <v>683</v>
      </c>
      <c r="W95" s="213">
        <f t="shared" si="10"/>
        <v>21008000</v>
      </c>
      <c r="X95" s="200">
        <v>731000.0</v>
      </c>
      <c r="Y95" s="200">
        <v>3.5962E7</v>
      </c>
      <c r="Z95" s="200"/>
      <c r="AA95" s="200"/>
      <c r="AB95" s="200"/>
      <c r="AC95" s="200"/>
      <c r="AD95" s="213" t="s">
        <v>683</v>
      </c>
      <c r="AE95" s="213" t="s">
        <v>683</v>
      </c>
      <c r="AF95" s="214" t="str">
        <f>Table1[[#This Row],[2019 Scope 1 (MeT Co2)]]</f>
        <v>#ERROR!</v>
      </c>
      <c r="AG95" s="215" t="str">
        <f t="shared" si="2"/>
        <v>#ERROR!</v>
      </c>
      <c r="AH95" s="216" t="str">
        <f t="shared" si="3"/>
        <v>#ERROR!</v>
      </c>
      <c r="AI95" s="210"/>
      <c r="AJ95" s="210"/>
      <c r="AK95" s="213" t="s">
        <v>683</v>
      </c>
      <c r="AL95" s="213" t="s">
        <v>683</v>
      </c>
      <c r="AM95" s="214" t="str">
        <f>Table1[[#This Row],[2019 Scope 2 ]]</f>
        <v>#ERROR!</v>
      </c>
      <c r="AN95" s="215" t="str">
        <f t="shared" si="4"/>
        <v>#ERROR!</v>
      </c>
      <c r="AO95" s="216" t="str">
        <f t="shared" si="5"/>
        <v>#ERROR!</v>
      </c>
      <c r="AP95" s="215" t="str">
        <f t="shared" si="6"/>
        <v>#ERROR!</v>
      </c>
      <c r="AQ95" s="216" t="str">
        <f t="shared" si="7"/>
        <v>#ERROR!</v>
      </c>
      <c r="AR95" s="217" t="str">
        <f>Table1[[#This Row],[2019 Scope 3 ]]</f>
        <v>#ERROR!</v>
      </c>
      <c r="AS95" s="218" t="str">
        <f t="shared" si="8"/>
        <v>#ERROR!</v>
      </c>
      <c r="AT95" s="219" t="str">
        <f t="shared" si="9"/>
        <v>#ERROR!</v>
      </c>
      <c r="BI95" s="4">
        <v>19898.0</v>
      </c>
    </row>
    <row r="96" ht="12.75" hidden="1" customHeight="1">
      <c r="A96" s="5">
        <f>companies!A96</f>
        <v>95</v>
      </c>
      <c r="B96" s="200" t="s">
        <v>1254</v>
      </c>
      <c r="C96" s="200">
        <v>56482.0</v>
      </c>
      <c r="D96" s="200">
        <v>255929.0</v>
      </c>
      <c r="E96" s="200">
        <v>176447.0</v>
      </c>
      <c r="F96" s="200" t="s">
        <v>683</v>
      </c>
      <c r="G96" s="200" t="s">
        <v>683</v>
      </c>
      <c r="H96" s="200" t="s">
        <v>683</v>
      </c>
      <c r="I96" s="200" t="s">
        <v>683</v>
      </c>
      <c r="J96" s="200">
        <v>8528.0</v>
      </c>
      <c r="K96" s="200">
        <v>38762.0</v>
      </c>
      <c r="L96" s="200">
        <v>79195.0</v>
      </c>
      <c r="M96" s="213" t="s">
        <v>683</v>
      </c>
      <c r="N96" s="213" t="s">
        <v>683</v>
      </c>
      <c r="O96" s="213" t="s">
        <v>683</v>
      </c>
      <c r="P96" s="213" t="s">
        <v>683</v>
      </c>
      <c r="Q96" s="213" t="s">
        <v>683</v>
      </c>
      <c r="R96" s="200">
        <v>44088.0</v>
      </c>
      <c r="S96" s="213" t="s">
        <v>683</v>
      </c>
      <c r="T96" s="213" t="s">
        <v>683</v>
      </c>
      <c r="U96" s="213" t="s">
        <v>683</v>
      </c>
      <c r="V96" s="213" t="s">
        <v>683</v>
      </c>
      <c r="W96" s="213">
        <f t="shared" si="10"/>
        <v>170573</v>
      </c>
      <c r="X96" s="200">
        <v>176447.0</v>
      </c>
      <c r="Y96" s="200">
        <v>403502.0</v>
      </c>
      <c r="Z96" s="200"/>
      <c r="AA96" s="200"/>
      <c r="AB96" s="200"/>
      <c r="AC96" s="200"/>
      <c r="AD96" s="213" t="s">
        <v>1255</v>
      </c>
      <c r="AE96" s="213" t="s">
        <v>1256</v>
      </c>
      <c r="AF96" s="214" t="str">
        <f>Table1[[#This Row],[2019 Scope 1 (MeT Co2)]]</f>
        <v>#ERROR!</v>
      </c>
      <c r="AG96" s="215" t="str">
        <f t="shared" si="2"/>
        <v>#ERROR!</v>
      </c>
      <c r="AH96" s="216" t="str">
        <f t="shared" si="3"/>
        <v>#ERROR!</v>
      </c>
      <c r="AI96" s="210"/>
      <c r="AJ96" s="210"/>
      <c r="AK96" s="213" t="s">
        <v>1255</v>
      </c>
      <c r="AL96" s="213" t="s">
        <v>1256</v>
      </c>
      <c r="AM96" s="214" t="str">
        <f>Table1[[#This Row],[2019 Scope 2 ]]</f>
        <v>#ERROR!</v>
      </c>
      <c r="AN96" s="215" t="str">
        <f t="shared" si="4"/>
        <v>#ERROR!</v>
      </c>
      <c r="AO96" s="216" t="str">
        <f t="shared" si="5"/>
        <v>#ERROR!</v>
      </c>
      <c r="AP96" s="215" t="str">
        <f t="shared" si="6"/>
        <v>#ERROR!</v>
      </c>
      <c r="AQ96" s="216" t="str">
        <f t="shared" si="7"/>
        <v>#ERROR!</v>
      </c>
      <c r="AR96" s="217" t="str">
        <f>Table1[[#This Row],[2019 Scope 3 ]]</f>
        <v>#ERROR!</v>
      </c>
      <c r="AS96" s="218" t="str">
        <f t="shared" si="8"/>
        <v>#ERROR!</v>
      </c>
      <c r="AT96" s="219" t="str">
        <f t="shared" si="9"/>
        <v>#ERROR!</v>
      </c>
      <c r="BI96" s="4">
        <v>19593.0</v>
      </c>
    </row>
    <row r="97" ht="12.75" hidden="1" customHeight="1">
      <c r="A97" s="5">
        <f>companies!A97</f>
        <v>96</v>
      </c>
      <c r="B97" s="200" t="s">
        <v>1254</v>
      </c>
      <c r="C97" s="200">
        <v>358753.0</v>
      </c>
      <c r="D97" s="200">
        <v>4006874.0</v>
      </c>
      <c r="E97" s="200">
        <v>3982613.0</v>
      </c>
      <c r="F97" s="200">
        <v>1.2502929E7</v>
      </c>
      <c r="G97" s="200">
        <v>0.0</v>
      </c>
      <c r="H97" s="200">
        <v>1057075.0</v>
      </c>
      <c r="I97" s="200">
        <v>65443.0</v>
      </c>
      <c r="J97" s="200">
        <v>36503.0</v>
      </c>
      <c r="K97" s="200">
        <v>92882.0</v>
      </c>
      <c r="L97" s="200">
        <v>511555.0</v>
      </c>
      <c r="M97" s="213" t="s">
        <v>683</v>
      </c>
      <c r="N97" s="213">
        <v>56906.0</v>
      </c>
      <c r="O97" s="213" t="s">
        <v>683</v>
      </c>
      <c r="P97" s="213">
        <v>2736735.0</v>
      </c>
      <c r="Q97" s="213">
        <v>1619.0</v>
      </c>
      <c r="R97" s="200" t="s">
        <v>683</v>
      </c>
      <c r="S97" s="213" t="s">
        <v>683</v>
      </c>
      <c r="T97" s="213" t="s">
        <v>683</v>
      </c>
      <c r="U97" s="213" t="s">
        <v>683</v>
      </c>
      <c r="V97" s="213" t="s">
        <v>683</v>
      </c>
      <c r="W97" s="213">
        <f t="shared" si="10"/>
        <v>17061647</v>
      </c>
      <c r="X97" s="200">
        <v>3982613.0</v>
      </c>
      <c r="Y97" s="200">
        <v>2.1403013E7</v>
      </c>
      <c r="Z97" s="200"/>
      <c r="AA97" s="200"/>
      <c r="AB97" s="200"/>
      <c r="AC97" s="200"/>
      <c r="AD97" s="213" t="s">
        <v>683</v>
      </c>
      <c r="AE97" s="213" t="s">
        <v>683</v>
      </c>
      <c r="AF97" s="214" t="str">
        <f>Table1[[#This Row],[2019 Scope 1 (MeT Co2)]]</f>
        <v>#ERROR!</v>
      </c>
      <c r="AG97" s="215" t="str">
        <f t="shared" si="2"/>
        <v>#ERROR!</v>
      </c>
      <c r="AH97" s="216" t="str">
        <f t="shared" si="3"/>
        <v>#ERROR!</v>
      </c>
      <c r="AI97" s="210"/>
      <c r="AJ97" s="210"/>
      <c r="AK97" s="213" t="s">
        <v>683</v>
      </c>
      <c r="AL97" s="213" t="s">
        <v>683</v>
      </c>
      <c r="AM97" s="214" t="str">
        <f>Table1[[#This Row],[2019 Scope 2 ]]</f>
        <v>#ERROR!</v>
      </c>
      <c r="AN97" s="215" t="str">
        <f t="shared" si="4"/>
        <v>#ERROR!</v>
      </c>
      <c r="AO97" s="216" t="str">
        <f t="shared" si="5"/>
        <v>#ERROR!</v>
      </c>
      <c r="AP97" s="215" t="str">
        <f t="shared" si="6"/>
        <v>#ERROR!</v>
      </c>
      <c r="AQ97" s="216" t="str">
        <f t="shared" si="7"/>
        <v>#ERROR!</v>
      </c>
      <c r="AR97" s="217" t="str">
        <f>Table1[[#This Row],[2019 Scope 3 ]]</f>
        <v>#ERROR!</v>
      </c>
      <c r="AS97" s="218" t="str">
        <f t="shared" si="8"/>
        <v>#ERROR!</v>
      </c>
      <c r="AT97" s="219" t="str">
        <f t="shared" si="9"/>
        <v>#ERROR!</v>
      </c>
      <c r="BI97" s="4">
        <v>20175.0</v>
      </c>
    </row>
    <row r="98" ht="12.75" hidden="1" customHeight="1">
      <c r="A98" s="5">
        <f>companies!A98</f>
        <v>97</v>
      </c>
      <c r="B98" s="200" t="s">
        <v>1254</v>
      </c>
      <c r="C98" s="200">
        <v>8642.0</v>
      </c>
      <c r="D98" s="200">
        <v>66009.0</v>
      </c>
      <c r="E98" s="200">
        <v>51366.0</v>
      </c>
      <c r="F98" s="200">
        <v>430410.0</v>
      </c>
      <c r="G98" s="200" t="s">
        <v>683</v>
      </c>
      <c r="H98" s="200">
        <v>13729.0</v>
      </c>
      <c r="I98" s="200" t="s">
        <v>683</v>
      </c>
      <c r="J98" s="200">
        <v>2203.0</v>
      </c>
      <c r="K98" s="200">
        <v>48009.0</v>
      </c>
      <c r="L98" s="200">
        <v>29518.0</v>
      </c>
      <c r="M98" s="213" t="s">
        <v>683</v>
      </c>
      <c r="N98" s="213" t="s">
        <v>683</v>
      </c>
      <c r="O98" s="213" t="s">
        <v>683</v>
      </c>
      <c r="P98" s="213" t="s">
        <v>683</v>
      </c>
      <c r="Q98" s="213" t="s">
        <v>683</v>
      </c>
      <c r="R98" s="200">
        <v>94.0</v>
      </c>
      <c r="S98" s="213" t="s">
        <v>683</v>
      </c>
      <c r="T98" s="213" t="s">
        <v>683</v>
      </c>
      <c r="U98" s="213" t="s">
        <v>683</v>
      </c>
      <c r="V98" s="213" t="s">
        <v>683</v>
      </c>
      <c r="W98" s="213">
        <f t="shared" si="10"/>
        <v>523963</v>
      </c>
      <c r="X98" s="200">
        <v>51366.0</v>
      </c>
      <c r="Y98" s="200">
        <v>583971.0</v>
      </c>
      <c r="Z98" s="200"/>
      <c r="AA98" s="200"/>
      <c r="AB98" s="200"/>
      <c r="AC98" s="200"/>
      <c r="AD98" s="213" t="s">
        <v>683</v>
      </c>
      <c r="AE98" s="213" t="s">
        <v>683</v>
      </c>
      <c r="AF98" s="214" t="str">
        <f>Table1[[#This Row],[2019 Scope 1 (MeT Co2)]]</f>
        <v>#ERROR!</v>
      </c>
      <c r="AG98" s="215" t="str">
        <f t="shared" si="2"/>
        <v>#ERROR!</v>
      </c>
      <c r="AH98" s="216" t="str">
        <f t="shared" si="3"/>
        <v>#ERROR!</v>
      </c>
      <c r="AI98" s="210"/>
      <c r="AJ98" s="210"/>
      <c r="AK98" s="213" t="s">
        <v>683</v>
      </c>
      <c r="AL98" s="213" t="s">
        <v>683</v>
      </c>
      <c r="AM98" s="214" t="str">
        <f>Table1[[#This Row],[2019 Scope 2 ]]</f>
        <v>#ERROR!</v>
      </c>
      <c r="AN98" s="215" t="str">
        <f t="shared" si="4"/>
        <v>#ERROR!</v>
      </c>
      <c r="AO98" s="216" t="str">
        <f t="shared" si="5"/>
        <v>#ERROR!</v>
      </c>
      <c r="AP98" s="215" t="str">
        <f t="shared" si="6"/>
        <v>#ERROR!</v>
      </c>
      <c r="AQ98" s="216" t="str">
        <f t="shared" si="7"/>
        <v>#ERROR!</v>
      </c>
      <c r="AR98" s="217" t="str">
        <f>Table1[[#This Row],[2019 Scope 3 ]]</f>
        <v>#ERROR!</v>
      </c>
      <c r="AS98" s="218" t="str">
        <f t="shared" si="8"/>
        <v>#ERROR!</v>
      </c>
      <c r="AT98" s="219" t="str">
        <f t="shared" si="9"/>
        <v>#ERROR!</v>
      </c>
      <c r="BI98" s="4">
        <v>22867.0</v>
      </c>
    </row>
    <row r="99" ht="12.75" hidden="1" customHeight="1">
      <c r="A99" s="5">
        <f>companies!A99</f>
        <v>98</v>
      </c>
      <c r="B99" s="200" t="s">
        <v>1254</v>
      </c>
      <c r="C99" s="200">
        <v>421000.0</v>
      </c>
      <c r="D99" s="200">
        <v>1645000.0</v>
      </c>
      <c r="E99" s="200">
        <v>1575000.0</v>
      </c>
      <c r="F99" s="200">
        <v>2.5508E7</v>
      </c>
      <c r="G99" s="200">
        <v>776000.0</v>
      </c>
      <c r="H99" s="200">
        <v>298000.0</v>
      </c>
      <c r="I99" s="200">
        <v>167000.0</v>
      </c>
      <c r="J99" s="200">
        <v>40000.0</v>
      </c>
      <c r="K99" s="200">
        <v>53000.0</v>
      </c>
      <c r="L99" s="200">
        <v>878000.0</v>
      </c>
      <c r="M99" s="213" t="s">
        <v>683</v>
      </c>
      <c r="N99" s="213">
        <v>9835000.0</v>
      </c>
      <c r="O99" s="213" t="s">
        <v>683</v>
      </c>
      <c r="P99" s="213">
        <v>15000.0</v>
      </c>
      <c r="Q99" s="213">
        <v>58000.0</v>
      </c>
      <c r="R99" s="200">
        <v>28000.0</v>
      </c>
      <c r="S99" s="213" t="s">
        <v>683</v>
      </c>
      <c r="T99" s="213">
        <v>243000.0</v>
      </c>
      <c r="U99" s="213" t="s">
        <v>683</v>
      </c>
      <c r="V99" s="213" t="s">
        <v>683</v>
      </c>
      <c r="W99" s="213">
        <f t="shared" si="10"/>
        <v>37899000</v>
      </c>
      <c r="X99" s="200">
        <v>1575000.0</v>
      </c>
      <c r="Y99" s="200">
        <v>3.9895E7</v>
      </c>
      <c r="Z99" s="200"/>
      <c r="AA99" s="200"/>
      <c r="AB99" s="200"/>
      <c r="AC99" s="200"/>
      <c r="AD99" s="213" t="s">
        <v>683</v>
      </c>
      <c r="AE99" s="213" t="s">
        <v>683</v>
      </c>
      <c r="AF99" s="214" t="str">
        <f>Table1[[#This Row],[2019 Scope 1 (MeT Co2)]]</f>
        <v>#ERROR!</v>
      </c>
      <c r="AG99" s="215" t="str">
        <f t="shared" si="2"/>
        <v>#ERROR!</v>
      </c>
      <c r="AH99" s="216" t="str">
        <f t="shared" si="3"/>
        <v>#ERROR!</v>
      </c>
      <c r="AI99" s="210"/>
      <c r="AJ99" s="210"/>
      <c r="AK99" s="213" t="s">
        <v>683</v>
      </c>
      <c r="AL99" s="213" t="s">
        <v>683</v>
      </c>
      <c r="AM99" s="214" t="str">
        <f>Table1[[#This Row],[2019 Scope 2 ]]</f>
        <v>#ERROR!</v>
      </c>
      <c r="AN99" s="215" t="str">
        <f t="shared" si="4"/>
        <v>#ERROR!</v>
      </c>
      <c r="AO99" s="216" t="str">
        <f t="shared" si="5"/>
        <v>#ERROR!</v>
      </c>
      <c r="AP99" s="215" t="str">
        <f t="shared" si="6"/>
        <v>#ERROR!</v>
      </c>
      <c r="AQ99" s="216" t="str">
        <f t="shared" si="7"/>
        <v>#ERROR!</v>
      </c>
      <c r="AR99" s="217" t="str">
        <f>Table1[[#This Row],[2019 Scope 3 ]]</f>
        <v>#ERROR!</v>
      </c>
      <c r="AS99" s="218" t="str">
        <f t="shared" si="8"/>
        <v>#ERROR!</v>
      </c>
      <c r="AT99" s="219" t="str">
        <f t="shared" si="9"/>
        <v>#ERROR!</v>
      </c>
      <c r="BI99" s="200">
        <v>20398.0</v>
      </c>
    </row>
    <row r="100" ht="12.75" hidden="1" customHeight="1">
      <c r="A100" s="5">
        <f>companies!A100</f>
        <v>99</v>
      </c>
      <c r="B100" s="200" t="s">
        <v>1254</v>
      </c>
      <c r="C100" s="200">
        <v>6484616.0</v>
      </c>
      <c r="D100" s="200">
        <v>1.2190878E7</v>
      </c>
      <c r="E100" s="200">
        <v>1.107898E7</v>
      </c>
      <c r="F100" s="200">
        <v>1.43267842E8</v>
      </c>
      <c r="G100" s="200">
        <v>645328.0</v>
      </c>
      <c r="H100" s="200">
        <v>3327874.0</v>
      </c>
      <c r="I100" s="200">
        <v>342577.0</v>
      </c>
      <c r="J100" s="200">
        <v>968265.0</v>
      </c>
      <c r="K100" s="200">
        <v>76296.0</v>
      </c>
      <c r="L100" s="200">
        <v>3500000.0</v>
      </c>
      <c r="M100" s="213" t="s">
        <v>683</v>
      </c>
      <c r="N100" s="213">
        <v>5099.0</v>
      </c>
      <c r="O100" s="213" t="s">
        <v>683</v>
      </c>
      <c r="P100" s="213">
        <v>3.2211E7</v>
      </c>
      <c r="Q100" s="213">
        <v>130.0</v>
      </c>
      <c r="R100" s="200">
        <v>130000.0</v>
      </c>
      <c r="S100" s="213" t="s">
        <v>683</v>
      </c>
      <c r="T100" s="213" t="s">
        <v>683</v>
      </c>
      <c r="U100" s="213" t="s">
        <v>683</v>
      </c>
      <c r="V100" s="213" t="s">
        <v>683</v>
      </c>
      <c r="W100" s="213">
        <f t="shared" si="10"/>
        <v>184474411</v>
      </c>
      <c r="X100" s="200">
        <v>1.107898E7</v>
      </c>
      <c r="Y100" s="200">
        <v>2.02038007E8</v>
      </c>
      <c r="Z100" s="200"/>
      <c r="AA100" s="200"/>
      <c r="AB100" s="200"/>
      <c r="AC100" s="200"/>
      <c r="AD100" s="213" t="s">
        <v>683</v>
      </c>
      <c r="AE100" s="213" t="s">
        <v>683</v>
      </c>
      <c r="AF100" s="214" t="str">
        <f>Table1[[#This Row],[2019 Scope 1 (MeT Co2)]]</f>
        <v>#ERROR!</v>
      </c>
      <c r="AG100" s="215" t="str">
        <f t="shared" si="2"/>
        <v>#ERROR!</v>
      </c>
      <c r="AH100" s="216" t="str">
        <f t="shared" si="3"/>
        <v>#ERROR!</v>
      </c>
      <c r="AI100" s="210"/>
      <c r="AJ100" s="210"/>
      <c r="AK100" s="213" t="s">
        <v>683</v>
      </c>
      <c r="AL100" s="213" t="s">
        <v>683</v>
      </c>
      <c r="AM100" s="214" t="str">
        <f>Table1[[#This Row],[2019 Scope 2 ]]</f>
        <v>#ERROR!</v>
      </c>
      <c r="AN100" s="215" t="str">
        <f t="shared" si="4"/>
        <v>#ERROR!</v>
      </c>
      <c r="AO100" s="216" t="str">
        <f t="shared" si="5"/>
        <v>#ERROR!</v>
      </c>
      <c r="AP100" s="215" t="str">
        <f t="shared" si="6"/>
        <v>#ERROR!</v>
      </c>
      <c r="AQ100" s="216" t="str">
        <f t="shared" si="7"/>
        <v>#ERROR!</v>
      </c>
      <c r="AR100" s="217" t="str">
        <f>Table1[[#This Row],[2019 Scope 3 ]]</f>
        <v>#ERROR!</v>
      </c>
      <c r="AS100" s="218" t="str">
        <f t="shared" si="8"/>
        <v>#ERROR!</v>
      </c>
      <c r="AT100" s="219" t="str">
        <f t="shared" si="9"/>
        <v>#ERROR!</v>
      </c>
      <c r="BI100" s="4">
        <v>20402.0</v>
      </c>
    </row>
    <row r="101" ht="12.75" hidden="1" customHeight="1">
      <c r="A101" s="5">
        <f>companies!A101</f>
        <v>100</v>
      </c>
      <c r="B101" s="200" t="s">
        <v>1254</v>
      </c>
      <c r="C101" s="200">
        <v>91993.0</v>
      </c>
      <c r="D101" s="200">
        <v>771327.0</v>
      </c>
      <c r="E101" s="200">
        <v>4988.0</v>
      </c>
      <c r="F101" s="200">
        <v>2304829.0</v>
      </c>
      <c r="G101" s="200">
        <v>455599.0</v>
      </c>
      <c r="H101" s="200">
        <v>148420.0</v>
      </c>
      <c r="I101" s="200" t="s">
        <v>683</v>
      </c>
      <c r="J101" s="200">
        <v>9921.0</v>
      </c>
      <c r="K101" s="200">
        <v>78277.0</v>
      </c>
      <c r="L101" s="200">
        <v>613405.0</v>
      </c>
      <c r="M101" s="213" t="s">
        <v>683</v>
      </c>
      <c r="N101" s="213" t="s">
        <v>683</v>
      </c>
      <c r="O101" s="213" t="s">
        <v>683</v>
      </c>
      <c r="P101" s="213" t="s">
        <v>683</v>
      </c>
      <c r="Q101" s="213" t="s">
        <v>683</v>
      </c>
      <c r="R101" s="200" t="s">
        <v>683</v>
      </c>
      <c r="S101" s="213" t="s">
        <v>683</v>
      </c>
      <c r="T101" s="213" t="s">
        <v>683</v>
      </c>
      <c r="U101" s="213" t="s">
        <v>683</v>
      </c>
      <c r="V101" s="213" t="s">
        <v>683</v>
      </c>
      <c r="W101" s="213">
        <f t="shared" si="10"/>
        <v>3610451</v>
      </c>
      <c r="X101" s="200">
        <v>4988.0</v>
      </c>
      <c r="Y101" s="200">
        <v>3707432.0</v>
      </c>
      <c r="Z101" s="200"/>
      <c r="AA101" s="200"/>
      <c r="AB101" s="200"/>
      <c r="AC101" s="200"/>
      <c r="AD101" s="213" t="s">
        <v>683</v>
      </c>
      <c r="AE101" s="213" t="s">
        <v>683</v>
      </c>
      <c r="AF101" s="214" t="str">
        <f>Table1[[#This Row],[2019 Scope 1 (MeT Co2)]]</f>
        <v>#ERROR!</v>
      </c>
      <c r="AG101" s="215" t="str">
        <f t="shared" si="2"/>
        <v>#ERROR!</v>
      </c>
      <c r="AH101" s="216" t="str">
        <f t="shared" si="3"/>
        <v>#ERROR!</v>
      </c>
      <c r="AI101" s="210"/>
      <c r="AJ101" s="210"/>
      <c r="AK101" s="213" t="s">
        <v>683</v>
      </c>
      <c r="AL101" s="213" t="s">
        <v>683</v>
      </c>
      <c r="AM101" s="214" t="str">
        <f>Table1[[#This Row],[2019 Scope 2 ]]</f>
        <v>#ERROR!</v>
      </c>
      <c r="AN101" s="215" t="str">
        <f t="shared" si="4"/>
        <v>#ERROR!</v>
      </c>
      <c r="AO101" s="216" t="str">
        <f t="shared" si="5"/>
        <v>#ERROR!</v>
      </c>
      <c r="AP101" s="215" t="str">
        <f t="shared" si="6"/>
        <v>#ERROR!</v>
      </c>
      <c r="AQ101" s="216" t="str">
        <f t="shared" si="7"/>
        <v>#ERROR!</v>
      </c>
      <c r="AR101" s="217" t="str">
        <f>Table1[[#This Row],[2019 Scope 3 ]]</f>
        <v>#ERROR!</v>
      </c>
      <c r="AS101" s="218" t="str">
        <f t="shared" si="8"/>
        <v>#ERROR!</v>
      </c>
      <c r="AT101" s="219" t="str">
        <f t="shared" si="9"/>
        <v>#ERROR!</v>
      </c>
      <c r="BI101" s="4">
        <v>20575.0</v>
      </c>
    </row>
    <row r="102" ht="12.75" customHeight="1">
      <c r="C102" s="210"/>
      <c r="D102" s="210"/>
      <c r="E102" s="210"/>
      <c r="F102" s="210"/>
      <c r="G102" s="210"/>
      <c r="H102" s="210"/>
      <c r="I102" s="210"/>
      <c r="J102" s="210"/>
      <c r="K102" s="210"/>
      <c r="L102" s="210"/>
      <c r="M102" s="210"/>
      <c r="N102" s="210"/>
      <c r="O102" s="210"/>
      <c r="P102" s="210"/>
      <c r="Q102" s="210"/>
      <c r="R102" s="210"/>
      <c r="S102" s="210"/>
      <c r="T102" s="210"/>
      <c r="U102" s="210"/>
      <c r="V102" s="210"/>
      <c r="W102" s="210"/>
      <c r="X102" s="210"/>
      <c r="Y102" s="210"/>
      <c r="Z102" s="210"/>
      <c r="AA102" s="221"/>
      <c r="AB102" s="210"/>
      <c r="AC102" s="210"/>
      <c r="AI102" s="210"/>
      <c r="AJ102" s="210"/>
    </row>
    <row r="103" ht="12.75" customHeight="1">
      <c r="C103" s="210"/>
      <c r="D103" s="210"/>
      <c r="E103" s="210"/>
      <c r="F103" s="210"/>
      <c r="G103" s="210"/>
      <c r="H103" s="210"/>
      <c r="I103" s="210"/>
      <c r="J103" s="210"/>
      <c r="K103" s="210"/>
      <c r="L103" s="210"/>
      <c r="M103" s="210"/>
      <c r="N103" s="210"/>
      <c r="O103" s="210"/>
      <c r="P103" s="210"/>
      <c r="Q103" s="210"/>
      <c r="R103" s="210"/>
      <c r="S103" s="210"/>
      <c r="T103" s="210"/>
      <c r="U103" s="210"/>
      <c r="V103" s="210"/>
      <c r="W103" s="210"/>
      <c r="X103" s="210"/>
      <c r="Y103" s="210"/>
      <c r="Z103" s="210"/>
      <c r="AA103" s="210"/>
      <c r="AB103" s="210"/>
      <c r="AC103" s="210"/>
      <c r="AI103" s="210"/>
      <c r="AJ103" s="210"/>
    </row>
    <row r="104" ht="12.75" customHeight="1">
      <c r="C104" s="210"/>
      <c r="D104" s="210"/>
      <c r="E104" s="210"/>
      <c r="F104" s="210"/>
      <c r="G104" s="210"/>
      <c r="H104" s="210"/>
      <c r="I104" s="210"/>
      <c r="J104" s="210"/>
      <c r="K104" s="210"/>
      <c r="L104" s="210"/>
      <c r="M104" s="210"/>
      <c r="N104" s="210"/>
      <c r="O104" s="210"/>
      <c r="P104" s="210"/>
      <c r="Q104" s="210"/>
      <c r="R104" s="210"/>
      <c r="S104" s="210"/>
      <c r="T104" s="210"/>
      <c r="U104" s="210"/>
      <c r="V104" s="210"/>
      <c r="W104" s="210"/>
      <c r="X104" s="210"/>
      <c r="Y104" s="210"/>
      <c r="Z104" s="210"/>
      <c r="AA104" s="210"/>
      <c r="AB104" s="210"/>
      <c r="AC104" s="210"/>
      <c r="AI104" s="210"/>
      <c r="AJ104" s="210"/>
    </row>
    <row r="105" ht="12.75" customHeight="1">
      <c r="C105" s="210"/>
      <c r="D105" s="210"/>
      <c r="E105" s="210"/>
      <c r="F105" s="210"/>
      <c r="G105" s="210"/>
      <c r="H105" s="210"/>
      <c r="I105" s="210"/>
      <c r="J105" s="210"/>
      <c r="K105" s="210"/>
      <c r="L105" s="210"/>
      <c r="M105" s="210"/>
      <c r="N105" s="210"/>
      <c r="O105" s="210"/>
      <c r="P105" s="210"/>
      <c r="Q105" s="210"/>
      <c r="R105" s="210"/>
      <c r="S105" s="210"/>
      <c r="T105" s="210"/>
      <c r="U105" s="210"/>
      <c r="V105" s="210"/>
      <c r="W105" s="210"/>
      <c r="X105" s="210"/>
      <c r="Y105" s="210"/>
      <c r="Z105" s="210"/>
      <c r="AA105" s="210"/>
      <c r="AB105" s="210"/>
      <c r="AC105" s="210"/>
      <c r="AI105" s="210"/>
      <c r="AJ105" s="210"/>
    </row>
    <row r="106" ht="12.75" customHeight="1">
      <c r="C106" s="210"/>
      <c r="D106" s="210"/>
      <c r="E106" s="210"/>
      <c r="F106" s="210"/>
      <c r="G106" s="210"/>
      <c r="H106" s="210"/>
      <c r="I106" s="210"/>
      <c r="J106" s="210"/>
      <c r="K106" s="210"/>
      <c r="L106" s="210"/>
      <c r="M106" s="210"/>
      <c r="N106" s="210"/>
      <c r="O106" s="210"/>
      <c r="P106" s="210"/>
      <c r="Q106" s="210"/>
      <c r="R106" s="210"/>
      <c r="S106" s="210"/>
      <c r="T106" s="210"/>
      <c r="U106" s="210"/>
      <c r="V106" s="210"/>
      <c r="W106" s="210"/>
      <c r="X106" s="210"/>
      <c r="Y106" s="210"/>
      <c r="Z106" s="210"/>
      <c r="AA106" s="210"/>
      <c r="AB106" s="210"/>
      <c r="AC106" s="210"/>
      <c r="AI106" s="210"/>
      <c r="AJ106" s="210"/>
    </row>
    <row r="107" ht="12.75" customHeight="1">
      <c r="C107" s="210"/>
      <c r="D107" s="210"/>
      <c r="E107" s="210"/>
      <c r="F107" s="210"/>
      <c r="G107" s="210"/>
      <c r="H107" s="210"/>
      <c r="I107" s="210"/>
      <c r="J107" s="210"/>
      <c r="K107" s="210"/>
      <c r="L107" s="210"/>
      <c r="M107" s="210"/>
      <c r="N107" s="210"/>
      <c r="O107" s="210"/>
      <c r="P107" s="210"/>
      <c r="Q107" s="210"/>
      <c r="R107" s="210"/>
      <c r="S107" s="210"/>
      <c r="T107" s="210"/>
      <c r="U107" s="210"/>
      <c r="V107" s="210"/>
      <c r="W107" s="210"/>
      <c r="X107" s="210"/>
      <c r="Y107" s="210"/>
      <c r="Z107" s="210"/>
      <c r="AA107" s="210"/>
      <c r="AB107" s="210"/>
      <c r="AC107" s="210"/>
      <c r="AI107" s="210"/>
      <c r="AJ107" s="210"/>
    </row>
    <row r="108" ht="12.75" customHeight="1">
      <c r="C108" s="210"/>
      <c r="D108" s="210"/>
      <c r="E108" s="210"/>
      <c r="F108" s="210"/>
      <c r="G108" s="210"/>
      <c r="H108" s="210"/>
      <c r="I108" s="210"/>
      <c r="J108" s="210"/>
      <c r="K108" s="210"/>
      <c r="L108" s="210"/>
      <c r="M108" s="210"/>
      <c r="N108" s="210"/>
      <c r="O108" s="210"/>
      <c r="P108" s="210"/>
      <c r="Q108" s="210"/>
      <c r="R108" s="210"/>
      <c r="S108" s="210"/>
      <c r="T108" s="210"/>
      <c r="U108" s="210"/>
      <c r="V108" s="210"/>
      <c r="W108" s="210"/>
      <c r="X108" s="210"/>
      <c r="Y108" s="210"/>
      <c r="Z108" s="210"/>
      <c r="AA108" s="210"/>
      <c r="AB108" s="210"/>
      <c r="AC108" s="210"/>
      <c r="AI108" s="210"/>
      <c r="AJ108" s="210"/>
    </row>
    <row r="109" ht="12.75" customHeight="1">
      <c r="C109" s="210"/>
      <c r="D109" s="210"/>
      <c r="E109" s="210"/>
      <c r="F109" s="210"/>
      <c r="G109" s="210"/>
      <c r="H109" s="210"/>
      <c r="I109" s="210"/>
      <c r="J109" s="210"/>
      <c r="K109" s="210"/>
      <c r="L109" s="210"/>
      <c r="M109" s="210"/>
      <c r="N109" s="210"/>
      <c r="O109" s="210"/>
      <c r="P109" s="210"/>
      <c r="Q109" s="210"/>
      <c r="R109" s="210"/>
      <c r="S109" s="210"/>
      <c r="T109" s="210"/>
      <c r="U109" s="210"/>
      <c r="V109" s="210"/>
      <c r="W109" s="210"/>
      <c r="X109" s="210"/>
      <c r="Y109" s="210"/>
      <c r="Z109" s="210"/>
      <c r="AA109" s="210"/>
      <c r="AB109" s="210"/>
      <c r="AC109" s="210"/>
      <c r="AI109" s="210"/>
      <c r="AJ109" s="210"/>
    </row>
    <row r="110" ht="12.75" customHeight="1">
      <c r="C110" s="210"/>
      <c r="D110" s="210"/>
      <c r="E110" s="210"/>
      <c r="F110" s="210"/>
      <c r="G110" s="210"/>
      <c r="H110" s="210"/>
      <c r="I110" s="210"/>
      <c r="J110" s="210"/>
      <c r="K110" s="210"/>
      <c r="L110" s="210"/>
      <c r="M110" s="210"/>
      <c r="N110" s="210"/>
      <c r="O110" s="210"/>
      <c r="P110" s="210"/>
      <c r="Q110" s="210"/>
      <c r="R110" s="210"/>
      <c r="S110" s="210"/>
      <c r="T110" s="210"/>
      <c r="U110" s="210"/>
      <c r="V110" s="210"/>
      <c r="W110" s="210"/>
      <c r="X110" s="210"/>
      <c r="Y110" s="210"/>
      <c r="Z110" s="210"/>
      <c r="AA110" s="210"/>
      <c r="AB110" s="210"/>
      <c r="AC110" s="210"/>
      <c r="AI110" s="210"/>
      <c r="AJ110" s="210"/>
    </row>
    <row r="111" ht="12.75" customHeight="1">
      <c r="C111" s="210"/>
      <c r="D111" s="210"/>
      <c r="E111" s="210"/>
      <c r="F111" s="210"/>
      <c r="G111" s="210"/>
      <c r="H111" s="210"/>
      <c r="I111" s="210"/>
      <c r="J111" s="210"/>
      <c r="K111" s="210"/>
      <c r="L111" s="210"/>
      <c r="M111" s="210"/>
      <c r="N111" s="210"/>
      <c r="O111" s="210"/>
      <c r="P111" s="210"/>
      <c r="Q111" s="210"/>
      <c r="R111" s="210"/>
      <c r="S111" s="210"/>
      <c r="T111" s="210"/>
      <c r="U111" s="210"/>
      <c r="V111" s="210"/>
      <c r="W111" s="210"/>
      <c r="X111" s="210"/>
      <c r="Y111" s="210"/>
      <c r="Z111" s="210"/>
      <c r="AA111" s="210"/>
      <c r="AB111" s="210"/>
      <c r="AC111" s="210"/>
      <c r="AI111" s="210"/>
      <c r="AJ111" s="210"/>
    </row>
    <row r="112" ht="12.75" customHeight="1">
      <c r="C112" s="210"/>
      <c r="D112" s="210"/>
      <c r="E112" s="210"/>
      <c r="F112" s="210"/>
      <c r="G112" s="210"/>
      <c r="H112" s="210"/>
      <c r="I112" s="210"/>
      <c r="J112" s="210"/>
      <c r="K112" s="210"/>
      <c r="L112" s="210"/>
      <c r="M112" s="210"/>
      <c r="N112" s="210"/>
      <c r="O112" s="210"/>
      <c r="P112" s="210"/>
      <c r="Q112" s="210"/>
      <c r="R112" s="210"/>
      <c r="S112" s="210"/>
      <c r="T112" s="210"/>
      <c r="U112" s="210"/>
      <c r="V112" s="210"/>
      <c r="W112" s="210"/>
      <c r="X112" s="210"/>
      <c r="Y112" s="210"/>
      <c r="Z112" s="210"/>
      <c r="AA112" s="210"/>
      <c r="AB112" s="210"/>
      <c r="AC112" s="210"/>
      <c r="AI112" s="210"/>
      <c r="AJ112" s="210"/>
    </row>
    <row r="113" ht="12.75" customHeight="1">
      <c r="C113" s="210"/>
      <c r="D113" s="210"/>
      <c r="E113" s="210"/>
      <c r="F113" s="210"/>
      <c r="G113" s="210"/>
      <c r="H113" s="210"/>
      <c r="I113" s="210"/>
      <c r="J113" s="210"/>
      <c r="K113" s="210"/>
      <c r="L113" s="210"/>
      <c r="M113" s="210"/>
      <c r="N113" s="210"/>
      <c r="O113" s="210"/>
      <c r="P113" s="210"/>
      <c r="Q113" s="210"/>
      <c r="R113" s="210"/>
      <c r="S113" s="210"/>
      <c r="T113" s="210"/>
      <c r="U113" s="210"/>
      <c r="V113" s="210"/>
      <c r="W113" s="210"/>
      <c r="X113" s="210"/>
      <c r="Y113" s="210"/>
      <c r="Z113" s="210"/>
      <c r="AA113" s="210"/>
      <c r="AB113" s="210"/>
      <c r="AC113" s="210"/>
      <c r="AI113" s="210"/>
      <c r="AJ113" s="210"/>
    </row>
    <row r="114" ht="12.75" customHeight="1">
      <c r="C114" s="210"/>
      <c r="D114" s="210"/>
      <c r="E114" s="210"/>
      <c r="F114" s="210"/>
      <c r="G114" s="210"/>
      <c r="H114" s="210"/>
      <c r="I114" s="210"/>
      <c r="J114" s="210"/>
      <c r="K114" s="210"/>
      <c r="L114" s="210"/>
      <c r="M114" s="210"/>
      <c r="N114" s="210"/>
      <c r="O114" s="210"/>
      <c r="P114" s="210"/>
      <c r="Q114" s="210"/>
      <c r="R114" s="210"/>
      <c r="S114" s="210"/>
      <c r="T114" s="210"/>
      <c r="U114" s="210"/>
      <c r="V114" s="210"/>
      <c r="W114" s="210"/>
      <c r="X114" s="210"/>
      <c r="Y114" s="210"/>
      <c r="Z114" s="210"/>
      <c r="AA114" s="210"/>
      <c r="AB114" s="210"/>
      <c r="AC114" s="210"/>
      <c r="AI114" s="210"/>
      <c r="AJ114" s="210"/>
    </row>
    <row r="115" ht="12.75" customHeight="1">
      <c r="C115" s="210"/>
      <c r="D115" s="210"/>
      <c r="E115" s="210"/>
      <c r="F115" s="210"/>
      <c r="G115" s="210"/>
      <c r="H115" s="210"/>
      <c r="I115" s="210"/>
      <c r="J115" s="210"/>
      <c r="K115" s="210"/>
      <c r="L115" s="210"/>
      <c r="M115" s="210"/>
      <c r="N115" s="210"/>
      <c r="O115" s="210"/>
      <c r="P115" s="210"/>
      <c r="Q115" s="210"/>
      <c r="R115" s="210"/>
      <c r="S115" s="210"/>
      <c r="T115" s="210"/>
      <c r="U115" s="210"/>
      <c r="V115" s="210"/>
      <c r="W115" s="210"/>
      <c r="X115" s="210"/>
      <c r="Y115" s="210"/>
      <c r="Z115" s="210"/>
      <c r="AA115" s="210"/>
      <c r="AB115" s="210"/>
      <c r="AC115" s="210"/>
      <c r="AI115" s="210"/>
      <c r="AJ115" s="210"/>
    </row>
    <row r="116" ht="12.75" customHeight="1">
      <c r="C116" s="210"/>
      <c r="D116" s="210"/>
      <c r="E116" s="210"/>
      <c r="F116" s="210"/>
      <c r="G116" s="210"/>
      <c r="H116" s="210"/>
      <c r="I116" s="210"/>
      <c r="J116" s="210"/>
      <c r="K116" s="210"/>
      <c r="L116" s="210"/>
      <c r="M116" s="210"/>
      <c r="N116" s="210"/>
      <c r="O116" s="210"/>
      <c r="P116" s="210"/>
      <c r="Q116" s="210"/>
      <c r="R116" s="210"/>
      <c r="S116" s="210"/>
      <c r="T116" s="210"/>
      <c r="U116" s="210"/>
      <c r="V116" s="210"/>
      <c r="W116" s="210"/>
      <c r="X116" s="210"/>
      <c r="Y116" s="210"/>
      <c r="Z116" s="210"/>
      <c r="AA116" s="210"/>
      <c r="AB116" s="210"/>
      <c r="AC116" s="210"/>
      <c r="AI116" s="210"/>
      <c r="AJ116" s="210"/>
    </row>
    <row r="117" ht="12.75" customHeight="1">
      <c r="C117" s="210"/>
      <c r="D117" s="210"/>
      <c r="E117" s="210"/>
      <c r="F117" s="210"/>
      <c r="G117" s="210"/>
      <c r="H117" s="210"/>
      <c r="I117" s="210"/>
      <c r="J117" s="210"/>
      <c r="K117" s="210"/>
      <c r="L117" s="210"/>
      <c r="M117" s="210"/>
      <c r="N117" s="210"/>
      <c r="O117" s="210"/>
      <c r="P117" s="210"/>
      <c r="Q117" s="210"/>
      <c r="R117" s="210"/>
      <c r="S117" s="210"/>
      <c r="T117" s="210"/>
      <c r="U117" s="210"/>
      <c r="V117" s="210"/>
      <c r="W117" s="210"/>
      <c r="X117" s="210"/>
      <c r="Y117" s="210"/>
      <c r="Z117" s="210"/>
      <c r="AA117" s="210"/>
      <c r="AB117" s="210"/>
      <c r="AC117" s="210"/>
      <c r="AI117" s="210"/>
      <c r="AJ117" s="210"/>
    </row>
    <row r="118" ht="12.75" customHeight="1">
      <c r="C118" s="210"/>
      <c r="D118" s="210"/>
      <c r="E118" s="210"/>
      <c r="F118" s="210"/>
      <c r="G118" s="210"/>
      <c r="H118" s="210"/>
      <c r="I118" s="210"/>
      <c r="J118" s="210"/>
      <c r="K118" s="210"/>
      <c r="L118" s="210"/>
      <c r="M118" s="210"/>
      <c r="N118" s="210"/>
      <c r="O118" s="210"/>
      <c r="P118" s="210"/>
      <c r="Q118" s="210"/>
      <c r="R118" s="210"/>
      <c r="S118" s="210"/>
      <c r="T118" s="210"/>
      <c r="U118" s="210"/>
      <c r="V118" s="210"/>
      <c r="W118" s="210"/>
      <c r="X118" s="210"/>
      <c r="Y118" s="210"/>
      <c r="Z118" s="210"/>
      <c r="AA118" s="210"/>
      <c r="AB118" s="210"/>
      <c r="AC118" s="210"/>
      <c r="AI118" s="210"/>
      <c r="AJ118" s="210"/>
    </row>
    <row r="119" ht="12.75" customHeight="1">
      <c r="C119" s="210"/>
      <c r="D119" s="210"/>
      <c r="E119" s="210"/>
      <c r="F119" s="210"/>
      <c r="G119" s="210"/>
      <c r="H119" s="210"/>
      <c r="I119" s="210"/>
      <c r="J119" s="210"/>
      <c r="K119" s="210"/>
      <c r="L119" s="210"/>
      <c r="M119" s="210"/>
      <c r="N119" s="210"/>
      <c r="O119" s="210"/>
      <c r="P119" s="210"/>
      <c r="Q119" s="210"/>
      <c r="R119" s="210"/>
      <c r="S119" s="210"/>
      <c r="T119" s="210"/>
      <c r="U119" s="210"/>
      <c r="V119" s="210"/>
      <c r="W119" s="210"/>
      <c r="X119" s="210"/>
      <c r="Y119" s="210"/>
      <c r="Z119" s="210"/>
      <c r="AA119" s="210"/>
      <c r="AB119" s="210"/>
      <c r="AC119" s="210"/>
      <c r="AI119" s="210"/>
      <c r="AJ119" s="210"/>
    </row>
    <row r="120" ht="12.75" customHeight="1">
      <c r="C120" s="210"/>
      <c r="D120" s="210"/>
      <c r="E120" s="210"/>
      <c r="F120" s="210"/>
      <c r="G120" s="210"/>
      <c r="H120" s="210"/>
      <c r="I120" s="210"/>
      <c r="J120" s="210"/>
      <c r="K120" s="210"/>
      <c r="L120" s="210"/>
      <c r="M120" s="210"/>
      <c r="N120" s="210"/>
      <c r="O120" s="210"/>
      <c r="P120" s="210"/>
      <c r="Q120" s="210"/>
      <c r="R120" s="210"/>
      <c r="S120" s="210"/>
      <c r="T120" s="210"/>
      <c r="U120" s="210"/>
      <c r="V120" s="210"/>
      <c r="W120" s="210"/>
      <c r="X120" s="210"/>
      <c r="Y120" s="210"/>
      <c r="Z120" s="210"/>
      <c r="AA120" s="210"/>
      <c r="AB120" s="210"/>
      <c r="AC120" s="210"/>
      <c r="AI120" s="210"/>
      <c r="AJ120" s="210"/>
    </row>
    <row r="121" ht="12.75" customHeight="1">
      <c r="C121" s="210"/>
      <c r="D121" s="210"/>
      <c r="E121" s="210"/>
      <c r="F121" s="210"/>
      <c r="G121" s="210"/>
      <c r="H121" s="210"/>
      <c r="I121" s="210"/>
      <c r="J121" s="210"/>
      <c r="K121" s="210"/>
      <c r="L121" s="210"/>
      <c r="M121" s="210"/>
      <c r="N121" s="210"/>
      <c r="O121" s="210"/>
      <c r="P121" s="210"/>
      <c r="Q121" s="210"/>
      <c r="R121" s="210"/>
      <c r="S121" s="210"/>
      <c r="T121" s="210"/>
      <c r="U121" s="210"/>
      <c r="V121" s="210"/>
      <c r="W121" s="210"/>
      <c r="X121" s="210"/>
      <c r="Y121" s="210"/>
      <c r="Z121" s="210"/>
      <c r="AA121" s="210"/>
      <c r="AB121" s="210"/>
      <c r="AC121" s="210"/>
      <c r="AI121" s="210"/>
      <c r="AJ121" s="210"/>
    </row>
    <row r="122" ht="12.75" customHeight="1">
      <c r="C122" s="210"/>
      <c r="D122" s="210"/>
      <c r="E122" s="210"/>
      <c r="F122" s="210"/>
      <c r="G122" s="210"/>
      <c r="H122" s="210"/>
      <c r="I122" s="210"/>
      <c r="J122" s="210"/>
      <c r="K122" s="210"/>
      <c r="L122" s="210"/>
      <c r="M122" s="210"/>
      <c r="N122" s="210"/>
      <c r="O122" s="210"/>
      <c r="P122" s="210"/>
      <c r="Q122" s="210"/>
      <c r="R122" s="210"/>
      <c r="S122" s="210"/>
      <c r="T122" s="210"/>
      <c r="U122" s="210"/>
      <c r="V122" s="210"/>
      <c r="W122" s="210"/>
      <c r="X122" s="210"/>
      <c r="Y122" s="210"/>
      <c r="Z122" s="210"/>
      <c r="AA122" s="210"/>
      <c r="AB122" s="210"/>
      <c r="AC122" s="210"/>
      <c r="AI122" s="210"/>
      <c r="AJ122" s="210"/>
    </row>
    <row r="123" ht="12.75" customHeight="1">
      <c r="C123" s="210"/>
      <c r="D123" s="210"/>
      <c r="E123" s="210"/>
      <c r="F123" s="210"/>
      <c r="G123" s="210"/>
      <c r="H123" s="210"/>
      <c r="I123" s="210"/>
      <c r="J123" s="210"/>
      <c r="K123" s="210"/>
      <c r="L123" s="210"/>
      <c r="M123" s="210"/>
      <c r="N123" s="210"/>
      <c r="O123" s="210"/>
      <c r="P123" s="210"/>
      <c r="Q123" s="210"/>
      <c r="R123" s="210"/>
      <c r="S123" s="210"/>
      <c r="T123" s="210"/>
      <c r="U123" s="210"/>
      <c r="V123" s="210"/>
      <c r="W123" s="210"/>
      <c r="X123" s="210"/>
      <c r="Y123" s="210"/>
      <c r="Z123" s="210"/>
      <c r="AA123" s="210"/>
      <c r="AB123" s="210"/>
      <c r="AC123" s="210"/>
      <c r="AI123" s="210"/>
      <c r="AJ123" s="210"/>
    </row>
    <row r="124" ht="12.75" customHeight="1">
      <c r="C124" s="210"/>
      <c r="D124" s="210"/>
      <c r="E124" s="210"/>
      <c r="F124" s="210"/>
      <c r="G124" s="210"/>
      <c r="H124" s="210"/>
      <c r="I124" s="210"/>
      <c r="J124" s="210"/>
      <c r="K124" s="210"/>
      <c r="L124" s="210"/>
      <c r="M124" s="210"/>
      <c r="N124" s="210"/>
      <c r="O124" s="210"/>
      <c r="P124" s="210"/>
      <c r="Q124" s="210"/>
      <c r="R124" s="210"/>
      <c r="S124" s="210"/>
      <c r="T124" s="210"/>
      <c r="U124" s="210"/>
      <c r="V124" s="210"/>
      <c r="W124" s="210"/>
      <c r="X124" s="210"/>
      <c r="Y124" s="210"/>
      <c r="Z124" s="210"/>
      <c r="AA124" s="210"/>
      <c r="AB124" s="210"/>
      <c r="AC124" s="210"/>
      <c r="AI124" s="210"/>
      <c r="AJ124" s="210"/>
    </row>
    <row r="125" ht="12.75" customHeight="1">
      <c r="C125" s="210"/>
      <c r="D125" s="210"/>
      <c r="E125" s="210"/>
      <c r="F125" s="210"/>
      <c r="G125" s="210"/>
      <c r="H125" s="210"/>
      <c r="I125" s="210"/>
      <c r="J125" s="210"/>
      <c r="K125" s="210"/>
      <c r="L125" s="210"/>
      <c r="M125" s="210"/>
      <c r="N125" s="210"/>
      <c r="O125" s="210"/>
      <c r="P125" s="210"/>
      <c r="Q125" s="210"/>
      <c r="R125" s="210"/>
      <c r="S125" s="210"/>
      <c r="T125" s="210"/>
      <c r="U125" s="210"/>
      <c r="V125" s="210"/>
      <c r="W125" s="210"/>
      <c r="X125" s="210"/>
      <c r="Y125" s="210"/>
      <c r="Z125" s="210"/>
      <c r="AA125" s="210"/>
      <c r="AB125" s="210"/>
      <c r="AC125" s="210"/>
      <c r="AI125" s="210"/>
      <c r="AJ125" s="210"/>
    </row>
    <row r="126" ht="12.75" customHeight="1">
      <c r="C126" s="210"/>
      <c r="D126" s="210"/>
      <c r="E126" s="210"/>
      <c r="F126" s="210"/>
      <c r="G126" s="210"/>
      <c r="H126" s="210"/>
      <c r="I126" s="210"/>
      <c r="J126" s="210"/>
      <c r="K126" s="210"/>
      <c r="L126" s="210"/>
      <c r="M126" s="210"/>
      <c r="N126" s="210"/>
      <c r="O126" s="210"/>
      <c r="P126" s="210"/>
      <c r="Q126" s="210"/>
      <c r="R126" s="210"/>
      <c r="S126" s="210"/>
      <c r="T126" s="210"/>
      <c r="U126" s="210"/>
      <c r="V126" s="210"/>
      <c r="W126" s="210"/>
      <c r="X126" s="210"/>
      <c r="Y126" s="210"/>
      <c r="Z126" s="210"/>
      <c r="AA126" s="210"/>
      <c r="AB126" s="210"/>
      <c r="AC126" s="210"/>
      <c r="AI126" s="210"/>
      <c r="AJ126" s="210"/>
    </row>
    <row r="127" ht="12.75" customHeight="1">
      <c r="C127" s="210"/>
      <c r="D127" s="210"/>
      <c r="E127" s="210"/>
      <c r="F127" s="210"/>
      <c r="G127" s="210"/>
      <c r="H127" s="210"/>
      <c r="I127" s="210"/>
      <c r="J127" s="210"/>
      <c r="K127" s="210"/>
      <c r="L127" s="210"/>
      <c r="M127" s="210"/>
      <c r="N127" s="210"/>
      <c r="O127" s="210"/>
      <c r="P127" s="210"/>
      <c r="Q127" s="210"/>
      <c r="R127" s="210"/>
      <c r="S127" s="210"/>
      <c r="T127" s="210"/>
      <c r="U127" s="210"/>
      <c r="V127" s="210"/>
      <c r="W127" s="210"/>
      <c r="X127" s="210"/>
      <c r="Y127" s="210"/>
      <c r="Z127" s="210"/>
      <c r="AA127" s="210"/>
      <c r="AB127" s="210"/>
      <c r="AC127" s="210"/>
      <c r="AI127" s="210"/>
      <c r="AJ127" s="210"/>
    </row>
    <row r="128" ht="12.75" customHeight="1">
      <c r="C128" s="210"/>
      <c r="D128" s="210"/>
      <c r="E128" s="210"/>
      <c r="F128" s="210"/>
      <c r="G128" s="210"/>
      <c r="H128" s="210"/>
      <c r="I128" s="210"/>
      <c r="J128" s="210"/>
      <c r="K128" s="210"/>
      <c r="L128" s="210"/>
      <c r="M128" s="210"/>
      <c r="N128" s="210"/>
      <c r="O128" s="210"/>
      <c r="P128" s="210"/>
      <c r="Q128" s="210"/>
      <c r="R128" s="210"/>
      <c r="S128" s="210"/>
      <c r="T128" s="210"/>
      <c r="U128" s="210"/>
      <c r="V128" s="210"/>
      <c r="W128" s="210"/>
      <c r="X128" s="210"/>
      <c r="Y128" s="210"/>
      <c r="Z128" s="210"/>
      <c r="AA128" s="210"/>
      <c r="AB128" s="210"/>
      <c r="AC128" s="210"/>
      <c r="AI128" s="210"/>
      <c r="AJ128" s="210"/>
    </row>
    <row r="129" ht="12.75" customHeight="1">
      <c r="C129" s="210"/>
      <c r="D129" s="210"/>
      <c r="E129" s="210"/>
      <c r="F129" s="210"/>
      <c r="G129" s="210"/>
      <c r="H129" s="210"/>
      <c r="I129" s="210"/>
      <c r="J129" s="210"/>
      <c r="K129" s="210"/>
      <c r="L129" s="210"/>
      <c r="M129" s="210"/>
      <c r="N129" s="210"/>
      <c r="O129" s="210"/>
      <c r="P129" s="210"/>
      <c r="Q129" s="210"/>
      <c r="R129" s="210"/>
      <c r="S129" s="210"/>
      <c r="T129" s="210"/>
      <c r="U129" s="210"/>
      <c r="V129" s="210"/>
      <c r="W129" s="210"/>
      <c r="X129" s="210"/>
      <c r="Y129" s="210"/>
      <c r="Z129" s="210"/>
      <c r="AA129" s="210"/>
      <c r="AB129" s="210"/>
      <c r="AC129" s="210"/>
      <c r="AI129" s="210"/>
      <c r="AJ129" s="210"/>
    </row>
    <row r="130" ht="12.75" customHeight="1">
      <c r="C130" s="210"/>
      <c r="D130" s="210"/>
      <c r="E130" s="210"/>
      <c r="F130" s="210"/>
      <c r="G130" s="210"/>
      <c r="H130" s="210"/>
      <c r="I130" s="210"/>
      <c r="J130" s="210"/>
      <c r="K130" s="210"/>
      <c r="L130" s="210"/>
      <c r="M130" s="210"/>
      <c r="N130" s="210"/>
      <c r="O130" s="210"/>
      <c r="P130" s="210"/>
      <c r="Q130" s="210"/>
      <c r="R130" s="210"/>
      <c r="S130" s="210"/>
      <c r="T130" s="210"/>
      <c r="U130" s="210"/>
      <c r="V130" s="210"/>
      <c r="W130" s="210"/>
      <c r="X130" s="210"/>
      <c r="Y130" s="210"/>
      <c r="Z130" s="210"/>
      <c r="AA130" s="210"/>
      <c r="AB130" s="210"/>
      <c r="AC130" s="210"/>
      <c r="AI130" s="210"/>
      <c r="AJ130" s="210"/>
    </row>
    <row r="131" ht="12.75" customHeight="1">
      <c r="C131" s="210"/>
      <c r="D131" s="210"/>
      <c r="E131" s="210"/>
      <c r="F131" s="210"/>
      <c r="G131" s="210"/>
      <c r="H131" s="210"/>
      <c r="I131" s="210"/>
      <c r="J131" s="210"/>
      <c r="K131" s="210"/>
      <c r="L131" s="210"/>
      <c r="M131" s="210"/>
      <c r="N131" s="210"/>
      <c r="O131" s="210"/>
      <c r="P131" s="210"/>
      <c r="Q131" s="210"/>
      <c r="R131" s="210"/>
      <c r="S131" s="210"/>
      <c r="T131" s="210"/>
      <c r="U131" s="210"/>
      <c r="V131" s="210"/>
      <c r="W131" s="210"/>
      <c r="X131" s="210"/>
      <c r="Y131" s="210"/>
      <c r="Z131" s="210"/>
      <c r="AA131" s="210"/>
      <c r="AB131" s="210"/>
      <c r="AC131" s="210"/>
      <c r="AI131" s="210"/>
      <c r="AJ131" s="210"/>
    </row>
    <row r="132" ht="12.75" customHeight="1">
      <c r="C132" s="210"/>
      <c r="D132" s="210"/>
      <c r="E132" s="210"/>
      <c r="F132" s="210"/>
      <c r="G132" s="210"/>
      <c r="H132" s="210"/>
      <c r="I132" s="210"/>
      <c r="J132" s="210"/>
      <c r="K132" s="210"/>
      <c r="L132" s="210"/>
      <c r="M132" s="210"/>
      <c r="N132" s="210"/>
      <c r="O132" s="210"/>
      <c r="P132" s="210"/>
      <c r="Q132" s="210"/>
      <c r="R132" s="210"/>
      <c r="S132" s="210"/>
      <c r="T132" s="210"/>
      <c r="U132" s="210"/>
      <c r="V132" s="210"/>
      <c r="W132" s="210"/>
      <c r="X132" s="210"/>
      <c r="Y132" s="210"/>
      <c r="Z132" s="210"/>
      <c r="AA132" s="210"/>
      <c r="AB132" s="210"/>
      <c r="AC132" s="210"/>
      <c r="AI132" s="210"/>
      <c r="AJ132" s="210"/>
    </row>
    <row r="133" ht="12.75" customHeight="1">
      <c r="C133" s="210"/>
      <c r="D133" s="210"/>
      <c r="E133" s="210"/>
      <c r="F133" s="210"/>
      <c r="G133" s="210"/>
      <c r="H133" s="210"/>
      <c r="I133" s="210"/>
      <c r="J133" s="210"/>
      <c r="K133" s="210"/>
      <c r="L133" s="210"/>
      <c r="M133" s="210"/>
      <c r="N133" s="210"/>
      <c r="O133" s="210"/>
      <c r="P133" s="210"/>
      <c r="Q133" s="210"/>
      <c r="R133" s="210"/>
      <c r="S133" s="210"/>
      <c r="T133" s="210"/>
      <c r="U133" s="210"/>
      <c r="V133" s="210"/>
      <c r="W133" s="210"/>
      <c r="X133" s="210"/>
      <c r="Y133" s="210"/>
      <c r="Z133" s="210"/>
      <c r="AA133" s="210"/>
      <c r="AB133" s="210"/>
      <c r="AC133" s="210"/>
      <c r="AI133" s="210"/>
      <c r="AJ133" s="210"/>
    </row>
    <row r="134" ht="12.75" customHeight="1">
      <c r="C134" s="210"/>
      <c r="D134" s="210"/>
      <c r="E134" s="210"/>
      <c r="F134" s="210"/>
      <c r="G134" s="210"/>
      <c r="H134" s="210"/>
      <c r="I134" s="210"/>
      <c r="J134" s="210"/>
      <c r="K134" s="210"/>
      <c r="L134" s="210"/>
      <c r="M134" s="210"/>
      <c r="N134" s="210"/>
      <c r="O134" s="210"/>
      <c r="P134" s="210"/>
      <c r="Q134" s="210"/>
      <c r="R134" s="210"/>
      <c r="S134" s="210"/>
      <c r="T134" s="210"/>
      <c r="U134" s="210"/>
      <c r="V134" s="210"/>
      <c r="W134" s="210"/>
      <c r="X134" s="210"/>
      <c r="Y134" s="210"/>
      <c r="Z134" s="210"/>
      <c r="AA134" s="210"/>
      <c r="AB134" s="210"/>
      <c r="AC134" s="210"/>
      <c r="AI134" s="210"/>
      <c r="AJ134" s="210"/>
    </row>
    <row r="135" ht="12.75" customHeight="1">
      <c r="C135" s="210"/>
      <c r="D135" s="210"/>
      <c r="E135" s="210"/>
      <c r="F135" s="210"/>
      <c r="G135" s="210"/>
      <c r="H135" s="210"/>
      <c r="I135" s="210"/>
      <c r="J135" s="210"/>
      <c r="K135" s="210"/>
      <c r="L135" s="210"/>
      <c r="M135" s="210"/>
      <c r="N135" s="210"/>
      <c r="O135" s="210"/>
      <c r="P135" s="210"/>
      <c r="Q135" s="210"/>
      <c r="R135" s="210"/>
      <c r="S135" s="210"/>
      <c r="T135" s="210"/>
      <c r="U135" s="210"/>
      <c r="V135" s="210"/>
      <c r="W135" s="210"/>
      <c r="X135" s="210"/>
      <c r="Y135" s="210"/>
      <c r="Z135" s="210"/>
      <c r="AA135" s="210"/>
      <c r="AB135" s="210"/>
      <c r="AC135" s="210"/>
      <c r="AI135" s="210"/>
      <c r="AJ135" s="210"/>
    </row>
    <row r="136" ht="12.75" customHeight="1">
      <c r="C136" s="210"/>
      <c r="D136" s="210"/>
      <c r="E136" s="210"/>
      <c r="F136" s="210"/>
      <c r="G136" s="210"/>
      <c r="H136" s="210"/>
      <c r="I136" s="210"/>
      <c r="J136" s="210"/>
      <c r="K136" s="210"/>
      <c r="L136" s="210"/>
      <c r="M136" s="210"/>
      <c r="N136" s="210"/>
      <c r="O136" s="210"/>
      <c r="P136" s="210"/>
      <c r="Q136" s="210"/>
      <c r="R136" s="210"/>
      <c r="S136" s="210"/>
      <c r="T136" s="210"/>
      <c r="U136" s="210"/>
      <c r="V136" s="210"/>
      <c r="W136" s="210"/>
      <c r="X136" s="210"/>
      <c r="Y136" s="210"/>
      <c r="Z136" s="210"/>
      <c r="AA136" s="210"/>
      <c r="AB136" s="210"/>
      <c r="AC136" s="210"/>
      <c r="AI136" s="210"/>
      <c r="AJ136" s="210"/>
    </row>
    <row r="137" ht="12.75" customHeight="1">
      <c r="C137" s="210"/>
      <c r="D137" s="210"/>
      <c r="E137" s="210"/>
      <c r="F137" s="210"/>
      <c r="G137" s="210"/>
      <c r="H137" s="210"/>
      <c r="I137" s="210"/>
      <c r="J137" s="210"/>
      <c r="K137" s="210"/>
      <c r="L137" s="210"/>
      <c r="M137" s="210"/>
      <c r="N137" s="210"/>
      <c r="O137" s="210"/>
      <c r="P137" s="210"/>
      <c r="Q137" s="210"/>
      <c r="R137" s="210"/>
      <c r="S137" s="210"/>
      <c r="T137" s="210"/>
      <c r="U137" s="210"/>
      <c r="V137" s="210"/>
      <c r="W137" s="210"/>
      <c r="X137" s="210"/>
      <c r="Y137" s="210"/>
      <c r="Z137" s="210"/>
      <c r="AA137" s="210"/>
      <c r="AB137" s="210"/>
      <c r="AC137" s="210"/>
      <c r="AI137" s="210"/>
      <c r="AJ137" s="210"/>
    </row>
    <row r="138" ht="12.75" customHeight="1">
      <c r="C138" s="210"/>
      <c r="D138" s="210"/>
      <c r="E138" s="210"/>
      <c r="F138" s="210"/>
      <c r="G138" s="210"/>
      <c r="H138" s="210"/>
      <c r="I138" s="210"/>
      <c r="J138" s="210"/>
      <c r="K138" s="210"/>
      <c r="L138" s="210"/>
      <c r="M138" s="210"/>
      <c r="N138" s="210"/>
      <c r="O138" s="210"/>
      <c r="P138" s="210"/>
      <c r="Q138" s="210"/>
      <c r="R138" s="210"/>
      <c r="S138" s="210"/>
      <c r="T138" s="210"/>
      <c r="U138" s="210"/>
      <c r="V138" s="210"/>
      <c r="W138" s="210"/>
      <c r="X138" s="210"/>
      <c r="Y138" s="210"/>
      <c r="Z138" s="210"/>
      <c r="AA138" s="210"/>
      <c r="AB138" s="210"/>
      <c r="AC138" s="210"/>
      <c r="AI138" s="210"/>
      <c r="AJ138" s="210"/>
    </row>
    <row r="139" ht="12.75" customHeight="1">
      <c r="C139" s="210"/>
      <c r="D139" s="210"/>
      <c r="E139" s="210"/>
      <c r="F139" s="210"/>
      <c r="G139" s="210"/>
      <c r="H139" s="210"/>
      <c r="I139" s="210"/>
      <c r="J139" s="210"/>
      <c r="K139" s="210"/>
      <c r="L139" s="210"/>
      <c r="M139" s="210"/>
      <c r="N139" s="210"/>
      <c r="O139" s="210"/>
      <c r="P139" s="210"/>
      <c r="Q139" s="210"/>
      <c r="R139" s="210"/>
      <c r="S139" s="210"/>
      <c r="T139" s="210"/>
      <c r="U139" s="210"/>
      <c r="V139" s="210"/>
      <c r="W139" s="210"/>
      <c r="X139" s="210"/>
      <c r="Y139" s="210"/>
      <c r="Z139" s="210"/>
      <c r="AA139" s="210"/>
      <c r="AB139" s="210"/>
      <c r="AC139" s="210"/>
      <c r="AI139" s="210"/>
      <c r="AJ139" s="210"/>
    </row>
    <row r="140" ht="12.75" customHeight="1">
      <c r="C140" s="210"/>
      <c r="D140" s="210"/>
      <c r="E140" s="210"/>
      <c r="F140" s="210"/>
      <c r="G140" s="210"/>
      <c r="H140" s="210"/>
      <c r="I140" s="210"/>
      <c r="J140" s="210"/>
      <c r="K140" s="210"/>
      <c r="L140" s="210"/>
      <c r="M140" s="210"/>
      <c r="N140" s="210"/>
      <c r="O140" s="210"/>
      <c r="P140" s="210"/>
      <c r="Q140" s="210"/>
      <c r="R140" s="210"/>
      <c r="S140" s="210"/>
      <c r="T140" s="210"/>
      <c r="U140" s="210"/>
      <c r="V140" s="210"/>
      <c r="W140" s="210"/>
      <c r="X140" s="210"/>
      <c r="Y140" s="210"/>
      <c r="Z140" s="210"/>
      <c r="AA140" s="210"/>
      <c r="AB140" s="210"/>
      <c r="AC140" s="210"/>
      <c r="AI140" s="210"/>
      <c r="AJ140" s="210"/>
    </row>
    <row r="141" ht="12.75" customHeight="1">
      <c r="C141" s="210"/>
      <c r="D141" s="210"/>
      <c r="E141" s="210"/>
      <c r="F141" s="210"/>
      <c r="G141" s="210"/>
      <c r="H141" s="210"/>
      <c r="I141" s="210"/>
      <c r="J141" s="210"/>
      <c r="K141" s="210"/>
      <c r="L141" s="210"/>
      <c r="M141" s="210"/>
      <c r="N141" s="210"/>
      <c r="O141" s="210"/>
      <c r="P141" s="210"/>
      <c r="Q141" s="210"/>
      <c r="R141" s="210"/>
      <c r="S141" s="210"/>
      <c r="T141" s="210"/>
      <c r="U141" s="210"/>
      <c r="V141" s="210"/>
      <c r="W141" s="210"/>
      <c r="X141" s="210"/>
      <c r="Y141" s="210"/>
      <c r="Z141" s="210"/>
      <c r="AA141" s="210"/>
      <c r="AB141" s="210"/>
      <c r="AC141" s="210"/>
      <c r="AI141" s="210"/>
      <c r="AJ141" s="210"/>
    </row>
    <row r="142" ht="12.75" customHeight="1">
      <c r="C142" s="210"/>
      <c r="D142" s="210"/>
      <c r="E142" s="210"/>
      <c r="F142" s="210"/>
      <c r="G142" s="210"/>
      <c r="H142" s="210"/>
      <c r="I142" s="210"/>
      <c r="J142" s="210"/>
      <c r="K142" s="210"/>
      <c r="L142" s="210"/>
      <c r="M142" s="210"/>
      <c r="N142" s="210"/>
      <c r="O142" s="210"/>
      <c r="P142" s="210"/>
      <c r="Q142" s="210"/>
      <c r="R142" s="210"/>
      <c r="S142" s="210"/>
      <c r="T142" s="210"/>
      <c r="U142" s="210"/>
      <c r="V142" s="210"/>
      <c r="W142" s="210"/>
      <c r="X142" s="210"/>
      <c r="Y142" s="210"/>
      <c r="Z142" s="210"/>
      <c r="AA142" s="210"/>
      <c r="AB142" s="210"/>
      <c r="AC142" s="210"/>
      <c r="AI142" s="210"/>
      <c r="AJ142" s="210"/>
    </row>
    <row r="143" ht="12.75" customHeight="1">
      <c r="C143" s="210"/>
      <c r="D143" s="210"/>
      <c r="E143" s="210"/>
      <c r="F143" s="210"/>
      <c r="G143" s="210"/>
      <c r="H143" s="210"/>
      <c r="I143" s="210"/>
      <c r="J143" s="210"/>
      <c r="K143" s="210"/>
      <c r="L143" s="210"/>
      <c r="M143" s="210"/>
      <c r="N143" s="210"/>
      <c r="O143" s="210"/>
      <c r="P143" s="210"/>
      <c r="Q143" s="210"/>
      <c r="R143" s="210"/>
      <c r="S143" s="210"/>
      <c r="T143" s="210"/>
      <c r="U143" s="210"/>
      <c r="V143" s="210"/>
      <c r="W143" s="210"/>
      <c r="X143" s="210"/>
      <c r="Y143" s="210"/>
      <c r="Z143" s="210"/>
      <c r="AA143" s="210"/>
      <c r="AB143" s="210"/>
      <c r="AC143" s="210"/>
      <c r="AI143" s="210"/>
      <c r="AJ143" s="210"/>
    </row>
    <row r="144" ht="12.75" customHeight="1">
      <c r="C144" s="210"/>
      <c r="D144" s="210"/>
      <c r="E144" s="210"/>
      <c r="F144" s="210"/>
      <c r="G144" s="210"/>
      <c r="H144" s="210"/>
      <c r="I144" s="210"/>
      <c r="J144" s="210"/>
      <c r="K144" s="210"/>
      <c r="L144" s="210"/>
      <c r="M144" s="210"/>
      <c r="N144" s="210"/>
      <c r="O144" s="210"/>
      <c r="P144" s="210"/>
      <c r="Q144" s="210"/>
      <c r="R144" s="210"/>
      <c r="S144" s="210"/>
      <c r="T144" s="210"/>
      <c r="U144" s="210"/>
      <c r="V144" s="210"/>
      <c r="W144" s="210"/>
      <c r="X144" s="210"/>
      <c r="Y144" s="210"/>
      <c r="Z144" s="210"/>
      <c r="AA144" s="210"/>
      <c r="AB144" s="210"/>
      <c r="AC144" s="210"/>
      <c r="AI144" s="210"/>
      <c r="AJ144" s="210"/>
    </row>
    <row r="145" ht="12.75" customHeight="1">
      <c r="C145" s="210"/>
      <c r="D145" s="210"/>
      <c r="E145" s="210"/>
      <c r="F145" s="210"/>
      <c r="G145" s="210"/>
      <c r="H145" s="210"/>
      <c r="I145" s="210"/>
      <c r="J145" s="210"/>
      <c r="K145" s="210"/>
      <c r="L145" s="210"/>
      <c r="M145" s="210"/>
      <c r="N145" s="210"/>
      <c r="O145" s="210"/>
      <c r="P145" s="210"/>
      <c r="Q145" s="210"/>
      <c r="R145" s="210"/>
      <c r="S145" s="210"/>
      <c r="T145" s="210"/>
      <c r="U145" s="210"/>
      <c r="V145" s="210"/>
      <c r="W145" s="210"/>
      <c r="X145" s="210"/>
      <c r="Y145" s="210"/>
      <c r="Z145" s="210"/>
      <c r="AA145" s="210"/>
      <c r="AB145" s="210"/>
      <c r="AC145" s="210"/>
      <c r="AI145" s="210"/>
      <c r="AJ145" s="210"/>
    </row>
    <row r="146" ht="12.75" customHeight="1">
      <c r="C146" s="210"/>
      <c r="D146" s="210"/>
      <c r="E146" s="210"/>
      <c r="F146" s="210"/>
      <c r="G146" s="210"/>
      <c r="H146" s="210"/>
      <c r="I146" s="210"/>
      <c r="J146" s="210"/>
      <c r="K146" s="210"/>
      <c r="L146" s="210"/>
      <c r="M146" s="210"/>
      <c r="N146" s="210"/>
      <c r="O146" s="210"/>
      <c r="P146" s="210"/>
      <c r="Q146" s="210"/>
      <c r="R146" s="210"/>
      <c r="S146" s="210"/>
      <c r="T146" s="210"/>
      <c r="U146" s="210"/>
      <c r="V146" s="210"/>
      <c r="W146" s="210"/>
      <c r="X146" s="210"/>
      <c r="Y146" s="210"/>
      <c r="Z146" s="210"/>
      <c r="AA146" s="210"/>
      <c r="AB146" s="210"/>
      <c r="AC146" s="210"/>
      <c r="AI146" s="210"/>
      <c r="AJ146" s="210"/>
    </row>
    <row r="147" ht="12.75" customHeight="1">
      <c r="C147" s="210"/>
      <c r="D147" s="210"/>
      <c r="E147" s="210"/>
      <c r="F147" s="210"/>
      <c r="G147" s="210"/>
      <c r="H147" s="210"/>
      <c r="I147" s="210"/>
      <c r="J147" s="210"/>
      <c r="K147" s="210"/>
      <c r="L147" s="210"/>
      <c r="M147" s="210"/>
      <c r="N147" s="210"/>
      <c r="O147" s="210"/>
      <c r="P147" s="210"/>
      <c r="Q147" s="210"/>
      <c r="R147" s="210"/>
      <c r="S147" s="210"/>
      <c r="T147" s="210"/>
      <c r="U147" s="210"/>
      <c r="V147" s="210"/>
      <c r="W147" s="210"/>
      <c r="X147" s="210"/>
      <c r="Y147" s="210"/>
      <c r="Z147" s="210"/>
      <c r="AA147" s="210"/>
      <c r="AB147" s="210"/>
      <c r="AC147" s="210"/>
      <c r="AI147" s="210"/>
      <c r="AJ147" s="210"/>
    </row>
    <row r="148" ht="12.75" customHeight="1">
      <c r="C148" s="210"/>
      <c r="D148" s="210"/>
      <c r="E148" s="210"/>
      <c r="F148" s="210"/>
      <c r="G148" s="210"/>
      <c r="H148" s="210"/>
      <c r="I148" s="210"/>
      <c r="J148" s="210"/>
      <c r="K148" s="210"/>
      <c r="L148" s="210"/>
      <c r="M148" s="210"/>
      <c r="N148" s="210"/>
      <c r="O148" s="210"/>
      <c r="P148" s="210"/>
      <c r="Q148" s="210"/>
      <c r="R148" s="210"/>
      <c r="S148" s="210"/>
      <c r="T148" s="210"/>
      <c r="U148" s="210"/>
      <c r="V148" s="210"/>
      <c r="W148" s="210"/>
      <c r="X148" s="210"/>
      <c r="Y148" s="210"/>
      <c r="Z148" s="210"/>
      <c r="AA148" s="210"/>
      <c r="AB148" s="210"/>
      <c r="AC148" s="210"/>
      <c r="AI148" s="210"/>
      <c r="AJ148" s="210"/>
    </row>
    <row r="149" ht="12.75" customHeight="1">
      <c r="C149" s="210"/>
      <c r="D149" s="210"/>
      <c r="E149" s="210"/>
      <c r="F149" s="210"/>
      <c r="G149" s="210"/>
      <c r="H149" s="210"/>
      <c r="I149" s="210"/>
      <c r="J149" s="210"/>
      <c r="K149" s="210"/>
      <c r="L149" s="210"/>
      <c r="M149" s="210"/>
      <c r="N149" s="210"/>
      <c r="O149" s="210"/>
      <c r="P149" s="210"/>
      <c r="Q149" s="210"/>
      <c r="R149" s="210"/>
      <c r="S149" s="210"/>
      <c r="T149" s="210"/>
      <c r="U149" s="210"/>
      <c r="V149" s="210"/>
      <c r="W149" s="210"/>
      <c r="X149" s="210"/>
      <c r="Y149" s="210"/>
      <c r="Z149" s="210"/>
      <c r="AA149" s="210"/>
      <c r="AB149" s="210"/>
      <c r="AC149" s="210"/>
      <c r="AI149" s="210"/>
      <c r="AJ149" s="210"/>
    </row>
    <row r="150" ht="12.75" customHeight="1">
      <c r="C150" s="210"/>
      <c r="D150" s="210"/>
      <c r="E150" s="210"/>
      <c r="F150" s="210"/>
      <c r="G150" s="210"/>
      <c r="H150" s="210"/>
      <c r="I150" s="210"/>
      <c r="J150" s="210"/>
      <c r="K150" s="210"/>
      <c r="L150" s="210"/>
      <c r="M150" s="210"/>
      <c r="N150" s="210"/>
      <c r="O150" s="210"/>
      <c r="P150" s="210"/>
      <c r="Q150" s="210"/>
      <c r="R150" s="210"/>
      <c r="S150" s="210"/>
      <c r="T150" s="210"/>
      <c r="U150" s="210"/>
      <c r="V150" s="210"/>
      <c r="W150" s="210"/>
      <c r="X150" s="210"/>
      <c r="Y150" s="210"/>
      <c r="Z150" s="210"/>
      <c r="AA150" s="210"/>
      <c r="AB150" s="210"/>
      <c r="AC150" s="210"/>
      <c r="AI150" s="210"/>
      <c r="AJ150" s="210"/>
    </row>
    <row r="151" ht="12.75" customHeight="1">
      <c r="C151" s="210"/>
      <c r="D151" s="210"/>
      <c r="E151" s="210"/>
      <c r="F151" s="210"/>
      <c r="G151" s="210"/>
      <c r="H151" s="210"/>
      <c r="I151" s="210"/>
      <c r="J151" s="210"/>
      <c r="K151" s="210"/>
      <c r="L151" s="210"/>
      <c r="M151" s="210"/>
      <c r="N151" s="210"/>
      <c r="O151" s="210"/>
      <c r="P151" s="210"/>
      <c r="Q151" s="210"/>
      <c r="R151" s="210"/>
      <c r="S151" s="210"/>
      <c r="T151" s="210"/>
      <c r="U151" s="210"/>
      <c r="V151" s="210"/>
      <c r="W151" s="210"/>
      <c r="X151" s="210"/>
      <c r="Y151" s="210"/>
      <c r="Z151" s="210"/>
      <c r="AA151" s="210"/>
      <c r="AB151" s="210"/>
      <c r="AC151" s="210"/>
      <c r="AI151" s="210"/>
      <c r="AJ151" s="210"/>
    </row>
    <row r="152" ht="12.75" customHeight="1">
      <c r="C152" s="210"/>
      <c r="D152" s="210"/>
      <c r="E152" s="210"/>
      <c r="F152" s="210"/>
      <c r="G152" s="210"/>
      <c r="H152" s="210"/>
      <c r="I152" s="210"/>
      <c r="J152" s="210"/>
      <c r="K152" s="210"/>
      <c r="L152" s="210"/>
      <c r="M152" s="210"/>
      <c r="N152" s="210"/>
      <c r="O152" s="210"/>
      <c r="P152" s="210"/>
      <c r="Q152" s="210"/>
      <c r="R152" s="210"/>
      <c r="S152" s="210"/>
      <c r="T152" s="210"/>
      <c r="U152" s="210"/>
      <c r="V152" s="210"/>
      <c r="W152" s="210"/>
      <c r="X152" s="210"/>
      <c r="Y152" s="210"/>
      <c r="Z152" s="210"/>
      <c r="AA152" s="210"/>
      <c r="AB152" s="210"/>
      <c r="AC152" s="210"/>
      <c r="AI152" s="210"/>
      <c r="AJ152" s="210"/>
    </row>
    <row r="153" ht="12.75" customHeight="1">
      <c r="C153" s="210"/>
      <c r="D153" s="210"/>
      <c r="E153" s="210"/>
      <c r="F153" s="210"/>
      <c r="G153" s="210"/>
      <c r="H153" s="210"/>
      <c r="I153" s="210"/>
      <c r="J153" s="210"/>
      <c r="K153" s="210"/>
      <c r="L153" s="210"/>
      <c r="M153" s="210"/>
      <c r="N153" s="210"/>
      <c r="O153" s="210"/>
      <c r="P153" s="210"/>
      <c r="Q153" s="210"/>
      <c r="R153" s="210"/>
      <c r="S153" s="210"/>
      <c r="T153" s="210"/>
      <c r="U153" s="210"/>
      <c r="V153" s="210"/>
      <c r="W153" s="210"/>
      <c r="X153" s="210"/>
      <c r="Y153" s="210"/>
      <c r="Z153" s="210"/>
      <c r="AA153" s="210"/>
      <c r="AB153" s="210"/>
      <c r="AC153" s="210"/>
      <c r="AI153" s="210"/>
      <c r="AJ153" s="210"/>
    </row>
    <row r="154" ht="12.75" customHeight="1">
      <c r="C154" s="210"/>
      <c r="D154" s="210"/>
      <c r="E154" s="210"/>
      <c r="F154" s="210"/>
      <c r="G154" s="210"/>
      <c r="H154" s="210"/>
      <c r="I154" s="210"/>
      <c r="J154" s="210"/>
      <c r="K154" s="210"/>
      <c r="L154" s="210"/>
      <c r="M154" s="210"/>
      <c r="N154" s="210"/>
      <c r="O154" s="210"/>
      <c r="P154" s="210"/>
      <c r="Q154" s="210"/>
      <c r="R154" s="210"/>
      <c r="S154" s="210"/>
      <c r="T154" s="210"/>
      <c r="U154" s="210"/>
      <c r="V154" s="210"/>
      <c r="W154" s="210"/>
      <c r="X154" s="210"/>
      <c r="Y154" s="210"/>
      <c r="Z154" s="210"/>
      <c r="AA154" s="210"/>
      <c r="AB154" s="210"/>
      <c r="AC154" s="210"/>
      <c r="AI154" s="210"/>
      <c r="AJ154" s="210"/>
    </row>
    <row r="155" ht="12.75" customHeight="1">
      <c r="C155" s="210"/>
      <c r="D155" s="210"/>
      <c r="E155" s="210"/>
      <c r="F155" s="210"/>
      <c r="G155" s="210"/>
      <c r="H155" s="210"/>
      <c r="I155" s="210"/>
      <c r="J155" s="210"/>
      <c r="K155" s="210"/>
      <c r="L155" s="210"/>
      <c r="M155" s="210"/>
      <c r="N155" s="210"/>
      <c r="O155" s="210"/>
      <c r="P155" s="210"/>
      <c r="Q155" s="210"/>
      <c r="R155" s="210"/>
      <c r="S155" s="210"/>
      <c r="T155" s="210"/>
      <c r="U155" s="210"/>
      <c r="V155" s="210"/>
      <c r="W155" s="210"/>
      <c r="X155" s="210"/>
      <c r="Y155" s="210"/>
      <c r="Z155" s="210"/>
      <c r="AA155" s="210"/>
      <c r="AB155" s="210"/>
      <c r="AC155" s="210"/>
      <c r="AI155" s="210"/>
      <c r="AJ155" s="210"/>
    </row>
    <row r="156" ht="12.75" customHeight="1">
      <c r="C156" s="210"/>
      <c r="D156" s="210"/>
      <c r="E156" s="210"/>
      <c r="F156" s="210"/>
      <c r="G156" s="210"/>
      <c r="H156" s="210"/>
      <c r="I156" s="210"/>
      <c r="J156" s="210"/>
      <c r="K156" s="210"/>
      <c r="L156" s="210"/>
      <c r="M156" s="210"/>
      <c r="N156" s="210"/>
      <c r="O156" s="210"/>
      <c r="P156" s="210"/>
      <c r="Q156" s="210"/>
      <c r="R156" s="210"/>
      <c r="S156" s="210"/>
      <c r="T156" s="210"/>
      <c r="U156" s="210"/>
      <c r="V156" s="210"/>
      <c r="W156" s="210"/>
      <c r="X156" s="210"/>
      <c r="Y156" s="210"/>
      <c r="Z156" s="210"/>
      <c r="AA156" s="210"/>
      <c r="AB156" s="210"/>
      <c r="AC156" s="210"/>
      <c r="AI156" s="210"/>
      <c r="AJ156" s="210"/>
    </row>
    <row r="157" ht="12.75" customHeight="1">
      <c r="C157" s="210"/>
      <c r="D157" s="210"/>
      <c r="E157" s="210"/>
      <c r="F157" s="210"/>
      <c r="G157" s="210"/>
      <c r="H157" s="210"/>
      <c r="I157" s="210"/>
      <c r="J157" s="210"/>
      <c r="K157" s="210"/>
      <c r="L157" s="210"/>
      <c r="M157" s="210"/>
      <c r="N157" s="210"/>
      <c r="O157" s="210"/>
      <c r="P157" s="210"/>
      <c r="Q157" s="210"/>
      <c r="R157" s="210"/>
      <c r="S157" s="210"/>
      <c r="T157" s="210"/>
      <c r="U157" s="210"/>
      <c r="V157" s="210"/>
      <c r="W157" s="210"/>
      <c r="X157" s="210"/>
      <c r="Y157" s="210"/>
      <c r="Z157" s="210"/>
      <c r="AA157" s="210"/>
      <c r="AB157" s="210"/>
      <c r="AC157" s="210"/>
      <c r="AI157" s="210"/>
      <c r="AJ157" s="210"/>
    </row>
    <row r="158" ht="12.75" customHeight="1">
      <c r="C158" s="210"/>
      <c r="D158" s="210"/>
      <c r="E158" s="210"/>
      <c r="F158" s="210"/>
      <c r="G158" s="210"/>
      <c r="H158" s="210"/>
      <c r="I158" s="210"/>
      <c r="J158" s="210"/>
      <c r="K158" s="210"/>
      <c r="L158" s="210"/>
      <c r="M158" s="210"/>
      <c r="N158" s="210"/>
      <c r="O158" s="210"/>
      <c r="P158" s="210"/>
      <c r="Q158" s="210"/>
      <c r="R158" s="210"/>
      <c r="S158" s="210"/>
      <c r="T158" s="210"/>
      <c r="U158" s="210"/>
      <c r="V158" s="210"/>
      <c r="W158" s="210"/>
      <c r="X158" s="210"/>
      <c r="Y158" s="210"/>
      <c r="Z158" s="210"/>
      <c r="AA158" s="210"/>
      <c r="AB158" s="210"/>
      <c r="AC158" s="210"/>
      <c r="AI158" s="210"/>
      <c r="AJ158" s="210"/>
    </row>
    <row r="159" ht="12.75" customHeight="1">
      <c r="C159" s="210"/>
      <c r="D159" s="210"/>
      <c r="E159" s="210"/>
      <c r="F159" s="210"/>
      <c r="G159" s="210"/>
      <c r="H159" s="210"/>
      <c r="I159" s="210"/>
      <c r="J159" s="210"/>
      <c r="K159" s="210"/>
      <c r="L159" s="210"/>
      <c r="M159" s="210"/>
      <c r="N159" s="210"/>
      <c r="O159" s="210"/>
      <c r="P159" s="210"/>
      <c r="Q159" s="210"/>
      <c r="R159" s="210"/>
      <c r="S159" s="210"/>
      <c r="T159" s="210"/>
      <c r="U159" s="210"/>
      <c r="V159" s="210"/>
      <c r="W159" s="210"/>
      <c r="X159" s="210"/>
      <c r="Y159" s="210"/>
      <c r="Z159" s="210"/>
      <c r="AA159" s="210"/>
      <c r="AB159" s="210"/>
      <c r="AC159" s="210"/>
      <c r="AI159" s="210"/>
      <c r="AJ159" s="210"/>
    </row>
    <row r="160" ht="12.75" customHeight="1">
      <c r="C160" s="210"/>
      <c r="D160" s="210"/>
      <c r="E160" s="210"/>
      <c r="F160" s="210"/>
      <c r="G160" s="210"/>
      <c r="H160" s="210"/>
      <c r="I160" s="210"/>
      <c r="J160" s="210"/>
      <c r="K160" s="210"/>
      <c r="L160" s="210"/>
      <c r="M160" s="210"/>
      <c r="N160" s="210"/>
      <c r="O160" s="210"/>
      <c r="P160" s="210"/>
      <c r="Q160" s="210"/>
      <c r="R160" s="210"/>
      <c r="S160" s="210"/>
      <c r="T160" s="210"/>
      <c r="U160" s="210"/>
      <c r="V160" s="210"/>
      <c r="W160" s="210"/>
      <c r="X160" s="210"/>
      <c r="Y160" s="210"/>
      <c r="Z160" s="210"/>
      <c r="AA160" s="210"/>
      <c r="AB160" s="210"/>
      <c r="AC160" s="210"/>
      <c r="AI160" s="210"/>
      <c r="AJ160" s="210"/>
    </row>
    <row r="161" ht="12.75" customHeight="1">
      <c r="C161" s="210"/>
      <c r="D161" s="210"/>
      <c r="E161" s="210"/>
      <c r="F161" s="210"/>
      <c r="G161" s="210"/>
      <c r="H161" s="210"/>
      <c r="I161" s="210"/>
      <c r="J161" s="210"/>
      <c r="K161" s="210"/>
      <c r="L161" s="210"/>
      <c r="M161" s="210"/>
      <c r="N161" s="210"/>
      <c r="O161" s="210"/>
      <c r="P161" s="210"/>
      <c r="Q161" s="210"/>
      <c r="R161" s="210"/>
      <c r="S161" s="210"/>
      <c r="T161" s="210"/>
      <c r="U161" s="210"/>
      <c r="V161" s="210"/>
      <c r="W161" s="210"/>
      <c r="X161" s="210"/>
      <c r="Y161" s="210"/>
      <c r="Z161" s="210"/>
      <c r="AA161" s="210"/>
      <c r="AB161" s="210"/>
      <c r="AC161" s="210"/>
      <c r="AI161" s="210"/>
      <c r="AJ161" s="210"/>
    </row>
    <row r="162" ht="12.75" customHeight="1">
      <c r="C162" s="210"/>
      <c r="D162" s="210"/>
      <c r="E162" s="210"/>
      <c r="F162" s="210"/>
      <c r="G162" s="210"/>
      <c r="H162" s="210"/>
      <c r="I162" s="210"/>
      <c r="J162" s="210"/>
      <c r="K162" s="210"/>
      <c r="L162" s="210"/>
      <c r="M162" s="210"/>
      <c r="N162" s="210"/>
      <c r="O162" s="210"/>
      <c r="P162" s="210"/>
      <c r="Q162" s="210"/>
      <c r="R162" s="210"/>
      <c r="S162" s="210"/>
      <c r="T162" s="210"/>
      <c r="U162" s="210"/>
      <c r="V162" s="210"/>
      <c r="W162" s="210"/>
      <c r="X162" s="210"/>
      <c r="Y162" s="210"/>
      <c r="Z162" s="210"/>
      <c r="AA162" s="210"/>
      <c r="AB162" s="210"/>
      <c r="AC162" s="210"/>
      <c r="AI162" s="210"/>
      <c r="AJ162" s="210"/>
    </row>
    <row r="163" ht="12.75" customHeight="1">
      <c r="C163" s="210"/>
      <c r="D163" s="210"/>
      <c r="E163" s="210"/>
      <c r="F163" s="210"/>
      <c r="G163" s="210"/>
      <c r="H163" s="210"/>
      <c r="I163" s="210"/>
      <c r="J163" s="210"/>
      <c r="K163" s="210"/>
      <c r="L163" s="210"/>
      <c r="M163" s="210"/>
      <c r="N163" s="210"/>
      <c r="O163" s="210"/>
      <c r="P163" s="210"/>
      <c r="Q163" s="210"/>
      <c r="R163" s="210"/>
      <c r="S163" s="210"/>
      <c r="T163" s="210"/>
      <c r="U163" s="210"/>
      <c r="V163" s="210"/>
      <c r="W163" s="210"/>
      <c r="X163" s="210"/>
      <c r="Y163" s="210"/>
      <c r="Z163" s="210"/>
      <c r="AA163" s="210"/>
      <c r="AB163" s="210"/>
      <c r="AC163" s="210"/>
      <c r="AI163" s="210"/>
      <c r="AJ163" s="210"/>
    </row>
    <row r="164" ht="12.75" customHeight="1">
      <c r="C164" s="210"/>
      <c r="D164" s="210"/>
      <c r="E164" s="210"/>
      <c r="F164" s="210"/>
      <c r="G164" s="210"/>
      <c r="H164" s="210"/>
      <c r="I164" s="210"/>
      <c r="J164" s="210"/>
      <c r="K164" s="210"/>
      <c r="L164" s="210"/>
      <c r="M164" s="210"/>
      <c r="N164" s="210"/>
      <c r="O164" s="210"/>
      <c r="P164" s="210"/>
      <c r="Q164" s="210"/>
      <c r="R164" s="210"/>
      <c r="S164" s="210"/>
      <c r="T164" s="210"/>
      <c r="U164" s="210"/>
      <c r="V164" s="210"/>
      <c r="W164" s="210"/>
      <c r="X164" s="210"/>
      <c r="Y164" s="210"/>
      <c r="Z164" s="210"/>
      <c r="AA164" s="210"/>
      <c r="AB164" s="210"/>
      <c r="AC164" s="210"/>
      <c r="AI164" s="210"/>
      <c r="AJ164" s="210"/>
    </row>
    <row r="165" ht="12.75" customHeight="1">
      <c r="C165" s="210"/>
      <c r="D165" s="210"/>
      <c r="E165" s="210"/>
      <c r="F165" s="210"/>
      <c r="G165" s="210"/>
      <c r="H165" s="210"/>
      <c r="I165" s="210"/>
      <c r="J165" s="210"/>
      <c r="K165" s="210"/>
      <c r="L165" s="210"/>
      <c r="M165" s="210"/>
      <c r="N165" s="210"/>
      <c r="O165" s="210"/>
      <c r="P165" s="210"/>
      <c r="Q165" s="210"/>
      <c r="R165" s="210"/>
      <c r="S165" s="210"/>
      <c r="T165" s="210"/>
      <c r="U165" s="210"/>
      <c r="V165" s="210"/>
      <c r="W165" s="210"/>
      <c r="X165" s="210"/>
      <c r="Y165" s="210"/>
      <c r="Z165" s="210"/>
      <c r="AA165" s="210"/>
      <c r="AB165" s="210"/>
      <c r="AC165" s="210"/>
      <c r="AI165" s="210"/>
      <c r="AJ165" s="210"/>
    </row>
    <row r="166" ht="12.75" customHeight="1">
      <c r="C166" s="210"/>
      <c r="D166" s="210"/>
      <c r="E166" s="210"/>
      <c r="F166" s="210"/>
      <c r="G166" s="210"/>
      <c r="H166" s="210"/>
      <c r="I166" s="210"/>
      <c r="J166" s="210"/>
      <c r="K166" s="210"/>
      <c r="L166" s="210"/>
      <c r="M166" s="210"/>
      <c r="N166" s="210"/>
      <c r="O166" s="210"/>
      <c r="P166" s="210"/>
      <c r="Q166" s="210"/>
      <c r="R166" s="210"/>
      <c r="S166" s="210"/>
      <c r="T166" s="210"/>
      <c r="U166" s="210"/>
      <c r="V166" s="210"/>
      <c r="W166" s="210"/>
      <c r="X166" s="210"/>
      <c r="Y166" s="210"/>
      <c r="Z166" s="210"/>
      <c r="AA166" s="210"/>
      <c r="AB166" s="210"/>
      <c r="AC166" s="210"/>
      <c r="AI166" s="210"/>
      <c r="AJ166" s="210"/>
    </row>
    <row r="167" ht="12.75" customHeight="1">
      <c r="C167" s="210"/>
      <c r="D167" s="210"/>
      <c r="E167" s="210"/>
      <c r="F167" s="210"/>
      <c r="G167" s="210"/>
      <c r="H167" s="210"/>
      <c r="I167" s="210"/>
      <c r="J167" s="210"/>
      <c r="K167" s="210"/>
      <c r="L167" s="210"/>
      <c r="M167" s="210"/>
      <c r="N167" s="210"/>
      <c r="O167" s="210"/>
      <c r="P167" s="210"/>
      <c r="Q167" s="210"/>
      <c r="R167" s="210"/>
      <c r="S167" s="210"/>
      <c r="T167" s="210"/>
      <c r="U167" s="210"/>
      <c r="V167" s="210"/>
      <c r="W167" s="210"/>
      <c r="X167" s="210"/>
      <c r="Y167" s="210"/>
      <c r="Z167" s="210"/>
      <c r="AA167" s="210"/>
      <c r="AB167" s="210"/>
      <c r="AC167" s="210"/>
      <c r="AI167" s="210"/>
      <c r="AJ167" s="210"/>
    </row>
    <row r="168" ht="12.75" customHeight="1">
      <c r="C168" s="210"/>
      <c r="D168" s="210"/>
      <c r="E168" s="210"/>
      <c r="F168" s="210"/>
      <c r="G168" s="210"/>
      <c r="H168" s="210"/>
      <c r="I168" s="210"/>
      <c r="J168" s="210"/>
      <c r="K168" s="210"/>
      <c r="L168" s="210"/>
      <c r="M168" s="210"/>
      <c r="N168" s="210"/>
      <c r="O168" s="210"/>
      <c r="P168" s="210"/>
      <c r="Q168" s="210"/>
      <c r="R168" s="210"/>
      <c r="S168" s="210"/>
      <c r="T168" s="210"/>
      <c r="U168" s="210"/>
      <c r="V168" s="210"/>
      <c r="W168" s="210"/>
      <c r="X168" s="210"/>
      <c r="Y168" s="210"/>
      <c r="Z168" s="210"/>
      <c r="AA168" s="210"/>
      <c r="AB168" s="210"/>
      <c r="AC168" s="210"/>
      <c r="AI168" s="210"/>
      <c r="AJ168" s="210"/>
    </row>
    <row r="169" ht="12.75" customHeight="1">
      <c r="C169" s="210"/>
      <c r="D169" s="210"/>
      <c r="E169" s="210"/>
      <c r="F169" s="210"/>
      <c r="G169" s="210"/>
      <c r="H169" s="210"/>
      <c r="I169" s="210"/>
      <c r="J169" s="210"/>
      <c r="K169" s="210"/>
      <c r="L169" s="210"/>
      <c r="M169" s="210"/>
      <c r="N169" s="210"/>
      <c r="O169" s="210"/>
      <c r="P169" s="210"/>
      <c r="Q169" s="210"/>
      <c r="R169" s="210"/>
      <c r="S169" s="210"/>
      <c r="T169" s="210"/>
      <c r="U169" s="210"/>
      <c r="V169" s="210"/>
      <c r="W169" s="210"/>
      <c r="X169" s="210"/>
      <c r="Y169" s="210"/>
      <c r="Z169" s="210"/>
      <c r="AA169" s="210"/>
      <c r="AB169" s="210"/>
      <c r="AC169" s="210"/>
      <c r="AI169" s="210"/>
      <c r="AJ169" s="210"/>
    </row>
    <row r="170" ht="12.75" customHeight="1">
      <c r="C170" s="210"/>
      <c r="D170" s="210"/>
      <c r="E170" s="210"/>
      <c r="F170" s="210"/>
      <c r="G170" s="210"/>
      <c r="H170" s="210"/>
      <c r="I170" s="210"/>
      <c r="J170" s="210"/>
      <c r="K170" s="210"/>
      <c r="L170" s="210"/>
      <c r="M170" s="210"/>
      <c r="N170" s="210"/>
      <c r="O170" s="210"/>
      <c r="P170" s="210"/>
      <c r="Q170" s="210"/>
      <c r="R170" s="210"/>
      <c r="S170" s="210"/>
      <c r="T170" s="210"/>
      <c r="U170" s="210"/>
      <c r="V170" s="210"/>
      <c r="W170" s="210"/>
      <c r="X170" s="210"/>
      <c r="Y170" s="210"/>
      <c r="Z170" s="210"/>
      <c r="AA170" s="210"/>
      <c r="AB170" s="210"/>
      <c r="AC170" s="210"/>
      <c r="AI170" s="210"/>
      <c r="AJ170" s="210"/>
    </row>
    <row r="171" ht="12.75" customHeight="1">
      <c r="C171" s="210"/>
      <c r="D171" s="210"/>
      <c r="E171" s="210"/>
      <c r="F171" s="210"/>
      <c r="G171" s="210"/>
      <c r="H171" s="210"/>
      <c r="I171" s="210"/>
      <c r="J171" s="210"/>
      <c r="K171" s="210"/>
      <c r="L171" s="210"/>
      <c r="M171" s="210"/>
      <c r="N171" s="210"/>
      <c r="O171" s="210"/>
      <c r="P171" s="210"/>
      <c r="Q171" s="210"/>
      <c r="R171" s="210"/>
      <c r="S171" s="210"/>
      <c r="T171" s="210"/>
      <c r="U171" s="210"/>
      <c r="V171" s="210"/>
      <c r="W171" s="210"/>
      <c r="X171" s="210"/>
      <c r="Y171" s="210"/>
      <c r="Z171" s="210"/>
      <c r="AA171" s="210"/>
      <c r="AB171" s="210"/>
      <c r="AC171" s="210"/>
      <c r="AI171" s="210"/>
      <c r="AJ171" s="210"/>
    </row>
    <row r="172" ht="12.75" customHeight="1">
      <c r="C172" s="210"/>
      <c r="D172" s="210"/>
      <c r="E172" s="210"/>
      <c r="F172" s="210"/>
      <c r="G172" s="210"/>
      <c r="H172" s="210"/>
      <c r="I172" s="210"/>
      <c r="J172" s="210"/>
      <c r="K172" s="210"/>
      <c r="L172" s="210"/>
      <c r="M172" s="210"/>
      <c r="N172" s="210"/>
      <c r="O172" s="210"/>
      <c r="P172" s="210"/>
      <c r="Q172" s="210"/>
      <c r="R172" s="210"/>
      <c r="S172" s="210"/>
      <c r="T172" s="210"/>
      <c r="U172" s="210"/>
      <c r="V172" s="210"/>
      <c r="W172" s="210"/>
      <c r="X172" s="210"/>
      <c r="Y172" s="210"/>
      <c r="Z172" s="210"/>
      <c r="AA172" s="210"/>
      <c r="AB172" s="210"/>
      <c r="AC172" s="210"/>
      <c r="AI172" s="210"/>
      <c r="AJ172" s="210"/>
    </row>
    <row r="173" ht="12.75" customHeight="1">
      <c r="C173" s="210"/>
      <c r="D173" s="210"/>
      <c r="E173" s="210"/>
      <c r="F173" s="210"/>
      <c r="G173" s="210"/>
      <c r="H173" s="210"/>
      <c r="I173" s="210"/>
      <c r="J173" s="210"/>
      <c r="K173" s="210"/>
      <c r="L173" s="210"/>
      <c r="M173" s="210"/>
      <c r="N173" s="210"/>
      <c r="O173" s="210"/>
      <c r="P173" s="210"/>
      <c r="Q173" s="210"/>
      <c r="R173" s="210"/>
      <c r="S173" s="210"/>
      <c r="T173" s="210"/>
      <c r="U173" s="210"/>
      <c r="V173" s="210"/>
      <c r="W173" s="210"/>
      <c r="X173" s="210"/>
      <c r="Y173" s="210"/>
      <c r="Z173" s="210"/>
      <c r="AA173" s="210"/>
      <c r="AB173" s="210"/>
      <c r="AC173" s="210"/>
      <c r="AI173" s="210"/>
      <c r="AJ173" s="210"/>
    </row>
    <row r="174" ht="12.75" customHeight="1">
      <c r="C174" s="210"/>
      <c r="D174" s="210"/>
      <c r="E174" s="210"/>
      <c r="F174" s="210"/>
      <c r="G174" s="210"/>
      <c r="H174" s="210"/>
      <c r="I174" s="210"/>
      <c r="J174" s="210"/>
      <c r="K174" s="210"/>
      <c r="L174" s="210"/>
      <c r="M174" s="210"/>
      <c r="N174" s="210"/>
      <c r="O174" s="210"/>
      <c r="P174" s="210"/>
      <c r="Q174" s="210"/>
      <c r="R174" s="210"/>
      <c r="S174" s="210"/>
      <c r="T174" s="210"/>
      <c r="U174" s="210"/>
      <c r="V174" s="210"/>
      <c r="W174" s="210"/>
      <c r="X174" s="210"/>
      <c r="Y174" s="210"/>
      <c r="Z174" s="210"/>
      <c r="AA174" s="210"/>
      <c r="AB174" s="210"/>
      <c r="AC174" s="210"/>
      <c r="AI174" s="210"/>
      <c r="AJ174" s="210"/>
    </row>
    <row r="175" ht="12.75" customHeight="1">
      <c r="C175" s="210"/>
      <c r="D175" s="210"/>
      <c r="E175" s="210"/>
      <c r="F175" s="210"/>
      <c r="G175" s="210"/>
      <c r="H175" s="210"/>
      <c r="I175" s="210"/>
      <c r="J175" s="210"/>
      <c r="K175" s="210"/>
      <c r="L175" s="210"/>
      <c r="M175" s="210"/>
      <c r="N175" s="210"/>
      <c r="O175" s="210"/>
      <c r="P175" s="210"/>
      <c r="Q175" s="210"/>
      <c r="R175" s="210"/>
      <c r="S175" s="210"/>
      <c r="T175" s="210"/>
      <c r="U175" s="210"/>
      <c r="V175" s="210"/>
      <c r="W175" s="210"/>
      <c r="X175" s="210"/>
      <c r="Y175" s="210"/>
      <c r="Z175" s="210"/>
      <c r="AA175" s="210"/>
      <c r="AB175" s="210"/>
      <c r="AC175" s="210"/>
      <c r="AI175" s="210"/>
      <c r="AJ175" s="210"/>
    </row>
    <row r="176" ht="12.75" customHeight="1">
      <c r="C176" s="210"/>
      <c r="D176" s="210"/>
      <c r="E176" s="210"/>
      <c r="F176" s="210"/>
      <c r="G176" s="210"/>
      <c r="H176" s="210"/>
      <c r="I176" s="210"/>
      <c r="J176" s="210"/>
      <c r="K176" s="210"/>
      <c r="L176" s="210"/>
      <c r="M176" s="210"/>
      <c r="N176" s="210"/>
      <c r="O176" s="210"/>
      <c r="P176" s="210"/>
      <c r="Q176" s="210"/>
      <c r="R176" s="210"/>
      <c r="S176" s="210"/>
      <c r="T176" s="210"/>
      <c r="U176" s="210"/>
      <c r="V176" s="210"/>
      <c r="W176" s="210"/>
      <c r="X176" s="210"/>
      <c r="Y176" s="210"/>
      <c r="Z176" s="210"/>
      <c r="AA176" s="210"/>
      <c r="AB176" s="210"/>
      <c r="AC176" s="210"/>
      <c r="AI176" s="210"/>
      <c r="AJ176" s="210"/>
    </row>
    <row r="177" ht="12.75" customHeight="1">
      <c r="C177" s="210"/>
      <c r="D177" s="210"/>
      <c r="E177" s="210"/>
      <c r="F177" s="210"/>
      <c r="G177" s="210"/>
      <c r="H177" s="210"/>
      <c r="I177" s="210"/>
      <c r="J177" s="210"/>
      <c r="K177" s="210"/>
      <c r="L177" s="210"/>
      <c r="M177" s="210"/>
      <c r="N177" s="210"/>
      <c r="O177" s="210"/>
      <c r="P177" s="210"/>
      <c r="Q177" s="210"/>
      <c r="R177" s="210"/>
      <c r="S177" s="210"/>
      <c r="T177" s="210"/>
      <c r="U177" s="210"/>
      <c r="V177" s="210"/>
      <c r="W177" s="210"/>
      <c r="X177" s="210"/>
      <c r="Y177" s="210"/>
      <c r="Z177" s="210"/>
      <c r="AA177" s="210"/>
      <c r="AB177" s="210"/>
      <c r="AC177" s="210"/>
      <c r="AI177" s="210"/>
      <c r="AJ177" s="210"/>
    </row>
    <row r="178" ht="12.75" customHeight="1">
      <c r="C178" s="210"/>
      <c r="D178" s="210"/>
      <c r="E178" s="210"/>
      <c r="F178" s="210"/>
      <c r="G178" s="210"/>
      <c r="H178" s="210"/>
      <c r="I178" s="210"/>
      <c r="J178" s="210"/>
      <c r="K178" s="210"/>
      <c r="L178" s="210"/>
      <c r="M178" s="210"/>
      <c r="N178" s="210"/>
      <c r="O178" s="210"/>
      <c r="P178" s="210"/>
      <c r="Q178" s="210"/>
      <c r="R178" s="210"/>
      <c r="S178" s="210"/>
      <c r="T178" s="210"/>
      <c r="U178" s="210"/>
      <c r="V178" s="210"/>
      <c r="W178" s="210"/>
      <c r="X178" s="210"/>
      <c r="Y178" s="210"/>
      <c r="Z178" s="210"/>
      <c r="AA178" s="210"/>
      <c r="AB178" s="210"/>
      <c r="AC178" s="210"/>
      <c r="AI178" s="210"/>
      <c r="AJ178" s="210"/>
    </row>
    <row r="179" ht="12.75" customHeight="1">
      <c r="C179" s="210"/>
      <c r="D179" s="210"/>
      <c r="E179" s="210"/>
      <c r="F179" s="210"/>
      <c r="G179" s="210"/>
      <c r="H179" s="210"/>
      <c r="I179" s="210"/>
      <c r="J179" s="210"/>
      <c r="K179" s="210"/>
      <c r="L179" s="210"/>
      <c r="M179" s="210"/>
      <c r="N179" s="210"/>
      <c r="O179" s="210"/>
      <c r="P179" s="210"/>
      <c r="Q179" s="210"/>
      <c r="R179" s="210"/>
      <c r="S179" s="210"/>
      <c r="T179" s="210"/>
      <c r="U179" s="210"/>
      <c r="V179" s="210"/>
      <c r="W179" s="210"/>
      <c r="X179" s="210"/>
      <c r="Y179" s="210"/>
      <c r="Z179" s="210"/>
      <c r="AA179" s="210"/>
      <c r="AB179" s="210"/>
      <c r="AC179" s="210"/>
      <c r="AI179" s="210"/>
      <c r="AJ179" s="210"/>
    </row>
    <row r="180" ht="12.75" customHeight="1">
      <c r="C180" s="210"/>
      <c r="D180" s="210"/>
      <c r="E180" s="210"/>
      <c r="F180" s="210"/>
      <c r="G180" s="210"/>
      <c r="H180" s="210"/>
      <c r="I180" s="210"/>
      <c r="J180" s="210"/>
      <c r="K180" s="210"/>
      <c r="L180" s="210"/>
      <c r="M180" s="210"/>
      <c r="N180" s="210"/>
      <c r="O180" s="210"/>
      <c r="P180" s="210"/>
      <c r="Q180" s="210"/>
      <c r="R180" s="210"/>
      <c r="S180" s="210"/>
      <c r="T180" s="210"/>
      <c r="U180" s="210"/>
      <c r="V180" s="210"/>
      <c r="W180" s="210"/>
      <c r="X180" s="210"/>
      <c r="Y180" s="210"/>
      <c r="Z180" s="210"/>
      <c r="AA180" s="210"/>
      <c r="AB180" s="210"/>
      <c r="AC180" s="210"/>
      <c r="AI180" s="210"/>
      <c r="AJ180" s="210"/>
    </row>
    <row r="181" ht="12.75" customHeight="1">
      <c r="C181" s="210"/>
      <c r="D181" s="210"/>
      <c r="E181" s="210"/>
      <c r="F181" s="210"/>
      <c r="G181" s="210"/>
      <c r="H181" s="210"/>
      <c r="I181" s="210"/>
      <c r="J181" s="210"/>
      <c r="K181" s="210"/>
      <c r="L181" s="210"/>
      <c r="M181" s="210"/>
      <c r="N181" s="210"/>
      <c r="O181" s="210"/>
      <c r="P181" s="210"/>
      <c r="Q181" s="210"/>
      <c r="R181" s="210"/>
      <c r="S181" s="210"/>
      <c r="T181" s="210"/>
      <c r="U181" s="210"/>
      <c r="V181" s="210"/>
      <c r="W181" s="210"/>
      <c r="X181" s="210"/>
      <c r="Y181" s="210"/>
      <c r="Z181" s="210"/>
      <c r="AA181" s="210"/>
      <c r="AB181" s="210"/>
      <c r="AC181" s="210"/>
      <c r="AI181" s="210"/>
      <c r="AJ181" s="210"/>
    </row>
    <row r="182" ht="12.75" customHeight="1">
      <c r="C182" s="210"/>
      <c r="D182" s="210"/>
      <c r="E182" s="210"/>
      <c r="F182" s="210"/>
      <c r="G182" s="210"/>
      <c r="H182" s="210"/>
      <c r="I182" s="210"/>
      <c r="J182" s="210"/>
      <c r="K182" s="210"/>
      <c r="L182" s="210"/>
      <c r="M182" s="210"/>
      <c r="N182" s="210"/>
      <c r="O182" s="210"/>
      <c r="P182" s="210"/>
      <c r="Q182" s="210"/>
      <c r="R182" s="210"/>
      <c r="S182" s="210"/>
      <c r="T182" s="210"/>
      <c r="U182" s="210"/>
      <c r="V182" s="210"/>
      <c r="W182" s="210"/>
      <c r="X182" s="210"/>
      <c r="Y182" s="210"/>
      <c r="Z182" s="210"/>
      <c r="AA182" s="210"/>
      <c r="AB182" s="210"/>
      <c r="AC182" s="210"/>
      <c r="AI182" s="210"/>
      <c r="AJ182" s="210"/>
    </row>
    <row r="183" ht="12.75" customHeight="1">
      <c r="C183" s="210"/>
      <c r="D183" s="210"/>
      <c r="E183" s="210"/>
      <c r="F183" s="210"/>
      <c r="G183" s="210"/>
      <c r="H183" s="210"/>
      <c r="I183" s="210"/>
      <c r="J183" s="210"/>
      <c r="K183" s="210"/>
      <c r="L183" s="210"/>
      <c r="M183" s="210"/>
      <c r="N183" s="210"/>
      <c r="O183" s="210"/>
      <c r="P183" s="210"/>
      <c r="Q183" s="210"/>
      <c r="R183" s="210"/>
      <c r="S183" s="210"/>
      <c r="T183" s="210"/>
      <c r="U183" s="210"/>
      <c r="V183" s="210"/>
      <c r="W183" s="210"/>
      <c r="X183" s="210"/>
      <c r="Y183" s="210"/>
      <c r="Z183" s="210"/>
      <c r="AA183" s="210"/>
      <c r="AB183" s="210"/>
      <c r="AC183" s="210"/>
      <c r="AI183" s="210"/>
      <c r="AJ183" s="210"/>
    </row>
    <row r="184" ht="12.75" customHeight="1">
      <c r="C184" s="210"/>
      <c r="D184" s="210"/>
      <c r="E184" s="210"/>
      <c r="F184" s="210"/>
      <c r="G184" s="210"/>
      <c r="H184" s="210"/>
      <c r="I184" s="210"/>
      <c r="J184" s="210"/>
      <c r="K184" s="210"/>
      <c r="L184" s="210"/>
      <c r="M184" s="210"/>
      <c r="N184" s="210"/>
      <c r="O184" s="210"/>
      <c r="P184" s="210"/>
      <c r="Q184" s="210"/>
      <c r="R184" s="210"/>
      <c r="S184" s="210"/>
      <c r="T184" s="210"/>
      <c r="U184" s="210"/>
      <c r="V184" s="210"/>
      <c r="W184" s="210"/>
      <c r="X184" s="210"/>
      <c r="Y184" s="210"/>
      <c r="Z184" s="210"/>
      <c r="AA184" s="210"/>
      <c r="AB184" s="210"/>
      <c r="AC184" s="210"/>
      <c r="AI184" s="210"/>
      <c r="AJ184" s="210"/>
    </row>
    <row r="185" ht="12.75" customHeight="1">
      <c r="C185" s="210"/>
      <c r="D185" s="210"/>
      <c r="E185" s="210"/>
      <c r="F185" s="210"/>
      <c r="G185" s="210"/>
      <c r="H185" s="210"/>
      <c r="I185" s="210"/>
      <c r="J185" s="210"/>
      <c r="K185" s="210"/>
      <c r="L185" s="210"/>
      <c r="M185" s="210"/>
      <c r="N185" s="210"/>
      <c r="O185" s="210"/>
      <c r="P185" s="210"/>
      <c r="Q185" s="210"/>
      <c r="R185" s="210"/>
      <c r="S185" s="210"/>
      <c r="T185" s="210"/>
      <c r="U185" s="210"/>
      <c r="V185" s="210"/>
      <c r="W185" s="210"/>
      <c r="X185" s="210"/>
      <c r="Y185" s="210"/>
      <c r="Z185" s="210"/>
      <c r="AA185" s="210"/>
      <c r="AB185" s="210"/>
      <c r="AC185" s="210"/>
      <c r="AI185" s="210"/>
      <c r="AJ185" s="210"/>
    </row>
    <row r="186" ht="12.75" customHeight="1">
      <c r="C186" s="210"/>
      <c r="D186" s="210"/>
      <c r="E186" s="210"/>
      <c r="F186" s="210"/>
      <c r="G186" s="210"/>
      <c r="H186" s="210"/>
      <c r="I186" s="210"/>
      <c r="J186" s="210"/>
      <c r="K186" s="210"/>
      <c r="L186" s="210"/>
      <c r="M186" s="210"/>
      <c r="N186" s="210"/>
      <c r="O186" s="210"/>
      <c r="P186" s="210"/>
      <c r="Q186" s="210"/>
      <c r="R186" s="210"/>
      <c r="S186" s="210"/>
      <c r="T186" s="210"/>
      <c r="U186" s="210"/>
      <c r="V186" s="210"/>
      <c r="W186" s="210"/>
      <c r="X186" s="210"/>
      <c r="Y186" s="210"/>
      <c r="Z186" s="210"/>
      <c r="AA186" s="210"/>
      <c r="AB186" s="210"/>
      <c r="AC186" s="210"/>
      <c r="AI186" s="210"/>
      <c r="AJ186" s="210"/>
    </row>
    <row r="187" ht="12.75" customHeight="1">
      <c r="C187" s="210"/>
      <c r="D187" s="210"/>
      <c r="E187" s="210"/>
      <c r="F187" s="210"/>
      <c r="G187" s="210"/>
      <c r="H187" s="210"/>
      <c r="I187" s="210"/>
      <c r="J187" s="210"/>
      <c r="K187" s="210"/>
      <c r="L187" s="210"/>
      <c r="M187" s="210"/>
      <c r="N187" s="210"/>
      <c r="O187" s="210"/>
      <c r="P187" s="210"/>
      <c r="Q187" s="210"/>
      <c r="R187" s="210"/>
      <c r="S187" s="210"/>
      <c r="T187" s="210"/>
      <c r="U187" s="210"/>
      <c r="V187" s="210"/>
      <c r="W187" s="210"/>
      <c r="X187" s="210"/>
      <c r="Y187" s="210"/>
      <c r="Z187" s="210"/>
      <c r="AA187" s="210"/>
      <c r="AB187" s="210"/>
      <c r="AC187" s="210"/>
      <c r="AI187" s="210"/>
      <c r="AJ187" s="210"/>
    </row>
    <row r="188" ht="12.75" customHeight="1">
      <c r="C188" s="210"/>
      <c r="D188" s="210"/>
      <c r="E188" s="210"/>
      <c r="F188" s="210"/>
      <c r="G188" s="210"/>
      <c r="H188" s="210"/>
      <c r="I188" s="210"/>
      <c r="J188" s="210"/>
      <c r="K188" s="210"/>
      <c r="L188" s="210"/>
      <c r="M188" s="210"/>
      <c r="N188" s="210"/>
      <c r="O188" s="210"/>
      <c r="P188" s="210"/>
      <c r="Q188" s="210"/>
      <c r="R188" s="210"/>
      <c r="S188" s="210"/>
      <c r="T188" s="210"/>
      <c r="U188" s="210"/>
      <c r="V188" s="210"/>
      <c r="W188" s="210"/>
      <c r="X188" s="210"/>
      <c r="Y188" s="210"/>
      <c r="Z188" s="210"/>
      <c r="AA188" s="210"/>
      <c r="AB188" s="210"/>
      <c r="AC188" s="210"/>
      <c r="AI188" s="210"/>
      <c r="AJ188" s="210"/>
    </row>
    <row r="189" ht="12.75" customHeight="1">
      <c r="C189" s="210"/>
      <c r="D189" s="210"/>
      <c r="E189" s="210"/>
      <c r="F189" s="210"/>
      <c r="G189" s="210"/>
      <c r="H189" s="210"/>
      <c r="I189" s="210"/>
      <c r="J189" s="210"/>
      <c r="K189" s="210"/>
      <c r="L189" s="210"/>
      <c r="M189" s="210"/>
      <c r="N189" s="210"/>
      <c r="O189" s="210"/>
      <c r="P189" s="210"/>
      <c r="Q189" s="210"/>
      <c r="R189" s="210"/>
      <c r="S189" s="210"/>
      <c r="T189" s="210"/>
      <c r="U189" s="210"/>
      <c r="V189" s="210"/>
      <c r="W189" s="210"/>
      <c r="X189" s="210"/>
      <c r="Y189" s="210"/>
      <c r="Z189" s="210"/>
      <c r="AA189" s="210"/>
      <c r="AB189" s="210"/>
      <c r="AC189" s="210"/>
      <c r="AI189" s="210"/>
      <c r="AJ189" s="210"/>
    </row>
    <row r="190" ht="12.75" customHeight="1">
      <c r="C190" s="210"/>
      <c r="D190" s="210"/>
      <c r="E190" s="210"/>
      <c r="F190" s="210"/>
      <c r="G190" s="210"/>
      <c r="H190" s="210"/>
      <c r="I190" s="210"/>
      <c r="J190" s="210"/>
      <c r="K190" s="210"/>
      <c r="L190" s="210"/>
      <c r="M190" s="210"/>
      <c r="N190" s="210"/>
      <c r="O190" s="210"/>
      <c r="P190" s="210"/>
      <c r="Q190" s="210"/>
      <c r="R190" s="210"/>
      <c r="S190" s="210"/>
      <c r="T190" s="210"/>
      <c r="U190" s="210"/>
      <c r="V190" s="210"/>
      <c r="W190" s="210"/>
      <c r="X190" s="210"/>
      <c r="Y190" s="210"/>
      <c r="Z190" s="210"/>
      <c r="AA190" s="210"/>
      <c r="AB190" s="210"/>
      <c r="AC190" s="210"/>
      <c r="AI190" s="210"/>
      <c r="AJ190" s="210"/>
    </row>
    <row r="191" ht="12.75" customHeight="1">
      <c r="C191" s="210"/>
      <c r="D191" s="210"/>
      <c r="E191" s="210"/>
      <c r="F191" s="210"/>
      <c r="G191" s="210"/>
      <c r="H191" s="210"/>
      <c r="I191" s="210"/>
      <c r="J191" s="210"/>
      <c r="K191" s="210"/>
      <c r="L191" s="210"/>
      <c r="M191" s="210"/>
      <c r="N191" s="210"/>
      <c r="O191" s="210"/>
      <c r="P191" s="210"/>
      <c r="Q191" s="210"/>
      <c r="R191" s="210"/>
      <c r="S191" s="210"/>
      <c r="T191" s="210"/>
      <c r="U191" s="210"/>
      <c r="V191" s="210"/>
      <c r="W191" s="210"/>
      <c r="X191" s="210"/>
      <c r="Y191" s="210"/>
      <c r="Z191" s="210"/>
      <c r="AA191" s="210"/>
      <c r="AB191" s="210"/>
      <c r="AC191" s="210"/>
      <c r="AI191" s="210"/>
      <c r="AJ191" s="210"/>
    </row>
    <row r="192" ht="12.75" customHeight="1">
      <c r="C192" s="210"/>
      <c r="D192" s="210"/>
      <c r="E192" s="210"/>
      <c r="F192" s="210"/>
      <c r="G192" s="210"/>
      <c r="H192" s="210"/>
      <c r="I192" s="210"/>
      <c r="J192" s="210"/>
      <c r="K192" s="210"/>
      <c r="L192" s="210"/>
      <c r="M192" s="210"/>
      <c r="N192" s="210"/>
      <c r="O192" s="210"/>
      <c r="P192" s="210"/>
      <c r="Q192" s="210"/>
      <c r="R192" s="210"/>
      <c r="S192" s="210"/>
      <c r="T192" s="210"/>
      <c r="U192" s="210"/>
      <c r="V192" s="210"/>
      <c r="W192" s="210"/>
      <c r="X192" s="210"/>
      <c r="Y192" s="210"/>
      <c r="Z192" s="210"/>
      <c r="AA192" s="210"/>
      <c r="AB192" s="210"/>
      <c r="AC192" s="210"/>
      <c r="AI192" s="210"/>
      <c r="AJ192" s="210"/>
    </row>
    <row r="193" ht="12.75" customHeight="1">
      <c r="C193" s="210"/>
      <c r="D193" s="210"/>
      <c r="E193" s="210"/>
      <c r="F193" s="210"/>
      <c r="G193" s="210"/>
      <c r="H193" s="210"/>
      <c r="I193" s="210"/>
      <c r="J193" s="210"/>
      <c r="K193" s="210"/>
      <c r="L193" s="210"/>
      <c r="M193" s="210"/>
      <c r="N193" s="210"/>
      <c r="O193" s="210"/>
      <c r="P193" s="210"/>
      <c r="Q193" s="210"/>
      <c r="R193" s="210"/>
      <c r="S193" s="210"/>
      <c r="T193" s="210"/>
      <c r="U193" s="210"/>
      <c r="V193" s="210"/>
      <c r="W193" s="210"/>
      <c r="X193" s="210"/>
      <c r="Y193" s="210"/>
      <c r="Z193" s="210"/>
      <c r="AA193" s="210"/>
      <c r="AB193" s="210"/>
      <c r="AC193" s="210"/>
      <c r="AI193" s="210"/>
      <c r="AJ193" s="210"/>
    </row>
    <row r="194" ht="12.75" customHeight="1">
      <c r="C194" s="210"/>
      <c r="D194" s="210"/>
      <c r="E194" s="210"/>
      <c r="F194" s="210"/>
      <c r="G194" s="210"/>
      <c r="H194" s="210"/>
      <c r="I194" s="210"/>
      <c r="J194" s="210"/>
      <c r="K194" s="210"/>
      <c r="L194" s="210"/>
      <c r="M194" s="210"/>
      <c r="N194" s="210"/>
      <c r="O194" s="210"/>
      <c r="P194" s="210"/>
      <c r="Q194" s="210"/>
      <c r="R194" s="210"/>
      <c r="S194" s="210"/>
      <c r="T194" s="210"/>
      <c r="U194" s="210"/>
      <c r="V194" s="210"/>
      <c r="W194" s="210"/>
      <c r="X194" s="210"/>
      <c r="Y194" s="210"/>
      <c r="Z194" s="210"/>
      <c r="AA194" s="210"/>
      <c r="AB194" s="210"/>
      <c r="AC194" s="210"/>
      <c r="AI194" s="210"/>
      <c r="AJ194" s="210"/>
    </row>
    <row r="195" ht="12.75" customHeight="1">
      <c r="C195" s="210"/>
      <c r="D195" s="210"/>
      <c r="E195" s="210"/>
      <c r="F195" s="210"/>
      <c r="G195" s="210"/>
      <c r="H195" s="210"/>
      <c r="I195" s="210"/>
      <c r="J195" s="210"/>
      <c r="K195" s="210"/>
      <c r="L195" s="210"/>
      <c r="M195" s="210"/>
      <c r="N195" s="210"/>
      <c r="O195" s="210"/>
      <c r="P195" s="210"/>
      <c r="Q195" s="210"/>
      <c r="R195" s="210"/>
      <c r="S195" s="210"/>
      <c r="T195" s="210"/>
      <c r="U195" s="210"/>
      <c r="V195" s="210"/>
      <c r="W195" s="210"/>
      <c r="X195" s="210"/>
      <c r="Y195" s="210"/>
      <c r="Z195" s="210"/>
      <c r="AA195" s="210"/>
      <c r="AB195" s="210"/>
      <c r="AC195" s="210"/>
      <c r="AI195" s="210"/>
      <c r="AJ195" s="210"/>
    </row>
    <row r="196" ht="12.75" customHeight="1">
      <c r="C196" s="210"/>
      <c r="D196" s="210"/>
      <c r="E196" s="210"/>
      <c r="F196" s="210"/>
      <c r="G196" s="210"/>
      <c r="H196" s="210"/>
      <c r="I196" s="210"/>
      <c r="J196" s="210"/>
      <c r="K196" s="210"/>
      <c r="L196" s="210"/>
      <c r="M196" s="210"/>
      <c r="N196" s="210"/>
      <c r="O196" s="210"/>
      <c r="P196" s="210"/>
      <c r="Q196" s="210"/>
      <c r="R196" s="210"/>
      <c r="S196" s="210"/>
      <c r="T196" s="210"/>
      <c r="U196" s="210"/>
      <c r="V196" s="210"/>
      <c r="W196" s="210"/>
      <c r="X196" s="210"/>
      <c r="Y196" s="210"/>
      <c r="Z196" s="210"/>
      <c r="AA196" s="210"/>
      <c r="AB196" s="210"/>
      <c r="AC196" s="210"/>
      <c r="AI196" s="210"/>
      <c r="AJ196" s="210"/>
    </row>
    <row r="197" ht="12.75" customHeight="1">
      <c r="C197" s="210"/>
      <c r="D197" s="210"/>
      <c r="E197" s="210"/>
      <c r="F197" s="210"/>
      <c r="G197" s="210"/>
      <c r="H197" s="210"/>
      <c r="I197" s="210"/>
      <c r="J197" s="210"/>
      <c r="K197" s="210"/>
      <c r="L197" s="210"/>
      <c r="M197" s="210"/>
      <c r="N197" s="210"/>
      <c r="O197" s="210"/>
      <c r="P197" s="210"/>
      <c r="Q197" s="210"/>
      <c r="R197" s="210"/>
      <c r="S197" s="210"/>
      <c r="T197" s="210"/>
      <c r="U197" s="210"/>
      <c r="V197" s="210"/>
      <c r="W197" s="210"/>
      <c r="X197" s="210"/>
      <c r="Y197" s="210"/>
      <c r="Z197" s="210"/>
      <c r="AA197" s="210"/>
      <c r="AB197" s="210"/>
      <c r="AC197" s="210"/>
      <c r="AI197" s="210"/>
      <c r="AJ197" s="210"/>
    </row>
    <row r="198" ht="12.75" customHeight="1">
      <c r="C198" s="210"/>
      <c r="D198" s="210"/>
      <c r="E198" s="210"/>
      <c r="F198" s="210"/>
      <c r="G198" s="210"/>
      <c r="H198" s="210"/>
      <c r="I198" s="210"/>
      <c r="J198" s="210"/>
      <c r="K198" s="210"/>
      <c r="L198" s="210"/>
      <c r="M198" s="210"/>
      <c r="N198" s="210"/>
      <c r="O198" s="210"/>
      <c r="P198" s="210"/>
      <c r="Q198" s="210"/>
      <c r="R198" s="210"/>
      <c r="S198" s="210"/>
      <c r="T198" s="210"/>
      <c r="U198" s="210"/>
      <c r="V198" s="210"/>
      <c r="W198" s="210"/>
      <c r="X198" s="210"/>
      <c r="Y198" s="210"/>
      <c r="Z198" s="210"/>
      <c r="AA198" s="210"/>
      <c r="AB198" s="210"/>
      <c r="AC198" s="210"/>
      <c r="AI198" s="210"/>
      <c r="AJ198" s="210"/>
    </row>
    <row r="199" ht="12.75" customHeight="1">
      <c r="C199" s="210"/>
      <c r="D199" s="210"/>
      <c r="E199" s="210"/>
      <c r="F199" s="210"/>
      <c r="G199" s="210"/>
      <c r="H199" s="210"/>
      <c r="I199" s="210"/>
      <c r="J199" s="210"/>
      <c r="K199" s="210"/>
      <c r="L199" s="210"/>
      <c r="M199" s="210"/>
      <c r="N199" s="210"/>
      <c r="O199" s="210"/>
      <c r="P199" s="210"/>
      <c r="Q199" s="210"/>
      <c r="R199" s="210"/>
      <c r="S199" s="210"/>
      <c r="T199" s="210"/>
      <c r="U199" s="210"/>
      <c r="V199" s="210"/>
      <c r="W199" s="210"/>
      <c r="X199" s="210"/>
      <c r="Y199" s="210"/>
      <c r="Z199" s="210"/>
      <c r="AA199" s="210"/>
      <c r="AB199" s="210"/>
      <c r="AC199" s="210"/>
      <c r="AI199" s="210"/>
      <c r="AJ199" s="210"/>
    </row>
    <row r="200" ht="12.75" customHeight="1">
      <c r="C200" s="210"/>
      <c r="D200" s="210"/>
      <c r="E200" s="210"/>
      <c r="F200" s="210"/>
      <c r="G200" s="210"/>
      <c r="H200" s="210"/>
      <c r="I200" s="210"/>
      <c r="J200" s="210"/>
      <c r="K200" s="210"/>
      <c r="L200" s="210"/>
      <c r="M200" s="210"/>
      <c r="N200" s="210"/>
      <c r="O200" s="210"/>
      <c r="P200" s="210"/>
      <c r="Q200" s="210"/>
      <c r="R200" s="210"/>
      <c r="S200" s="210"/>
      <c r="T200" s="210"/>
      <c r="U200" s="210"/>
      <c r="V200" s="210"/>
      <c r="W200" s="210"/>
      <c r="X200" s="210"/>
      <c r="Y200" s="210"/>
      <c r="Z200" s="210"/>
      <c r="AA200" s="210"/>
      <c r="AB200" s="210"/>
      <c r="AC200" s="210"/>
      <c r="AI200" s="210"/>
      <c r="AJ200" s="210"/>
    </row>
    <row r="201" ht="12.75" customHeight="1">
      <c r="C201" s="210"/>
      <c r="D201" s="210"/>
      <c r="E201" s="210"/>
      <c r="F201" s="210"/>
      <c r="G201" s="210"/>
      <c r="H201" s="210"/>
      <c r="I201" s="210"/>
      <c r="J201" s="210"/>
      <c r="K201" s="210"/>
      <c r="L201" s="210"/>
      <c r="M201" s="210"/>
      <c r="N201" s="210"/>
      <c r="O201" s="210"/>
      <c r="P201" s="210"/>
      <c r="Q201" s="210"/>
      <c r="R201" s="210"/>
      <c r="S201" s="210"/>
      <c r="T201" s="210"/>
      <c r="U201" s="210"/>
      <c r="V201" s="210"/>
      <c r="W201" s="210"/>
      <c r="X201" s="210"/>
      <c r="Y201" s="210"/>
      <c r="Z201" s="210"/>
      <c r="AA201" s="210"/>
      <c r="AB201" s="210"/>
      <c r="AC201" s="210"/>
      <c r="AI201" s="210"/>
      <c r="AJ201" s="210"/>
    </row>
    <row r="202" ht="12.75" customHeight="1">
      <c r="C202" s="210"/>
      <c r="D202" s="210"/>
      <c r="E202" s="210"/>
      <c r="F202" s="210"/>
      <c r="G202" s="210"/>
      <c r="H202" s="210"/>
      <c r="I202" s="210"/>
      <c r="J202" s="210"/>
      <c r="K202" s="210"/>
      <c r="L202" s="210"/>
      <c r="M202" s="210"/>
      <c r="N202" s="210"/>
      <c r="O202" s="210"/>
      <c r="P202" s="210"/>
      <c r="Q202" s="210"/>
      <c r="R202" s="210"/>
      <c r="S202" s="210"/>
      <c r="T202" s="210"/>
      <c r="U202" s="210"/>
      <c r="V202" s="210"/>
      <c r="W202" s="210"/>
      <c r="X202" s="210"/>
      <c r="Y202" s="210"/>
      <c r="Z202" s="210"/>
      <c r="AA202" s="210"/>
      <c r="AB202" s="210"/>
      <c r="AC202" s="210"/>
      <c r="AI202" s="210"/>
      <c r="AJ202" s="210"/>
    </row>
    <row r="203" ht="12.75" customHeight="1">
      <c r="C203" s="210"/>
      <c r="D203" s="210"/>
      <c r="E203" s="210"/>
      <c r="F203" s="210"/>
      <c r="G203" s="210"/>
      <c r="H203" s="210"/>
      <c r="I203" s="210"/>
      <c r="J203" s="210"/>
      <c r="K203" s="210"/>
      <c r="L203" s="210"/>
      <c r="M203" s="210"/>
      <c r="N203" s="210"/>
      <c r="O203" s="210"/>
      <c r="P203" s="210"/>
      <c r="Q203" s="210"/>
      <c r="R203" s="210"/>
      <c r="S203" s="210"/>
      <c r="T203" s="210"/>
      <c r="U203" s="210"/>
      <c r="V203" s="210"/>
      <c r="W203" s="210"/>
      <c r="X203" s="210"/>
      <c r="Y203" s="210"/>
      <c r="Z203" s="210"/>
      <c r="AA203" s="210"/>
      <c r="AB203" s="210"/>
      <c r="AC203" s="210"/>
      <c r="AI203" s="210"/>
      <c r="AJ203" s="210"/>
    </row>
    <row r="204" ht="12.75" customHeight="1">
      <c r="C204" s="210"/>
      <c r="D204" s="210"/>
      <c r="E204" s="210"/>
      <c r="F204" s="210"/>
      <c r="G204" s="210"/>
      <c r="H204" s="210"/>
      <c r="I204" s="210"/>
      <c r="J204" s="210"/>
      <c r="K204" s="210"/>
      <c r="L204" s="210"/>
      <c r="M204" s="210"/>
      <c r="N204" s="210"/>
      <c r="O204" s="210"/>
      <c r="P204" s="210"/>
      <c r="Q204" s="210"/>
      <c r="R204" s="210"/>
      <c r="S204" s="210"/>
      <c r="T204" s="210"/>
      <c r="U204" s="210"/>
      <c r="V204" s="210"/>
      <c r="W204" s="210"/>
      <c r="X204" s="210"/>
      <c r="Y204" s="210"/>
      <c r="Z204" s="210"/>
      <c r="AA204" s="210"/>
      <c r="AB204" s="210"/>
      <c r="AC204" s="210"/>
      <c r="AI204" s="210"/>
      <c r="AJ204" s="210"/>
    </row>
    <row r="205" ht="12.75" customHeight="1">
      <c r="C205" s="210"/>
      <c r="D205" s="210"/>
      <c r="E205" s="210"/>
      <c r="F205" s="210"/>
      <c r="G205" s="210"/>
      <c r="H205" s="210"/>
      <c r="I205" s="210"/>
      <c r="J205" s="210"/>
      <c r="K205" s="210"/>
      <c r="L205" s="210"/>
      <c r="M205" s="210"/>
      <c r="N205" s="210"/>
      <c r="O205" s="210"/>
      <c r="P205" s="210"/>
      <c r="Q205" s="210"/>
      <c r="R205" s="210"/>
      <c r="S205" s="210"/>
      <c r="T205" s="210"/>
      <c r="U205" s="210"/>
      <c r="V205" s="210"/>
      <c r="W205" s="210"/>
      <c r="X205" s="210"/>
      <c r="Y205" s="210"/>
      <c r="Z205" s="210"/>
      <c r="AA205" s="210"/>
      <c r="AB205" s="210"/>
      <c r="AC205" s="210"/>
      <c r="AI205" s="210"/>
      <c r="AJ205" s="210"/>
    </row>
    <row r="206" ht="12.75" customHeight="1">
      <c r="C206" s="210"/>
      <c r="D206" s="210"/>
      <c r="E206" s="210"/>
      <c r="F206" s="210"/>
      <c r="G206" s="210"/>
      <c r="H206" s="210"/>
      <c r="I206" s="210"/>
      <c r="J206" s="210"/>
      <c r="K206" s="210"/>
      <c r="L206" s="210"/>
      <c r="M206" s="210"/>
      <c r="N206" s="210"/>
      <c r="O206" s="210"/>
      <c r="P206" s="210"/>
      <c r="Q206" s="210"/>
      <c r="R206" s="210"/>
      <c r="S206" s="210"/>
      <c r="T206" s="210"/>
      <c r="U206" s="210"/>
      <c r="V206" s="210"/>
      <c r="W206" s="210"/>
      <c r="X206" s="210"/>
      <c r="Y206" s="210"/>
      <c r="Z206" s="210"/>
      <c r="AA206" s="210"/>
      <c r="AB206" s="210"/>
      <c r="AC206" s="210"/>
      <c r="AI206" s="210"/>
      <c r="AJ206" s="210"/>
    </row>
    <row r="207" ht="12.75" customHeight="1">
      <c r="C207" s="210"/>
      <c r="D207" s="210"/>
      <c r="E207" s="210"/>
      <c r="F207" s="210"/>
      <c r="G207" s="210"/>
      <c r="H207" s="210"/>
      <c r="I207" s="210"/>
      <c r="J207" s="210"/>
      <c r="K207" s="210"/>
      <c r="L207" s="210"/>
      <c r="M207" s="210"/>
      <c r="N207" s="210"/>
      <c r="O207" s="210"/>
      <c r="P207" s="210"/>
      <c r="Q207" s="210"/>
      <c r="R207" s="210"/>
      <c r="S207" s="210"/>
      <c r="T207" s="210"/>
      <c r="U207" s="210"/>
      <c r="V207" s="210"/>
      <c r="W207" s="210"/>
      <c r="X207" s="210"/>
      <c r="Y207" s="210"/>
      <c r="Z207" s="210"/>
      <c r="AA207" s="210"/>
      <c r="AB207" s="210"/>
      <c r="AC207" s="210"/>
      <c r="AI207" s="210"/>
      <c r="AJ207" s="210"/>
    </row>
    <row r="208" ht="12.75" customHeight="1">
      <c r="C208" s="210"/>
      <c r="D208" s="210"/>
      <c r="E208" s="210"/>
      <c r="F208" s="210"/>
      <c r="G208" s="210"/>
      <c r="H208" s="210"/>
      <c r="I208" s="210"/>
      <c r="J208" s="210"/>
      <c r="K208" s="210"/>
      <c r="L208" s="210"/>
      <c r="M208" s="210"/>
      <c r="N208" s="210"/>
      <c r="O208" s="210"/>
      <c r="P208" s="210"/>
      <c r="Q208" s="210"/>
      <c r="R208" s="210"/>
      <c r="S208" s="210"/>
      <c r="T208" s="210"/>
      <c r="U208" s="210"/>
      <c r="V208" s="210"/>
      <c r="W208" s="210"/>
      <c r="X208" s="210"/>
      <c r="Y208" s="210"/>
      <c r="Z208" s="210"/>
      <c r="AA208" s="210"/>
      <c r="AB208" s="210"/>
      <c r="AC208" s="210"/>
      <c r="AI208" s="210"/>
      <c r="AJ208" s="210"/>
    </row>
    <row r="209" ht="12.75" customHeight="1">
      <c r="C209" s="210"/>
      <c r="D209" s="210"/>
      <c r="E209" s="210"/>
      <c r="F209" s="210"/>
      <c r="G209" s="210"/>
      <c r="H209" s="210"/>
      <c r="I209" s="210"/>
      <c r="J209" s="210"/>
      <c r="K209" s="210"/>
      <c r="L209" s="210"/>
      <c r="M209" s="210"/>
      <c r="N209" s="210"/>
      <c r="O209" s="210"/>
      <c r="P209" s="210"/>
      <c r="Q209" s="210"/>
      <c r="R209" s="210"/>
      <c r="S209" s="210"/>
      <c r="T209" s="210"/>
      <c r="U209" s="210"/>
      <c r="V209" s="210"/>
      <c r="W209" s="210"/>
      <c r="X209" s="210"/>
      <c r="Y209" s="210"/>
      <c r="Z209" s="210"/>
      <c r="AA209" s="210"/>
      <c r="AB209" s="210"/>
      <c r="AC209" s="210"/>
      <c r="AI209" s="210"/>
      <c r="AJ209" s="210"/>
    </row>
    <row r="210" ht="12.75" customHeight="1">
      <c r="C210" s="210"/>
      <c r="D210" s="210"/>
      <c r="E210" s="210"/>
      <c r="F210" s="210"/>
      <c r="G210" s="210"/>
      <c r="H210" s="210"/>
      <c r="I210" s="210"/>
      <c r="J210" s="210"/>
      <c r="K210" s="210"/>
      <c r="L210" s="210"/>
      <c r="M210" s="210"/>
      <c r="N210" s="210"/>
      <c r="O210" s="210"/>
      <c r="P210" s="210"/>
      <c r="Q210" s="210"/>
      <c r="R210" s="210"/>
      <c r="S210" s="210"/>
      <c r="T210" s="210"/>
      <c r="U210" s="210"/>
      <c r="V210" s="210"/>
      <c r="W210" s="210"/>
      <c r="X210" s="210"/>
      <c r="Y210" s="210"/>
      <c r="Z210" s="210"/>
      <c r="AA210" s="210"/>
      <c r="AB210" s="210"/>
      <c r="AC210" s="210"/>
      <c r="AI210" s="210"/>
      <c r="AJ210" s="210"/>
    </row>
    <row r="211" ht="12.75" customHeight="1">
      <c r="C211" s="210"/>
      <c r="D211" s="210"/>
      <c r="E211" s="210"/>
      <c r="F211" s="210"/>
      <c r="G211" s="210"/>
      <c r="H211" s="210"/>
      <c r="I211" s="210"/>
      <c r="J211" s="210"/>
      <c r="K211" s="210"/>
      <c r="L211" s="210"/>
      <c r="M211" s="210"/>
      <c r="N211" s="210"/>
      <c r="O211" s="210"/>
      <c r="P211" s="210"/>
      <c r="Q211" s="210"/>
      <c r="R211" s="210"/>
      <c r="S211" s="210"/>
      <c r="T211" s="210"/>
      <c r="U211" s="210"/>
      <c r="V211" s="210"/>
      <c r="W211" s="210"/>
      <c r="X211" s="210"/>
      <c r="Y211" s="210"/>
      <c r="Z211" s="210"/>
      <c r="AA211" s="210"/>
      <c r="AB211" s="210"/>
      <c r="AC211" s="210"/>
      <c r="AI211" s="210"/>
      <c r="AJ211" s="210"/>
    </row>
    <row r="212" ht="12.75" customHeight="1">
      <c r="C212" s="210"/>
      <c r="D212" s="210"/>
      <c r="E212" s="210"/>
      <c r="F212" s="210"/>
      <c r="G212" s="210"/>
      <c r="H212" s="210"/>
      <c r="I212" s="210"/>
      <c r="J212" s="210"/>
      <c r="K212" s="210"/>
      <c r="L212" s="210"/>
      <c r="M212" s="210"/>
      <c r="N212" s="210"/>
      <c r="O212" s="210"/>
      <c r="P212" s="210"/>
      <c r="Q212" s="210"/>
      <c r="R212" s="210"/>
      <c r="S212" s="210"/>
      <c r="T212" s="210"/>
      <c r="U212" s="210"/>
      <c r="V212" s="210"/>
      <c r="W212" s="210"/>
      <c r="X212" s="210"/>
      <c r="Y212" s="210"/>
      <c r="Z212" s="210"/>
      <c r="AA212" s="210"/>
      <c r="AB212" s="210"/>
      <c r="AC212" s="210"/>
      <c r="AI212" s="210"/>
      <c r="AJ212" s="210"/>
    </row>
    <row r="213" ht="12.75" customHeight="1">
      <c r="C213" s="210"/>
      <c r="D213" s="210"/>
      <c r="E213" s="210"/>
      <c r="F213" s="210"/>
      <c r="G213" s="210"/>
      <c r="H213" s="210"/>
      <c r="I213" s="210"/>
      <c r="J213" s="210"/>
      <c r="K213" s="210"/>
      <c r="L213" s="210"/>
      <c r="M213" s="210"/>
      <c r="N213" s="210"/>
      <c r="O213" s="210"/>
      <c r="P213" s="210"/>
      <c r="Q213" s="210"/>
      <c r="R213" s="210"/>
      <c r="S213" s="210"/>
      <c r="T213" s="210"/>
      <c r="U213" s="210"/>
      <c r="V213" s="210"/>
      <c r="W213" s="210"/>
      <c r="X213" s="210"/>
      <c r="Y213" s="210"/>
      <c r="Z213" s="210"/>
      <c r="AA213" s="210"/>
      <c r="AB213" s="210"/>
      <c r="AC213" s="210"/>
      <c r="AI213" s="210"/>
      <c r="AJ213" s="210"/>
    </row>
    <row r="214" ht="12.75" customHeight="1">
      <c r="C214" s="210"/>
      <c r="D214" s="210"/>
      <c r="E214" s="210"/>
      <c r="F214" s="210"/>
      <c r="G214" s="210"/>
      <c r="H214" s="210"/>
      <c r="I214" s="210"/>
      <c r="J214" s="210"/>
      <c r="K214" s="210"/>
      <c r="L214" s="210"/>
      <c r="M214" s="210"/>
      <c r="N214" s="210"/>
      <c r="O214" s="210"/>
      <c r="P214" s="210"/>
      <c r="Q214" s="210"/>
      <c r="R214" s="210"/>
      <c r="S214" s="210"/>
      <c r="T214" s="210"/>
      <c r="U214" s="210"/>
      <c r="V214" s="210"/>
      <c r="W214" s="210"/>
      <c r="X214" s="210"/>
      <c r="Y214" s="210"/>
      <c r="Z214" s="210"/>
      <c r="AA214" s="210"/>
      <c r="AB214" s="210"/>
      <c r="AC214" s="210"/>
      <c r="AI214" s="210"/>
      <c r="AJ214" s="210"/>
    </row>
    <row r="215" ht="12.75" customHeight="1">
      <c r="C215" s="210"/>
      <c r="D215" s="210"/>
      <c r="E215" s="210"/>
      <c r="F215" s="210"/>
      <c r="G215" s="210"/>
      <c r="H215" s="210"/>
      <c r="I215" s="210"/>
      <c r="J215" s="210"/>
      <c r="K215" s="210"/>
      <c r="L215" s="210"/>
      <c r="M215" s="210"/>
      <c r="N215" s="210"/>
      <c r="O215" s="210"/>
      <c r="P215" s="210"/>
      <c r="Q215" s="210"/>
      <c r="R215" s="210"/>
      <c r="S215" s="210"/>
      <c r="T215" s="210"/>
      <c r="U215" s="210"/>
      <c r="V215" s="210"/>
      <c r="W215" s="210"/>
      <c r="X215" s="210"/>
      <c r="Y215" s="210"/>
      <c r="Z215" s="210"/>
      <c r="AA215" s="210"/>
      <c r="AB215" s="210"/>
      <c r="AC215" s="210"/>
      <c r="AI215" s="210"/>
      <c r="AJ215" s="210"/>
    </row>
    <row r="216" ht="12.75" customHeight="1">
      <c r="C216" s="210"/>
      <c r="D216" s="210"/>
      <c r="E216" s="210"/>
      <c r="F216" s="210"/>
      <c r="G216" s="210"/>
      <c r="H216" s="210"/>
      <c r="I216" s="210"/>
      <c r="J216" s="210"/>
      <c r="K216" s="210"/>
      <c r="L216" s="210"/>
      <c r="M216" s="210"/>
      <c r="N216" s="210"/>
      <c r="O216" s="210"/>
      <c r="P216" s="210"/>
      <c r="Q216" s="210"/>
      <c r="R216" s="210"/>
      <c r="S216" s="210"/>
      <c r="T216" s="210"/>
      <c r="U216" s="210"/>
      <c r="V216" s="210"/>
      <c r="W216" s="210"/>
      <c r="X216" s="210"/>
      <c r="Y216" s="210"/>
      <c r="Z216" s="210"/>
      <c r="AA216" s="210"/>
      <c r="AB216" s="210"/>
      <c r="AC216" s="210"/>
      <c r="AI216" s="210"/>
      <c r="AJ216" s="210"/>
    </row>
    <row r="217" ht="12.75" customHeight="1">
      <c r="C217" s="210"/>
      <c r="D217" s="210"/>
      <c r="E217" s="210"/>
      <c r="F217" s="210"/>
      <c r="G217" s="210"/>
      <c r="H217" s="210"/>
      <c r="I217" s="210"/>
      <c r="J217" s="210"/>
      <c r="K217" s="210"/>
      <c r="L217" s="210"/>
      <c r="M217" s="210"/>
      <c r="N217" s="210"/>
      <c r="O217" s="210"/>
      <c r="P217" s="210"/>
      <c r="Q217" s="210"/>
      <c r="R217" s="210"/>
      <c r="S217" s="210"/>
      <c r="T217" s="210"/>
      <c r="U217" s="210"/>
      <c r="V217" s="210"/>
      <c r="W217" s="210"/>
      <c r="X217" s="210"/>
      <c r="Y217" s="210"/>
      <c r="Z217" s="210"/>
      <c r="AA217" s="210"/>
      <c r="AB217" s="210"/>
      <c r="AC217" s="210"/>
      <c r="AI217" s="210"/>
      <c r="AJ217" s="210"/>
    </row>
    <row r="218" ht="12.75" customHeight="1">
      <c r="C218" s="210"/>
      <c r="D218" s="210"/>
      <c r="E218" s="210"/>
      <c r="F218" s="210"/>
      <c r="G218" s="210"/>
      <c r="H218" s="210"/>
      <c r="I218" s="210"/>
      <c r="J218" s="210"/>
      <c r="K218" s="210"/>
      <c r="L218" s="210"/>
      <c r="M218" s="210"/>
      <c r="N218" s="210"/>
      <c r="O218" s="210"/>
      <c r="P218" s="210"/>
      <c r="Q218" s="210"/>
      <c r="R218" s="210"/>
      <c r="S218" s="210"/>
      <c r="T218" s="210"/>
      <c r="U218" s="210"/>
      <c r="V218" s="210"/>
      <c r="W218" s="210"/>
      <c r="X218" s="210"/>
      <c r="Y218" s="210"/>
      <c r="Z218" s="210"/>
      <c r="AA218" s="210"/>
      <c r="AB218" s="210"/>
      <c r="AC218" s="210"/>
      <c r="AI218" s="210"/>
      <c r="AJ218" s="210"/>
    </row>
    <row r="219" ht="12.75" customHeight="1">
      <c r="C219" s="210"/>
      <c r="D219" s="210"/>
      <c r="E219" s="210"/>
      <c r="F219" s="210"/>
      <c r="G219" s="210"/>
      <c r="H219" s="210"/>
      <c r="I219" s="210"/>
      <c r="J219" s="210"/>
      <c r="K219" s="210"/>
      <c r="L219" s="210"/>
      <c r="M219" s="210"/>
      <c r="N219" s="210"/>
      <c r="O219" s="210"/>
      <c r="P219" s="210"/>
      <c r="Q219" s="210"/>
      <c r="R219" s="210"/>
      <c r="S219" s="210"/>
      <c r="T219" s="210"/>
      <c r="U219" s="210"/>
      <c r="V219" s="210"/>
      <c r="W219" s="210"/>
      <c r="X219" s="210"/>
      <c r="Y219" s="210"/>
      <c r="Z219" s="210"/>
      <c r="AA219" s="210"/>
      <c r="AB219" s="210"/>
      <c r="AC219" s="210"/>
      <c r="AI219" s="210"/>
      <c r="AJ219" s="210"/>
    </row>
    <row r="220" ht="12.75" customHeight="1">
      <c r="C220" s="210"/>
      <c r="D220" s="210"/>
      <c r="E220" s="210"/>
      <c r="F220" s="210"/>
      <c r="G220" s="210"/>
      <c r="H220" s="210"/>
      <c r="I220" s="210"/>
      <c r="J220" s="210"/>
      <c r="K220" s="210"/>
      <c r="L220" s="210"/>
      <c r="M220" s="210"/>
      <c r="N220" s="210"/>
      <c r="O220" s="210"/>
      <c r="P220" s="210"/>
      <c r="Q220" s="210"/>
      <c r="R220" s="210"/>
      <c r="S220" s="210"/>
      <c r="T220" s="210"/>
      <c r="U220" s="210"/>
      <c r="V220" s="210"/>
      <c r="W220" s="210"/>
      <c r="X220" s="210"/>
      <c r="Y220" s="210"/>
      <c r="Z220" s="210"/>
      <c r="AA220" s="210"/>
      <c r="AB220" s="210"/>
      <c r="AC220" s="210"/>
      <c r="AI220" s="210"/>
      <c r="AJ220" s="210"/>
    </row>
    <row r="221" ht="12.75" customHeight="1">
      <c r="C221" s="210"/>
      <c r="D221" s="210"/>
      <c r="E221" s="210"/>
      <c r="F221" s="210"/>
      <c r="G221" s="210"/>
      <c r="H221" s="210"/>
      <c r="I221" s="210"/>
      <c r="J221" s="210"/>
      <c r="K221" s="210"/>
      <c r="L221" s="210"/>
      <c r="M221" s="210"/>
      <c r="N221" s="210"/>
      <c r="O221" s="210"/>
      <c r="P221" s="210"/>
      <c r="Q221" s="210"/>
      <c r="R221" s="210"/>
      <c r="S221" s="210"/>
      <c r="T221" s="210"/>
      <c r="U221" s="210"/>
      <c r="V221" s="210"/>
      <c r="W221" s="210"/>
      <c r="X221" s="210"/>
      <c r="Y221" s="210"/>
      <c r="Z221" s="210"/>
      <c r="AA221" s="210"/>
      <c r="AB221" s="210"/>
      <c r="AC221" s="210"/>
      <c r="AI221" s="210"/>
      <c r="AJ221" s="210"/>
    </row>
    <row r="222" ht="12.75" customHeight="1">
      <c r="C222" s="210"/>
      <c r="D222" s="210"/>
      <c r="E222" s="210"/>
      <c r="F222" s="210"/>
      <c r="G222" s="210"/>
      <c r="H222" s="210"/>
      <c r="I222" s="210"/>
      <c r="J222" s="210"/>
      <c r="K222" s="210"/>
      <c r="L222" s="210"/>
      <c r="M222" s="210"/>
      <c r="N222" s="210"/>
      <c r="O222" s="210"/>
      <c r="P222" s="210"/>
      <c r="Q222" s="210"/>
      <c r="R222" s="210"/>
      <c r="S222" s="210"/>
      <c r="T222" s="210"/>
      <c r="U222" s="210"/>
      <c r="V222" s="210"/>
      <c r="W222" s="210"/>
      <c r="X222" s="210"/>
      <c r="Y222" s="210"/>
      <c r="Z222" s="210"/>
      <c r="AA222" s="210"/>
      <c r="AB222" s="210"/>
      <c r="AC222" s="210"/>
      <c r="AI222" s="210"/>
      <c r="AJ222" s="210"/>
    </row>
    <row r="223" ht="12.75" customHeight="1">
      <c r="C223" s="210"/>
      <c r="D223" s="210"/>
      <c r="E223" s="210"/>
      <c r="F223" s="210"/>
      <c r="G223" s="210"/>
      <c r="H223" s="210"/>
      <c r="I223" s="210"/>
      <c r="J223" s="210"/>
      <c r="K223" s="210"/>
      <c r="L223" s="210"/>
      <c r="M223" s="210"/>
      <c r="N223" s="210"/>
      <c r="O223" s="210"/>
      <c r="P223" s="210"/>
      <c r="Q223" s="210"/>
      <c r="R223" s="210"/>
      <c r="S223" s="210"/>
      <c r="T223" s="210"/>
      <c r="U223" s="210"/>
      <c r="V223" s="210"/>
      <c r="W223" s="210"/>
      <c r="X223" s="210"/>
      <c r="Y223" s="210"/>
      <c r="Z223" s="210"/>
      <c r="AA223" s="210"/>
      <c r="AB223" s="210"/>
      <c r="AC223" s="210"/>
      <c r="AI223" s="210"/>
      <c r="AJ223" s="210"/>
    </row>
    <row r="224" ht="12.75" customHeight="1">
      <c r="C224" s="210"/>
      <c r="D224" s="210"/>
      <c r="E224" s="210"/>
      <c r="F224" s="210"/>
      <c r="G224" s="210"/>
      <c r="H224" s="210"/>
      <c r="I224" s="210"/>
      <c r="J224" s="210"/>
      <c r="K224" s="210"/>
      <c r="L224" s="210"/>
      <c r="M224" s="210"/>
      <c r="N224" s="210"/>
      <c r="O224" s="210"/>
      <c r="P224" s="210"/>
      <c r="Q224" s="210"/>
      <c r="R224" s="210"/>
      <c r="S224" s="210"/>
      <c r="T224" s="210"/>
      <c r="U224" s="210"/>
      <c r="V224" s="210"/>
      <c r="W224" s="210"/>
      <c r="X224" s="210"/>
      <c r="Y224" s="210"/>
      <c r="Z224" s="210"/>
      <c r="AA224" s="210"/>
      <c r="AB224" s="210"/>
      <c r="AC224" s="210"/>
      <c r="AI224" s="210"/>
      <c r="AJ224" s="210"/>
    </row>
    <row r="225" ht="12.75" customHeight="1">
      <c r="C225" s="210"/>
      <c r="D225" s="210"/>
      <c r="E225" s="210"/>
      <c r="F225" s="210"/>
      <c r="G225" s="210"/>
      <c r="H225" s="210"/>
      <c r="I225" s="210"/>
      <c r="J225" s="210"/>
      <c r="K225" s="210"/>
      <c r="L225" s="210"/>
      <c r="M225" s="210"/>
      <c r="N225" s="210"/>
      <c r="O225" s="210"/>
      <c r="P225" s="210"/>
      <c r="Q225" s="210"/>
      <c r="R225" s="210"/>
      <c r="S225" s="210"/>
      <c r="T225" s="210"/>
      <c r="U225" s="210"/>
      <c r="V225" s="210"/>
      <c r="W225" s="210"/>
      <c r="X225" s="210"/>
      <c r="Y225" s="210"/>
      <c r="Z225" s="210"/>
      <c r="AA225" s="210"/>
      <c r="AB225" s="210"/>
      <c r="AC225" s="210"/>
      <c r="AI225" s="210"/>
      <c r="AJ225" s="210"/>
    </row>
    <row r="226" ht="12.75" customHeight="1">
      <c r="C226" s="210"/>
      <c r="D226" s="210"/>
      <c r="E226" s="210"/>
      <c r="F226" s="210"/>
      <c r="G226" s="210"/>
      <c r="H226" s="210"/>
      <c r="I226" s="210"/>
      <c r="J226" s="210"/>
      <c r="K226" s="210"/>
      <c r="L226" s="210"/>
      <c r="M226" s="210"/>
      <c r="N226" s="210"/>
      <c r="O226" s="210"/>
      <c r="P226" s="210"/>
      <c r="Q226" s="210"/>
      <c r="R226" s="210"/>
      <c r="S226" s="210"/>
      <c r="T226" s="210"/>
      <c r="U226" s="210"/>
      <c r="V226" s="210"/>
      <c r="W226" s="210"/>
      <c r="X226" s="210"/>
      <c r="Y226" s="210"/>
      <c r="Z226" s="210"/>
      <c r="AA226" s="210"/>
      <c r="AB226" s="210"/>
      <c r="AC226" s="210"/>
      <c r="AI226" s="210"/>
      <c r="AJ226" s="210"/>
    </row>
    <row r="227" ht="12.75" customHeight="1">
      <c r="C227" s="210"/>
      <c r="D227" s="210"/>
      <c r="E227" s="210"/>
      <c r="F227" s="210"/>
      <c r="G227" s="210"/>
      <c r="H227" s="210"/>
      <c r="I227" s="210"/>
      <c r="J227" s="210"/>
      <c r="K227" s="210"/>
      <c r="L227" s="210"/>
      <c r="M227" s="210"/>
      <c r="N227" s="210"/>
      <c r="O227" s="210"/>
      <c r="P227" s="210"/>
      <c r="Q227" s="210"/>
      <c r="R227" s="210"/>
      <c r="S227" s="210"/>
      <c r="T227" s="210"/>
      <c r="U227" s="210"/>
      <c r="V227" s="210"/>
      <c r="W227" s="210"/>
      <c r="X227" s="210"/>
      <c r="Y227" s="210"/>
      <c r="Z227" s="210"/>
      <c r="AA227" s="210"/>
      <c r="AB227" s="210"/>
      <c r="AC227" s="210"/>
      <c r="AI227" s="210"/>
      <c r="AJ227" s="210"/>
    </row>
    <row r="228" ht="12.75" customHeight="1">
      <c r="C228" s="210"/>
      <c r="D228" s="210"/>
      <c r="E228" s="210"/>
      <c r="F228" s="210"/>
      <c r="G228" s="210"/>
      <c r="H228" s="210"/>
      <c r="I228" s="210"/>
      <c r="J228" s="210"/>
      <c r="K228" s="210"/>
      <c r="L228" s="210"/>
      <c r="M228" s="210"/>
      <c r="N228" s="210"/>
      <c r="O228" s="210"/>
      <c r="P228" s="210"/>
      <c r="Q228" s="210"/>
      <c r="R228" s="210"/>
      <c r="S228" s="210"/>
      <c r="T228" s="210"/>
      <c r="U228" s="210"/>
      <c r="V228" s="210"/>
      <c r="W228" s="210"/>
      <c r="X228" s="210"/>
      <c r="Y228" s="210"/>
      <c r="Z228" s="210"/>
      <c r="AA228" s="210"/>
      <c r="AB228" s="210"/>
      <c r="AC228" s="210"/>
      <c r="AI228" s="210"/>
      <c r="AJ228" s="210"/>
    </row>
    <row r="229" ht="12.75" customHeight="1">
      <c r="C229" s="210"/>
      <c r="D229" s="210"/>
      <c r="E229" s="210"/>
      <c r="F229" s="210"/>
      <c r="G229" s="210"/>
      <c r="H229" s="210"/>
      <c r="I229" s="210"/>
      <c r="J229" s="210"/>
      <c r="K229" s="210"/>
      <c r="L229" s="210"/>
      <c r="M229" s="210"/>
      <c r="N229" s="210"/>
      <c r="O229" s="210"/>
      <c r="P229" s="210"/>
      <c r="Q229" s="210"/>
      <c r="R229" s="210"/>
      <c r="S229" s="210"/>
      <c r="T229" s="210"/>
      <c r="U229" s="210"/>
      <c r="V229" s="210"/>
      <c r="W229" s="210"/>
      <c r="X229" s="210"/>
      <c r="Y229" s="210"/>
      <c r="Z229" s="210"/>
      <c r="AA229" s="210"/>
      <c r="AB229" s="210"/>
      <c r="AC229" s="210"/>
      <c r="AI229" s="210"/>
      <c r="AJ229" s="210"/>
    </row>
    <row r="230" ht="12.75" customHeight="1">
      <c r="C230" s="210"/>
      <c r="D230" s="210"/>
      <c r="E230" s="210"/>
      <c r="F230" s="210"/>
      <c r="G230" s="210"/>
      <c r="H230" s="210"/>
      <c r="I230" s="210"/>
      <c r="J230" s="210"/>
      <c r="K230" s="210"/>
      <c r="L230" s="210"/>
      <c r="M230" s="210"/>
      <c r="N230" s="210"/>
      <c r="O230" s="210"/>
      <c r="P230" s="210"/>
      <c r="Q230" s="210"/>
      <c r="R230" s="210"/>
      <c r="S230" s="210"/>
      <c r="T230" s="210"/>
      <c r="U230" s="210"/>
      <c r="V230" s="210"/>
      <c r="W230" s="210"/>
      <c r="X230" s="210"/>
      <c r="Y230" s="210"/>
      <c r="Z230" s="210"/>
      <c r="AA230" s="210"/>
      <c r="AB230" s="210"/>
      <c r="AC230" s="210"/>
      <c r="AI230" s="210"/>
      <c r="AJ230" s="210"/>
    </row>
    <row r="231" ht="12.75" customHeight="1">
      <c r="C231" s="210"/>
      <c r="D231" s="210"/>
      <c r="E231" s="210"/>
      <c r="F231" s="210"/>
      <c r="G231" s="210"/>
      <c r="H231" s="210"/>
      <c r="I231" s="210"/>
      <c r="J231" s="210"/>
      <c r="K231" s="210"/>
      <c r="L231" s="210"/>
      <c r="M231" s="210"/>
      <c r="N231" s="210"/>
      <c r="O231" s="210"/>
      <c r="P231" s="210"/>
      <c r="Q231" s="210"/>
      <c r="R231" s="210"/>
      <c r="S231" s="210"/>
      <c r="T231" s="210"/>
      <c r="U231" s="210"/>
      <c r="V231" s="210"/>
      <c r="W231" s="210"/>
      <c r="X231" s="210"/>
      <c r="Y231" s="210"/>
      <c r="Z231" s="210"/>
      <c r="AA231" s="210"/>
      <c r="AB231" s="210"/>
      <c r="AC231" s="210"/>
      <c r="AI231" s="210"/>
      <c r="AJ231" s="210"/>
    </row>
    <row r="232" ht="12.75" customHeight="1">
      <c r="C232" s="210"/>
      <c r="D232" s="210"/>
      <c r="E232" s="210"/>
      <c r="F232" s="210"/>
      <c r="G232" s="210"/>
      <c r="H232" s="210"/>
      <c r="I232" s="210"/>
      <c r="J232" s="210"/>
      <c r="K232" s="210"/>
      <c r="L232" s="210"/>
      <c r="M232" s="210"/>
      <c r="N232" s="210"/>
      <c r="O232" s="210"/>
      <c r="P232" s="210"/>
      <c r="Q232" s="210"/>
      <c r="R232" s="210"/>
      <c r="S232" s="210"/>
      <c r="T232" s="210"/>
      <c r="U232" s="210"/>
      <c r="V232" s="210"/>
      <c r="W232" s="210"/>
      <c r="X232" s="210"/>
      <c r="Y232" s="210"/>
      <c r="Z232" s="210"/>
      <c r="AA232" s="210"/>
      <c r="AB232" s="210"/>
      <c r="AC232" s="210"/>
      <c r="AI232" s="210"/>
      <c r="AJ232" s="210"/>
    </row>
    <row r="233" ht="12.75" customHeight="1">
      <c r="C233" s="210"/>
      <c r="D233" s="210"/>
      <c r="E233" s="210"/>
      <c r="F233" s="210"/>
      <c r="G233" s="210"/>
      <c r="H233" s="210"/>
      <c r="I233" s="210"/>
      <c r="J233" s="210"/>
      <c r="K233" s="210"/>
      <c r="L233" s="210"/>
      <c r="M233" s="210"/>
      <c r="N233" s="210"/>
      <c r="O233" s="210"/>
      <c r="P233" s="210"/>
      <c r="Q233" s="210"/>
      <c r="R233" s="210"/>
      <c r="S233" s="210"/>
      <c r="T233" s="210"/>
      <c r="U233" s="210"/>
      <c r="V233" s="210"/>
      <c r="W233" s="210"/>
      <c r="X233" s="210"/>
      <c r="Y233" s="210"/>
      <c r="Z233" s="210"/>
      <c r="AA233" s="210"/>
      <c r="AB233" s="210"/>
      <c r="AC233" s="210"/>
      <c r="AI233" s="210"/>
      <c r="AJ233" s="210"/>
    </row>
    <row r="234" ht="12.75" customHeight="1">
      <c r="C234" s="210"/>
      <c r="D234" s="210"/>
      <c r="E234" s="210"/>
      <c r="F234" s="210"/>
      <c r="G234" s="210"/>
      <c r="H234" s="210"/>
      <c r="I234" s="210"/>
      <c r="J234" s="210"/>
      <c r="K234" s="210"/>
      <c r="L234" s="210"/>
      <c r="M234" s="210"/>
      <c r="N234" s="210"/>
      <c r="O234" s="210"/>
      <c r="P234" s="210"/>
      <c r="Q234" s="210"/>
      <c r="R234" s="210"/>
      <c r="S234" s="210"/>
      <c r="T234" s="210"/>
      <c r="U234" s="210"/>
      <c r="V234" s="210"/>
      <c r="W234" s="210"/>
      <c r="X234" s="210"/>
      <c r="Y234" s="210"/>
      <c r="Z234" s="210"/>
      <c r="AA234" s="210"/>
      <c r="AB234" s="210"/>
      <c r="AC234" s="210"/>
      <c r="AI234" s="210"/>
      <c r="AJ234" s="210"/>
    </row>
    <row r="235" ht="12.75" customHeight="1">
      <c r="C235" s="210"/>
      <c r="D235" s="210"/>
      <c r="E235" s="210"/>
      <c r="F235" s="210"/>
      <c r="G235" s="210"/>
      <c r="H235" s="210"/>
      <c r="I235" s="210"/>
      <c r="J235" s="210"/>
      <c r="K235" s="210"/>
      <c r="L235" s="210"/>
      <c r="M235" s="210"/>
      <c r="N235" s="210"/>
      <c r="O235" s="210"/>
      <c r="P235" s="210"/>
      <c r="Q235" s="210"/>
      <c r="R235" s="210"/>
      <c r="S235" s="210"/>
      <c r="T235" s="210"/>
      <c r="U235" s="210"/>
      <c r="V235" s="210"/>
      <c r="W235" s="210"/>
      <c r="X235" s="210"/>
      <c r="Y235" s="210"/>
      <c r="Z235" s="210"/>
      <c r="AA235" s="210"/>
      <c r="AB235" s="210"/>
      <c r="AC235" s="210"/>
      <c r="AI235" s="210"/>
      <c r="AJ235" s="210"/>
    </row>
    <row r="236" ht="12.75" customHeight="1">
      <c r="C236" s="210"/>
      <c r="D236" s="210"/>
      <c r="E236" s="210"/>
      <c r="F236" s="210"/>
      <c r="G236" s="210"/>
      <c r="H236" s="210"/>
      <c r="I236" s="210"/>
      <c r="J236" s="210"/>
      <c r="K236" s="210"/>
      <c r="L236" s="210"/>
      <c r="M236" s="210"/>
      <c r="N236" s="210"/>
      <c r="O236" s="210"/>
      <c r="P236" s="210"/>
      <c r="Q236" s="210"/>
      <c r="R236" s="210"/>
      <c r="S236" s="210"/>
      <c r="T236" s="210"/>
      <c r="U236" s="210"/>
      <c r="V236" s="210"/>
      <c r="W236" s="210"/>
      <c r="X236" s="210"/>
      <c r="Y236" s="210"/>
      <c r="Z236" s="210"/>
      <c r="AA236" s="210"/>
      <c r="AB236" s="210"/>
      <c r="AC236" s="210"/>
      <c r="AI236" s="210"/>
      <c r="AJ236" s="210"/>
    </row>
    <row r="237" ht="12.75" customHeight="1">
      <c r="C237" s="210"/>
      <c r="D237" s="210"/>
      <c r="E237" s="210"/>
      <c r="F237" s="210"/>
      <c r="G237" s="210"/>
      <c r="H237" s="210"/>
      <c r="I237" s="210"/>
      <c r="J237" s="210"/>
      <c r="K237" s="210"/>
      <c r="L237" s="210"/>
      <c r="M237" s="210"/>
      <c r="N237" s="210"/>
      <c r="O237" s="210"/>
      <c r="P237" s="210"/>
      <c r="Q237" s="210"/>
      <c r="R237" s="210"/>
      <c r="S237" s="210"/>
      <c r="T237" s="210"/>
      <c r="U237" s="210"/>
      <c r="V237" s="210"/>
      <c r="W237" s="210"/>
      <c r="X237" s="210"/>
      <c r="Y237" s="210"/>
      <c r="Z237" s="210"/>
      <c r="AA237" s="210"/>
      <c r="AB237" s="210"/>
      <c r="AC237" s="210"/>
      <c r="AI237" s="210"/>
      <c r="AJ237" s="210"/>
    </row>
    <row r="238" ht="12.75" customHeight="1">
      <c r="C238" s="210"/>
      <c r="D238" s="210"/>
      <c r="E238" s="210"/>
      <c r="F238" s="210"/>
      <c r="G238" s="210"/>
      <c r="H238" s="210"/>
      <c r="I238" s="210"/>
      <c r="J238" s="210"/>
      <c r="K238" s="210"/>
      <c r="L238" s="210"/>
      <c r="M238" s="210"/>
      <c r="N238" s="210"/>
      <c r="O238" s="210"/>
      <c r="P238" s="210"/>
      <c r="Q238" s="210"/>
      <c r="R238" s="210"/>
      <c r="S238" s="210"/>
      <c r="T238" s="210"/>
      <c r="U238" s="210"/>
      <c r="V238" s="210"/>
      <c r="W238" s="210"/>
      <c r="X238" s="210"/>
      <c r="Y238" s="210"/>
      <c r="Z238" s="210"/>
      <c r="AA238" s="210"/>
      <c r="AB238" s="210"/>
      <c r="AC238" s="210"/>
      <c r="AI238" s="210"/>
      <c r="AJ238" s="210"/>
    </row>
    <row r="239" ht="12.75" customHeight="1">
      <c r="C239" s="210"/>
      <c r="D239" s="210"/>
      <c r="E239" s="210"/>
      <c r="F239" s="210"/>
      <c r="G239" s="210"/>
      <c r="H239" s="210"/>
      <c r="I239" s="210"/>
      <c r="J239" s="210"/>
      <c r="K239" s="210"/>
      <c r="L239" s="210"/>
      <c r="M239" s="210"/>
      <c r="N239" s="210"/>
      <c r="O239" s="210"/>
      <c r="P239" s="210"/>
      <c r="Q239" s="210"/>
      <c r="R239" s="210"/>
      <c r="S239" s="210"/>
      <c r="T239" s="210"/>
      <c r="U239" s="210"/>
      <c r="V239" s="210"/>
      <c r="W239" s="210"/>
      <c r="X239" s="210"/>
      <c r="Y239" s="210"/>
      <c r="Z239" s="210"/>
      <c r="AA239" s="210"/>
      <c r="AB239" s="210"/>
      <c r="AC239" s="210"/>
      <c r="AI239" s="210"/>
      <c r="AJ239" s="210"/>
    </row>
    <row r="240" ht="12.75" customHeight="1">
      <c r="C240" s="210"/>
      <c r="D240" s="210"/>
      <c r="E240" s="210"/>
      <c r="F240" s="210"/>
      <c r="G240" s="210"/>
      <c r="H240" s="210"/>
      <c r="I240" s="210"/>
      <c r="J240" s="210"/>
      <c r="K240" s="210"/>
      <c r="L240" s="210"/>
      <c r="M240" s="210"/>
      <c r="N240" s="210"/>
      <c r="O240" s="210"/>
      <c r="P240" s="210"/>
      <c r="Q240" s="210"/>
      <c r="R240" s="210"/>
      <c r="S240" s="210"/>
      <c r="T240" s="210"/>
      <c r="U240" s="210"/>
      <c r="V240" s="210"/>
      <c r="W240" s="210"/>
      <c r="X240" s="210"/>
      <c r="Y240" s="210"/>
      <c r="Z240" s="210"/>
      <c r="AA240" s="210"/>
      <c r="AB240" s="210"/>
      <c r="AC240" s="210"/>
      <c r="AI240" s="210"/>
      <c r="AJ240" s="210"/>
    </row>
    <row r="241" ht="12.75" customHeight="1">
      <c r="C241" s="210"/>
      <c r="D241" s="210"/>
      <c r="E241" s="210"/>
      <c r="F241" s="210"/>
      <c r="G241" s="210"/>
      <c r="H241" s="210"/>
      <c r="I241" s="210"/>
      <c r="J241" s="210"/>
      <c r="K241" s="210"/>
      <c r="L241" s="210"/>
      <c r="M241" s="210"/>
      <c r="N241" s="210"/>
      <c r="O241" s="210"/>
      <c r="P241" s="210"/>
      <c r="Q241" s="210"/>
      <c r="R241" s="210"/>
      <c r="S241" s="210"/>
      <c r="T241" s="210"/>
      <c r="U241" s="210"/>
      <c r="V241" s="210"/>
      <c r="W241" s="210"/>
      <c r="X241" s="210"/>
      <c r="Y241" s="210"/>
      <c r="Z241" s="210"/>
      <c r="AA241" s="210"/>
      <c r="AB241" s="210"/>
      <c r="AC241" s="210"/>
      <c r="AI241" s="210"/>
      <c r="AJ241" s="210"/>
    </row>
    <row r="242" ht="12.75" customHeight="1">
      <c r="C242" s="210"/>
      <c r="D242" s="210"/>
      <c r="E242" s="210"/>
      <c r="F242" s="210"/>
      <c r="G242" s="210"/>
      <c r="H242" s="210"/>
      <c r="I242" s="210"/>
      <c r="J242" s="210"/>
      <c r="K242" s="210"/>
      <c r="L242" s="210"/>
      <c r="M242" s="210"/>
      <c r="N242" s="210"/>
      <c r="O242" s="210"/>
      <c r="P242" s="210"/>
      <c r="Q242" s="210"/>
      <c r="R242" s="210"/>
      <c r="S242" s="210"/>
      <c r="T242" s="210"/>
      <c r="U242" s="210"/>
      <c r="V242" s="210"/>
      <c r="W242" s="210"/>
      <c r="X242" s="210"/>
      <c r="Y242" s="210"/>
      <c r="Z242" s="210"/>
      <c r="AA242" s="210"/>
      <c r="AB242" s="210"/>
      <c r="AC242" s="210"/>
      <c r="AI242" s="210"/>
      <c r="AJ242" s="210"/>
    </row>
    <row r="243" ht="12.75" customHeight="1">
      <c r="C243" s="210"/>
      <c r="D243" s="210"/>
      <c r="E243" s="210"/>
      <c r="F243" s="210"/>
      <c r="G243" s="210"/>
      <c r="H243" s="210"/>
      <c r="I243" s="210"/>
      <c r="J243" s="210"/>
      <c r="K243" s="210"/>
      <c r="L243" s="210"/>
      <c r="M243" s="210"/>
      <c r="N243" s="210"/>
      <c r="O243" s="210"/>
      <c r="P243" s="210"/>
      <c r="Q243" s="210"/>
      <c r="R243" s="210"/>
      <c r="S243" s="210"/>
      <c r="T243" s="210"/>
      <c r="U243" s="210"/>
      <c r="V243" s="210"/>
      <c r="W243" s="210"/>
      <c r="X243" s="210"/>
      <c r="Y243" s="210"/>
      <c r="Z243" s="210"/>
      <c r="AA243" s="210"/>
      <c r="AB243" s="210"/>
      <c r="AC243" s="210"/>
      <c r="AI243" s="210"/>
      <c r="AJ243" s="210"/>
    </row>
    <row r="244" ht="12.75" customHeight="1">
      <c r="C244" s="210"/>
      <c r="D244" s="210"/>
      <c r="E244" s="210"/>
      <c r="F244" s="210"/>
      <c r="G244" s="210"/>
      <c r="H244" s="210"/>
      <c r="I244" s="210"/>
      <c r="J244" s="210"/>
      <c r="K244" s="210"/>
      <c r="L244" s="210"/>
      <c r="M244" s="210"/>
      <c r="N244" s="210"/>
      <c r="O244" s="210"/>
      <c r="P244" s="210"/>
      <c r="Q244" s="210"/>
      <c r="R244" s="210"/>
      <c r="S244" s="210"/>
      <c r="T244" s="210"/>
      <c r="U244" s="210"/>
      <c r="V244" s="210"/>
      <c r="W244" s="210"/>
      <c r="X244" s="210"/>
      <c r="Y244" s="210"/>
      <c r="Z244" s="210"/>
      <c r="AA244" s="210"/>
      <c r="AB244" s="210"/>
      <c r="AC244" s="210"/>
      <c r="AI244" s="210"/>
      <c r="AJ244" s="210"/>
    </row>
    <row r="245" ht="12.75" customHeight="1">
      <c r="C245" s="210"/>
      <c r="D245" s="210"/>
      <c r="E245" s="210"/>
      <c r="F245" s="210"/>
      <c r="G245" s="210"/>
      <c r="H245" s="210"/>
      <c r="I245" s="210"/>
      <c r="J245" s="210"/>
      <c r="K245" s="210"/>
      <c r="L245" s="210"/>
      <c r="M245" s="210"/>
      <c r="N245" s="210"/>
      <c r="O245" s="210"/>
      <c r="P245" s="210"/>
      <c r="Q245" s="210"/>
      <c r="R245" s="210"/>
      <c r="S245" s="210"/>
      <c r="T245" s="210"/>
      <c r="U245" s="210"/>
      <c r="V245" s="210"/>
      <c r="W245" s="210"/>
      <c r="X245" s="210"/>
      <c r="Y245" s="210"/>
      <c r="Z245" s="210"/>
      <c r="AA245" s="210"/>
      <c r="AB245" s="210"/>
      <c r="AC245" s="210"/>
      <c r="AI245" s="210"/>
      <c r="AJ245" s="210"/>
    </row>
    <row r="246" ht="12.75" customHeight="1">
      <c r="C246" s="210"/>
      <c r="D246" s="210"/>
      <c r="E246" s="210"/>
      <c r="F246" s="210"/>
      <c r="G246" s="210"/>
      <c r="H246" s="210"/>
      <c r="I246" s="210"/>
      <c r="J246" s="210"/>
      <c r="K246" s="210"/>
      <c r="L246" s="210"/>
      <c r="M246" s="210"/>
      <c r="N246" s="210"/>
      <c r="O246" s="210"/>
      <c r="P246" s="210"/>
      <c r="Q246" s="210"/>
      <c r="R246" s="210"/>
      <c r="S246" s="210"/>
      <c r="T246" s="210"/>
      <c r="U246" s="210"/>
      <c r="V246" s="210"/>
      <c r="W246" s="210"/>
      <c r="X246" s="210"/>
      <c r="Y246" s="210"/>
      <c r="Z246" s="210"/>
      <c r="AA246" s="210"/>
      <c r="AB246" s="210"/>
      <c r="AC246" s="210"/>
      <c r="AI246" s="210"/>
      <c r="AJ246" s="210"/>
    </row>
    <row r="247" ht="12.75" customHeight="1">
      <c r="C247" s="210"/>
      <c r="D247" s="210"/>
      <c r="E247" s="210"/>
      <c r="F247" s="210"/>
      <c r="G247" s="210"/>
      <c r="H247" s="210"/>
      <c r="I247" s="210"/>
      <c r="J247" s="210"/>
      <c r="K247" s="210"/>
      <c r="L247" s="210"/>
      <c r="M247" s="210"/>
      <c r="N247" s="210"/>
      <c r="O247" s="210"/>
      <c r="P247" s="210"/>
      <c r="Q247" s="210"/>
      <c r="R247" s="210"/>
      <c r="S247" s="210"/>
      <c r="T247" s="210"/>
      <c r="U247" s="210"/>
      <c r="V247" s="210"/>
      <c r="W247" s="210"/>
      <c r="X247" s="210"/>
      <c r="Y247" s="210"/>
      <c r="Z247" s="210"/>
      <c r="AA247" s="210"/>
      <c r="AB247" s="210"/>
      <c r="AC247" s="210"/>
      <c r="AI247" s="210"/>
      <c r="AJ247" s="210"/>
    </row>
    <row r="248" ht="12.75" customHeight="1">
      <c r="C248" s="210"/>
      <c r="D248" s="210"/>
      <c r="E248" s="210"/>
      <c r="F248" s="210"/>
      <c r="G248" s="210"/>
      <c r="H248" s="210"/>
      <c r="I248" s="210"/>
      <c r="J248" s="210"/>
      <c r="K248" s="210"/>
      <c r="L248" s="210"/>
      <c r="M248" s="210"/>
      <c r="N248" s="210"/>
      <c r="O248" s="210"/>
      <c r="P248" s="210"/>
      <c r="Q248" s="210"/>
      <c r="R248" s="210"/>
      <c r="S248" s="210"/>
      <c r="T248" s="210"/>
      <c r="U248" s="210"/>
      <c r="V248" s="210"/>
      <c r="W248" s="210"/>
      <c r="X248" s="210"/>
      <c r="Y248" s="210"/>
      <c r="Z248" s="210"/>
      <c r="AA248" s="210"/>
      <c r="AB248" s="210"/>
      <c r="AC248" s="210"/>
      <c r="AI248" s="210"/>
      <c r="AJ248" s="210"/>
    </row>
    <row r="249" ht="12.75" customHeight="1">
      <c r="C249" s="210"/>
      <c r="D249" s="210"/>
      <c r="E249" s="210"/>
      <c r="F249" s="210"/>
      <c r="G249" s="210"/>
      <c r="H249" s="210"/>
      <c r="I249" s="210"/>
      <c r="J249" s="210"/>
      <c r="K249" s="210"/>
      <c r="L249" s="210"/>
      <c r="M249" s="210"/>
      <c r="N249" s="210"/>
      <c r="O249" s="210"/>
      <c r="P249" s="210"/>
      <c r="Q249" s="210"/>
      <c r="R249" s="210"/>
      <c r="S249" s="210"/>
      <c r="T249" s="210"/>
      <c r="U249" s="210"/>
      <c r="V249" s="210"/>
      <c r="W249" s="210"/>
      <c r="X249" s="210"/>
      <c r="Y249" s="210"/>
      <c r="Z249" s="210"/>
      <c r="AA249" s="210"/>
      <c r="AB249" s="210"/>
      <c r="AC249" s="210"/>
      <c r="AI249" s="210"/>
      <c r="AJ249" s="210"/>
    </row>
    <row r="250" ht="12.75" customHeight="1">
      <c r="C250" s="210"/>
      <c r="D250" s="210"/>
      <c r="E250" s="210"/>
      <c r="F250" s="210"/>
      <c r="G250" s="210"/>
      <c r="H250" s="210"/>
      <c r="I250" s="210"/>
      <c r="J250" s="210"/>
      <c r="K250" s="210"/>
      <c r="L250" s="210"/>
      <c r="M250" s="210"/>
      <c r="N250" s="210"/>
      <c r="O250" s="210"/>
      <c r="P250" s="210"/>
      <c r="Q250" s="210"/>
      <c r="R250" s="210"/>
      <c r="S250" s="210"/>
      <c r="T250" s="210"/>
      <c r="U250" s="210"/>
      <c r="V250" s="210"/>
      <c r="W250" s="210"/>
      <c r="X250" s="210"/>
      <c r="Y250" s="210"/>
      <c r="Z250" s="210"/>
      <c r="AA250" s="210"/>
      <c r="AB250" s="210"/>
      <c r="AC250" s="210"/>
      <c r="AI250" s="210"/>
      <c r="AJ250" s="210"/>
    </row>
    <row r="251" ht="12.75" customHeight="1">
      <c r="C251" s="210"/>
      <c r="D251" s="210"/>
      <c r="E251" s="210"/>
      <c r="F251" s="210"/>
      <c r="G251" s="210"/>
      <c r="H251" s="210"/>
      <c r="I251" s="210"/>
      <c r="J251" s="210"/>
      <c r="K251" s="210"/>
      <c r="L251" s="210"/>
      <c r="M251" s="210"/>
      <c r="N251" s="210"/>
      <c r="O251" s="210"/>
      <c r="P251" s="210"/>
      <c r="Q251" s="210"/>
      <c r="R251" s="210"/>
      <c r="S251" s="210"/>
      <c r="T251" s="210"/>
      <c r="U251" s="210"/>
      <c r="V251" s="210"/>
      <c r="W251" s="210"/>
      <c r="X251" s="210"/>
      <c r="Y251" s="210"/>
      <c r="Z251" s="210"/>
      <c r="AA251" s="210"/>
      <c r="AB251" s="210"/>
      <c r="AC251" s="210"/>
      <c r="AI251" s="210"/>
      <c r="AJ251" s="210"/>
    </row>
    <row r="252" ht="12.75" customHeight="1">
      <c r="C252" s="210"/>
      <c r="D252" s="210"/>
      <c r="E252" s="210"/>
      <c r="F252" s="210"/>
      <c r="G252" s="210"/>
      <c r="H252" s="210"/>
      <c r="I252" s="210"/>
      <c r="J252" s="210"/>
      <c r="K252" s="210"/>
      <c r="L252" s="210"/>
      <c r="M252" s="210"/>
      <c r="N252" s="210"/>
      <c r="O252" s="210"/>
      <c r="P252" s="210"/>
      <c r="Q252" s="210"/>
      <c r="R252" s="210"/>
      <c r="S252" s="210"/>
      <c r="T252" s="210"/>
      <c r="U252" s="210"/>
      <c r="V252" s="210"/>
      <c r="W252" s="210"/>
      <c r="X252" s="210"/>
      <c r="Y252" s="210"/>
      <c r="Z252" s="210"/>
      <c r="AA252" s="210"/>
      <c r="AB252" s="210"/>
      <c r="AC252" s="210"/>
      <c r="AI252" s="210"/>
      <c r="AJ252" s="210"/>
    </row>
    <row r="253" ht="12.75" customHeight="1">
      <c r="C253" s="210"/>
      <c r="D253" s="210"/>
      <c r="E253" s="210"/>
      <c r="F253" s="210"/>
      <c r="G253" s="210"/>
      <c r="H253" s="210"/>
      <c r="I253" s="210"/>
      <c r="J253" s="210"/>
      <c r="K253" s="210"/>
      <c r="L253" s="210"/>
      <c r="M253" s="210"/>
      <c r="N253" s="210"/>
      <c r="O253" s="210"/>
      <c r="P253" s="210"/>
      <c r="Q253" s="210"/>
      <c r="R253" s="210"/>
      <c r="S253" s="210"/>
      <c r="T253" s="210"/>
      <c r="U253" s="210"/>
      <c r="V253" s="210"/>
      <c r="W253" s="210"/>
      <c r="X253" s="210"/>
      <c r="Y253" s="210"/>
      <c r="Z253" s="210"/>
      <c r="AA253" s="210"/>
      <c r="AB253" s="210"/>
      <c r="AC253" s="210"/>
      <c r="AI253" s="210"/>
      <c r="AJ253" s="210"/>
    </row>
    <row r="254" ht="12.75" customHeight="1">
      <c r="C254" s="210"/>
      <c r="D254" s="210"/>
      <c r="E254" s="210"/>
      <c r="F254" s="210"/>
      <c r="G254" s="210"/>
      <c r="H254" s="210"/>
      <c r="I254" s="210"/>
      <c r="J254" s="210"/>
      <c r="K254" s="210"/>
      <c r="L254" s="210"/>
      <c r="M254" s="210"/>
      <c r="N254" s="210"/>
      <c r="O254" s="210"/>
      <c r="P254" s="210"/>
      <c r="Q254" s="210"/>
      <c r="R254" s="210"/>
      <c r="S254" s="210"/>
      <c r="T254" s="210"/>
      <c r="U254" s="210"/>
      <c r="V254" s="210"/>
      <c r="W254" s="210"/>
      <c r="X254" s="210"/>
      <c r="Y254" s="210"/>
      <c r="Z254" s="210"/>
      <c r="AA254" s="210"/>
      <c r="AB254" s="210"/>
      <c r="AC254" s="210"/>
      <c r="AI254" s="210"/>
      <c r="AJ254" s="210"/>
    </row>
    <row r="255" ht="12.75" customHeight="1">
      <c r="C255" s="210"/>
      <c r="D255" s="210"/>
      <c r="E255" s="210"/>
      <c r="F255" s="210"/>
      <c r="G255" s="210"/>
      <c r="H255" s="210"/>
      <c r="I255" s="210"/>
      <c r="J255" s="210"/>
      <c r="K255" s="210"/>
      <c r="L255" s="210"/>
      <c r="M255" s="210"/>
      <c r="N255" s="210"/>
      <c r="O255" s="210"/>
      <c r="P255" s="210"/>
      <c r="Q255" s="210"/>
      <c r="R255" s="210"/>
      <c r="S255" s="210"/>
      <c r="T255" s="210"/>
      <c r="U255" s="210"/>
      <c r="V255" s="210"/>
      <c r="W255" s="210"/>
      <c r="X255" s="210"/>
      <c r="Y255" s="210"/>
      <c r="Z255" s="210"/>
      <c r="AA255" s="210"/>
      <c r="AB255" s="210"/>
      <c r="AC255" s="210"/>
      <c r="AI255" s="210"/>
      <c r="AJ255" s="210"/>
    </row>
    <row r="256" ht="12.75" customHeight="1">
      <c r="C256" s="210"/>
      <c r="D256" s="210"/>
      <c r="E256" s="210"/>
      <c r="F256" s="210"/>
      <c r="G256" s="210"/>
      <c r="H256" s="210"/>
      <c r="I256" s="210"/>
      <c r="J256" s="210"/>
      <c r="K256" s="210"/>
      <c r="L256" s="210"/>
      <c r="M256" s="210"/>
      <c r="N256" s="210"/>
      <c r="O256" s="210"/>
      <c r="P256" s="210"/>
      <c r="Q256" s="210"/>
      <c r="R256" s="210"/>
      <c r="S256" s="210"/>
      <c r="T256" s="210"/>
      <c r="U256" s="210"/>
      <c r="V256" s="210"/>
      <c r="W256" s="210"/>
      <c r="X256" s="210"/>
      <c r="Y256" s="210"/>
      <c r="Z256" s="210"/>
      <c r="AA256" s="210"/>
      <c r="AB256" s="210"/>
      <c r="AC256" s="210"/>
      <c r="AI256" s="210"/>
      <c r="AJ256" s="210"/>
    </row>
    <row r="257" ht="12.75" customHeight="1">
      <c r="C257" s="210"/>
      <c r="D257" s="210"/>
      <c r="E257" s="210"/>
      <c r="F257" s="210"/>
      <c r="G257" s="210"/>
      <c r="H257" s="210"/>
      <c r="I257" s="210"/>
      <c r="J257" s="210"/>
      <c r="K257" s="210"/>
      <c r="L257" s="210"/>
      <c r="M257" s="210"/>
      <c r="N257" s="210"/>
      <c r="O257" s="210"/>
      <c r="P257" s="210"/>
      <c r="Q257" s="210"/>
      <c r="R257" s="210"/>
      <c r="S257" s="210"/>
      <c r="T257" s="210"/>
      <c r="U257" s="210"/>
      <c r="V257" s="210"/>
      <c r="W257" s="210"/>
      <c r="X257" s="210"/>
      <c r="Y257" s="210"/>
      <c r="Z257" s="210"/>
      <c r="AA257" s="210"/>
      <c r="AB257" s="210"/>
      <c r="AC257" s="210"/>
      <c r="AI257" s="210"/>
      <c r="AJ257" s="210"/>
    </row>
    <row r="258" ht="12.75" customHeight="1">
      <c r="C258" s="210"/>
      <c r="D258" s="210"/>
      <c r="E258" s="210"/>
      <c r="F258" s="210"/>
      <c r="G258" s="210"/>
      <c r="H258" s="210"/>
      <c r="I258" s="210"/>
      <c r="J258" s="210"/>
      <c r="K258" s="210"/>
      <c r="L258" s="210"/>
      <c r="M258" s="210"/>
      <c r="N258" s="210"/>
      <c r="O258" s="210"/>
      <c r="P258" s="210"/>
      <c r="Q258" s="210"/>
      <c r="R258" s="210"/>
      <c r="S258" s="210"/>
      <c r="T258" s="210"/>
      <c r="U258" s="210"/>
      <c r="V258" s="210"/>
      <c r="W258" s="210"/>
      <c r="X258" s="210"/>
      <c r="Y258" s="210"/>
      <c r="Z258" s="210"/>
      <c r="AA258" s="210"/>
      <c r="AB258" s="210"/>
      <c r="AC258" s="210"/>
      <c r="AI258" s="210"/>
      <c r="AJ258" s="210"/>
    </row>
    <row r="259" ht="12.75" customHeight="1">
      <c r="C259" s="210"/>
      <c r="D259" s="210"/>
      <c r="E259" s="210"/>
      <c r="F259" s="210"/>
      <c r="G259" s="210"/>
      <c r="H259" s="210"/>
      <c r="I259" s="210"/>
      <c r="J259" s="210"/>
      <c r="K259" s="210"/>
      <c r="L259" s="210"/>
      <c r="M259" s="210"/>
      <c r="N259" s="210"/>
      <c r="O259" s="210"/>
      <c r="P259" s="210"/>
      <c r="Q259" s="210"/>
      <c r="R259" s="210"/>
      <c r="S259" s="210"/>
      <c r="T259" s="210"/>
      <c r="U259" s="210"/>
      <c r="V259" s="210"/>
      <c r="W259" s="210"/>
      <c r="X259" s="210"/>
      <c r="Y259" s="210"/>
      <c r="Z259" s="210"/>
      <c r="AA259" s="210"/>
      <c r="AB259" s="210"/>
      <c r="AC259" s="210"/>
      <c r="AI259" s="210"/>
      <c r="AJ259" s="210"/>
    </row>
    <row r="260" ht="12.75" customHeight="1">
      <c r="C260" s="210"/>
      <c r="D260" s="210"/>
      <c r="E260" s="210"/>
      <c r="F260" s="210"/>
      <c r="G260" s="210"/>
      <c r="H260" s="210"/>
      <c r="I260" s="210"/>
      <c r="J260" s="210"/>
      <c r="K260" s="210"/>
      <c r="L260" s="210"/>
      <c r="M260" s="210"/>
      <c r="N260" s="210"/>
      <c r="O260" s="210"/>
      <c r="P260" s="210"/>
      <c r="Q260" s="210"/>
      <c r="R260" s="210"/>
      <c r="S260" s="210"/>
      <c r="T260" s="210"/>
      <c r="U260" s="210"/>
      <c r="V260" s="210"/>
      <c r="W260" s="210"/>
      <c r="X260" s="210"/>
      <c r="Y260" s="210"/>
      <c r="Z260" s="210"/>
      <c r="AA260" s="210"/>
      <c r="AB260" s="210"/>
      <c r="AC260" s="210"/>
      <c r="AI260" s="210"/>
      <c r="AJ260" s="210"/>
    </row>
    <row r="261" ht="12.75" customHeight="1">
      <c r="C261" s="210"/>
      <c r="D261" s="210"/>
      <c r="E261" s="210"/>
      <c r="F261" s="210"/>
      <c r="G261" s="210"/>
      <c r="H261" s="210"/>
      <c r="I261" s="210"/>
      <c r="J261" s="210"/>
      <c r="K261" s="210"/>
      <c r="L261" s="210"/>
      <c r="M261" s="210"/>
      <c r="N261" s="210"/>
      <c r="O261" s="210"/>
      <c r="P261" s="210"/>
      <c r="Q261" s="210"/>
      <c r="R261" s="210"/>
      <c r="S261" s="210"/>
      <c r="T261" s="210"/>
      <c r="U261" s="210"/>
      <c r="V261" s="210"/>
      <c r="W261" s="210"/>
      <c r="X261" s="210"/>
      <c r="Y261" s="210"/>
      <c r="Z261" s="210"/>
      <c r="AA261" s="210"/>
      <c r="AB261" s="210"/>
      <c r="AC261" s="210"/>
      <c r="AI261" s="210"/>
      <c r="AJ261" s="210"/>
    </row>
    <row r="262" ht="12.75" customHeight="1">
      <c r="C262" s="210"/>
      <c r="D262" s="210"/>
      <c r="E262" s="210"/>
      <c r="F262" s="210"/>
      <c r="G262" s="210"/>
      <c r="H262" s="210"/>
      <c r="I262" s="210"/>
      <c r="J262" s="210"/>
      <c r="K262" s="210"/>
      <c r="L262" s="210"/>
      <c r="M262" s="210"/>
      <c r="N262" s="210"/>
      <c r="O262" s="210"/>
      <c r="P262" s="210"/>
      <c r="Q262" s="210"/>
      <c r="R262" s="210"/>
      <c r="S262" s="210"/>
      <c r="T262" s="210"/>
      <c r="U262" s="210"/>
      <c r="V262" s="210"/>
      <c r="W262" s="210"/>
      <c r="X262" s="210"/>
      <c r="Y262" s="210"/>
      <c r="Z262" s="210"/>
      <c r="AA262" s="210"/>
      <c r="AB262" s="210"/>
      <c r="AC262" s="210"/>
      <c r="AI262" s="210"/>
      <c r="AJ262" s="210"/>
    </row>
    <row r="263" ht="12.75" customHeight="1">
      <c r="C263" s="210"/>
      <c r="D263" s="210"/>
      <c r="E263" s="210"/>
      <c r="F263" s="210"/>
      <c r="G263" s="210"/>
      <c r="H263" s="210"/>
      <c r="I263" s="210"/>
      <c r="J263" s="210"/>
      <c r="K263" s="210"/>
      <c r="L263" s="210"/>
      <c r="M263" s="210"/>
      <c r="N263" s="210"/>
      <c r="O263" s="210"/>
      <c r="P263" s="210"/>
      <c r="Q263" s="210"/>
      <c r="R263" s="210"/>
      <c r="S263" s="210"/>
      <c r="T263" s="210"/>
      <c r="U263" s="210"/>
      <c r="V263" s="210"/>
      <c r="W263" s="210"/>
      <c r="X263" s="210"/>
      <c r="Y263" s="210"/>
      <c r="Z263" s="210"/>
      <c r="AA263" s="210"/>
      <c r="AB263" s="210"/>
      <c r="AC263" s="210"/>
      <c r="AI263" s="210"/>
      <c r="AJ263" s="210"/>
    </row>
    <row r="264" ht="12.75" customHeight="1">
      <c r="C264" s="210"/>
      <c r="D264" s="210"/>
      <c r="E264" s="210"/>
      <c r="F264" s="210"/>
      <c r="G264" s="210"/>
      <c r="H264" s="210"/>
      <c r="I264" s="210"/>
      <c r="J264" s="210"/>
      <c r="K264" s="210"/>
      <c r="L264" s="210"/>
      <c r="M264" s="210"/>
      <c r="N264" s="210"/>
      <c r="O264" s="210"/>
      <c r="P264" s="210"/>
      <c r="Q264" s="210"/>
      <c r="R264" s="210"/>
      <c r="S264" s="210"/>
      <c r="T264" s="210"/>
      <c r="U264" s="210"/>
      <c r="V264" s="210"/>
      <c r="W264" s="210"/>
      <c r="X264" s="210"/>
      <c r="Y264" s="210"/>
      <c r="Z264" s="210"/>
      <c r="AA264" s="210"/>
      <c r="AB264" s="210"/>
      <c r="AC264" s="210"/>
      <c r="AI264" s="210"/>
      <c r="AJ264" s="210"/>
    </row>
    <row r="265" ht="12.75" customHeight="1">
      <c r="C265" s="210"/>
      <c r="D265" s="210"/>
      <c r="E265" s="210"/>
      <c r="F265" s="210"/>
      <c r="G265" s="210"/>
      <c r="H265" s="210"/>
      <c r="I265" s="210"/>
      <c r="J265" s="210"/>
      <c r="K265" s="210"/>
      <c r="L265" s="210"/>
      <c r="M265" s="210"/>
      <c r="N265" s="210"/>
      <c r="O265" s="210"/>
      <c r="P265" s="210"/>
      <c r="Q265" s="210"/>
      <c r="R265" s="210"/>
      <c r="S265" s="210"/>
      <c r="T265" s="210"/>
      <c r="U265" s="210"/>
      <c r="V265" s="210"/>
      <c r="W265" s="210"/>
      <c r="X265" s="210"/>
      <c r="Y265" s="210"/>
      <c r="Z265" s="210"/>
      <c r="AA265" s="210"/>
      <c r="AB265" s="210"/>
      <c r="AC265" s="210"/>
      <c r="AI265" s="210"/>
      <c r="AJ265" s="210"/>
    </row>
    <row r="266" ht="12.75" customHeight="1">
      <c r="C266" s="210"/>
      <c r="D266" s="210"/>
      <c r="E266" s="210"/>
      <c r="F266" s="210"/>
      <c r="G266" s="210"/>
      <c r="H266" s="210"/>
      <c r="I266" s="210"/>
      <c r="J266" s="210"/>
      <c r="K266" s="210"/>
      <c r="L266" s="210"/>
      <c r="M266" s="210"/>
      <c r="N266" s="210"/>
      <c r="O266" s="210"/>
      <c r="P266" s="210"/>
      <c r="Q266" s="210"/>
      <c r="R266" s="210"/>
      <c r="S266" s="210"/>
      <c r="T266" s="210"/>
      <c r="U266" s="210"/>
      <c r="V266" s="210"/>
      <c r="W266" s="210"/>
      <c r="X266" s="210"/>
      <c r="Y266" s="210"/>
      <c r="Z266" s="210"/>
      <c r="AA266" s="210"/>
      <c r="AB266" s="210"/>
      <c r="AC266" s="210"/>
      <c r="AI266" s="210"/>
      <c r="AJ266" s="210"/>
    </row>
    <row r="267" ht="12.75" customHeight="1">
      <c r="C267" s="210"/>
      <c r="D267" s="210"/>
      <c r="E267" s="210"/>
      <c r="F267" s="210"/>
      <c r="G267" s="210"/>
      <c r="H267" s="210"/>
      <c r="I267" s="210"/>
      <c r="J267" s="210"/>
      <c r="K267" s="210"/>
      <c r="L267" s="210"/>
      <c r="M267" s="210"/>
      <c r="N267" s="210"/>
      <c r="O267" s="210"/>
      <c r="P267" s="210"/>
      <c r="Q267" s="210"/>
      <c r="R267" s="210"/>
      <c r="S267" s="210"/>
      <c r="T267" s="210"/>
      <c r="U267" s="210"/>
      <c r="V267" s="210"/>
      <c r="W267" s="210"/>
      <c r="X267" s="210"/>
      <c r="Y267" s="210"/>
      <c r="Z267" s="210"/>
      <c r="AA267" s="210"/>
      <c r="AB267" s="210"/>
      <c r="AC267" s="210"/>
      <c r="AI267" s="210"/>
      <c r="AJ267" s="210"/>
    </row>
    <row r="268" ht="12.75" customHeight="1">
      <c r="C268" s="210"/>
      <c r="D268" s="210"/>
      <c r="E268" s="210"/>
      <c r="F268" s="210"/>
      <c r="G268" s="210"/>
      <c r="H268" s="210"/>
      <c r="I268" s="210"/>
      <c r="J268" s="210"/>
      <c r="K268" s="210"/>
      <c r="L268" s="210"/>
      <c r="M268" s="210"/>
      <c r="N268" s="210"/>
      <c r="O268" s="210"/>
      <c r="P268" s="210"/>
      <c r="Q268" s="210"/>
      <c r="R268" s="210"/>
      <c r="S268" s="210"/>
      <c r="T268" s="210"/>
      <c r="U268" s="210"/>
      <c r="V268" s="210"/>
      <c r="W268" s="210"/>
      <c r="X268" s="210"/>
      <c r="Y268" s="210"/>
      <c r="Z268" s="210"/>
      <c r="AA268" s="210"/>
      <c r="AB268" s="210"/>
      <c r="AC268" s="210"/>
      <c r="AI268" s="210"/>
      <c r="AJ268" s="210"/>
    </row>
    <row r="269" ht="12.75" customHeight="1">
      <c r="C269" s="210"/>
      <c r="D269" s="210"/>
      <c r="E269" s="210"/>
      <c r="F269" s="210"/>
      <c r="G269" s="210"/>
      <c r="H269" s="210"/>
      <c r="I269" s="210"/>
      <c r="J269" s="210"/>
      <c r="K269" s="210"/>
      <c r="L269" s="210"/>
      <c r="M269" s="210"/>
      <c r="N269" s="210"/>
      <c r="O269" s="210"/>
      <c r="P269" s="210"/>
      <c r="Q269" s="210"/>
      <c r="R269" s="210"/>
      <c r="S269" s="210"/>
      <c r="T269" s="210"/>
      <c r="U269" s="210"/>
      <c r="V269" s="210"/>
      <c r="W269" s="210"/>
      <c r="X269" s="210"/>
      <c r="Y269" s="210"/>
      <c r="Z269" s="210"/>
      <c r="AA269" s="210"/>
      <c r="AB269" s="210"/>
      <c r="AC269" s="210"/>
      <c r="AI269" s="210"/>
      <c r="AJ269" s="210"/>
    </row>
    <row r="270" ht="12.75" customHeight="1">
      <c r="C270" s="210"/>
      <c r="D270" s="210"/>
      <c r="E270" s="210"/>
      <c r="F270" s="210"/>
      <c r="G270" s="210"/>
      <c r="H270" s="210"/>
      <c r="I270" s="210"/>
      <c r="J270" s="210"/>
      <c r="K270" s="210"/>
      <c r="L270" s="210"/>
      <c r="M270" s="210"/>
      <c r="N270" s="210"/>
      <c r="O270" s="210"/>
      <c r="P270" s="210"/>
      <c r="Q270" s="210"/>
      <c r="R270" s="210"/>
      <c r="S270" s="210"/>
      <c r="T270" s="210"/>
      <c r="U270" s="210"/>
      <c r="V270" s="210"/>
      <c r="W270" s="210"/>
      <c r="X270" s="210"/>
      <c r="Y270" s="210"/>
      <c r="Z270" s="210"/>
      <c r="AA270" s="210"/>
      <c r="AB270" s="210"/>
      <c r="AC270" s="210"/>
      <c r="AI270" s="210"/>
      <c r="AJ270" s="210"/>
    </row>
    <row r="271" ht="12.75" customHeight="1">
      <c r="C271" s="210"/>
      <c r="D271" s="210"/>
      <c r="E271" s="210"/>
      <c r="F271" s="210"/>
      <c r="G271" s="210"/>
      <c r="H271" s="210"/>
      <c r="I271" s="210"/>
      <c r="J271" s="210"/>
      <c r="K271" s="210"/>
      <c r="L271" s="210"/>
      <c r="M271" s="210"/>
      <c r="N271" s="210"/>
      <c r="O271" s="210"/>
      <c r="P271" s="210"/>
      <c r="Q271" s="210"/>
      <c r="R271" s="210"/>
      <c r="S271" s="210"/>
      <c r="T271" s="210"/>
      <c r="U271" s="210"/>
      <c r="V271" s="210"/>
      <c r="W271" s="210"/>
      <c r="X271" s="210"/>
      <c r="Y271" s="210"/>
      <c r="Z271" s="210"/>
      <c r="AA271" s="210"/>
      <c r="AB271" s="210"/>
      <c r="AC271" s="210"/>
      <c r="AI271" s="210"/>
      <c r="AJ271" s="210"/>
    </row>
    <row r="272" ht="12.75" customHeight="1">
      <c r="C272" s="210"/>
      <c r="D272" s="210"/>
      <c r="E272" s="210"/>
      <c r="F272" s="210"/>
      <c r="G272" s="210"/>
      <c r="H272" s="210"/>
      <c r="I272" s="210"/>
      <c r="J272" s="210"/>
      <c r="K272" s="210"/>
      <c r="L272" s="210"/>
      <c r="M272" s="210"/>
      <c r="N272" s="210"/>
      <c r="O272" s="210"/>
      <c r="P272" s="210"/>
      <c r="Q272" s="210"/>
      <c r="R272" s="210"/>
      <c r="S272" s="210"/>
      <c r="T272" s="210"/>
      <c r="U272" s="210"/>
      <c r="V272" s="210"/>
      <c r="W272" s="210"/>
      <c r="X272" s="210"/>
      <c r="Y272" s="210"/>
      <c r="Z272" s="210"/>
      <c r="AA272" s="210"/>
      <c r="AB272" s="210"/>
      <c r="AC272" s="210"/>
      <c r="AI272" s="210"/>
      <c r="AJ272" s="210"/>
    </row>
    <row r="273" ht="12.75" customHeight="1">
      <c r="C273" s="210"/>
      <c r="D273" s="210"/>
      <c r="E273" s="210"/>
      <c r="F273" s="210"/>
      <c r="G273" s="210"/>
      <c r="H273" s="210"/>
      <c r="I273" s="210"/>
      <c r="J273" s="210"/>
      <c r="K273" s="210"/>
      <c r="L273" s="210"/>
      <c r="M273" s="210"/>
      <c r="N273" s="210"/>
      <c r="O273" s="210"/>
      <c r="P273" s="210"/>
      <c r="Q273" s="210"/>
      <c r="R273" s="210"/>
      <c r="S273" s="210"/>
      <c r="T273" s="210"/>
      <c r="U273" s="210"/>
      <c r="V273" s="210"/>
      <c r="W273" s="210"/>
      <c r="X273" s="210"/>
      <c r="Y273" s="210"/>
      <c r="Z273" s="210"/>
      <c r="AA273" s="210"/>
      <c r="AB273" s="210"/>
      <c r="AC273" s="210"/>
      <c r="AI273" s="210"/>
      <c r="AJ273" s="210"/>
    </row>
    <row r="274" ht="12.75" customHeight="1">
      <c r="C274" s="210"/>
      <c r="D274" s="210"/>
      <c r="E274" s="210"/>
      <c r="F274" s="210"/>
      <c r="G274" s="210"/>
      <c r="H274" s="210"/>
      <c r="I274" s="210"/>
      <c r="J274" s="210"/>
      <c r="K274" s="210"/>
      <c r="L274" s="210"/>
      <c r="M274" s="210"/>
      <c r="N274" s="210"/>
      <c r="O274" s="210"/>
      <c r="P274" s="210"/>
      <c r="Q274" s="210"/>
      <c r="R274" s="210"/>
      <c r="S274" s="210"/>
      <c r="T274" s="210"/>
      <c r="U274" s="210"/>
      <c r="V274" s="210"/>
      <c r="W274" s="210"/>
      <c r="X274" s="210"/>
      <c r="Y274" s="210"/>
      <c r="Z274" s="210"/>
      <c r="AA274" s="210"/>
      <c r="AB274" s="210"/>
      <c r="AC274" s="210"/>
      <c r="AI274" s="210"/>
      <c r="AJ274" s="210"/>
    </row>
    <row r="275" ht="12.75" customHeight="1">
      <c r="C275" s="210"/>
      <c r="D275" s="210"/>
      <c r="E275" s="210"/>
      <c r="F275" s="210"/>
      <c r="G275" s="210"/>
      <c r="H275" s="210"/>
      <c r="I275" s="210"/>
      <c r="J275" s="210"/>
      <c r="K275" s="210"/>
      <c r="L275" s="210"/>
      <c r="M275" s="210"/>
      <c r="N275" s="210"/>
      <c r="O275" s="210"/>
      <c r="P275" s="210"/>
      <c r="Q275" s="210"/>
      <c r="R275" s="210"/>
      <c r="S275" s="210"/>
      <c r="T275" s="210"/>
      <c r="U275" s="210"/>
      <c r="V275" s="210"/>
      <c r="W275" s="210"/>
      <c r="X275" s="210"/>
      <c r="Y275" s="210"/>
      <c r="Z275" s="210"/>
      <c r="AA275" s="210"/>
      <c r="AB275" s="210"/>
      <c r="AC275" s="210"/>
      <c r="AI275" s="210"/>
      <c r="AJ275" s="210"/>
    </row>
    <row r="276" ht="12.75" customHeight="1">
      <c r="C276" s="210"/>
      <c r="D276" s="210"/>
      <c r="E276" s="210"/>
      <c r="F276" s="210"/>
      <c r="G276" s="210"/>
      <c r="H276" s="210"/>
      <c r="I276" s="210"/>
      <c r="J276" s="210"/>
      <c r="K276" s="210"/>
      <c r="L276" s="210"/>
      <c r="M276" s="210"/>
      <c r="N276" s="210"/>
      <c r="O276" s="210"/>
      <c r="P276" s="210"/>
      <c r="Q276" s="210"/>
      <c r="R276" s="210"/>
      <c r="S276" s="210"/>
      <c r="T276" s="210"/>
      <c r="U276" s="210"/>
      <c r="V276" s="210"/>
      <c r="W276" s="210"/>
      <c r="X276" s="210"/>
      <c r="Y276" s="210"/>
      <c r="Z276" s="210"/>
      <c r="AA276" s="210"/>
      <c r="AB276" s="210"/>
      <c r="AC276" s="210"/>
      <c r="AI276" s="210"/>
      <c r="AJ276" s="210"/>
    </row>
    <row r="277" ht="12.75" customHeight="1">
      <c r="C277" s="210"/>
      <c r="D277" s="210"/>
      <c r="E277" s="210"/>
      <c r="F277" s="210"/>
      <c r="G277" s="210"/>
      <c r="H277" s="210"/>
      <c r="I277" s="210"/>
      <c r="J277" s="210"/>
      <c r="K277" s="210"/>
      <c r="L277" s="210"/>
      <c r="M277" s="210"/>
      <c r="N277" s="210"/>
      <c r="O277" s="210"/>
      <c r="P277" s="210"/>
      <c r="Q277" s="210"/>
      <c r="R277" s="210"/>
      <c r="S277" s="210"/>
      <c r="T277" s="210"/>
      <c r="U277" s="210"/>
      <c r="V277" s="210"/>
      <c r="W277" s="210"/>
      <c r="X277" s="210"/>
      <c r="Y277" s="210"/>
      <c r="Z277" s="210"/>
      <c r="AA277" s="210"/>
      <c r="AB277" s="210"/>
      <c r="AC277" s="210"/>
      <c r="AI277" s="210"/>
      <c r="AJ277" s="210"/>
    </row>
    <row r="278" ht="12.75" customHeight="1">
      <c r="C278" s="210"/>
      <c r="D278" s="210"/>
      <c r="E278" s="210"/>
      <c r="F278" s="210"/>
      <c r="G278" s="210"/>
      <c r="H278" s="210"/>
      <c r="I278" s="210"/>
      <c r="J278" s="210"/>
      <c r="K278" s="210"/>
      <c r="L278" s="210"/>
      <c r="M278" s="210"/>
      <c r="N278" s="210"/>
      <c r="O278" s="210"/>
      <c r="P278" s="210"/>
      <c r="Q278" s="210"/>
      <c r="R278" s="210"/>
      <c r="S278" s="210"/>
      <c r="T278" s="210"/>
      <c r="U278" s="210"/>
      <c r="V278" s="210"/>
      <c r="W278" s="210"/>
      <c r="X278" s="210"/>
      <c r="Y278" s="210"/>
      <c r="Z278" s="210"/>
      <c r="AA278" s="210"/>
      <c r="AB278" s="210"/>
      <c r="AC278" s="210"/>
      <c r="AI278" s="210"/>
      <c r="AJ278" s="210"/>
    </row>
    <row r="279" ht="12.75" customHeight="1">
      <c r="C279" s="210"/>
      <c r="D279" s="210"/>
      <c r="E279" s="210"/>
      <c r="F279" s="210"/>
      <c r="G279" s="210"/>
      <c r="H279" s="210"/>
      <c r="I279" s="210"/>
      <c r="J279" s="210"/>
      <c r="K279" s="210"/>
      <c r="L279" s="210"/>
      <c r="M279" s="210"/>
      <c r="N279" s="210"/>
      <c r="O279" s="210"/>
      <c r="P279" s="210"/>
      <c r="Q279" s="210"/>
      <c r="R279" s="210"/>
      <c r="S279" s="210"/>
      <c r="T279" s="210"/>
      <c r="U279" s="210"/>
      <c r="V279" s="210"/>
      <c r="W279" s="210"/>
      <c r="X279" s="210"/>
      <c r="Y279" s="210"/>
      <c r="Z279" s="210"/>
      <c r="AA279" s="210"/>
      <c r="AB279" s="210"/>
      <c r="AC279" s="210"/>
      <c r="AI279" s="210"/>
      <c r="AJ279" s="210"/>
    </row>
    <row r="280" ht="12.75" customHeight="1">
      <c r="C280" s="210"/>
      <c r="D280" s="210"/>
      <c r="E280" s="210"/>
      <c r="F280" s="210"/>
      <c r="G280" s="210"/>
      <c r="H280" s="210"/>
      <c r="I280" s="210"/>
      <c r="J280" s="210"/>
      <c r="K280" s="210"/>
      <c r="L280" s="210"/>
      <c r="M280" s="210"/>
      <c r="N280" s="210"/>
      <c r="O280" s="210"/>
      <c r="P280" s="210"/>
      <c r="Q280" s="210"/>
      <c r="R280" s="210"/>
      <c r="S280" s="210"/>
      <c r="T280" s="210"/>
      <c r="U280" s="210"/>
      <c r="V280" s="210"/>
      <c r="W280" s="210"/>
      <c r="X280" s="210"/>
      <c r="Y280" s="210"/>
      <c r="Z280" s="210"/>
      <c r="AA280" s="210"/>
      <c r="AB280" s="210"/>
      <c r="AC280" s="210"/>
      <c r="AI280" s="210"/>
      <c r="AJ280" s="210"/>
    </row>
    <row r="281" ht="12.75" customHeight="1">
      <c r="C281" s="210"/>
      <c r="D281" s="210"/>
      <c r="E281" s="210"/>
      <c r="F281" s="210"/>
      <c r="G281" s="210"/>
      <c r="H281" s="210"/>
      <c r="I281" s="210"/>
      <c r="J281" s="210"/>
      <c r="K281" s="210"/>
      <c r="L281" s="210"/>
      <c r="M281" s="210"/>
      <c r="N281" s="210"/>
      <c r="O281" s="210"/>
      <c r="P281" s="210"/>
      <c r="Q281" s="210"/>
      <c r="R281" s="210"/>
      <c r="S281" s="210"/>
      <c r="T281" s="210"/>
      <c r="U281" s="210"/>
      <c r="V281" s="210"/>
      <c r="W281" s="210"/>
      <c r="X281" s="210"/>
      <c r="Y281" s="210"/>
      <c r="Z281" s="210"/>
      <c r="AA281" s="210"/>
      <c r="AB281" s="210"/>
      <c r="AC281" s="210"/>
      <c r="AI281" s="210"/>
      <c r="AJ281" s="210"/>
    </row>
    <row r="282" ht="12.75" customHeight="1">
      <c r="C282" s="210"/>
      <c r="D282" s="210"/>
      <c r="E282" s="210"/>
      <c r="F282" s="210"/>
      <c r="G282" s="210"/>
      <c r="H282" s="210"/>
      <c r="I282" s="210"/>
      <c r="J282" s="210"/>
      <c r="K282" s="210"/>
      <c r="L282" s="210"/>
      <c r="M282" s="210"/>
      <c r="N282" s="210"/>
      <c r="O282" s="210"/>
      <c r="P282" s="210"/>
      <c r="Q282" s="210"/>
      <c r="R282" s="210"/>
      <c r="S282" s="210"/>
      <c r="T282" s="210"/>
      <c r="U282" s="210"/>
      <c r="V282" s="210"/>
      <c r="W282" s="210"/>
      <c r="X282" s="210"/>
      <c r="Y282" s="210"/>
      <c r="Z282" s="210"/>
      <c r="AA282" s="210"/>
      <c r="AB282" s="210"/>
      <c r="AC282" s="210"/>
      <c r="AI282" s="210"/>
      <c r="AJ282" s="210"/>
    </row>
    <row r="283" ht="12.75" customHeight="1">
      <c r="C283" s="210"/>
      <c r="D283" s="210"/>
      <c r="E283" s="210"/>
      <c r="F283" s="210"/>
      <c r="G283" s="210"/>
      <c r="H283" s="210"/>
      <c r="I283" s="210"/>
      <c r="J283" s="210"/>
      <c r="K283" s="210"/>
      <c r="L283" s="210"/>
      <c r="M283" s="210"/>
      <c r="N283" s="210"/>
      <c r="O283" s="210"/>
      <c r="P283" s="210"/>
      <c r="Q283" s="210"/>
      <c r="R283" s="210"/>
      <c r="S283" s="210"/>
      <c r="T283" s="210"/>
      <c r="U283" s="210"/>
      <c r="V283" s="210"/>
      <c r="W283" s="210"/>
      <c r="X283" s="210"/>
      <c r="Y283" s="210"/>
      <c r="Z283" s="210"/>
      <c r="AA283" s="210"/>
      <c r="AB283" s="210"/>
      <c r="AC283" s="210"/>
      <c r="AI283" s="210"/>
      <c r="AJ283" s="210"/>
    </row>
    <row r="284" ht="12.75" customHeight="1">
      <c r="C284" s="210"/>
      <c r="D284" s="210"/>
      <c r="E284" s="210"/>
      <c r="F284" s="210"/>
      <c r="G284" s="210"/>
      <c r="H284" s="210"/>
      <c r="I284" s="210"/>
      <c r="J284" s="210"/>
      <c r="K284" s="210"/>
      <c r="L284" s="210"/>
      <c r="M284" s="210"/>
      <c r="N284" s="210"/>
      <c r="O284" s="210"/>
      <c r="P284" s="210"/>
      <c r="Q284" s="210"/>
      <c r="R284" s="210"/>
      <c r="S284" s="210"/>
      <c r="T284" s="210"/>
      <c r="U284" s="210"/>
      <c r="V284" s="210"/>
      <c r="W284" s="210"/>
      <c r="X284" s="210"/>
      <c r="Y284" s="210"/>
      <c r="Z284" s="210"/>
      <c r="AA284" s="210"/>
      <c r="AB284" s="210"/>
      <c r="AC284" s="210"/>
      <c r="AI284" s="210"/>
      <c r="AJ284" s="210"/>
    </row>
    <row r="285" ht="12.75" customHeight="1">
      <c r="C285" s="210"/>
      <c r="D285" s="210"/>
      <c r="E285" s="210"/>
      <c r="F285" s="210"/>
      <c r="G285" s="210"/>
      <c r="H285" s="210"/>
      <c r="I285" s="210"/>
      <c r="J285" s="210"/>
      <c r="K285" s="210"/>
      <c r="L285" s="210"/>
      <c r="M285" s="210"/>
      <c r="N285" s="210"/>
      <c r="O285" s="210"/>
      <c r="P285" s="210"/>
      <c r="Q285" s="210"/>
      <c r="R285" s="210"/>
      <c r="S285" s="210"/>
      <c r="T285" s="210"/>
      <c r="U285" s="210"/>
      <c r="V285" s="210"/>
      <c r="W285" s="210"/>
      <c r="X285" s="210"/>
      <c r="Y285" s="210"/>
      <c r="Z285" s="210"/>
      <c r="AA285" s="210"/>
      <c r="AB285" s="210"/>
      <c r="AC285" s="210"/>
      <c r="AI285" s="210"/>
      <c r="AJ285" s="210"/>
    </row>
    <row r="286" ht="12.75" customHeight="1">
      <c r="C286" s="210"/>
      <c r="D286" s="210"/>
      <c r="E286" s="210"/>
      <c r="F286" s="210"/>
      <c r="G286" s="210"/>
      <c r="H286" s="210"/>
      <c r="I286" s="210"/>
      <c r="J286" s="210"/>
      <c r="K286" s="210"/>
      <c r="L286" s="210"/>
      <c r="M286" s="210"/>
      <c r="N286" s="210"/>
      <c r="O286" s="210"/>
      <c r="P286" s="210"/>
      <c r="Q286" s="210"/>
      <c r="R286" s="210"/>
      <c r="S286" s="210"/>
      <c r="T286" s="210"/>
      <c r="U286" s="210"/>
      <c r="V286" s="210"/>
      <c r="W286" s="210"/>
      <c r="X286" s="210"/>
      <c r="Y286" s="210"/>
      <c r="Z286" s="210"/>
      <c r="AA286" s="210"/>
      <c r="AB286" s="210"/>
      <c r="AC286" s="210"/>
      <c r="AI286" s="210"/>
      <c r="AJ286" s="210"/>
    </row>
    <row r="287" ht="12.75" customHeight="1">
      <c r="C287" s="210"/>
      <c r="D287" s="210"/>
      <c r="E287" s="210"/>
      <c r="F287" s="210"/>
      <c r="G287" s="210"/>
      <c r="H287" s="210"/>
      <c r="I287" s="210"/>
      <c r="J287" s="210"/>
      <c r="K287" s="210"/>
      <c r="L287" s="210"/>
      <c r="M287" s="210"/>
      <c r="N287" s="210"/>
      <c r="O287" s="210"/>
      <c r="P287" s="210"/>
      <c r="Q287" s="210"/>
      <c r="R287" s="210"/>
      <c r="S287" s="210"/>
      <c r="T287" s="210"/>
      <c r="U287" s="210"/>
      <c r="V287" s="210"/>
      <c r="W287" s="210"/>
      <c r="X287" s="210"/>
      <c r="Y287" s="210"/>
      <c r="Z287" s="210"/>
      <c r="AA287" s="210"/>
      <c r="AB287" s="210"/>
      <c r="AC287" s="210"/>
      <c r="AI287" s="210"/>
      <c r="AJ287" s="210"/>
    </row>
    <row r="288" ht="12.75" customHeight="1">
      <c r="C288" s="210"/>
      <c r="D288" s="210"/>
      <c r="E288" s="210"/>
      <c r="F288" s="210"/>
      <c r="G288" s="210"/>
      <c r="H288" s="210"/>
      <c r="I288" s="210"/>
      <c r="J288" s="210"/>
      <c r="K288" s="210"/>
      <c r="L288" s="210"/>
      <c r="M288" s="210"/>
      <c r="N288" s="210"/>
      <c r="O288" s="210"/>
      <c r="P288" s="210"/>
      <c r="Q288" s="210"/>
      <c r="R288" s="210"/>
      <c r="S288" s="210"/>
      <c r="T288" s="210"/>
      <c r="U288" s="210"/>
      <c r="V288" s="210"/>
      <c r="W288" s="210"/>
      <c r="X288" s="210"/>
      <c r="Y288" s="210"/>
      <c r="Z288" s="210"/>
      <c r="AA288" s="210"/>
      <c r="AB288" s="210"/>
      <c r="AC288" s="210"/>
      <c r="AI288" s="210"/>
      <c r="AJ288" s="210"/>
    </row>
    <row r="289" ht="12.75" customHeight="1">
      <c r="C289" s="210"/>
      <c r="D289" s="210"/>
      <c r="E289" s="210"/>
      <c r="F289" s="210"/>
      <c r="G289" s="210"/>
      <c r="H289" s="210"/>
      <c r="I289" s="210"/>
      <c r="J289" s="210"/>
      <c r="K289" s="210"/>
      <c r="L289" s="210"/>
      <c r="M289" s="210"/>
      <c r="N289" s="210"/>
      <c r="O289" s="210"/>
      <c r="P289" s="210"/>
      <c r="Q289" s="210"/>
      <c r="R289" s="210"/>
      <c r="S289" s="210"/>
      <c r="T289" s="210"/>
      <c r="U289" s="210"/>
      <c r="V289" s="210"/>
      <c r="W289" s="210"/>
      <c r="X289" s="210"/>
      <c r="Y289" s="210"/>
      <c r="Z289" s="210"/>
      <c r="AA289" s="210"/>
      <c r="AB289" s="210"/>
      <c r="AC289" s="210"/>
      <c r="AI289" s="210"/>
      <c r="AJ289" s="210"/>
    </row>
    <row r="290" ht="12.75" customHeight="1">
      <c r="C290" s="210"/>
      <c r="D290" s="210"/>
      <c r="E290" s="210"/>
      <c r="F290" s="210"/>
      <c r="G290" s="210"/>
      <c r="H290" s="210"/>
      <c r="I290" s="210"/>
      <c r="J290" s="210"/>
      <c r="K290" s="210"/>
      <c r="L290" s="210"/>
      <c r="M290" s="210"/>
      <c r="N290" s="210"/>
      <c r="O290" s="210"/>
      <c r="P290" s="210"/>
      <c r="Q290" s="210"/>
      <c r="R290" s="210"/>
      <c r="S290" s="210"/>
      <c r="T290" s="210"/>
      <c r="U290" s="210"/>
      <c r="V290" s="210"/>
      <c r="W290" s="210"/>
      <c r="X290" s="210"/>
      <c r="Y290" s="210"/>
      <c r="Z290" s="210"/>
      <c r="AA290" s="210"/>
      <c r="AB290" s="210"/>
      <c r="AC290" s="210"/>
      <c r="AI290" s="210"/>
      <c r="AJ290" s="210"/>
    </row>
    <row r="291" ht="12.75" customHeight="1">
      <c r="C291" s="210"/>
      <c r="D291" s="210"/>
      <c r="E291" s="210"/>
      <c r="F291" s="210"/>
      <c r="G291" s="210"/>
      <c r="H291" s="210"/>
      <c r="I291" s="210"/>
      <c r="J291" s="210"/>
      <c r="K291" s="210"/>
      <c r="L291" s="210"/>
      <c r="M291" s="210"/>
      <c r="N291" s="210"/>
      <c r="O291" s="210"/>
      <c r="P291" s="210"/>
      <c r="Q291" s="210"/>
      <c r="R291" s="210"/>
      <c r="S291" s="210"/>
      <c r="T291" s="210"/>
      <c r="U291" s="210"/>
      <c r="V291" s="210"/>
      <c r="W291" s="210"/>
      <c r="X291" s="210"/>
      <c r="Y291" s="210"/>
      <c r="Z291" s="210"/>
      <c r="AA291" s="210"/>
      <c r="AB291" s="210"/>
      <c r="AC291" s="210"/>
      <c r="AI291" s="210"/>
      <c r="AJ291" s="210"/>
    </row>
    <row r="292" ht="12.75" customHeight="1">
      <c r="C292" s="210"/>
      <c r="D292" s="210"/>
      <c r="E292" s="210"/>
      <c r="F292" s="210"/>
      <c r="G292" s="210"/>
      <c r="H292" s="210"/>
      <c r="I292" s="210"/>
      <c r="J292" s="210"/>
      <c r="K292" s="210"/>
      <c r="L292" s="210"/>
      <c r="M292" s="210"/>
      <c r="N292" s="210"/>
      <c r="O292" s="210"/>
      <c r="P292" s="210"/>
      <c r="Q292" s="210"/>
      <c r="R292" s="210"/>
      <c r="S292" s="210"/>
      <c r="T292" s="210"/>
      <c r="U292" s="210"/>
      <c r="V292" s="210"/>
      <c r="W292" s="210"/>
      <c r="X292" s="210"/>
      <c r="Y292" s="210"/>
      <c r="Z292" s="210"/>
      <c r="AA292" s="210"/>
      <c r="AB292" s="210"/>
      <c r="AC292" s="210"/>
      <c r="AI292" s="210"/>
      <c r="AJ292" s="210"/>
    </row>
    <row r="293" ht="12.75" customHeight="1">
      <c r="C293" s="210"/>
      <c r="D293" s="210"/>
      <c r="E293" s="210"/>
      <c r="F293" s="210"/>
      <c r="G293" s="210"/>
      <c r="H293" s="210"/>
      <c r="I293" s="210"/>
      <c r="J293" s="210"/>
      <c r="K293" s="210"/>
      <c r="L293" s="210"/>
      <c r="M293" s="210"/>
      <c r="N293" s="210"/>
      <c r="O293" s="210"/>
      <c r="P293" s="210"/>
      <c r="Q293" s="210"/>
      <c r="R293" s="210"/>
      <c r="S293" s="210"/>
      <c r="T293" s="210"/>
      <c r="U293" s="210"/>
      <c r="V293" s="210"/>
      <c r="W293" s="210"/>
      <c r="X293" s="210"/>
      <c r="Y293" s="210"/>
      <c r="Z293" s="210"/>
      <c r="AA293" s="210"/>
      <c r="AB293" s="210"/>
      <c r="AC293" s="210"/>
      <c r="AI293" s="210"/>
      <c r="AJ293" s="210"/>
    </row>
    <row r="294" ht="12.75" customHeight="1">
      <c r="C294" s="210"/>
      <c r="D294" s="210"/>
      <c r="E294" s="210"/>
      <c r="F294" s="210"/>
      <c r="G294" s="210"/>
      <c r="H294" s="210"/>
      <c r="I294" s="210"/>
      <c r="J294" s="210"/>
      <c r="K294" s="210"/>
      <c r="L294" s="210"/>
      <c r="M294" s="210"/>
      <c r="N294" s="210"/>
      <c r="O294" s="210"/>
      <c r="P294" s="210"/>
      <c r="Q294" s="210"/>
      <c r="R294" s="210"/>
      <c r="S294" s="210"/>
      <c r="T294" s="210"/>
      <c r="U294" s="210"/>
      <c r="V294" s="210"/>
      <c r="W294" s="210"/>
      <c r="X294" s="210"/>
      <c r="Y294" s="210"/>
      <c r="Z294" s="210"/>
      <c r="AA294" s="210"/>
      <c r="AB294" s="210"/>
      <c r="AC294" s="210"/>
      <c r="AI294" s="210"/>
      <c r="AJ294" s="210"/>
    </row>
    <row r="295" ht="12.75" customHeight="1">
      <c r="C295" s="210"/>
      <c r="D295" s="210"/>
      <c r="E295" s="210"/>
      <c r="F295" s="210"/>
      <c r="G295" s="210"/>
      <c r="H295" s="210"/>
      <c r="I295" s="210"/>
      <c r="J295" s="210"/>
      <c r="K295" s="210"/>
      <c r="L295" s="210"/>
      <c r="M295" s="210"/>
      <c r="N295" s="210"/>
      <c r="O295" s="210"/>
      <c r="P295" s="210"/>
      <c r="Q295" s="210"/>
      <c r="R295" s="210"/>
      <c r="S295" s="210"/>
      <c r="T295" s="210"/>
      <c r="U295" s="210"/>
      <c r="V295" s="210"/>
      <c r="W295" s="210"/>
      <c r="X295" s="210"/>
      <c r="Y295" s="210"/>
      <c r="Z295" s="210"/>
      <c r="AA295" s="210"/>
      <c r="AB295" s="210"/>
      <c r="AC295" s="210"/>
      <c r="AI295" s="210"/>
      <c r="AJ295" s="210"/>
    </row>
    <row r="296" ht="12.75" customHeight="1">
      <c r="C296" s="210"/>
      <c r="D296" s="210"/>
      <c r="E296" s="210"/>
      <c r="F296" s="210"/>
      <c r="G296" s="210"/>
      <c r="H296" s="210"/>
      <c r="I296" s="210"/>
      <c r="J296" s="210"/>
      <c r="K296" s="210"/>
      <c r="L296" s="210"/>
      <c r="M296" s="210"/>
      <c r="N296" s="210"/>
      <c r="O296" s="210"/>
      <c r="P296" s="210"/>
      <c r="Q296" s="210"/>
      <c r="R296" s="210"/>
      <c r="S296" s="210"/>
      <c r="T296" s="210"/>
      <c r="U296" s="210"/>
      <c r="V296" s="210"/>
      <c r="W296" s="210"/>
      <c r="X296" s="210"/>
      <c r="Y296" s="210"/>
      <c r="Z296" s="210"/>
      <c r="AA296" s="210"/>
      <c r="AB296" s="210"/>
      <c r="AC296" s="210"/>
      <c r="AI296" s="210"/>
      <c r="AJ296" s="210"/>
    </row>
    <row r="297" ht="12.75" customHeight="1">
      <c r="C297" s="210"/>
      <c r="D297" s="210"/>
      <c r="E297" s="210"/>
      <c r="F297" s="210"/>
      <c r="G297" s="210"/>
      <c r="H297" s="210"/>
      <c r="I297" s="210"/>
      <c r="J297" s="210"/>
      <c r="K297" s="210"/>
      <c r="L297" s="210"/>
      <c r="M297" s="210"/>
      <c r="N297" s="210"/>
      <c r="O297" s="210"/>
      <c r="P297" s="210"/>
      <c r="Q297" s="210"/>
      <c r="R297" s="210"/>
      <c r="S297" s="210"/>
      <c r="T297" s="210"/>
      <c r="U297" s="210"/>
      <c r="V297" s="210"/>
      <c r="W297" s="210"/>
      <c r="X297" s="210"/>
      <c r="Y297" s="210"/>
      <c r="Z297" s="210"/>
      <c r="AA297" s="210"/>
      <c r="AB297" s="210"/>
      <c r="AC297" s="210"/>
      <c r="AI297" s="210"/>
      <c r="AJ297" s="210"/>
    </row>
    <row r="298" ht="12.75" customHeight="1">
      <c r="C298" s="210"/>
      <c r="D298" s="210"/>
      <c r="E298" s="210"/>
      <c r="F298" s="210"/>
      <c r="G298" s="210"/>
      <c r="H298" s="210"/>
      <c r="I298" s="210"/>
      <c r="J298" s="210"/>
      <c r="K298" s="210"/>
      <c r="L298" s="210"/>
      <c r="M298" s="210"/>
      <c r="N298" s="210"/>
      <c r="O298" s="210"/>
      <c r="P298" s="210"/>
      <c r="Q298" s="210"/>
      <c r="R298" s="210"/>
      <c r="S298" s="210"/>
      <c r="T298" s="210"/>
      <c r="U298" s="210"/>
      <c r="V298" s="210"/>
      <c r="W298" s="210"/>
      <c r="X298" s="210"/>
      <c r="Y298" s="210"/>
      <c r="Z298" s="210"/>
      <c r="AA298" s="210"/>
      <c r="AB298" s="210"/>
      <c r="AC298" s="210"/>
      <c r="AI298" s="210"/>
      <c r="AJ298" s="210"/>
    </row>
    <row r="299" ht="12.75" customHeight="1">
      <c r="C299" s="210"/>
      <c r="D299" s="210"/>
      <c r="E299" s="210"/>
      <c r="F299" s="210"/>
      <c r="G299" s="210"/>
      <c r="H299" s="210"/>
      <c r="I299" s="210"/>
      <c r="J299" s="210"/>
      <c r="K299" s="210"/>
      <c r="L299" s="210"/>
      <c r="M299" s="210"/>
      <c r="N299" s="210"/>
      <c r="O299" s="210"/>
      <c r="P299" s="210"/>
      <c r="Q299" s="210"/>
      <c r="R299" s="210"/>
      <c r="S299" s="210"/>
      <c r="T299" s="210"/>
      <c r="U299" s="210"/>
      <c r="V299" s="210"/>
      <c r="W299" s="210"/>
      <c r="X299" s="210"/>
      <c r="Y299" s="210"/>
      <c r="Z299" s="210"/>
      <c r="AA299" s="210"/>
      <c r="AB299" s="210"/>
      <c r="AC299" s="210"/>
      <c r="AI299" s="210"/>
      <c r="AJ299" s="210"/>
    </row>
    <row r="300" ht="12.75" customHeight="1">
      <c r="C300" s="210"/>
      <c r="D300" s="210"/>
      <c r="E300" s="210"/>
      <c r="F300" s="210"/>
      <c r="G300" s="210"/>
      <c r="H300" s="210"/>
      <c r="I300" s="210"/>
      <c r="J300" s="210"/>
      <c r="K300" s="210"/>
      <c r="L300" s="210"/>
      <c r="M300" s="210"/>
      <c r="N300" s="210"/>
      <c r="O300" s="210"/>
      <c r="P300" s="210"/>
      <c r="Q300" s="210"/>
      <c r="R300" s="210"/>
      <c r="S300" s="210"/>
      <c r="T300" s="210"/>
      <c r="U300" s="210"/>
      <c r="V300" s="210"/>
      <c r="W300" s="210"/>
      <c r="X300" s="210"/>
      <c r="Y300" s="210"/>
      <c r="Z300" s="210"/>
      <c r="AA300" s="210"/>
      <c r="AB300" s="210"/>
      <c r="AC300" s="210"/>
      <c r="AI300" s="210"/>
      <c r="AJ300" s="210"/>
    </row>
    <row r="301" ht="12.75" customHeight="1">
      <c r="C301" s="210"/>
      <c r="D301" s="210"/>
      <c r="E301" s="210"/>
      <c r="F301" s="210"/>
      <c r="G301" s="210"/>
      <c r="H301" s="210"/>
      <c r="I301" s="210"/>
      <c r="J301" s="210"/>
      <c r="K301" s="210"/>
      <c r="L301" s="210"/>
      <c r="M301" s="210"/>
      <c r="N301" s="210"/>
      <c r="O301" s="210"/>
      <c r="P301" s="210"/>
      <c r="Q301" s="210"/>
      <c r="R301" s="210"/>
      <c r="S301" s="210"/>
      <c r="T301" s="210"/>
      <c r="U301" s="210"/>
      <c r="V301" s="210"/>
      <c r="W301" s="210"/>
      <c r="X301" s="210"/>
      <c r="Y301" s="210"/>
      <c r="Z301" s="210"/>
      <c r="AA301" s="210"/>
      <c r="AB301" s="210"/>
      <c r="AC301" s="210"/>
      <c r="AI301" s="210"/>
      <c r="AJ301" s="210"/>
    </row>
    <row r="302" ht="12.75" customHeight="1">
      <c r="C302" s="210"/>
      <c r="D302" s="210"/>
      <c r="E302" s="210"/>
      <c r="F302" s="210"/>
      <c r="G302" s="210"/>
      <c r="H302" s="210"/>
      <c r="I302" s="210"/>
      <c r="J302" s="210"/>
      <c r="K302" s="210"/>
      <c r="L302" s="210"/>
      <c r="M302" s="210"/>
      <c r="N302" s="210"/>
      <c r="O302" s="210"/>
      <c r="P302" s="210"/>
      <c r="Q302" s="210"/>
      <c r="R302" s="210"/>
      <c r="S302" s="210"/>
      <c r="T302" s="210"/>
      <c r="U302" s="210"/>
      <c r="V302" s="210"/>
      <c r="W302" s="210"/>
      <c r="X302" s="210"/>
      <c r="Y302" s="210"/>
      <c r="Z302" s="210"/>
      <c r="AA302" s="210"/>
      <c r="AB302" s="210"/>
      <c r="AC302" s="210"/>
      <c r="AI302" s="210"/>
      <c r="AJ302" s="210"/>
    </row>
    <row r="303" ht="12.75" customHeight="1">
      <c r="C303" s="210"/>
      <c r="D303" s="210"/>
      <c r="E303" s="210"/>
      <c r="F303" s="210"/>
      <c r="G303" s="210"/>
      <c r="H303" s="210"/>
      <c r="I303" s="210"/>
      <c r="J303" s="210"/>
      <c r="K303" s="210"/>
      <c r="L303" s="210"/>
      <c r="M303" s="210"/>
      <c r="N303" s="210"/>
      <c r="O303" s="210"/>
      <c r="P303" s="210"/>
      <c r="Q303" s="210"/>
      <c r="R303" s="210"/>
      <c r="S303" s="210"/>
      <c r="T303" s="210"/>
      <c r="U303" s="210"/>
      <c r="V303" s="210"/>
      <c r="W303" s="210"/>
      <c r="X303" s="210"/>
      <c r="Y303" s="210"/>
      <c r="Z303" s="210"/>
      <c r="AA303" s="210"/>
      <c r="AB303" s="210"/>
      <c r="AC303" s="210"/>
      <c r="AI303" s="210"/>
      <c r="AJ303" s="210"/>
    </row>
    <row r="304" ht="12.75" customHeight="1">
      <c r="C304" s="210"/>
      <c r="D304" s="210"/>
      <c r="E304" s="210"/>
      <c r="F304" s="210"/>
      <c r="G304" s="210"/>
      <c r="H304" s="210"/>
      <c r="I304" s="210"/>
      <c r="J304" s="210"/>
      <c r="K304" s="210"/>
      <c r="L304" s="210"/>
      <c r="M304" s="210"/>
      <c r="N304" s="210"/>
      <c r="O304" s="210"/>
      <c r="P304" s="210"/>
      <c r="Q304" s="210"/>
      <c r="R304" s="210"/>
      <c r="S304" s="210"/>
      <c r="T304" s="210"/>
      <c r="U304" s="210"/>
      <c r="V304" s="210"/>
      <c r="W304" s="210"/>
      <c r="X304" s="210"/>
      <c r="Y304" s="210"/>
      <c r="Z304" s="210"/>
      <c r="AA304" s="210"/>
      <c r="AB304" s="210"/>
      <c r="AC304" s="210"/>
      <c r="AI304" s="210"/>
      <c r="AJ304" s="210"/>
    </row>
    <row r="305" ht="12.75" customHeight="1">
      <c r="C305" s="210"/>
      <c r="D305" s="210"/>
      <c r="E305" s="210"/>
      <c r="F305" s="210"/>
      <c r="G305" s="210"/>
      <c r="H305" s="210"/>
      <c r="I305" s="210"/>
      <c r="J305" s="210"/>
      <c r="K305" s="210"/>
      <c r="L305" s="210"/>
      <c r="M305" s="210"/>
      <c r="N305" s="210"/>
      <c r="O305" s="210"/>
      <c r="P305" s="210"/>
      <c r="Q305" s="210"/>
      <c r="R305" s="210"/>
      <c r="S305" s="210"/>
      <c r="T305" s="210"/>
      <c r="U305" s="210"/>
      <c r="V305" s="210"/>
      <c r="W305" s="210"/>
      <c r="X305" s="210"/>
      <c r="Y305" s="210"/>
      <c r="Z305" s="210"/>
      <c r="AA305" s="210"/>
      <c r="AB305" s="210"/>
      <c r="AC305" s="210"/>
      <c r="AI305" s="210"/>
      <c r="AJ305" s="210"/>
    </row>
    <row r="306" ht="12.75" customHeight="1">
      <c r="C306" s="210"/>
      <c r="D306" s="210"/>
      <c r="E306" s="210"/>
      <c r="F306" s="210"/>
      <c r="G306" s="210"/>
      <c r="H306" s="210"/>
      <c r="I306" s="210"/>
      <c r="J306" s="210"/>
      <c r="K306" s="210"/>
      <c r="L306" s="210"/>
      <c r="M306" s="210"/>
      <c r="N306" s="210"/>
      <c r="O306" s="210"/>
      <c r="P306" s="210"/>
      <c r="Q306" s="210"/>
      <c r="R306" s="210"/>
      <c r="S306" s="210"/>
      <c r="T306" s="210"/>
      <c r="U306" s="210"/>
      <c r="V306" s="210"/>
      <c r="W306" s="210"/>
      <c r="X306" s="210"/>
      <c r="Y306" s="210"/>
      <c r="Z306" s="210"/>
      <c r="AA306" s="210"/>
      <c r="AB306" s="210"/>
      <c r="AC306" s="210"/>
      <c r="AI306" s="210"/>
      <c r="AJ306" s="210"/>
    </row>
    <row r="307" ht="12.75" customHeight="1">
      <c r="C307" s="210"/>
      <c r="D307" s="210"/>
      <c r="E307" s="210"/>
      <c r="F307" s="210"/>
      <c r="G307" s="210"/>
      <c r="H307" s="210"/>
      <c r="I307" s="210"/>
      <c r="J307" s="210"/>
      <c r="K307" s="210"/>
      <c r="L307" s="210"/>
      <c r="M307" s="210"/>
      <c r="N307" s="210"/>
      <c r="O307" s="210"/>
      <c r="P307" s="210"/>
      <c r="Q307" s="210"/>
      <c r="R307" s="210"/>
      <c r="S307" s="210"/>
      <c r="T307" s="210"/>
      <c r="U307" s="210"/>
      <c r="V307" s="210"/>
      <c r="W307" s="210"/>
      <c r="X307" s="210"/>
      <c r="Y307" s="210"/>
      <c r="Z307" s="210"/>
      <c r="AA307" s="210"/>
      <c r="AB307" s="210"/>
      <c r="AC307" s="210"/>
      <c r="AI307" s="210"/>
      <c r="AJ307" s="210"/>
    </row>
    <row r="308" ht="12.75" customHeight="1">
      <c r="C308" s="210"/>
      <c r="D308" s="210"/>
      <c r="E308" s="210"/>
      <c r="F308" s="210"/>
      <c r="G308" s="210"/>
      <c r="H308" s="210"/>
      <c r="I308" s="210"/>
      <c r="J308" s="210"/>
      <c r="K308" s="210"/>
      <c r="L308" s="210"/>
      <c r="M308" s="210"/>
      <c r="N308" s="210"/>
      <c r="O308" s="210"/>
      <c r="P308" s="210"/>
      <c r="Q308" s="210"/>
      <c r="R308" s="210"/>
      <c r="S308" s="210"/>
      <c r="T308" s="210"/>
      <c r="U308" s="210"/>
      <c r="V308" s="210"/>
      <c r="W308" s="210"/>
      <c r="X308" s="210"/>
      <c r="Y308" s="210"/>
      <c r="Z308" s="210"/>
      <c r="AA308" s="210"/>
      <c r="AB308" s="210"/>
      <c r="AC308" s="210"/>
      <c r="AI308" s="210"/>
      <c r="AJ308" s="210"/>
    </row>
    <row r="309" ht="12.75" customHeight="1">
      <c r="C309" s="210"/>
      <c r="D309" s="210"/>
      <c r="E309" s="210"/>
      <c r="F309" s="210"/>
      <c r="G309" s="210"/>
      <c r="H309" s="210"/>
      <c r="I309" s="210"/>
      <c r="J309" s="210"/>
      <c r="K309" s="210"/>
      <c r="L309" s="210"/>
      <c r="M309" s="210"/>
      <c r="N309" s="210"/>
      <c r="O309" s="210"/>
      <c r="P309" s="210"/>
      <c r="Q309" s="210"/>
      <c r="R309" s="210"/>
      <c r="S309" s="210"/>
      <c r="T309" s="210"/>
      <c r="U309" s="210"/>
      <c r="V309" s="210"/>
      <c r="W309" s="210"/>
      <c r="X309" s="210"/>
      <c r="Y309" s="210"/>
      <c r="Z309" s="210"/>
      <c r="AA309" s="210"/>
      <c r="AB309" s="210"/>
      <c r="AC309" s="210"/>
      <c r="AI309" s="210"/>
      <c r="AJ309" s="210"/>
    </row>
    <row r="310" ht="12.75" customHeight="1">
      <c r="C310" s="210"/>
      <c r="D310" s="210"/>
      <c r="E310" s="210"/>
      <c r="F310" s="210"/>
      <c r="G310" s="210"/>
      <c r="H310" s="210"/>
      <c r="I310" s="210"/>
      <c r="J310" s="210"/>
      <c r="K310" s="210"/>
      <c r="L310" s="210"/>
      <c r="M310" s="210"/>
      <c r="N310" s="210"/>
      <c r="O310" s="210"/>
      <c r="P310" s="210"/>
      <c r="Q310" s="210"/>
      <c r="R310" s="210"/>
      <c r="S310" s="210"/>
      <c r="T310" s="210"/>
      <c r="U310" s="210"/>
      <c r="V310" s="210"/>
      <c r="W310" s="210"/>
      <c r="X310" s="210"/>
      <c r="Y310" s="210"/>
      <c r="Z310" s="210"/>
      <c r="AA310" s="210"/>
      <c r="AB310" s="210"/>
      <c r="AC310" s="210"/>
      <c r="AI310" s="210"/>
      <c r="AJ310" s="210"/>
    </row>
    <row r="311" ht="12.75" customHeight="1">
      <c r="C311" s="210"/>
      <c r="D311" s="210"/>
      <c r="E311" s="210"/>
      <c r="F311" s="210"/>
      <c r="G311" s="210"/>
      <c r="H311" s="210"/>
      <c r="I311" s="210"/>
      <c r="J311" s="210"/>
      <c r="K311" s="210"/>
      <c r="L311" s="210"/>
      <c r="M311" s="210"/>
      <c r="N311" s="210"/>
      <c r="O311" s="210"/>
      <c r="P311" s="210"/>
      <c r="Q311" s="210"/>
      <c r="R311" s="210"/>
      <c r="S311" s="210"/>
      <c r="T311" s="210"/>
      <c r="U311" s="210"/>
      <c r="V311" s="210"/>
      <c r="W311" s="210"/>
      <c r="X311" s="210"/>
      <c r="Y311" s="210"/>
      <c r="Z311" s="210"/>
      <c r="AA311" s="210"/>
      <c r="AB311" s="210"/>
      <c r="AC311" s="210"/>
      <c r="AI311" s="210"/>
      <c r="AJ311" s="210"/>
    </row>
    <row r="312" ht="12.75" customHeight="1">
      <c r="C312" s="210"/>
      <c r="D312" s="210"/>
      <c r="E312" s="210"/>
      <c r="F312" s="210"/>
      <c r="G312" s="210"/>
      <c r="H312" s="210"/>
      <c r="I312" s="210"/>
      <c r="J312" s="210"/>
      <c r="K312" s="210"/>
      <c r="L312" s="210"/>
      <c r="M312" s="210"/>
      <c r="N312" s="210"/>
      <c r="O312" s="210"/>
      <c r="P312" s="210"/>
      <c r="Q312" s="210"/>
      <c r="R312" s="210"/>
      <c r="S312" s="210"/>
      <c r="T312" s="210"/>
      <c r="U312" s="210"/>
      <c r="V312" s="210"/>
      <c r="W312" s="210"/>
      <c r="X312" s="210"/>
      <c r="Y312" s="210"/>
      <c r="Z312" s="210"/>
      <c r="AA312" s="210"/>
      <c r="AB312" s="210"/>
      <c r="AC312" s="210"/>
      <c r="AI312" s="210"/>
      <c r="AJ312" s="210"/>
    </row>
    <row r="313" ht="12.75" customHeight="1">
      <c r="C313" s="210"/>
      <c r="D313" s="210"/>
      <c r="E313" s="210"/>
      <c r="F313" s="210"/>
      <c r="G313" s="210"/>
      <c r="H313" s="210"/>
      <c r="I313" s="210"/>
      <c r="J313" s="210"/>
      <c r="K313" s="210"/>
      <c r="L313" s="210"/>
      <c r="M313" s="210"/>
      <c r="N313" s="210"/>
      <c r="O313" s="210"/>
      <c r="P313" s="210"/>
      <c r="Q313" s="210"/>
      <c r="R313" s="210"/>
      <c r="S313" s="210"/>
      <c r="T313" s="210"/>
      <c r="U313" s="210"/>
      <c r="V313" s="210"/>
      <c r="W313" s="210"/>
      <c r="X313" s="210"/>
      <c r="Y313" s="210"/>
      <c r="Z313" s="210"/>
      <c r="AA313" s="210"/>
      <c r="AB313" s="210"/>
      <c r="AC313" s="210"/>
      <c r="AI313" s="210"/>
      <c r="AJ313" s="210"/>
    </row>
    <row r="314" ht="12.75" customHeight="1">
      <c r="C314" s="210"/>
      <c r="D314" s="210"/>
      <c r="E314" s="210"/>
      <c r="F314" s="210"/>
      <c r="G314" s="210"/>
      <c r="H314" s="210"/>
      <c r="I314" s="210"/>
      <c r="J314" s="210"/>
      <c r="K314" s="210"/>
      <c r="L314" s="210"/>
      <c r="M314" s="210"/>
      <c r="N314" s="210"/>
      <c r="O314" s="210"/>
      <c r="P314" s="210"/>
      <c r="Q314" s="210"/>
      <c r="R314" s="210"/>
      <c r="S314" s="210"/>
      <c r="T314" s="210"/>
      <c r="U314" s="210"/>
      <c r="V314" s="210"/>
      <c r="W314" s="210"/>
      <c r="X314" s="210"/>
      <c r="Y314" s="210"/>
      <c r="Z314" s="210"/>
      <c r="AA314" s="210"/>
      <c r="AB314" s="210"/>
      <c r="AC314" s="210"/>
      <c r="AI314" s="210"/>
      <c r="AJ314" s="210"/>
    </row>
    <row r="315" ht="12.75" customHeight="1">
      <c r="C315" s="210"/>
      <c r="D315" s="210"/>
      <c r="E315" s="210"/>
      <c r="F315" s="210"/>
      <c r="G315" s="210"/>
      <c r="H315" s="210"/>
      <c r="I315" s="210"/>
      <c r="J315" s="210"/>
      <c r="K315" s="210"/>
      <c r="L315" s="210"/>
      <c r="M315" s="210"/>
      <c r="N315" s="210"/>
      <c r="O315" s="210"/>
      <c r="P315" s="210"/>
      <c r="Q315" s="210"/>
      <c r="R315" s="210"/>
      <c r="S315" s="210"/>
      <c r="T315" s="210"/>
      <c r="U315" s="210"/>
      <c r="V315" s="210"/>
      <c r="W315" s="210"/>
      <c r="X315" s="210"/>
      <c r="Y315" s="210"/>
      <c r="Z315" s="210"/>
      <c r="AA315" s="210"/>
      <c r="AB315" s="210"/>
      <c r="AC315" s="210"/>
      <c r="AI315" s="210"/>
      <c r="AJ315" s="210"/>
    </row>
    <row r="316" ht="12.75" customHeight="1">
      <c r="C316" s="210"/>
      <c r="D316" s="210"/>
      <c r="E316" s="210"/>
      <c r="F316" s="210"/>
      <c r="G316" s="210"/>
      <c r="H316" s="210"/>
      <c r="I316" s="210"/>
      <c r="J316" s="210"/>
      <c r="K316" s="210"/>
      <c r="L316" s="210"/>
      <c r="M316" s="210"/>
      <c r="N316" s="210"/>
      <c r="O316" s="210"/>
      <c r="P316" s="210"/>
      <c r="Q316" s="210"/>
      <c r="R316" s="210"/>
      <c r="S316" s="210"/>
      <c r="T316" s="210"/>
      <c r="U316" s="210"/>
      <c r="V316" s="210"/>
      <c r="W316" s="210"/>
      <c r="X316" s="210"/>
      <c r="Y316" s="210"/>
      <c r="Z316" s="210"/>
      <c r="AA316" s="210"/>
      <c r="AB316" s="210"/>
      <c r="AC316" s="210"/>
      <c r="AI316" s="210"/>
      <c r="AJ316" s="210"/>
    </row>
    <row r="317" ht="12.75" customHeight="1">
      <c r="C317" s="210"/>
      <c r="D317" s="210"/>
      <c r="E317" s="210"/>
      <c r="F317" s="210"/>
      <c r="G317" s="210"/>
      <c r="H317" s="210"/>
      <c r="I317" s="210"/>
      <c r="J317" s="210"/>
      <c r="K317" s="210"/>
      <c r="L317" s="210"/>
      <c r="M317" s="210"/>
      <c r="N317" s="210"/>
      <c r="O317" s="210"/>
      <c r="P317" s="210"/>
      <c r="Q317" s="210"/>
      <c r="R317" s="210"/>
      <c r="S317" s="210"/>
      <c r="T317" s="210"/>
      <c r="U317" s="210"/>
      <c r="V317" s="210"/>
      <c r="W317" s="210"/>
      <c r="X317" s="210"/>
      <c r="Y317" s="210"/>
      <c r="Z317" s="210"/>
      <c r="AA317" s="210"/>
      <c r="AB317" s="210"/>
      <c r="AC317" s="210"/>
      <c r="AI317" s="210"/>
      <c r="AJ317" s="210"/>
    </row>
    <row r="318" ht="12.75" customHeight="1">
      <c r="C318" s="210"/>
      <c r="D318" s="210"/>
      <c r="E318" s="210"/>
      <c r="F318" s="210"/>
      <c r="G318" s="210"/>
      <c r="H318" s="210"/>
      <c r="I318" s="210"/>
      <c r="J318" s="210"/>
      <c r="K318" s="210"/>
      <c r="L318" s="210"/>
      <c r="M318" s="210"/>
      <c r="N318" s="210"/>
      <c r="O318" s="210"/>
      <c r="P318" s="210"/>
      <c r="Q318" s="210"/>
      <c r="R318" s="210"/>
      <c r="S318" s="210"/>
      <c r="T318" s="210"/>
      <c r="U318" s="210"/>
      <c r="V318" s="210"/>
      <c r="W318" s="210"/>
      <c r="X318" s="210"/>
      <c r="Y318" s="210"/>
      <c r="Z318" s="210"/>
      <c r="AA318" s="210"/>
      <c r="AB318" s="210"/>
      <c r="AC318" s="210"/>
      <c r="AI318" s="210"/>
      <c r="AJ318" s="210"/>
    </row>
    <row r="319" ht="12.75" customHeight="1">
      <c r="C319" s="210"/>
      <c r="D319" s="210"/>
      <c r="E319" s="210"/>
      <c r="F319" s="210"/>
      <c r="G319" s="210"/>
      <c r="H319" s="210"/>
      <c r="I319" s="210"/>
      <c r="J319" s="210"/>
      <c r="K319" s="210"/>
      <c r="L319" s="210"/>
      <c r="M319" s="210"/>
      <c r="N319" s="210"/>
      <c r="O319" s="210"/>
      <c r="P319" s="210"/>
      <c r="Q319" s="210"/>
      <c r="R319" s="210"/>
      <c r="S319" s="210"/>
      <c r="T319" s="210"/>
      <c r="U319" s="210"/>
      <c r="V319" s="210"/>
      <c r="W319" s="210"/>
      <c r="X319" s="210"/>
      <c r="Y319" s="210"/>
      <c r="Z319" s="210"/>
      <c r="AA319" s="210"/>
      <c r="AB319" s="210"/>
      <c r="AC319" s="210"/>
      <c r="AI319" s="210"/>
      <c r="AJ319" s="210"/>
    </row>
    <row r="320" ht="12.75" customHeight="1">
      <c r="C320" s="210"/>
      <c r="D320" s="210"/>
      <c r="E320" s="210"/>
      <c r="F320" s="210"/>
      <c r="G320" s="210"/>
      <c r="H320" s="210"/>
      <c r="I320" s="210"/>
      <c r="J320" s="210"/>
      <c r="K320" s="210"/>
      <c r="L320" s="210"/>
      <c r="M320" s="210"/>
      <c r="N320" s="210"/>
      <c r="O320" s="210"/>
      <c r="P320" s="210"/>
      <c r="Q320" s="210"/>
      <c r="R320" s="210"/>
      <c r="S320" s="210"/>
      <c r="T320" s="210"/>
      <c r="U320" s="210"/>
      <c r="V320" s="210"/>
      <c r="W320" s="210"/>
      <c r="X320" s="210"/>
      <c r="Y320" s="210"/>
      <c r="Z320" s="210"/>
      <c r="AA320" s="210"/>
      <c r="AB320" s="210"/>
      <c r="AC320" s="210"/>
      <c r="AI320" s="210"/>
      <c r="AJ320" s="210"/>
    </row>
    <row r="321" ht="12.75" customHeight="1">
      <c r="C321" s="210"/>
      <c r="D321" s="210"/>
      <c r="E321" s="210"/>
      <c r="F321" s="210"/>
      <c r="G321" s="210"/>
      <c r="H321" s="210"/>
      <c r="I321" s="210"/>
      <c r="J321" s="210"/>
      <c r="K321" s="210"/>
      <c r="L321" s="210"/>
      <c r="M321" s="210"/>
      <c r="N321" s="210"/>
      <c r="O321" s="210"/>
      <c r="P321" s="210"/>
      <c r="Q321" s="210"/>
      <c r="R321" s="210"/>
      <c r="S321" s="210"/>
      <c r="T321" s="210"/>
      <c r="U321" s="210"/>
      <c r="V321" s="210"/>
      <c r="W321" s="210"/>
      <c r="X321" s="210"/>
      <c r="Y321" s="210"/>
      <c r="Z321" s="210"/>
      <c r="AA321" s="210"/>
      <c r="AB321" s="210"/>
      <c r="AC321" s="210"/>
      <c r="AI321" s="210"/>
      <c r="AJ321" s="210"/>
    </row>
    <row r="322" ht="12.75" customHeight="1">
      <c r="C322" s="210"/>
      <c r="D322" s="210"/>
      <c r="E322" s="210"/>
      <c r="F322" s="210"/>
      <c r="G322" s="210"/>
      <c r="H322" s="210"/>
      <c r="I322" s="210"/>
      <c r="J322" s="210"/>
      <c r="K322" s="210"/>
      <c r="L322" s="210"/>
      <c r="M322" s="210"/>
      <c r="N322" s="210"/>
      <c r="O322" s="210"/>
      <c r="P322" s="210"/>
      <c r="Q322" s="210"/>
      <c r="R322" s="210"/>
      <c r="S322" s="210"/>
      <c r="T322" s="210"/>
      <c r="U322" s="210"/>
      <c r="V322" s="210"/>
      <c r="W322" s="210"/>
      <c r="X322" s="210"/>
      <c r="Y322" s="210"/>
      <c r="Z322" s="210"/>
      <c r="AA322" s="210"/>
      <c r="AB322" s="210"/>
      <c r="AC322" s="210"/>
      <c r="AI322" s="210"/>
      <c r="AJ322" s="210"/>
    </row>
    <row r="323" ht="12.75" customHeight="1">
      <c r="C323" s="210"/>
      <c r="D323" s="210"/>
      <c r="E323" s="210"/>
      <c r="F323" s="210"/>
      <c r="G323" s="210"/>
      <c r="H323" s="210"/>
      <c r="I323" s="210"/>
      <c r="J323" s="210"/>
      <c r="K323" s="210"/>
      <c r="L323" s="210"/>
      <c r="M323" s="210"/>
      <c r="N323" s="210"/>
      <c r="O323" s="210"/>
      <c r="P323" s="210"/>
      <c r="Q323" s="210"/>
      <c r="R323" s="210"/>
      <c r="S323" s="210"/>
      <c r="T323" s="210"/>
      <c r="U323" s="210"/>
      <c r="V323" s="210"/>
      <c r="W323" s="210"/>
      <c r="X323" s="210"/>
      <c r="Y323" s="210"/>
      <c r="Z323" s="210"/>
      <c r="AA323" s="210"/>
      <c r="AB323" s="210"/>
      <c r="AC323" s="210"/>
      <c r="AI323" s="210"/>
      <c r="AJ323" s="210"/>
    </row>
    <row r="324" ht="12.75" customHeight="1">
      <c r="C324" s="210"/>
      <c r="D324" s="210"/>
      <c r="E324" s="210"/>
      <c r="F324" s="210"/>
      <c r="G324" s="210"/>
      <c r="H324" s="210"/>
      <c r="I324" s="210"/>
      <c r="J324" s="210"/>
      <c r="K324" s="210"/>
      <c r="L324" s="210"/>
      <c r="M324" s="210"/>
      <c r="N324" s="210"/>
      <c r="O324" s="210"/>
      <c r="P324" s="210"/>
      <c r="Q324" s="210"/>
      <c r="R324" s="210"/>
      <c r="S324" s="210"/>
      <c r="T324" s="210"/>
      <c r="U324" s="210"/>
      <c r="V324" s="210"/>
      <c r="W324" s="210"/>
      <c r="X324" s="210"/>
      <c r="Y324" s="210"/>
      <c r="Z324" s="210"/>
      <c r="AA324" s="210"/>
      <c r="AB324" s="210"/>
      <c r="AC324" s="210"/>
      <c r="AI324" s="210"/>
      <c r="AJ324" s="210"/>
    </row>
    <row r="325" ht="12.75" customHeight="1">
      <c r="C325" s="210"/>
      <c r="D325" s="210"/>
      <c r="E325" s="210"/>
      <c r="F325" s="210"/>
      <c r="G325" s="210"/>
      <c r="H325" s="210"/>
      <c r="I325" s="210"/>
      <c r="J325" s="210"/>
      <c r="K325" s="210"/>
      <c r="L325" s="210"/>
      <c r="M325" s="210"/>
      <c r="N325" s="210"/>
      <c r="O325" s="210"/>
      <c r="P325" s="210"/>
      <c r="Q325" s="210"/>
      <c r="R325" s="210"/>
      <c r="S325" s="210"/>
      <c r="T325" s="210"/>
      <c r="U325" s="210"/>
      <c r="V325" s="210"/>
      <c r="W325" s="210"/>
      <c r="X325" s="210"/>
      <c r="Y325" s="210"/>
      <c r="Z325" s="210"/>
      <c r="AA325" s="210"/>
      <c r="AB325" s="210"/>
      <c r="AC325" s="210"/>
      <c r="AI325" s="210"/>
      <c r="AJ325" s="210"/>
    </row>
    <row r="326" ht="12.75" customHeight="1">
      <c r="C326" s="210"/>
      <c r="D326" s="210"/>
      <c r="E326" s="210"/>
      <c r="F326" s="210"/>
      <c r="G326" s="210"/>
      <c r="H326" s="210"/>
      <c r="I326" s="210"/>
      <c r="J326" s="210"/>
      <c r="K326" s="210"/>
      <c r="L326" s="210"/>
      <c r="M326" s="210"/>
      <c r="N326" s="210"/>
      <c r="O326" s="210"/>
      <c r="P326" s="210"/>
      <c r="Q326" s="210"/>
      <c r="R326" s="210"/>
      <c r="S326" s="210"/>
      <c r="T326" s="210"/>
      <c r="U326" s="210"/>
      <c r="V326" s="210"/>
      <c r="W326" s="210"/>
      <c r="X326" s="210"/>
      <c r="Y326" s="210"/>
      <c r="Z326" s="210"/>
      <c r="AA326" s="210"/>
      <c r="AB326" s="210"/>
      <c r="AC326" s="210"/>
      <c r="AI326" s="210"/>
      <c r="AJ326" s="210"/>
    </row>
    <row r="327" ht="12.75" customHeight="1">
      <c r="C327" s="210"/>
      <c r="D327" s="210"/>
      <c r="E327" s="210"/>
      <c r="F327" s="210"/>
      <c r="G327" s="210"/>
      <c r="H327" s="210"/>
      <c r="I327" s="210"/>
      <c r="J327" s="210"/>
      <c r="K327" s="210"/>
      <c r="L327" s="210"/>
      <c r="M327" s="210"/>
      <c r="N327" s="210"/>
      <c r="O327" s="210"/>
      <c r="P327" s="210"/>
      <c r="Q327" s="210"/>
      <c r="R327" s="210"/>
      <c r="S327" s="210"/>
      <c r="T327" s="210"/>
      <c r="U327" s="210"/>
      <c r="V327" s="210"/>
      <c r="W327" s="210"/>
      <c r="X327" s="210"/>
      <c r="Y327" s="210"/>
      <c r="Z327" s="210"/>
      <c r="AA327" s="210"/>
      <c r="AB327" s="210"/>
      <c r="AC327" s="210"/>
      <c r="AI327" s="210"/>
      <c r="AJ327" s="210"/>
    </row>
    <row r="328" ht="12.75" customHeight="1">
      <c r="C328" s="210"/>
      <c r="D328" s="210"/>
      <c r="E328" s="210"/>
      <c r="F328" s="210"/>
      <c r="G328" s="210"/>
      <c r="H328" s="210"/>
      <c r="I328" s="210"/>
      <c r="J328" s="210"/>
      <c r="K328" s="210"/>
      <c r="L328" s="210"/>
      <c r="M328" s="210"/>
      <c r="N328" s="210"/>
      <c r="O328" s="210"/>
      <c r="P328" s="210"/>
      <c r="Q328" s="210"/>
      <c r="R328" s="210"/>
      <c r="S328" s="210"/>
      <c r="T328" s="210"/>
      <c r="U328" s="210"/>
      <c r="V328" s="210"/>
      <c r="W328" s="210"/>
      <c r="X328" s="210"/>
      <c r="Y328" s="210"/>
      <c r="Z328" s="210"/>
      <c r="AA328" s="210"/>
      <c r="AB328" s="210"/>
      <c r="AC328" s="210"/>
      <c r="AI328" s="210"/>
      <c r="AJ328" s="210"/>
    </row>
    <row r="329" ht="12.75" customHeight="1">
      <c r="C329" s="210"/>
      <c r="D329" s="210"/>
      <c r="E329" s="210"/>
      <c r="F329" s="210"/>
      <c r="G329" s="210"/>
      <c r="H329" s="210"/>
      <c r="I329" s="210"/>
      <c r="J329" s="210"/>
      <c r="K329" s="210"/>
      <c r="L329" s="210"/>
      <c r="M329" s="210"/>
      <c r="N329" s="210"/>
      <c r="O329" s="210"/>
      <c r="P329" s="210"/>
      <c r="Q329" s="210"/>
      <c r="R329" s="210"/>
      <c r="S329" s="210"/>
      <c r="T329" s="210"/>
      <c r="U329" s="210"/>
      <c r="V329" s="210"/>
      <c r="W329" s="210"/>
      <c r="X329" s="210"/>
      <c r="Y329" s="210"/>
      <c r="Z329" s="210"/>
      <c r="AA329" s="210"/>
      <c r="AB329" s="210"/>
      <c r="AC329" s="210"/>
      <c r="AI329" s="210"/>
      <c r="AJ329" s="210"/>
    </row>
    <row r="330" ht="12.75" customHeight="1">
      <c r="C330" s="210"/>
      <c r="D330" s="210"/>
      <c r="E330" s="210"/>
      <c r="F330" s="210"/>
      <c r="G330" s="210"/>
      <c r="H330" s="210"/>
      <c r="I330" s="210"/>
      <c r="J330" s="210"/>
      <c r="K330" s="210"/>
      <c r="L330" s="210"/>
      <c r="M330" s="210"/>
      <c r="N330" s="210"/>
      <c r="O330" s="210"/>
      <c r="P330" s="210"/>
      <c r="Q330" s="210"/>
      <c r="R330" s="210"/>
      <c r="S330" s="210"/>
      <c r="T330" s="210"/>
      <c r="U330" s="210"/>
      <c r="V330" s="210"/>
      <c r="W330" s="210"/>
      <c r="X330" s="210"/>
      <c r="Y330" s="210"/>
      <c r="Z330" s="210"/>
      <c r="AA330" s="210"/>
      <c r="AB330" s="210"/>
      <c r="AC330" s="210"/>
      <c r="AI330" s="210"/>
      <c r="AJ330" s="210"/>
    </row>
    <row r="331" ht="12.75" customHeight="1">
      <c r="C331" s="210"/>
      <c r="D331" s="210"/>
      <c r="E331" s="210"/>
      <c r="F331" s="210"/>
      <c r="G331" s="210"/>
      <c r="H331" s="210"/>
      <c r="I331" s="210"/>
      <c r="J331" s="210"/>
      <c r="K331" s="210"/>
      <c r="L331" s="210"/>
      <c r="M331" s="210"/>
      <c r="N331" s="210"/>
      <c r="O331" s="210"/>
      <c r="P331" s="210"/>
      <c r="Q331" s="210"/>
      <c r="R331" s="210"/>
      <c r="S331" s="210"/>
      <c r="T331" s="210"/>
      <c r="U331" s="210"/>
      <c r="V331" s="210"/>
      <c r="W331" s="210"/>
      <c r="X331" s="210"/>
      <c r="Y331" s="210"/>
      <c r="Z331" s="210"/>
      <c r="AA331" s="210"/>
      <c r="AB331" s="210"/>
      <c r="AC331" s="210"/>
      <c r="AI331" s="210"/>
      <c r="AJ331" s="210"/>
    </row>
    <row r="332" ht="12.75" customHeight="1">
      <c r="C332" s="210"/>
      <c r="D332" s="210"/>
      <c r="E332" s="210"/>
      <c r="F332" s="210"/>
      <c r="G332" s="210"/>
      <c r="H332" s="210"/>
      <c r="I332" s="210"/>
      <c r="J332" s="210"/>
      <c r="K332" s="210"/>
      <c r="L332" s="210"/>
      <c r="M332" s="210"/>
      <c r="N332" s="210"/>
      <c r="O332" s="210"/>
      <c r="P332" s="210"/>
      <c r="Q332" s="210"/>
      <c r="R332" s="210"/>
      <c r="S332" s="210"/>
      <c r="T332" s="210"/>
      <c r="U332" s="210"/>
      <c r="V332" s="210"/>
      <c r="W332" s="210"/>
      <c r="X332" s="210"/>
      <c r="Y332" s="210"/>
      <c r="Z332" s="210"/>
      <c r="AA332" s="210"/>
      <c r="AB332" s="210"/>
      <c r="AC332" s="210"/>
      <c r="AI332" s="210"/>
      <c r="AJ332" s="210"/>
    </row>
    <row r="333" ht="12.75" customHeight="1">
      <c r="C333" s="210"/>
      <c r="D333" s="210"/>
      <c r="E333" s="210"/>
      <c r="F333" s="210"/>
      <c r="G333" s="210"/>
      <c r="H333" s="210"/>
      <c r="I333" s="210"/>
      <c r="J333" s="210"/>
      <c r="K333" s="210"/>
      <c r="L333" s="210"/>
      <c r="M333" s="210"/>
      <c r="N333" s="210"/>
      <c r="O333" s="210"/>
      <c r="P333" s="210"/>
      <c r="Q333" s="210"/>
      <c r="R333" s="210"/>
      <c r="S333" s="210"/>
      <c r="T333" s="210"/>
      <c r="U333" s="210"/>
      <c r="V333" s="210"/>
      <c r="W333" s="210"/>
      <c r="X333" s="210"/>
      <c r="Y333" s="210"/>
      <c r="Z333" s="210"/>
      <c r="AA333" s="210"/>
      <c r="AB333" s="210"/>
      <c r="AC333" s="210"/>
      <c r="AI333" s="210"/>
      <c r="AJ333" s="210"/>
    </row>
    <row r="334" ht="12.75" customHeight="1">
      <c r="C334" s="210"/>
      <c r="D334" s="210"/>
      <c r="E334" s="210"/>
      <c r="F334" s="210"/>
      <c r="G334" s="210"/>
      <c r="H334" s="210"/>
      <c r="I334" s="210"/>
      <c r="J334" s="210"/>
      <c r="K334" s="210"/>
      <c r="L334" s="210"/>
      <c r="M334" s="210"/>
      <c r="N334" s="210"/>
      <c r="O334" s="210"/>
      <c r="P334" s="210"/>
      <c r="Q334" s="210"/>
      <c r="R334" s="210"/>
      <c r="S334" s="210"/>
      <c r="T334" s="210"/>
      <c r="U334" s="210"/>
      <c r="V334" s="210"/>
      <c r="W334" s="210"/>
      <c r="X334" s="210"/>
      <c r="Y334" s="210"/>
      <c r="Z334" s="210"/>
      <c r="AA334" s="210"/>
      <c r="AB334" s="210"/>
      <c r="AC334" s="210"/>
      <c r="AI334" s="210"/>
      <c r="AJ334" s="210"/>
    </row>
    <row r="335" ht="12.75" customHeight="1">
      <c r="C335" s="210"/>
      <c r="D335" s="210"/>
      <c r="E335" s="210"/>
      <c r="F335" s="210"/>
      <c r="G335" s="210"/>
      <c r="H335" s="210"/>
      <c r="I335" s="210"/>
      <c r="J335" s="210"/>
      <c r="K335" s="210"/>
      <c r="L335" s="210"/>
      <c r="M335" s="210"/>
      <c r="N335" s="210"/>
      <c r="O335" s="210"/>
      <c r="P335" s="210"/>
      <c r="Q335" s="210"/>
      <c r="R335" s="210"/>
      <c r="S335" s="210"/>
      <c r="T335" s="210"/>
      <c r="U335" s="210"/>
      <c r="V335" s="210"/>
      <c r="W335" s="210"/>
      <c r="X335" s="210"/>
      <c r="Y335" s="210"/>
      <c r="Z335" s="210"/>
      <c r="AA335" s="210"/>
      <c r="AB335" s="210"/>
      <c r="AC335" s="210"/>
      <c r="AI335" s="210"/>
      <c r="AJ335" s="210"/>
    </row>
    <row r="336" ht="12.75" customHeight="1">
      <c r="C336" s="210"/>
      <c r="D336" s="210"/>
      <c r="E336" s="210"/>
      <c r="F336" s="210"/>
      <c r="G336" s="210"/>
      <c r="H336" s="210"/>
      <c r="I336" s="210"/>
      <c r="J336" s="210"/>
      <c r="K336" s="210"/>
      <c r="L336" s="210"/>
      <c r="M336" s="210"/>
      <c r="N336" s="210"/>
      <c r="O336" s="210"/>
      <c r="P336" s="210"/>
      <c r="Q336" s="210"/>
      <c r="R336" s="210"/>
      <c r="S336" s="210"/>
      <c r="T336" s="210"/>
      <c r="U336" s="210"/>
      <c r="V336" s="210"/>
      <c r="W336" s="210"/>
      <c r="X336" s="210"/>
      <c r="Y336" s="210"/>
      <c r="Z336" s="210"/>
      <c r="AA336" s="210"/>
      <c r="AB336" s="210"/>
      <c r="AC336" s="210"/>
      <c r="AI336" s="210"/>
      <c r="AJ336" s="210"/>
    </row>
    <row r="337" ht="12.75" customHeight="1">
      <c r="C337" s="210"/>
      <c r="D337" s="210"/>
      <c r="E337" s="210"/>
      <c r="F337" s="210"/>
      <c r="G337" s="210"/>
      <c r="H337" s="210"/>
      <c r="I337" s="210"/>
      <c r="J337" s="210"/>
      <c r="K337" s="210"/>
      <c r="L337" s="210"/>
      <c r="M337" s="210"/>
      <c r="N337" s="210"/>
      <c r="O337" s="210"/>
      <c r="P337" s="210"/>
      <c r="Q337" s="210"/>
      <c r="R337" s="210"/>
      <c r="S337" s="210"/>
      <c r="T337" s="210"/>
      <c r="U337" s="210"/>
      <c r="V337" s="210"/>
      <c r="W337" s="210"/>
      <c r="X337" s="210"/>
      <c r="Y337" s="210"/>
      <c r="Z337" s="210"/>
      <c r="AA337" s="210"/>
      <c r="AB337" s="210"/>
      <c r="AC337" s="210"/>
      <c r="AI337" s="210"/>
      <c r="AJ337" s="210"/>
    </row>
    <row r="338" ht="12.75" customHeight="1">
      <c r="C338" s="210"/>
      <c r="D338" s="210"/>
      <c r="E338" s="210"/>
      <c r="F338" s="210"/>
      <c r="G338" s="210"/>
      <c r="H338" s="210"/>
      <c r="I338" s="210"/>
      <c r="J338" s="210"/>
      <c r="K338" s="210"/>
      <c r="L338" s="210"/>
      <c r="M338" s="210"/>
      <c r="N338" s="210"/>
      <c r="O338" s="210"/>
      <c r="P338" s="210"/>
      <c r="Q338" s="210"/>
      <c r="R338" s="210"/>
      <c r="S338" s="210"/>
      <c r="T338" s="210"/>
      <c r="U338" s="210"/>
      <c r="V338" s="210"/>
      <c r="W338" s="210"/>
      <c r="X338" s="210"/>
      <c r="Y338" s="210"/>
      <c r="Z338" s="210"/>
      <c r="AA338" s="210"/>
      <c r="AB338" s="210"/>
      <c r="AC338" s="210"/>
      <c r="AI338" s="210"/>
      <c r="AJ338" s="210"/>
    </row>
    <row r="339" ht="12.75" customHeight="1">
      <c r="C339" s="210"/>
      <c r="D339" s="210"/>
      <c r="E339" s="210"/>
      <c r="F339" s="210"/>
      <c r="G339" s="210"/>
      <c r="H339" s="210"/>
      <c r="I339" s="210"/>
      <c r="J339" s="210"/>
      <c r="K339" s="210"/>
      <c r="L339" s="210"/>
      <c r="M339" s="210"/>
      <c r="N339" s="210"/>
      <c r="O339" s="210"/>
      <c r="P339" s="210"/>
      <c r="Q339" s="210"/>
      <c r="R339" s="210"/>
      <c r="S339" s="210"/>
      <c r="T339" s="210"/>
      <c r="U339" s="210"/>
      <c r="V339" s="210"/>
      <c r="W339" s="210"/>
      <c r="X339" s="210"/>
      <c r="Y339" s="210"/>
      <c r="Z339" s="210"/>
      <c r="AA339" s="210"/>
      <c r="AB339" s="210"/>
      <c r="AC339" s="210"/>
      <c r="AI339" s="210"/>
      <c r="AJ339" s="210"/>
    </row>
    <row r="340" ht="12.75" customHeight="1">
      <c r="C340" s="210"/>
      <c r="D340" s="210"/>
      <c r="E340" s="210"/>
      <c r="F340" s="210"/>
      <c r="G340" s="210"/>
      <c r="H340" s="210"/>
      <c r="I340" s="210"/>
      <c r="J340" s="210"/>
      <c r="K340" s="210"/>
      <c r="L340" s="210"/>
      <c r="M340" s="210"/>
      <c r="N340" s="210"/>
      <c r="O340" s="210"/>
      <c r="P340" s="210"/>
      <c r="Q340" s="210"/>
      <c r="R340" s="210"/>
      <c r="S340" s="210"/>
      <c r="T340" s="210"/>
      <c r="U340" s="210"/>
      <c r="V340" s="210"/>
      <c r="W340" s="210"/>
      <c r="X340" s="210"/>
      <c r="Y340" s="210"/>
      <c r="Z340" s="210"/>
      <c r="AA340" s="210"/>
      <c r="AB340" s="210"/>
      <c r="AC340" s="210"/>
      <c r="AI340" s="210"/>
      <c r="AJ340" s="210"/>
    </row>
    <row r="341" ht="12.75" customHeight="1">
      <c r="C341" s="210"/>
      <c r="D341" s="210"/>
      <c r="E341" s="210"/>
      <c r="F341" s="210"/>
      <c r="G341" s="210"/>
      <c r="H341" s="210"/>
      <c r="I341" s="210"/>
      <c r="J341" s="210"/>
      <c r="K341" s="210"/>
      <c r="L341" s="210"/>
      <c r="M341" s="210"/>
      <c r="N341" s="210"/>
      <c r="O341" s="210"/>
      <c r="P341" s="210"/>
      <c r="Q341" s="210"/>
      <c r="R341" s="210"/>
      <c r="S341" s="210"/>
      <c r="T341" s="210"/>
      <c r="U341" s="210"/>
      <c r="V341" s="210"/>
      <c r="W341" s="210"/>
      <c r="X341" s="210"/>
      <c r="Y341" s="210"/>
      <c r="Z341" s="210"/>
      <c r="AA341" s="210"/>
      <c r="AB341" s="210"/>
      <c r="AC341" s="210"/>
      <c r="AI341" s="210"/>
      <c r="AJ341" s="210"/>
    </row>
    <row r="342" ht="12.75" customHeight="1">
      <c r="C342" s="210"/>
      <c r="D342" s="210"/>
      <c r="E342" s="210"/>
      <c r="F342" s="210"/>
      <c r="G342" s="210"/>
      <c r="H342" s="210"/>
      <c r="I342" s="210"/>
      <c r="J342" s="210"/>
      <c r="K342" s="210"/>
      <c r="L342" s="210"/>
      <c r="M342" s="210"/>
      <c r="N342" s="210"/>
      <c r="O342" s="210"/>
      <c r="P342" s="210"/>
      <c r="Q342" s="210"/>
      <c r="R342" s="210"/>
      <c r="S342" s="210"/>
      <c r="T342" s="210"/>
      <c r="U342" s="210"/>
      <c r="V342" s="210"/>
      <c r="W342" s="210"/>
      <c r="X342" s="210"/>
      <c r="Y342" s="210"/>
      <c r="Z342" s="210"/>
      <c r="AA342" s="210"/>
      <c r="AB342" s="210"/>
      <c r="AC342" s="210"/>
      <c r="AI342" s="210"/>
      <c r="AJ342" s="210"/>
    </row>
    <row r="343" ht="12.75" customHeight="1">
      <c r="C343" s="210"/>
      <c r="D343" s="210"/>
      <c r="E343" s="210"/>
      <c r="F343" s="210"/>
      <c r="G343" s="210"/>
      <c r="H343" s="210"/>
      <c r="I343" s="210"/>
      <c r="J343" s="210"/>
      <c r="K343" s="210"/>
      <c r="L343" s="210"/>
      <c r="M343" s="210"/>
      <c r="N343" s="210"/>
      <c r="O343" s="210"/>
      <c r="P343" s="210"/>
      <c r="Q343" s="210"/>
      <c r="R343" s="210"/>
      <c r="S343" s="210"/>
      <c r="T343" s="210"/>
      <c r="U343" s="210"/>
      <c r="V343" s="210"/>
      <c r="W343" s="210"/>
      <c r="X343" s="210"/>
      <c r="Y343" s="210"/>
      <c r="Z343" s="210"/>
      <c r="AA343" s="210"/>
      <c r="AB343" s="210"/>
      <c r="AC343" s="210"/>
      <c r="AI343" s="210"/>
      <c r="AJ343" s="210"/>
    </row>
    <row r="344" ht="12.75" customHeight="1">
      <c r="C344" s="210"/>
      <c r="D344" s="210"/>
      <c r="E344" s="210"/>
      <c r="F344" s="210"/>
      <c r="G344" s="210"/>
      <c r="H344" s="210"/>
      <c r="I344" s="210"/>
      <c r="J344" s="210"/>
      <c r="K344" s="210"/>
      <c r="L344" s="210"/>
      <c r="M344" s="210"/>
      <c r="N344" s="210"/>
      <c r="O344" s="210"/>
      <c r="P344" s="210"/>
      <c r="Q344" s="210"/>
      <c r="R344" s="210"/>
      <c r="S344" s="210"/>
      <c r="T344" s="210"/>
      <c r="U344" s="210"/>
      <c r="V344" s="210"/>
      <c r="W344" s="210"/>
      <c r="X344" s="210"/>
      <c r="Y344" s="210"/>
      <c r="Z344" s="210"/>
      <c r="AA344" s="210"/>
      <c r="AB344" s="210"/>
      <c r="AC344" s="210"/>
      <c r="AI344" s="210"/>
      <c r="AJ344" s="210"/>
    </row>
    <row r="345" ht="12.75" customHeight="1">
      <c r="C345" s="210"/>
      <c r="D345" s="210"/>
      <c r="E345" s="210"/>
      <c r="F345" s="210"/>
      <c r="G345" s="210"/>
      <c r="H345" s="210"/>
      <c r="I345" s="210"/>
      <c r="J345" s="210"/>
      <c r="K345" s="210"/>
      <c r="L345" s="210"/>
      <c r="M345" s="210"/>
      <c r="N345" s="210"/>
      <c r="O345" s="210"/>
      <c r="P345" s="210"/>
      <c r="Q345" s="210"/>
      <c r="R345" s="210"/>
      <c r="S345" s="210"/>
      <c r="T345" s="210"/>
      <c r="U345" s="210"/>
      <c r="V345" s="210"/>
      <c r="W345" s="210"/>
      <c r="X345" s="210"/>
      <c r="Y345" s="210"/>
      <c r="Z345" s="210"/>
      <c r="AA345" s="210"/>
      <c r="AB345" s="210"/>
      <c r="AC345" s="210"/>
      <c r="AI345" s="210"/>
      <c r="AJ345" s="210"/>
    </row>
    <row r="346" ht="12.75" customHeight="1">
      <c r="C346" s="210"/>
      <c r="D346" s="210"/>
      <c r="E346" s="210"/>
      <c r="F346" s="210"/>
      <c r="G346" s="210"/>
      <c r="H346" s="210"/>
      <c r="I346" s="210"/>
      <c r="J346" s="210"/>
      <c r="K346" s="210"/>
      <c r="L346" s="210"/>
      <c r="M346" s="210"/>
      <c r="N346" s="210"/>
      <c r="O346" s="210"/>
      <c r="P346" s="210"/>
      <c r="Q346" s="210"/>
      <c r="R346" s="210"/>
      <c r="S346" s="210"/>
      <c r="T346" s="210"/>
      <c r="U346" s="210"/>
      <c r="V346" s="210"/>
      <c r="W346" s="210"/>
      <c r="X346" s="210"/>
      <c r="Y346" s="210"/>
      <c r="Z346" s="210"/>
      <c r="AA346" s="210"/>
      <c r="AB346" s="210"/>
      <c r="AC346" s="210"/>
      <c r="AI346" s="210"/>
      <c r="AJ346" s="210"/>
    </row>
    <row r="347" ht="12.75" customHeight="1">
      <c r="C347" s="210"/>
      <c r="D347" s="210"/>
      <c r="E347" s="210"/>
      <c r="F347" s="210"/>
      <c r="G347" s="210"/>
      <c r="H347" s="210"/>
      <c r="I347" s="210"/>
      <c r="J347" s="210"/>
      <c r="K347" s="210"/>
      <c r="L347" s="210"/>
      <c r="M347" s="210"/>
      <c r="N347" s="210"/>
      <c r="O347" s="210"/>
      <c r="P347" s="210"/>
      <c r="Q347" s="210"/>
      <c r="R347" s="210"/>
      <c r="S347" s="210"/>
      <c r="T347" s="210"/>
      <c r="U347" s="210"/>
      <c r="V347" s="210"/>
      <c r="W347" s="210"/>
      <c r="X347" s="210"/>
      <c r="Y347" s="210"/>
      <c r="Z347" s="210"/>
      <c r="AA347" s="210"/>
      <c r="AB347" s="210"/>
      <c r="AC347" s="210"/>
      <c r="AI347" s="210"/>
      <c r="AJ347" s="210"/>
    </row>
    <row r="348" ht="12.75" customHeight="1">
      <c r="C348" s="210"/>
      <c r="D348" s="210"/>
      <c r="E348" s="210"/>
      <c r="F348" s="210"/>
      <c r="G348" s="210"/>
      <c r="H348" s="210"/>
      <c r="I348" s="210"/>
      <c r="J348" s="210"/>
      <c r="K348" s="210"/>
      <c r="L348" s="210"/>
      <c r="M348" s="210"/>
      <c r="N348" s="210"/>
      <c r="O348" s="210"/>
      <c r="P348" s="210"/>
      <c r="Q348" s="210"/>
      <c r="R348" s="210"/>
      <c r="S348" s="210"/>
      <c r="T348" s="210"/>
      <c r="U348" s="210"/>
      <c r="V348" s="210"/>
      <c r="W348" s="210"/>
      <c r="X348" s="210"/>
      <c r="Y348" s="210"/>
      <c r="Z348" s="210"/>
      <c r="AA348" s="210"/>
      <c r="AB348" s="210"/>
      <c r="AC348" s="210"/>
      <c r="AI348" s="210"/>
      <c r="AJ348" s="210"/>
    </row>
    <row r="349" ht="12.75" customHeight="1">
      <c r="C349" s="210"/>
      <c r="D349" s="210"/>
      <c r="E349" s="210"/>
      <c r="F349" s="210"/>
      <c r="G349" s="210"/>
      <c r="H349" s="210"/>
      <c r="I349" s="210"/>
      <c r="J349" s="210"/>
      <c r="K349" s="210"/>
      <c r="L349" s="210"/>
      <c r="M349" s="210"/>
      <c r="N349" s="210"/>
      <c r="O349" s="210"/>
      <c r="P349" s="210"/>
      <c r="Q349" s="210"/>
      <c r="R349" s="210"/>
      <c r="S349" s="210"/>
      <c r="T349" s="210"/>
      <c r="U349" s="210"/>
      <c r="V349" s="210"/>
      <c r="W349" s="210"/>
      <c r="X349" s="210"/>
      <c r="Y349" s="210"/>
      <c r="Z349" s="210"/>
      <c r="AA349" s="210"/>
      <c r="AB349" s="210"/>
      <c r="AC349" s="210"/>
      <c r="AI349" s="210"/>
      <c r="AJ349" s="210"/>
    </row>
    <row r="350" ht="12.75" customHeight="1">
      <c r="C350" s="210"/>
      <c r="D350" s="210"/>
      <c r="E350" s="210"/>
      <c r="F350" s="210"/>
      <c r="G350" s="210"/>
      <c r="H350" s="210"/>
      <c r="I350" s="210"/>
      <c r="J350" s="210"/>
      <c r="K350" s="210"/>
      <c r="L350" s="210"/>
      <c r="M350" s="210"/>
      <c r="N350" s="210"/>
      <c r="O350" s="210"/>
      <c r="P350" s="210"/>
      <c r="Q350" s="210"/>
      <c r="R350" s="210"/>
      <c r="S350" s="210"/>
      <c r="T350" s="210"/>
      <c r="U350" s="210"/>
      <c r="V350" s="210"/>
      <c r="W350" s="210"/>
      <c r="X350" s="210"/>
      <c r="Y350" s="210"/>
      <c r="Z350" s="210"/>
      <c r="AA350" s="210"/>
      <c r="AB350" s="210"/>
      <c r="AC350" s="210"/>
      <c r="AI350" s="210"/>
      <c r="AJ350" s="210"/>
    </row>
    <row r="351" ht="12.75" customHeight="1">
      <c r="C351" s="210"/>
      <c r="D351" s="210"/>
      <c r="E351" s="210"/>
      <c r="F351" s="210"/>
      <c r="G351" s="210"/>
      <c r="H351" s="210"/>
      <c r="I351" s="210"/>
      <c r="J351" s="210"/>
      <c r="K351" s="210"/>
      <c r="L351" s="210"/>
      <c r="M351" s="210"/>
      <c r="N351" s="210"/>
      <c r="O351" s="210"/>
      <c r="P351" s="210"/>
      <c r="Q351" s="210"/>
      <c r="R351" s="210"/>
      <c r="S351" s="210"/>
      <c r="T351" s="210"/>
      <c r="U351" s="210"/>
      <c r="V351" s="210"/>
      <c r="W351" s="210"/>
      <c r="X351" s="210"/>
      <c r="Y351" s="210"/>
      <c r="Z351" s="210"/>
      <c r="AA351" s="210"/>
      <c r="AB351" s="210"/>
      <c r="AC351" s="210"/>
      <c r="AI351" s="210"/>
      <c r="AJ351" s="210"/>
    </row>
    <row r="352" ht="12.75" customHeight="1">
      <c r="C352" s="210"/>
      <c r="D352" s="210"/>
      <c r="E352" s="210"/>
      <c r="F352" s="210"/>
      <c r="G352" s="210"/>
      <c r="H352" s="210"/>
      <c r="I352" s="210"/>
      <c r="J352" s="210"/>
      <c r="K352" s="210"/>
      <c r="L352" s="210"/>
      <c r="M352" s="210"/>
      <c r="N352" s="210"/>
      <c r="O352" s="210"/>
      <c r="P352" s="210"/>
      <c r="Q352" s="210"/>
      <c r="R352" s="210"/>
      <c r="S352" s="210"/>
      <c r="T352" s="210"/>
      <c r="U352" s="210"/>
      <c r="V352" s="210"/>
      <c r="W352" s="210"/>
      <c r="X352" s="210"/>
      <c r="Y352" s="210"/>
      <c r="Z352" s="210"/>
      <c r="AA352" s="210"/>
      <c r="AB352" s="210"/>
      <c r="AC352" s="210"/>
      <c r="AI352" s="210"/>
      <c r="AJ352" s="210"/>
    </row>
    <row r="353" ht="12.75" customHeight="1">
      <c r="C353" s="210"/>
      <c r="D353" s="210"/>
      <c r="E353" s="210"/>
      <c r="F353" s="210"/>
      <c r="G353" s="210"/>
      <c r="H353" s="210"/>
      <c r="I353" s="210"/>
      <c r="J353" s="210"/>
      <c r="K353" s="210"/>
      <c r="L353" s="210"/>
      <c r="M353" s="210"/>
      <c r="N353" s="210"/>
      <c r="O353" s="210"/>
      <c r="P353" s="210"/>
      <c r="Q353" s="210"/>
      <c r="R353" s="210"/>
      <c r="S353" s="210"/>
      <c r="T353" s="210"/>
      <c r="U353" s="210"/>
      <c r="V353" s="210"/>
      <c r="W353" s="210"/>
      <c r="X353" s="210"/>
      <c r="Y353" s="210"/>
      <c r="Z353" s="210"/>
      <c r="AA353" s="210"/>
      <c r="AB353" s="210"/>
      <c r="AC353" s="210"/>
      <c r="AI353" s="210"/>
      <c r="AJ353" s="210"/>
    </row>
    <row r="354" ht="12.75" customHeight="1">
      <c r="C354" s="210"/>
      <c r="D354" s="210"/>
      <c r="E354" s="210"/>
      <c r="F354" s="210"/>
      <c r="G354" s="210"/>
      <c r="H354" s="210"/>
      <c r="I354" s="210"/>
      <c r="J354" s="210"/>
      <c r="K354" s="210"/>
      <c r="L354" s="210"/>
      <c r="M354" s="210"/>
      <c r="N354" s="210"/>
      <c r="O354" s="210"/>
      <c r="P354" s="210"/>
      <c r="Q354" s="210"/>
      <c r="R354" s="210"/>
      <c r="S354" s="210"/>
      <c r="T354" s="210"/>
      <c r="U354" s="210"/>
      <c r="V354" s="210"/>
      <c r="W354" s="210"/>
      <c r="X354" s="210"/>
      <c r="Y354" s="210"/>
      <c r="Z354" s="210"/>
      <c r="AA354" s="210"/>
      <c r="AB354" s="210"/>
      <c r="AC354" s="210"/>
      <c r="AI354" s="210"/>
      <c r="AJ354" s="210"/>
    </row>
    <row r="355" ht="12.75" customHeight="1">
      <c r="C355" s="210"/>
      <c r="D355" s="210"/>
      <c r="E355" s="210"/>
      <c r="F355" s="210"/>
      <c r="G355" s="210"/>
      <c r="H355" s="210"/>
      <c r="I355" s="210"/>
      <c r="J355" s="210"/>
      <c r="K355" s="210"/>
      <c r="L355" s="210"/>
      <c r="M355" s="210"/>
      <c r="N355" s="210"/>
      <c r="O355" s="210"/>
      <c r="P355" s="210"/>
      <c r="Q355" s="210"/>
      <c r="R355" s="210"/>
      <c r="S355" s="210"/>
      <c r="T355" s="210"/>
      <c r="U355" s="210"/>
      <c r="V355" s="210"/>
      <c r="W355" s="210"/>
      <c r="X355" s="210"/>
      <c r="Y355" s="210"/>
      <c r="Z355" s="210"/>
      <c r="AA355" s="210"/>
      <c r="AB355" s="210"/>
      <c r="AC355" s="210"/>
      <c r="AI355" s="210"/>
      <c r="AJ355" s="210"/>
    </row>
    <row r="356" ht="12.75" customHeight="1">
      <c r="C356" s="210"/>
      <c r="D356" s="210"/>
      <c r="E356" s="210"/>
      <c r="F356" s="210"/>
      <c r="G356" s="210"/>
      <c r="H356" s="210"/>
      <c r="I356" s="210"/>
      <c r="J356" s="210"/>
      <c r="K356" s="210"/>
      <c r="L356" s="210"/>
      <c r="M356" s="210"/>
      <c r="N356" s="210"/>
      <c r="O356" s="210"/>
      <c r="P356" s="210"/>
      <c r="Q356" s="210"/>
      <c r="R356" s="210"/>
      <c r="S356" s="210"/>
      <c r="T356" s="210"/>
      <c r="U356" s="210"/>
      <c r="V356" s="210"/>
      <c r="W356" s="210"/>
      <c r="X356" s="210"/>
      <c r="Y356" s="210"/>
      <c r="Z356" s="210"/>
      <c r="AA356" s="210"/>
      <c r="AB356" s="210"/>
      <c r="AC356" s="210"/>
      <c r="AI356" s="210"/>
      <c r="AJ356" s="210"/>
    </row>
    <row r="357" ht="12.75" customHeight="1">
      <c r="C357" s="210"/>
      <c r="D357" s="210"/>
      <c r="E357" s="210"/>
      <c r="F357" s="210"/>
      <c r="G357" s="210"/>
      <c r="H357" s="210"/>
      <c r="I357" s="210"/>
      <c r="J357" s="210"/>
      <c r="K357" s="210"/>
      <c r="L357" s="210"/>
      <c r="M357" s="210"/>
      <c r="N357" s="210"/>
      <c r="O357" s="210"/>
      <c r="P357" s="210"/>
      <c r="Q357" s="210"/>
      <c r="R357" s="210"/>
      <c r="S357" s="210"/>
      <c r="T357" s="210"/>
      <c r="U357" s="210"/>
      <c r="V357" s="210"/>
      <c r="W357" s="210"/>
      <c r="X357" s="210"/>
      <c r="Y357" s="210"/>
      <c r="Z357" s="210"/>
      <c r="AA357" s="210"/>
      <c r="AB357" s="210"/>
      <c r="AC357" s="210"/>
      <c r="AI357" s="210"/>
      <c r="AJ357" s="210"/>
    </row>
    <row r="358" ht="12.75" customHeight="1">
      <c r="C358" s="210"/>
      <c r="D358" s="210"/>
      <c r="E358" s="210"/>
      <c r="F358" s="210"/>
      <c r="G358" s="210"/>
      <c r="H358" s="210"/>
      <c r="I358" s="210"/>
      <c r="J358" s="210"/>
      <c r="K358" s="210"/>
      <c r="L358" s="210"/>
      <c r="M358" s="210"/>
      <c r="N358" s="210"/>
      <c r="O358" s="210"/>
      <c r="P358" s="210"/>
      <c r="Q358" s="210"/>
      <c r="R358" s="210"/>
      <c r="S358" s="210"/>
      <c r="T358" s="210"/>
      <c r="U358" s="210"/>
      <c r="V358" s="210"/>
      <c r="W358" s="210"/>
      <c r="X358" s="210"/>
      <c r="Y358" s="210"/>
      <c r="Z358" s="210"/>
      <c r="AA358" s="210"/>
      <c r="AB358" s="210"/>
      <c r="AC358" s="210"/>
      <c r="AI358" s="210"/>
      <c r="AJ358" s="210"/>
    </row>
    <row r="359" ht="12.75" customHeight="1">
      <c r="C359" s="210"/>
      <c r="D359" s="210"/>
      <c r="E359" s="210"/>
      <c r="F359" s="210"/>
      <c r="G359" s="210"/>
      <c r="H359" s="210"/>
      <c r="I359" s="210"/>
      <c r="J359" s="210"/>
      <c r="K359" s="210"/>
      <c r="L359" s="210"/>
      <c r="M359" s="210"/>
      <c r="N359" s="210"/>
      <c r="O359" s="210"/>
      <c r="P359" s="210"/>
      <c r="Q359" s="210"/>
      <c r="R359" s="210"/>
      <c r="S359" s="210"/>
      <c r="T359" s="210"/>
      <c r="U359" s="210"/>
      <c r="V359" s="210"/>
      <c r="W359" s="210"/>
      <c r="X359" s="210"/>
      <c r="Y359" s="210"/>
      <c r="Z359" s="210"/>
      <c r="AA359" s="210"/>
      <c r="AB359" s="210"/>
      <c r="AC359" s="210"/>
      <c r="AI359" s="210"/>
      <c r="AJ359" s="210"/>
    </row>
    <row r="360" ht="12.75" customHeight="1">
      <c r="C360" s="210"/>
      <c r="D360" s="210"/>
      <c r="E360" s="210"/>
      <c r="F360" s="210"/>
      <c r="G360" s="210"/>
      <c r="H360" s="210"/>
      <c r="I360" s="210"/>
      <c r="J360" s="210"/>
      <c r="K360" s="210"/>
      <c r="L360" s="210"/>
      <c r="M360" s="210"/>
      <c r="N360" s="210"/>
      <c r="O360" s="210"/>
      <c r="P360" s="210"/>
      <c r="Q360" s="210"/>
      <c r="R360" s="210"/>
      <c r="S360" s="210"/>
      <c r="T360" s="210"/>
      <c r="U360" s="210"/>
      <c r="V360" s="210"/>
      <c r="W360" s="210"/>
      <c r="X360" s="210"/>
      <c r="Y360" s="210"/>
      <c r="Z360" s="210"/>
      <c r="AA360" s="210"/>
      <c r="AB360" s="210"/>
      <c r="AC360" s="210"/>
      <c r="AI360" s="210"/>
      <c r="AJ360" s="210"/>
    </row>
    <row r="361" ht="12.75" customHeight="1">
      <c r="C361" s="210"/>
      <c r="D361" s="210"/>
      <c r="E361" s="210"/>
      <c r="F361" s="210"/>
      <c r="G361" s="210"/>
      <c r="H361" s="210"/>
      <c r="I361" s="210"/>
      <c r="J361" s="210"/>
      <c r="K361" s="210"/>
      <c r="L361" s="210"/>
      <c r="M361" s="210"/>
      <c r="N361" s="210"/>
      <c r="O361" s="210"/>
      <c r="P361" s="210"/>
      <c r="Q361" s="210"/>
      <c r="R361" s="210"/>
      <c r="S361" s="210"/>
      <c r="T361" s="210"/>
      <c r="U361" s="210"/>
      <c r="V361" s="210"/>
      <c r="W361" s="210"/>
      <c r="X361" s="210"/>
      <c r="Y361" s="210"/>
      <c r="Z361" s="210"/>
      <c r="AA361" s="210"/>
      <c r="AB361" s="210"/>
      <c r="AC361" s="210"/>
      <c r="AI361" s="210"/>
      <c r="AJ361" s="210"/>
    </row>
    <row r="362" ht="12.75" customHeight="1">
      <c r="C362" s="210"/>
      <c r="D362" s="210"/>
      <c r="E362" s="210"/>
      <c r="F362" s="210"/>
      <c r="G362" s="210"/>
      <c r="H362" s="210"/>
      <c r="I362" s="210"/>
      <c r="J362" s="210"/>
      <c r="K362" s="210"/>
      <c r="L362" s="210"/>
      <c r="M362" s="210"/>
      <c r="N362" s="210"/>
      <c r="O362" s="210"/>
      <c r="P362" s="210"/>
      <c r="Q362" s="210"/>
      <c r="R362" s="210"/>
      <c r="S362" s="210"/>
      <c r="T362" s="210"/>
      <c r="U362" s="210"/>
      <c r="V362" s="210"/>
      <c r="W362" s="210"/>
      <c r="X362" s="210"/>
      <c r="Y362" s="210"/>
      <c r="Z362" s="210"/>
      <c r="AA362" s="210"/>
      <c r="AB362" s="210"/>
      <c r="AC362" s="210"/>
      <c r="AI362" s="210"/>
      <c r="AJ362" s="210"/>
    </row>
    <row r="363" ht="12.75" customHeight="1">
      <c r="C363" s="210"/>
      <c r="D363" s="210"/>
      <c r="E363" s="210"/>
      <c r="F363" s="210"/>
      <c r="G363" s="210"/>
      <c r="H363" s="210"/>
      <c r="I363" s="210"/>
      <c r="J363" s="210"/>
      <c r="K363" s="210"/>
      <c r="L363" s="210"/>
      <c r="M363" s="210"/>
      <c r="N363" s="210"/>
      <c r="O363" s="210"/>
      <c r="P363" s="210"/>
      <c r="Q363" s="210"/>
      <c r="R363" s="210"/>
      <c r="S363" s="210"/>
      <c r="T363" s="210"/>
      <c r="U363" s="210"/>
      <c r="V363" s="210"/>
      <c r="W363" s="210"/>
      <c r="X363" s="210"/>
      <c r="Y363" s="210"/>
      <c r="Z363" s="210"/>
      <c r="AA363" s="210"/>
      <c r="AB363" s="210"/>
      <c r="AC363" s="210"/>
      <c r="AI363" s="210"/>
      <c r="AJ363" s="210"/>
    </row>
    <row r="364" ht="12.75" customHeight="1">
      <c r="C364" s="210"/>
      <c r="D364" s="210"/>
      <c r="E364" s="210"/>
      <c r="F364" s="210"/>
      <c r="G364" s="210"/>
      <c r="H364" s="210"/>
      <c r="I364" s="210"/>
      <c r="J364" s="210"/>
      <c r="K364" s="210"/>
      <c r="L364" s="210"/>
      <c r="M364" s="210"/>
      <c r="N364" s="210"/>
      <c r="O364" s="210"/>
      <c r="P364" s="210"/>
      <c r="Q364" s="210"/>
      <c r="R364" s="210"/>
      <c r="S364" s="210"/>
      <c r="T364" s="210"/>
      <c r="U364" s="210"/>
      <c r="V364" s="210"/>
      <c r="W364" s="210"/>
      <c r="X364" s="210"/>
      <c r="Y364" s="210"/>
      <c r="Z364" s="210"/>
      <c r="AA364" s="210"/>
      <c r="AB364" s="210"/>
      <c r="AC364" s="210"/>
      <c r="AI364" s="210"/>
      <c r="AJ364" s="210"/>
    </row>
    <row r="365" ht="12.75" customHeight="1">
      <c r="C365" s="210"/>
      <c r="D365" s="210"/>
      <c r="E365" s="210"/>
      <c r="F365" s="210"/>
      <c r="G365" s="210"/>
      <c r="H365" s="210"/>
      <c r="I365" s="210"/>
      <c r="J365" s="210"/>
      <c r="K365" s="210"/>
      <c r="L365" s="210"/>
      <c r="M365" s="210"/>
      <c r="N365" s="210"/>
      <c r="O365" s="210"/>
      <c r="P365" s="210"/>
      <c r="Q365" s="210"/>
      <c r="R365" s="210"/>
      <c r="S365" s="210"/>
      <c r="T365" s="210"/>
      <c r="U365" s="210"/>
      <c r="V365" s="210"/>
      <c r="W365" s="210"/>
      <c r="X365" s="210"/>
      <c r="Y365" s="210"/>
      <c r="Z365" s="210"/>
      <c r="AA365" s="210"/>
      <c r="AB365" s="210"/>
      <c r="AC365" s="210"/>
      <c r="AI365" s="210"/>
      <c r="AJ365" s="210"/>
    </row>
    <row r="366" ht="12.75" customHeight="1">
      <c r="C366" s="210"/>
      <c r="D366" s="210"/>
      <c r="E366" s="210"/>
      <c r="F366" s="210"/>
      <c r="G366" s="210"/>
      <c r="H366" s="210"/>
      <c r="I366" s="210"/>
      <c r="J366" s="210"/>
      <c r="K366" s="210"/>
      <c r="L366" s="210"/>
      <c r="M366" s="210"/>
      <c r="N366" s="210"/>
      <c r="O366" s="210"/>
      <c r="P366" s="210"/>
      <c r="Q366" s="210"/>
      <c r="R366" s="210"/>
      <c r="S366" s="210"/>
      <c r="T366" s="210"/>
      <c r="U366" s="210"/>
      <c r="V366" s="210"/>
      <c r="W366" s="210"/>
      <c r="X366" s="210"/>
      <c r="Y366" s="210"/>
      <c r="Z366" s="210"/>
      <c r="AA366" s="210"/>
      <c r="AB366" s="210"/>
      <c r="AC366" s="210"/>
      <c r="AI366" s="210"/>
      <c r="AJ366" s="210"/>
    </row>
    <row r="367" ht="12.75" customHeight="1">
      <c r="C367" s="210"/>
      <c r="D367" s="210"/>
      <c r="E367" s="210"/>
      <c r="F367" s="210"/>
      <c r="G367" s="210"/>
      <c r="H367" s="210"/>
      <c r="I367" s="210"/>
      <c r="J367" s="210"/>
      <c r="K367" s="210"/>
      <c r="L367" s="210"/>
      <c r="M367" s="210"/>
      <c r="N367" s="210"/>
      <c r="O367" s="210"/>
      <c r="P367" s="210"/>
      <c r="Q367" s="210"/>
      <c r="R367" s="210"/>
      <c r="S367" s="210"/>
      <c r="T367" s="210"/>
      <c r="U367" s="210"/>
      <c r="V367" s="210"/>
      <c r="W367" s="210"/>
      <c r="X367" s="210"/>
      <c r="Y367" s="210"/>
      <c r="Z367" s="210"/>
      <c r="AA367" s="210"/>
      <c r="AB367" s="210"/>
      <c r="AC367" s="210"/>
      <c r="AI367" s="210"/>
      <c r="AJ367" s="210"/>
    </row>
    <row r="368" ht="12.75" customHeight="1">
      <c r="C368" s="210"/>
      <c r="D368" s="210"/>
      <c r="E368" s="210"/>
      <c r="F368" s="210"/>
      <c r="G368" s="210"/>
      <c r="H368" s="210"/>
      <c r="I368" s="210"/>
      <c r="J368" s="210"/>
      <c r="K368" s="210"/>
      <c r="L368" s="210"/>
      <c r="M368" s="210"/>
      <c r="N368" s="210"/>
      <c r="O368" s="210"/>
      <c r="P368" s="210"/>
      <c r="Q368" s="210"/>
      <c r="R368" s="210"/>
      <c r="S368" s="210"/>
      <c r="T368" s="210"/>
      <c r="U368" s="210"/>
      <c r="V368" s="210"/>
      <c r="W368" s="210"/>
      <c r="X368" s="210"/>
      <c r="Y368" s="210"/>
      <c r="Z368" s="210"/>
      <c r="AA368" s="210"/>
      <c r="AB368" s="210"/>
      <c r="AC368" s="210"/>
      <c r="AI368" s="210"/>
      <c r="AJ368" s="210"/>
    </row>
    <row r="369" ht="12.75" customHeight="1">
      <c r="C369" s="210"/>
      <c r="D369" s="210"/>
      <c r="E369" s="210"/>
      <c r="F369" s="210"/>
      <c r="G369" s="210"/>
      <c r="H369" s="210"/>
      <c r="I369" s="210"/>
      <c r="J369" s="210"/>
      <c r="K369" s="210"/>
      <c r="L369" s="210"/>
      <c r="M369" s="210"/>
      <c r="N369" s="210"/>
      <c r="O369" s="210"/>
      <c r="P369" s="210"/>
      <c r="Q369" s="210"/>
      <c r="R369" s="210"/>
      <c r="S369" s="210"/>
      <c r="T369" s="210"/>
      <c r="U369" s="210"/>
      <c r="V369" s="210"/>
      <c r="W369" s="210"/>
      <c r="X369" s="210"/>
      <c r="Y369" s="210"/>
      <c r="Z369" s="210"/>
      <c r="AA369" s="210"/>
      <c r="AB369" s="210"/>
      <c r="AC369" s="210"/>
      <c r="AI369" s="210"/>
      <c r="AJ369" s="210"/>
    </row>
    <row r="370" ht="12.75" customHeight="1">
      <c r="C370" s="210"/>
      <c r="D370" s="210"/>
      <c r="E370" s="210"/>
      <c r="F370" s="210"/>
      <c r="G370" s="210"/>
      <c r="H370" s="210"/>
      <c r="I370" s="210"/>
      <c r="J370" s="210"/>
      <c r="K370" s="210"/>
      <c r="L370" s="210"/>
      <c r="M370" s="210"/>
      <c r="N370" s="210"/>
      <c r="O370" s="210"/>
      <c r="P370" s="210"/>
      <c r="Q370" s="210"/>
      <c r="R370" s="210"/>
      <c r="S370" s="210"/>
      <c r="T370" s="210"/>
      <c r="U370" s="210"/>
      <c r="V370" s="210"/>
      <c r="W370" s="210"/>
      <c r="X370" s="210"/>
      <c r="Y370" s="210"/>
      <c r="Z370" s="210"/>
      <c r="AA370" s="210"/>
      <c r="AB370" s="210"/>
      <c r="AC370" s="210"/>
      <c r="AI370" s="210"/>
      <c r="AJ370" s="210"/>
    </row>
    <row r="371" ht="12.75" customHeight="1">
      <c r="C371" s="210"/>
      <c r="D371" s="210"/>
      <c r="E371" s="210"/>
      <c r="F371" s="210"/>
      <c r="G371" s="210"/>
      <c r="H371" s="210"/>
      <c r="I371" s="210"/>
      <c r="J371" s="210"/>
      <c r="K371" s="210"/>
      <c r="L371" s="210"/>
      <c r="M371" s="210"/>
      <c r="N371" s="210"/>
      <c r="O371" s="210"/>
      <c r="P371" s="210"/>
      <c r="Q371" s="210"/>
      <c r="R371" s="210"/>
      <c r="S371" s="210"/>
      <c r="T371" s="210"/>
      <c r="U371" s="210"/>
      <c r="V371" s="210"/>
      <c r="W371" s="210"/>
      <c r="X371" s="210"/>
      <c r="Y371" s="210"/>
      <c r="Z371" s="210"/>
      <c r="AA371" s="210"/>
      <c r="AB371" s="210"/>
      <c r="AC371" s="210"/>
      <c r="AI371" s="210"/>
      <c r="AJ371" s="210"/>
    </row>
    <row r="372" ht="12.75" customHeight="1">
      <c r="C372" s="210"/>
      <c r="D372" s="210"/>
      <c r="E372" s="210"/>
      <c r="F372" s="210"/>
      <c r="G372" s="210"/>
      <c r="H372" s="210"/>
      <c r="I372" s="210"/>
      <c r="J372" s="210"/>
      <c r="K372" s="210"/>
      <c r="L372" s="210"/>
      <c r="M372" s="210"/>
      <c r="N372" s="210"/>
      <c r="O372" s="210"/>
      <c r="P372" s="210"/>
      <c r="Q372" s="210"/>
      <c r="R372" s="210"/>
      <c r="S372" s="210"/>
      <c r="T372" s="210"/>
      <c r="U372" s="210"/>
      <c r="V372" s="210"/>
      <c r="W372" s="210"/>
      <c r="X372" s="210"/>
      <c r="Y372" s="210"/>
      <c r="Z372" s="210"/>
      <c r="AA372" s="210"/>
      <c r="AB372" s="210"/>
      <c r="AC372" s="210"/>
      <c r="AI372" s="210"/>
      <c r="AJ372" s="210"/>
    </row>
    <row r="373" ht="12.75" customHeight="1">
      <c r="C373" s="210"/>
      <c r="D373" s="210"/>
      <c r="E373" s="210"/>
      <c r="F373" s="210"/>
      <c r="G373" s="210"/>
      <c r="H373" s="210"/>
      <c r="I373" s="210"/>
      <c r="J373" s="210"/>
      <c r="K373" s="210"/>
      <c r="L373" s="210"/>
      <c r="M373" s="210"/>
      <c r="N373" s="210"/>
      <c r="O373" s="210"/>
      <c r="P373" s="210"/>
      <c r="Q373" s="210"/>
      <c r="R373" s="210"/>
      <c r="S373" s="210"/>
      <c r="T373" s="210"/>
      <c r="U373" s="210"/>
      <c r="V373" s="210"/>
      <c r="W373" s="210"/>
      <c r="X373" s="210"/>
      <c r="Y373" s="210"/>
      <c r="Z373" s="210"/>
      <c r="AA373" s="210"/>
      <c r="AB373" s="210"/>
      <c r="AC373" s="210"/>
      <c r="AI373" s="210"/>
      <c r="AJ373" s="210"/>
    </row>
    <row r="374" ht="12.75" customHeight="1">
      <c r="C374" s="210"/>
      <c r="D374" s="210"/>
      <c r="E374" s="210"/>
      <c r="F374" s="210"/>
      <c r="G374" s="210"/>
      <c r="H374" s="210"/>
      <c r="I374" s="210"/>
      <c r="J374" s="210"/>
      <c r="K374" s="210"/>
      <c r="L374" s="210"/>
      <c r="M374" s="210"/>
      <c r="N374" s="210"/>
      <c r="O374" s="210"/>
      <c r="P374" s="210"/>
      <c r="Q374" s="210"/>
      <c r="R374" s="210"/>
      <c r="S374" s="210"/>
      <c r="T374" s="210"/>
      <c r="U374" s="210"/>
      <c r="V374" s="210"/>
      <c r="W374" s="210"/>
      <c r="X374" s="210"/>
      <c r="Y374" s="210"/>
      <c r="Z374" s="210"/>
      <c r="AA374" s="210"/>
      <c r="AB374" s="210"/>
      <c r="AC374" s="210"/>
      <c r="AI374" s="210"/>
      <c r="AJ374" s="210"/>
    </row>
    <row r="375" ht="12.75" customHeight="1">
      <c r="C375" s="210"/>
      <c r="D375" s="210"/>
      <c r="E375" s="210"/>
      <c r="F375" s="210"/>
      <c r="G375" s="210"/>
      <c r="H375" s="210"/>
      <c r="I375" s="210"/>
      <c r="J375" s="210"/>
      <c r="K375" s="210"/>
      <c r="L375" s="210"/>
      <c r="M375" s="210"/>
      <c r="N375" s="210"/>
      <c r="O375" s="210"/>
      <c r="P375" s="210"/>
      <c r="Q375" s="210"/>
      <c r="R375" s="210"/>
      <c r="S375" s="210"/>
      <c r="T375" s="210"/>
      <c r="U375" s="210"/>
      <c r="V375" s="210"/>
      <c r="W375" s="210"/>
      <c r="X375" s="210"/>
      <c r="Y375" s="210"/>
      <c r="Z375" s="210"/>
      <c r="AA375" s="210"/>
      <c r="AB375" s="210"/>
      <c r="AC375" s="210"/>
      <c r="AI375" s="210"/>
      <c r="AJ375" s="210"/>
    </row>
    <row r="376" ht="12.75" customHeight="1">
      <c r="C376" s="210"/>
      <c r="D376" s="210"/>
      <c r="E376" s="210"/>
      <c r="F376" s="210"/>
      <c r="G376" s="210"/>
      <c r="H376" s="210"/>
      <c r="I376" s="210"/>
      <c r="J376" s="210"/>
      <c r="K376" s="210"/>
      <c r="L376" s="210"/>
      <c r="M376" s="210"/>
      <c r="N376" s="210"/>
      <c r="O376" s="210"/>
      <c r="P376" s="210"/>
      <c r="Q376" s="210"/>
      <c r="R376" s="210"/>
      <c r="S376" s="210"/>
      <c r="T376" s="210"/>
      <c r="U376" s="210"/>
      <c r="V376" s="210"/>
      <c r="W376" s="210"/>
      <c r="X376" s="210"/>
      <c r="Y376" s="210"/>
      <c r="Z376" s="210"/>
      <c r="AA376" s="210"/>
      <c r="AB376" s="210"/>
      <c r="AC376" s="210"/>
      <c r="AI376" s="210"/>
      <c r="AJ376" s="210"/>
    </row>
    <row r="377" ht="12.75" customHeight="1">
      <c r="C377" s="210"/>
      <c r="D377" s="210"/>
      <c r="E377" s="210"/>
      <c r="F377" s="210"/>
      <c r="G377" s="210"/>
      <c r="H377" s="210"/>
      <c r="I377" s="210"/>
      <c r="J377" s="210"/>
      <c r="K377" s="210"/>
      <c r="L377" s="210"/>
      <c r="M377" s="210"/>
      <c r="N377" s="210"/>
      <c r="O377" s="210"/>
      <c r="P377" s="210"/>
      <c r="Q377" s="210"/>
      <c r="R377" s="210"/>
      <c r="S377" s="210"/>
      <c r="T377" s="210"/>
      <c r="U377" s="210"/>
      <c r="V377" s="210"/>
      <c r="W377" s="210"/>
      <c r="X377" s="210"/>
      <c r="Y377" s="210"/>
      <c r="Z377" s="210"/>
      <c r="AA377" s="210"/>
      <c r="AB377" s="210"/>
      <c r="AC377" s="210"/>
      <c r="AI377" s="210"/>
      <c r="AJ377" s="210"/>
    </row>
    <row r="378" ht="12.75" customHeight="1">
      <c r="C378" s="210"/>
      <c r="D378" s="210"/>
      <c r="E378" s="210"/>
      <c r="F378" s="210"/>
      <c r="G378" s="210"/>
      <c r="H378" s="210"/>
      <c r="I378" s="210"/>
      <c r="J378" s="210"/>
      <c r="K378" s="210"/>
      <c r="L378" s="210"/>
      <c r="M378" s="210"/>
      <c r="N378" s="210"/>
      <c r="O378" s="210"/>
      <c r="P378" s="210"/>
      <c r="Q378" s="210"/>
      <c r="R378" s="210"/>
      <c r="S378" s="210"/>
      <c r="T378" s="210"/>
      <c r="U378" s="210"/>
      <c r="V378" s="210"/>
      <c r="W378" s="210"/>
      <c r="X378" s="210"/>
      <c r="Y378" s="210"/>
      <c r="Z378" s="210"/>
      <c r="AA378" s="210"/>
      <c r="AB378" s="210"/>
      <c r="AC378" s="210"/>
      <c r="AI378" s="210"/>
      <c r="AJ378" s="210"/>
    </row>
    <row r="379" ht="12.75" customHeight="1">
      <c r="C379" s="210"/>
      <c r="D379" s="210"/>
      <c r="E379" s="210"/>
      <c r="F379" s="210"/>
      <c r="G379" s="210"/>
      <c r="H379" s="210"/>
      <c r="I379" s="210"/>
      <c r="J379" s="210"/>
      <c r="K379" s="210"/>
      <c r="L379" s="210"/>
      <c r="M379" s="210"/>
      <c r="N379" s="210"/>
      <c r="O379" s="210"/>
      <c r="P379" s="210"/>
      <c r="Q379" s="210"/>
      <c r="R379" s="210"/>
      <c r="S379" s="210"/>
      <c r="T379" s="210"/>
      <c r="U379" s="210"/>
      <c r="V379" s="210"/>
      <c r="W379" s="210"/>
      <c r="X379" s="210"/>
      <c r="Y379" s="210"/>
      <c r="Z379" s="210"/>
      <c r="AA379" s="210"/>
      <c r="AB379" s="210"/>
      <c r="AC379" s="210"/>
      <c r="AI379" s="210"/>
      <c r="AJ379" s="210"/>
    </row>
    <row r="380" ht="12.75" customHeight="1">
      <c r="C380" s="210"/>
      <c r="D380" s="210"/>
      <c r="E380" s="210"/>
      <c r="F380" s="210"/>
      <c r="G380" s="210"/>
      <c r="H380" s="210"/>
      <c r="I380" s="210"/>
      <c r="J380" s="210"/>
      <c r="K380" s="210"/>
      <c r="L380" s="210"/>
      <c r="M380" s="210"/>
      <c r="N380" s="210"/>
      <c r="O380" s="210"/>
      <c r="P380" s="210"/>
      <c r="Q380" s="210"/>
      <c r="R380" s="210"/>
      <c r="S380" s="210"/>
      <c r="T380" s="210"/>
      <c r="U380" s="210"/>
      <c r="V380" s="210"/>
      <c r="W380" s="210"/>
      <c r="X380" s="210"/>
      <c r="Y380" s="210"/>
      <c r="Z380" s="210"/>
      <c r="AA380" s="210"/>
      <c r="AB380" s="210"/>
      <c r="AC380" s="210"/>
      <c r="AI380" s="210"/>
      <c r="AJ380" s="210"/>
    </row>
    <row r="381" ht="12.75" customHeight="1">
      <c r="C381" s="210"/>
      <c r="D381" s="210"/>
      <c r="E381" s="210"/>
      <c r="F381" s="210"/>
      <c r="G381" s="210"/>
      <c r="H381" s="210"/>
      <c r="I381" s="210"/>
      <c r="J381" s="210"/>
      <c r="K381" s="210"/>
      <c r="L381" s="210"/>
      <c r="M381" s="210"/>
      <c r="N381" s="210"/>
      <c r="O381" s="210"/>
      <c r="P381" s="210"/>
      <c r="Q381" s="210"/>
      <c r="R381" s="210"/>
      <c r="S381" s="210"/>
      <c r="T381" s="210"/>
      <c r="U381" s="210"/>
      <c r="V381" s="210"/>
      <c r="W381" s="210"/>
      <c r="X381" s="210"/>
      <c r="Y381" s="210"/>
      <c r="Z381" s="210"/>
      <c r="AA381" s="210"/>
      <c r="AB381" s="210"/>
      <c r="AC381" s="210"/>
      <c r="AI381" s="210"/>
      <c r="AJ381" s="210"/>
    </row>
    <row r="382" ht="12.75" customHeight="1">
      <c r="C382" s="210"/>
      <c r="D382" s="210"/>
      <c r="E382" s="210"/>
      <c r="F382" s="210"/>
      <c r="G382" s="210"/>
      <c r="H382" s="210"/>
      <c r="I382" s="210"/>
      <c r="J382" s="210"/>
      <c r="K382" s="210"/>
      <c r="L382" s="210"/>
      <c r="M382" s="210"/>
      <c r="N382" s="210"/>
      <c r="O382" s="210"/>
      <c r="P382" s="210"/>
      <c r="Q382" s="210"/>
      <c r="R382" s="210"/>
      <c r="S382" s="210"/>
      <c r="T382" s="210"/>
      <c r="U382" s="210"/>
      <c r="V382" s="210"/>
      <c r="W382" s="210"/>
      <c r="X382" s="210"/>
      <c r="Y382" s="210"/>
      <c r="Z382" s="210"/>
      <c r="AA382" s="210"/>
      <c r="AB382" s="210"/>
      <c r="AC382" s="210"/>
      <c r="AI382" s="210"/>
      <c r="AJ382" s="210"/>
    </row>
    <row r="383" ht="12.75" customHeight="1">
      <c r="C383" s="210"/>
      <c r="D383" s="210"/>
      <c r="E383" s="210"/>
      <c r="F383" s="210"/>
      <c r="G383" s="210"/>
      <c r="H383" s="210"/>
      <c r="I383" s="210"/>
      <c r="J383" s="210"/>
      <c r="K383" s="210"/>
      <c r="L383" s="210"/>
      <c r="M383" s="210"/>
      <c r="N383" s="210"/>
      <c r="O383" s="210"/>
      <c r="P383" s="210"/>
      <c r="Q383" s="210"/>
      <c r="R383" s="210"/>
      <c r="S383" s="210"/>
      <c r="T383" s="210"/>
      <c r="U383" s="210"/>
      <c r="V383" s="210"/>
      <c r="W383" s="210"/>
      <c r="X383" s="210"/>
      <c r="Y383" s="210"/>
      <c r="Z383" s="210"/>
      <c r="AA383" s="210"/>
      <c r="AB383" s="210"/>
      <c r="AC383" s="210"/>
      <c r="AI383" s="210"/>
      <c r="AJ383" s="210"/>
    </row>
    <row r="384" ht="12.75" customHeight="1">
      <c r="C384" s="210"/>
      <c r="D384" s="210"/>
      <c r="E384" s="210"/>
      <c r="F384" s="210"/>
      <c r="G384" s="210"/>
      <c r="H384" s="210"/>
      <c r="I384" s="210"/>
      <c r="J384" s="210"/>
      <c r="K384" s="210"/>
      <c r="L384" s="210"/>
      <c r="M384" s="210"/>
      <c r="N384" s="210"/>
      <c r="O384" s="210"/>
      <c r="P384" s="210"/>
      <c r="Q384" s="210"/>
      <c r="R384" s="210"/>
      <c r="S384" s="210"/>
      <c r="T384" s="210"/>
      <c r="U384" s="210"/>
      <c r="V384" s="210"/>
      <c r="W384" s="210"/>
      <c r="X384" s="210"/>
      <c r="Y384" s="210"/>
      <c r="Z384" s="210"/>
      <c r="AA384" s="210"/>
      <c r="AB384" s="210"/>
      <c r="AC384" s="210"/>
      <c r="AI384" s="210"/>
      <c r="AJ384" s="210"/>
    </row>
    <row r="385" ht="12.75" customHeight="1">
      <c r="C385" s="210"/>
      <c r="D385" s="210"/>
      <c r="E385" s="210"/>
      <c r="F385" s="210"/>
      <c r="G385" s="210"/>
      <c r="H385" s="210"/>
      <c r="I385" s="210"/>
      <c r="J385" s="210"/>
      <c r="K385" s="210"/>
      <c r="L385" s="210"/>
      <c r="M385" s="210"/>
      <c r="N385" s="210"/>
      <c r="O385" s="210"/>
      <c r="P385" s="210"/>
      <c r="Q385" s="210"/>
      <c r="R385" s="210"/>
      <c r="S385" s="210"/>
      <c r="T385" s="210"/>
      <c r="U385" s="210"/>
      <c r="V385" s="210"/>
      <c r="W385" s="210"/>
      <c r="X385" s="210"/>
      <c r="Y385" s="210"/>
      <c r="Z385" s="210"/>
      <c r="AA385" s="210"/>
      <c r="AB385" s="210"/>
      <c r="AC385" s="210"/>
      <c r="AI385" s="210"/>
      <c r="AJ385" s="210"/>
    </row>
    <row r="386" ht="12.75" customHeight="1">
      <c r="C386" s="210"/>
      <c r="D386" s="210"/>
      <c r="E386" s="210"/>
      <c r="F386" s="210"/>
      <c r="G386" s="210"/>
      <c r="H386" s="210"/>
      <c r="I386" s="210"/>
      <c r="J386" s="210"/>
      <c r="K386" s="210"/>
      <c r="L386" s="210"/>
      <c r="M386" s="210"/>
      <c r="N386" s="210"/>
      <c r="O386" s="210"/>
      <c r="P386" s="210"/>
      <c r="Q386" s="210"/>
      <c r="R386" s="210"/>
      <c r="S386" s="210"/>
      <c r="T386" s="210"/>
      <c r="U386" s="210"/>
      <c r="V386" s="210"/>
      <c r="W386" s="210"/>
      <c r="X386" s="210"/>
      <c r="Y386" s="210"/>
      <c r="Z386" s="210"/>
      <c r="AA386" s="210"/>
      <c r="AB386" s="210"/>
      <c r="AC386" s="210"/>
      <c r="AI386" s="210"/>
      <c r="AJ386" s="210"/>
    </row>
    <row r="387" ht="12.75" customHeight="1">
      <c r="C387" s="210"/>
      <c r="D387" s="210"/>
      <c r="E387" s="210"/>
      <c r="F387" s="210"/>
      <c r="G387" s="210"/>
      <c r="H387" s="210"/>
      <c r="I387" s="210"/>
      <c r="J387" s="210"/>
      <c r="K387" s="210"/>
      <c r="L387" s="210"/>
      <c r="M387" s="210"/>
      <c r="N387" s="210"/>
      <c r="O387" s="210"/>
      <c r="P387" s="210"/>
      <c r="Q387" s="210"/>
      <c r="R387" s="210"/>
      <c r="S387" s="210"/>
      <c r="T387" s="210"/>
      <c r="U387" s="210"/>
      <c r="V387" s="210"/>
      <c r="W387" s="210"/>
      <c r="X387" s="210"/>
      <c r="Y387" s="210"/>
      <c r="Z387" s="210"/>
      <c r="AA387" s="210"/>
      <c r="AB387" s="210"/>
      <c r="AC387" s="210"/>
      <c r="AI387" s="210"/>
      <c r="AJ387" s="210"/>
    </row>
    <row r="388" ht="12.75" customHeight="1">
      <c r="C388" s="210"/>
      <c r="D388" s="210"/>
      <c r="E388" s="210"/>
      <c r="F388" s="210"/>
      <c r="G388" s="210"/>
      <c r="H388" s="210"/>
      <c r="I388" s="210"/>
      <c r="J388" s="210"/>
      <c r="K388" s="210"/>
      <c r="L388" s="210"/>
      <c r="M388" s="210"/>
      <c r="N388" s="210"/>
      <c r="O388" s="210"/>
      <c r="P388" s="210"/>
      <c r="Q388" s="210"/>
      <c r="R388" s="210"/>
      <c r="S388" s="210"/>
      <c r="T388" s="210"/>
      <c r="U388" s="210"/>
      <c r="V388" s="210"/>
      <c r="W388" s="210"/>
      <c r="X388" s="210"/>
      <c r="Y388" s="210"/>
      <c r="Z388" s="210"/>
      <c r="AA388" s="210"/>
      <c r="AB388" s="210"/>
      <c r="AC388" s="210"/>
      <c r="AI388" s="210"/>
      <c r="AJ388" s="210"/>
    </row>
    <row r="389" ht="12.75" customHeight="1">
      <c r="C389" s="210"/>
      <c r="D389" s="210"/>
      <c r="E389" s="210"/>
      <c r="F389" s="210"/>
      <c r="G389" s="210"/>
      <c r="H389" s="210"/>
      <c r="I389" s="210"/>
      <c r="J389" s="210"/>
      <c r="K389" s="210"/>
      <c r="L389" s="210"/>
      <c r="M389" s="210"/>
      <c r="N389" s="210"/>
      <c r="O389" s="210"/>
      <c r="P389" s="210"/>
      <c r="Q389" s="210"/>
      <c r="R389" s="210"/>
      <c r="S389" s="210"/>
      <c r="T389" s="210"/>
      <c r="U389" s="210"/>
      <c r="V389" s="210"/>
      <c r="W389" s="210"/>
      <c r="X389" s="210"/>
      <c r="Y389" s="210"/>
      <c r="Z389" s="210"/>
      <c r="AA389" s="210"/>
      <c r="AB389" s="210"/>
      <c r="AC389" s="210"/>
      <c r="AI389" s="210"/>
      <c r="AJ389" s="210"/>
    </row>
    <row r="390" ht="12.75" customHeight="1">
      <c r="C390" s="210"/>
      <c r="D390" s="210"/>
      <c r="E390" s="210"/>
      <c r="F390" s="210"/>
      <c r="G390" s="210"/>
      <c r="H390" s="210"/>
      <c r="I390" s="210"/>
      <c r="J390" s="210"/>
      <c r="K390" s="210"/>
      <c r="L390" s="210"/>
      <c r="M390" s="210"/>
      <c r="N390" s="210"/>
      <c r="O390" s="210"/>
      <c r="P390" s="210"/>
      <c r="Q390" s="210"/>
      <c r="R390" s="210"/>
      <c r="S390" s="210"/>
      <c r="T390" s="210"/>
      <c r="U390" s="210"/>
      <c r="V390" s="210"/>
      <c r="W390" s="210"/>
      <c r="X390" s="210"/>
      <c r="Y390" s="210"/>
      <c r="Z390" s="210"/>
      <c r="AA390" s="210"/>
      <c r="AB390" s="210"/>
      <c r="AC390" s="210"/>
      <c r="AI390" s="210"/>
      <c r="AJ390" s="210"/>
    </row>
    <row r="391" ht="12.75" customHeight="1">
      <c r="C391" s="210"/>
      <c r="D391" s="210"/>
      <c r="E391" s="210"/>
      <c r="F391" s="210"/>
      <c r="G391" s="210"/>
      <c r="H391" s="210"/>
      <c r="I391" s="210"/>
      <c r="J391" s="210"/>
      <c r="K391" s="210"/>
      <c r="L391" s="210"/>
      <c r="M391" s="210"/>
      <c r="N391" s="210"/>
      <c r="O391" s="210"/>
      <c r="P391" s="210"/>
      <c r="Q391" s="210"/>
      <c r="R391" s="210"/>
      <c r="S391" s="210"/>
      <c r="T391" s="210"/>
      <c r="U391" s="210"/>
      <c r="V391" s="210"/>
      <c r="W391" s="210"/>
      <c r="X391" s="210"/>
      <c r="Y391" s="210"/>
      <c r="Z391" s="210"/>
      <c r="AA391" s="210"/>
      <c r="AB391" s="210"/>
      <c r="AC391" s="210"/>
      <c r="AI391" s="210"/>
      <c r="AJ391" s="210"/>
    </row>
    <row r="392" ht="12.75" customHeight="1">
      <c r="C392" s="210"/>
      <c r="D392" s="210"/>
      <c r="E392" s="210"/>
      <c r="F392" s="210"/>
      <c r="G392" s="210"/>
      <c r="H392" s="210"/>
      <c r="I392" s="210"/>
      <c r="J392" s="210"/>
      <c r="K392" s="210"/>
      <c r="L392" s="210"/>
      <c r="M392" s="210"/>
      <c r="N392" s="210"/>
      <c r="O392" s="210"/>
      <c r="P392" s="210"/>
      <c r="Q392" s="210"/>
      <c r="R392" s="210"/>
      <c r="S392" s="210"/>
      <c r="T392" s="210"/>
      <c r="U392" s="210"/>
      <c r="V392" s="210"/>
      <c r="W392" s="210"/>
      <c r="X392" s="210"/>
      <c r="Y392" s="210"/>
      <c r="Z392" s="210"/>
      <c r="AA392" s="210"/>
      <c r="AB392" s="210"/>
      <c r="AC392" s="210"/>
      <c r="AI392" s="210"/>
      <c r="AJ392" s="210"/>
    </row>
    <row r="393" ht="12.75" customHeight="1">
      <c r="C393" s="210"/>
      <c r="D393" s="210"/>
      <c r="E393" s="210"/>
      <c r="F393" s="210"/>
      <c r="G393" s="210"/>
      <c r="H393" s="210"/>
      <c r="I393" s="210"/>
      <c r="J393" s="210"/>
      <c r="K393" s="210"/>
      <c r="L393" s="210"/>
      <c r="M393" s="210"/>
      <c r="N393" s="210"/>
      <c r="O393" s="210"/>
      <c r="P393" s="210"/>
      <c r="Q393" s="210"/>
      <c r="R393" s="210"/>
      <c r="S393" s="210"/>
      <c r="T393" s="210"/>
      <c r="U393" s="210"/>
      <c r="V393" s="210"/>
      <c r="W393" s="210"/>
      <c r="X393" s="210"/>
      <c r="Y393" s="210"/>
      <c r="Z393" s="210"/>
      <c r="AA393" s="210"/>
      <c r="AB393" s="210"/>
      <c r="AC393" s="210"/>
      <c r="AI393" s="210"/>
      <c r="AJ393" s="210"/>
    </row>
    <row r="394" ht="12.75" customHeight="1">
      <c r="C394" s="210"/>
      <c r="D394" s="210"/>
      <c r="E394" s="210"/>
      <c r="F394" s="210"/>
      <c r="G394" s="210"/>
      <c r="H394" s="210"/>
      <c r="I394" s="210"/>
      <c r="J394" s="210"/>
      <c r="K394" s="210"/>
      <c r="L394" s="210"/>
      <c r="M394" s="210"/>
      <c r="N394" s="210"/>
      <c r="O394" s="210"/>
      <c r="P394" s="210"/>
      <c r="Q394" s="210"/>
      <c r="R394" s="210"/>
      <c r="S394" s="210"/>
      <c r="T394" s="210"/>
      <c r="U394" s="210"/>
      <c r="V394" s="210"/>
      <c r="W394" s="210"/>
      <c r="X394" s="210"/>
      <c r="Y394" s="210"/>
      <c r="Z394" s="210"/>
      <c r="AA394" s="210"/>
      <c r="AB394" s="210"/>
      <c r="AC394" s="210"/>
      <c r="AI394" s="210"/>
      <c r="AJ394" s="210"/>
    </row>
    <row r="395" ht="12.75" customHeight="1">
      <c r="C395" s="210"/>
      <c r="D395" s="210"/>
      <c r="E395" s="210"/>
      <c r="F395" s="210"/>
      <c r="G395" s="210"/>
      <c r="H395" s="210"/>
      <c r="I395" s="210"/>
      <c r="J395" s="210"/>
      <c r="K395" s="210"/>
      <c r="L395" s="210"/>
      <c r="M395" s="210"/>
      <c r="N395" s="210"/>
      <c r="O395" s="210"/>
      <c r="P395" s="210"/>
      <c r="Q395" s="210"/>
      <c r="R395" s="210"/>
      <c r="S395" s="210"/>
      <c r="T395" s="210"/>
      <c r="U395" s="210"/>
      <c r="V395" s="210"/>
      <c r="W395" s="210"/>
      <c r="X395" s="210"/>
      <c r="Y395" s="210"/>
      <c r="Z395" s="210"/>
      <c r="AA395" s="210"/>
      <c r="AB395" s="210"/>
      <c r="AC395" s="210"/>
      <c r="AI395" s="210"/>
      <c r="AJ395" s="210"/>
    </row>
    <row r="396" ht="12.75" customHeight="1">
      <c r="C396" s="210"/>
      <c r="D396" s="210"/>
      <c r="E396" s="210"/>
      <c r="F396" s="210"/>
      <c r="G396" s="210"/>
      <c r="H396" s="210"/>
      <c r="I396" s="210"/>
      <c r="J396" s="210"/>
      <c r="K396" s="210"/>
      <c r="L396" s="210"/>
      <c r="M396" s="210"/>
      <c r="N396" s="210"/>
      <c r="O396" s="210"/>
      <c r="P396" s="210"/>
      <c r="Q396" s="210"/>
      <c r="R396" s="210"/>
      <c r="S396" s="210"/>
      <c r="T396" s="210"/>
      <c r="U396" s="210"/>
      <c r="V396" s="210"/>
      <c r="W396" s="210"/>
      <c r="X396" s="210"/>
      <c r="Y396" s="210"/>
      <c r="Z396" s="210"/>
      <c r="AA396" s="210"/>
      <c r="AB396" s="210"/>
      <c r="AC396" s="210"/>
      <c r="AI396" s="210"/>
      <c r="AJ396" s="210"/>
    </row>
    <row r="397" ht="12.75" customHeight="1">
      <c r="C397" s="210"/>
      <c r="D397" s="210"/>
      <c r="E397" s="210"/>
      <c r="F397" s="210"/>
      <c r="G397" s="210"/>
      <c r="H397" s="210"/>
      <c r="I397" s="210"/>
      <c r="J397" s="210"/>
      <c r="K397" s="210"/>
      <c r="L397" s="210"/>
      <c r="M397" s="210"/>
      <c r="N397" s="210"/>
      <c r="O397" s="210"/>
      <c r="P397" s="210"/>
      <c r="Q397" s="210"/>
      <c r="R397" s="210"/>
      <c r="S397" s="210"/>
      <c r="T397" s="210"/>
      <c r="U397" s="210"/>
      <c r="V397" s="210"/>
      <c r="W397" s="210"/>
      <c r="X397" s="210"/>
      <c r="Y397" s="210"/>
      <c r="Z397" s="210"/>
      <c r="AA397" s="210"/>
      <c r="AB397" s="210"/>
      <c r="AC397" s="210"/>
      <c r="AI397" s="210"/>
      <c r="AJ397" s="210"/>
    </row>
    <row r="398" ht="12.75" customHeight="1">
      <c r="C398" s="210"/>
      <c r="D398" s="210"/>
      <c r="E398" s="210"/>
      <c r="F398" s="210"/>
      <c r="G398" s="210"/>
      <c r="H398" s="210"/>
      <c r="I398" s="210"/>
      <c r="J398" s="210"/>
      <c r="K398" s="210"/>
      <c r="L398" s="210"/>
      <c r="M398" s="210"/>
      <c r="N398" s="210"/>
      <c r="O398" s="210"/>
      <c r="P398" s="210"/>
      <c r="Q398" s="210"/>
      <c r="R398" s="210"/>
      <c r="S398" s="210"/>
      <c r="T398" s="210"/>
      <c r="U398" s="210"/>
      <c r="V398" s="210"/>
      <c r="W398" s="210"/>
      <c r="X398" s="210"/>
      <c r="Y398" s="210"/>
      <c r="Z398" s="210"/>
      <c r="AA398" s="210"/>
      <c r="AB398" s="210"/>
      <c r="AC398" s="210"/>
      <c r="AI398" s="210"/>
      <c r="AJ398" s="210"/>
    </row>
    <row r="399" ht="12.75" customHeight="1">
      <c r="C399" s="210"/>
      <c r="D399" s="210"/>
      <c r="E399" s="210"/>
      <c r="F399" s="210"/>
      <c r="G399" s="210"/>
      <c r="H399" s="210"/>
      <c r="I399" s="210"/>
      <c r="J399" s="210"/>
      <c r="K399" s="210"/>
      <c r="L399" s="210"/>
      <c r="M399" s="210"/>
      <c r="N399" s="210"/>
      <c r="O399" s="210"/>
      <c r="P399" s="210"/>
      <c r="Q399" s="210"/>
      <c r="R399" s="210"/>
      <c r="S399" s="210"/>
      <c r="T399" s="210"/>
      <c r="U399" s="210"/>
      <c r="V399" s="210"/>
      <c r="W399" s="210"/>
      <c r="X399" s="210"/>
      <c r="Y399" s="210"/>
      <c r="Z399" s="210"/>
      <c r="AA399" s="210"/>
      <c r="AB399" s="210"/>
      <c r="AC399" s="210"/>
      <c r="AI399" s="210"/>
      <c r="AJ399" s="210"/>
    </row>
    <row r="400" ht="12.75" customHeight="1">
      <c r="C400" s="210"/>
      <c r="D400" s="210"/>
      <c r="E400" s="210"/>
      <c r="F400" s="210"/>
      <c r="G400" s="210"/>
      <c r="H400" s="210"/>
      <c r="I400" s="210"/>
      <c r="J400" s="210"/>
      <c r="K400" s="210"/>
      <c r="L400" s="210"/>
      <c r="M400" s="210"/>
      <c r="N400" s="210"/>
      <c r="O400" s="210"/>
      <c r="P400" s="210"/>
      <c r="Q400" s="210"/>
      <c r="R400" s="210"/>
      <c r="S400" s="210"/>
      <c r="T400" s="210"/>
      <c r="U400" s="210"/>
      <c r="V400" s="210"/>
      <c r="W400" s="210"/>
      <c r="X400" s="210"/>
      <c r="Y400" s="210"/>
      <c r="Z400" s="210"/>
      <c r="AA400" s="210"/>
      <c r="AB400" s="210"/>
      <c r="AC400" s="210"/>
      <c r="AI400" s="210"/>
      <c r="AJ400" s="210"/>
    </row>
    <row r="401" ht="12.75" customHeight="1">
      <c r="C401" s="210"/>
      <c r="D401" s="210"/>
      <c r="E401" s="210"/>
      <c r="F401" s="210"/>
      <c r="G401" s="210"/>
      <c r="H401" s="210"/>
      <c r="I401" s="210"/>
      <c r="J401" s="210"/>
      <c r="K401" s="210"/>
      <c r="L401" s="210"/>
      <c r="M401" s="210"/>
      <c r="N401" s="210"/>
      <c r="O401" s="210"/>
      <c r="P401" s="210"/>
      <c r="Q401" s="210"/>
      <c r="R401" s="210"/>
      <c r="S401" s="210"/>
      <c r="T401" s="210"/>
      <c r="U401" s="210"/>
      <c r="V401" s="210"/>
      <c r="W401" s="210"/>
      <c r="X401" s="210"/>
      <c r="Y401" s="210"/>
      <c r="Z401" s="210"/>
      <c r="AA401" s="210"/>
      <c r="AB401" s="210"/>
      <c r="AC401" s="210"/>
      <c r="AI401" s="210"/>
      <c r="AJ401" s="210"/>
    </row>
    <row r="402" ht="12.75" customHeight="1">
      <c r="C402" s="210"/>
      <c r="D402" s="210"/>
      <c r="E402" s="210"/>
      <c r="F402" s="210"/>
      <c r="G402" s="210"/>
      <c r="H402" s="210"/>
      <c r="I402" s="210"/>
      <c r="J402" s="210"/>
      <c r="K402" s="210"/>
      <c r="L402" s="210"/>
      <c r="M402" s="210"/>
      <c r="N402" s="210"/>
      <c r="O402" s="210"/>
      <c r="P402" s="210"/>
      <c r="Q402" s="210"/>
      <c r="R402" s="210"/>
      <c r="S402" s="210"/>
      <c r="T402" s="210"/>
      <c r="U402" s="210"/>
      <c r="V402" s="210"/>
      <c r="W402" s="210"/>
      <c r="X402" s="210"/>
      <c r="Y402" s="210"/>
      <c r="Z402" s="210"/>
      <c r="AA402" s="210"/>
      <c r="AB402" s="210"/>
      <c r="AC402" s="210"/>
      <c r="AI402" s="210"/>
      <c r="AJ402" s="210"/>
    </row>
    <row r="403" ht="12.75" customHeight="1">
      <c r="C403" s="210"/>
      <c r="D403" s="210"/>
      <c r="E403" s="210"/>
      <c r="F403" s="210"/>
      <c r="G403" s="210"/>
      <c r="H403" s="210"/>
      <c r="I403" s="210"/>
      <c r="J403" s="210"/>
      <c r="K403" s="210"/>
      <c r="L403" s="210"/>
      <c r="M403" s="210"/>
      <c r="N403" s="210"/>
      <c r="O403" s="210"/>
      <c r="P403" s="210"/>
      <c r="Q403" s="210"/>
      <c r="R403" s="210"/>
      <c r="S403" s="210"/>
      <c r="T403" s="210"/>
      <c r="U403" s="210"/>
      <c r="V403" s="210"/>
      <c r="W403" s="210"/>
      <c r="X403" s="210"/>
      <c r="Y403" s="210"/>
      <c r="Z403" s="210"/>
      <c r="AA403" s="210"/>
      <c r="AB403" s="210"/>
      <c r="AC403" s="210"/>
      <c r="AI403" s="210"/>
      <c r="AJ403" s="210"/>
    </row>
    <row r="404" ht="12.75" customHeight="1">
      <c r="C404" s="210"/>
      <c r="D404" s="210"/>
      <c r="E404" s="210"/>
      <c r="F404" s="210"/>
      <c r="G404" s="210"/>
      <c r="H404" s="210"/>
      <c r="I404" s="210"/>
      <c r="J404" s="210"/>
      <c r="K404" s="210"/>
      <c r="L404" s="210"/>
      <c r="M404" s="210"/>
      <c r="N404" s="210"/>
      <c r="O404" s="210"/>
      <c r="P404" s="210"/>
      <c r="Q404" s="210"/>
      <c r="R404" s="210"/>
      <c r="S404" s="210"/>
      <c r="T404" s="210"/>
      <c r="U404" s="210"/>
      <c r="V404" s="210"/>
      <c r="W404" s="210"/>
      <c r="X404" s="210"/>
      <c r="Y404" s="210"/>
      <c r="Z404" s="210"/>
      <c r="AA404" s="210"/>
      <c r="AB404" s="210"/>
      <c r="AC404" s="210"/>
      <c r="AI404" s="210"/>
      <c r="AJ404" s="210"/>
    </row>
    <row r="405" ht="12.75" customHeight="1">
      <c r="C405" s="210"/>
      <c r="D405" s="210"/>
      <c r="E405" s="210"/>
      <c r="F405" s="210"/>
      <c r="G405" s="210"/>
      <c r="H405" s="210"/>
      <c r="I405" s="210"/>
      <c r="J405" s="210"/>
      <c r="K405" s="210"/>
      <c r="L405" s="210"/>
      <c r="M405" s="210"/>
      <c r="N405" s="210"/>
      <c r="O405" s="210"/>
      <c r="P405" s="210"/>
      <c r="Q405" s="210"/>
      <c r="R405" s="210"/>
      <c r="S405" s="210"/>
      <c r="T405" s="210"/>
      <c r="U405" s="210"/>
      <c r="V405" s="210"/>
      <c r="W405" s="210"/>
      <c r="X405" s="210"/>
      <c r="Y405" s="210"/>
      <c r="Z405" s="210"/>
      <c r="AA405" s="210"/>
      <c r="AB405" s="210"/>
      <c r="AC405" s="210"/>
      <c r="AI405" s="210"/>
      <c r="AJ405" s="210"/>
    </row>
    <row r="406" ht="12.75" customHeight="1">
      <c r="C406" s="210"/>
      <c r="D406" s="210"/>
      <c r="E406" s="210"/>
      <c r="F406" s="210"/>
      <c r="G406" s="210"/>
      <c r="H406" s="210"/>
      <c r="I406" s="210"/>
      <c r="J406" s="210"/>
      <c r="K406" s="210"/>
      <c r="L406" s="210"/>
      <c r="M406" s="210"/>
      <c r="N406" s="210"/>
      <c r="O406" s="210"/>
      <c r="P406" s="210"/>
      <c r="Q406" s="210"/>
      <c r="R406" s="210"/>
      <c r="S406" s="210"/>
      <c r="T406" s="210"/>
      <c r="U406" s="210"/>
      <c r="V406" s="210"/>
      <c r="W406" s="210"/>
      <c r="X406" s="210"/>
      <c r="Y406" s="210"/>
      <c r="Z406" s="210"/>
      <c r="AA406" s="210"/>
      <c r="AB406" s="210"/>
      <c r="AC406" s="210"/>
      <c r="AI406" s="210"/>
      <c r="AJ406" s="210"/>
    </row>
    <row r="407" ht="12.75" customHeight="1">
      <c r="C407" s="210"/>
      <c r="D407" s="210"/>
      <c r="E407" s="210"/>
      <c r="F407" s="210"/>
      <c r="G407" s="210"/>
      <c r="H407" s="210"/>
      <c r="I407" s="210"/>
      <c r="J407" s="210"/>
      <c r="K407" s="210"/>
      <c r="L407" s="210"/>
      <c r="M407" s="210"/>
      <c r="N407" s="210"/>
      <c r="O407" s="210"/>
      <c r="P407" s="210"/>
      <c r="Q407" s="210"/>
      <c r="R407" s="210"/>
      <c r="S407" s="210"/>
      <c r="T407" s="210"/>
      <c r="U407" s="210"/>
      <c r="V407" s="210"/>
      <c r="W407" s="210"/>
      <c r="X407" s="210"/>
      <c r="Y407" s="210"/>
      <c r="Z407" s="210"/>
      <c r="AA407" s="210"/>
      <c r="AB407" s="210"/>
      <c r="AC407" s="210"/>
      <c r="AI407" s="210"/>
      <c r="AJ407" s="210"/>
    </row>
    <row r="408" ht="12.75" customHeight="1">
      <c r="C408" s="210"/>
      <c r="D408" s="210"/>
      <c r="E408" s="210"/>
      <c r="F408" s="210"/>
      <c r="G408" s="210"/>
      <c r="H408" s="210"/>
      <c r="I408" s="210"/>
      <c r="J408" s="210"/>
      <c r="K408" s="210"/>
      <c r="L408" s="210"/>
      <c r="M408" s="210"/>
      <c r="N408" s="210"/>
      <c r="O408" s="210"/>
      <c r="P408" s="210"/>
      <c r="Q408" s="210"/>
      <c r="R408" s="210"/>
      <c r="S408" s="210"/>
      <c r="T408" s="210"/>
      <c r="U408" s="210"/>
      <c r="V408" s="210"/>
      <c r="W408" s="210"/>
      <c r="X408" s="210"/>
      <c r="Y408" s="210"/>
      <c r="Z408" s="210"/>
      <c r="AA408" s="210"/>
      <c r="AB408" s="210"/>
      <c r="AC408" s="210"/>
      <c r="AI408" s="210"/>
      <c r="AJ408" s="210"/>
    </row>
    <row r="409" ht="12.75" customHeight="1">
      <c r="C409" s="210"/>
      <c r="D409" s="210"/>
      <c r="E409" s="210"/>
      <c r="F409" s="210"/>
      <c r="G409" s="210"/>
      <c r="H409" s="210"/>
      <c r="I409" s="210"/>
      <c r="J409" s="210"/>
      <c r="K409" s="210"/>
      <c r="L409" s="210"/>
      <c r="M409" s="210"/>
      <c r="N409" s="210"/>
      <c r="O409" s="210"/>
      <c r="P409" s="210"/>
      <c r="Q409" s="210"/>
      <c r="R409" s="210"/>
      <c r="S409" s="210"/>
      <c r="T409" s="210"/>
      <c r="U409" s="210"/>
      <c r="V409" s="210"/>
      <c r="W409" s="210"/>
      <c r="X409" s="210"/>
      <c r="Y409" s="210"/>
      <c r="Z409" s="210"/>
      <c r="AA409" s="210"/>
      <c r="AB409" s="210"/>
      <c r="AC409" s="210"/>
      <c r="AI409" s="210"/>
      <c r="AJ409" s="210"/>
    </row>
    <row r="410" ht="12.75" customHeight="1">
      <c r="C410" s="210"/>
      <c r="D410" s="210"/>
      <c r="E410" s="210"/>
      <c r="F410" s="210"/>
      <c r="G410" s="210"/>
      <c r="H410" s="210"/>
      <c r="I410" s="210"/>
      <c r="J410" s="210"/>
      <c r="K410" s="210"/>
      <c r="L410" s="210"/>
      <c r="M410" s="210"/>
      <c r="N410" s="210"/>
      <c r="O410" s="210"/>
      <c r="P410" s="210"/>
      <c r="Q410" s="210"/>
      <c r="R410" s="210"/>
      <c r="S410" s="210"/>
      <c r="T410" s="210"/>
      <c r="U410" s="210"/>
      <c r="V410" s="210"/>
      <c r="W410" s="210"/>
      <c r="X410" s="210"/>
      <c r="Y410" s="210"/>
      <c r="Z410" s="210"/>
      <c r="AA410" s="210"/>
      <c r="AB410" s="210"/>
      <c r="AC410" s="210"/>
      <c r="AI410" s="210"/>
      <c r="AJ410" s="210"/>
    </row>
    <row r="411" ht="12.75" customHeight="1">
      <c r="C411" s="210"/>
      <c r="D411" s="210"/>
      <c r="E411" s="210"/>
      <c r="F411" s="210"/>
      <c r="G411" s="210"/>
      <c r="H411" s="210"/>
      <c r="I411" s="210"/>
      <c r="J411" s="210"/>
      <c r="K411" s="210"/>
      <c r="L411" s="210"/>
      <c r="M411" s="210"/>
      <c r="N411" s="210"/>
      <c r="O411" s="210"/>
      <c r="P411" s="210"/>
      <c r="Q411" s="210"/>
      <c r="R411" s="210"/>
      <c r="S411" s="210"/>
      <c r="T411" s="210"/>
      <c r="U411" s="210"/>
      <c r="V411" s="210"/>
      <c r="W411" s="210"/>
      <c r="X411" s="210"/>
      <c r="Y411" s="210"/>
      <c r="Z411" s="210"/>
      <c r="AA411" s="210"/>
      <c r="AB411" s="210"/>
      <c r="AC411" s="210"/>
      <c r="AI411" s="210"/>
      <c r="AJ411" s="210"/>
    </row>
    <row r="412" ht="12.75" customHeight="1">
      <c r="C412" s="210"/>
      <c r="D412" s="210"/>
      <c r="E412" s="210"/>
      <c r="F412" s="210"/>
      <c r="G412" s="210"/>
      <c r="H412" s="210"/>
      <c r="I412" s="210"/>
      <c r="J412" s="210"/>
      <c r="K412" s="210"/>
      <c r="L412" s="210"/>
      <c r="M412" s="210"/>
      <c r="N412" s="210"/>
      <c r="O412" s="210"/>
      <c r="P412" s="210"/>
      <c r="Q412" s="210"/>
      <c r="R412" s="210"/>
      <c r="S412" s="210"/>
      <c r="T412" s="210"/>
      <c r="U412" s="210"/>
      <c r="V412" s="210"/>
      <c r="W412" s="210"/>
      <c r="X412" s="210"/>
      <c r="Y412" s="210"/>
      <c r="Z412" s="210"/>
      <c r="AA412" s="210"/>
      <c r="AB412" s="210"/>
      <c r="AC412" s="210"/>
      <c r="AI412" s="210"/>
      <c r="AJ412" s="210"/>
    </row>
    <row r="413" ht="12.75" customHeight="1">
      <c r="C413" s="210"/>
      <c r="D413" s="210"/>
      <c r="E413" s="210"/>
      <c r="F413" s="210"/>
      <c r="G413" s="210"/>
      <c r="H413" s="210"/>
      <c r="I413" s="210"/>
      <c r="J413" s="210"/>
      <c r="K413" s="210"/>
      <c r="L413" s="210"/>
      <c r="M413" s="210"/>
      <c r="N413" s="210"/>
      <c r="O413" s="210"/>
      <c r="P413" s="210"/>
      <c r="Q413" s="210"/>
      <c r="R413" s="210"/>
      <c r="S413" s="210"/>
      <c r="T413" s="210"/>
      <c r="U413" s="210"/>
      <c r="V413" s="210"/>
      <c r="W413" s="210"/>
      <c r="X413" s="210"/>
      <c r="Y413" s="210"/>
      <c r="Z413" s="210"/>
      <c r="AA413" s="210"/>
      <c r="AB413" s="210"/>
      <c r="AC413" s="210"/>
      <c r="AI413" s="210"/>
      <c r="AJ413" s="210"/>
    </row>
    <row r="414" ht="12.75" customHeight="1">
      <c r="C414" s="210"/>
      <c r="D414" s="210"/>
      <c r="E414" s="210"/>
      <c r="F414" s="210"/>
      <c r="G414" s="210"/>
      <c r="H414" s="210"/>
      <c r="I414" s="210"/>
      <c r="J414" s="210"/>
      <c r="K414" s="210"/>
      <c r="L414" s="210"/>
      <c r="M414" s="210"/>
      <c r="N414" s="210"/>
      <c r="O414" s="210"/>
      <c r="P414" s="210"/>
      <c r="Q414" s="210"/>
      <c r="R414" s="210"/>
      <c r="S414" s="210"/>
      <c r="T414" s="210"/>
      <c r="U414" s="210"/>
      <c r="V414" s="210"/>
      <c r="W414" s="210"/>
      <c r="X414" s="210"/>
      <c r="Y414" s="210"/>
      <c r="Z414" s="210"/>
      <c r="AA414" s="210"/>
      <c r="AB414" s="210"/>
      <c r="AC414" s="210"/>
      <c r="AI414" s="210"/>
      <c r="AJ414" s="210"/>
    </row>
    <row r="415" ht="12.75" customHeight="1">
      <c r="C415" s="210"/>
      <c r="D415" s="210"/>
      <c r="E415" s="210"/>
      <c r="F415" s="210"/>
      <c r="G415" s="210"/>
      <c r="H415" s="210"/>
      <c r="I415" s="210"/>
      <c r="J415" s="210"/>
      <c r="K415" s="210"/>
      <c r="L415" s="210"/>
      <c r="M415" s="210"/>
      <c r="N415" s="210"/>
      <c r="O415" s="210"/>
      <c r="P415" s="210"/>
      <c r="Q415" s="210"/>
      <c r="R415" s="210"/>
      <c r="S415" s="210"/>
      <c r="T415" s="210"/>
      <c r="U415" s="210"/>
      <c r="V415" s="210"/>
      <c r="W415" s="210"/>
      <c r="X415" s="210"/>
      <c r="Y415" s="210"/>
      <c r="Z415" s="210"/>
      <c r="AA415" s="210"/>
      <c r="AB415" s="210"/>
      <c r="AC415" s="210"/>
      <c r="AI415" s="210"/>
      <c r="AJ415" s="210"/>
    </row>
    <row r="416" ht="12.75" customHeight="1">
      <c r="C416" s="210"/>
      <c r="D416" s="210"/>
      <c r="E416" s="210"/>
      <c r="F416" s="210"/>
      <c r="G416" s="210"/>
      <c r="H416" s="210"/>
      <c r="I416" s="210"/>
      <c r="J416" s="210"/>
      <c r="K416" s="210"/>
      <c r="L416" s="210"/>
      <c r="M416" s="210"/>
      <c r="N416" s="210"/>
      <c r="O416" s="210"/>
      <c r="P416" s="210"/>
      <c r="Q416" s="210"/>
      <c r="R416" s="210"/>
      <c r="S416" s="210"/>
      <c r="T416" s="210"/>
      <c r="U416" s="210"/>
      <c r="V416" s="210"/>
      <c r="W416" s="210"/>
      <c r="X416" s="210"/>
      <c r="Y416" s="210"/>
      <c r="Z416" s="210"/>
      <c r="AA416" s="210"/>
      <c r="AB416" s="210"/>
      <c r="AC416" s="210"/>
      <c r="AI416" s="210"/>
      <c r="AJ416" s="210"/>
    </row>
    <row r="417" ht="12.75" customHeight="1">
      <c r="C417" s="210"/>
      <c r="D417" s="210"/>
      <c r="E417" s="210"/>
      <c r="F417" s="210"/>
      <c r="G417" s="210"/>
      <c r="H417" s="210"/>
      <c r="I417" s="210"/>
      <c r="J417" s="210"/>
      <c r="K417" s="210"/>
      <c r="L417" s="210"/>
      <c r="M417" s="210"/>
      <c r="N417" s="210"/>
      <c r="O417" s="210"/>
      <c r="P417" s="210"/>
      <c r="Q417" s="210"/>
      <c r="R417" s="210"/>
      <c r="S417" s="210"/>
      <c r="T417" s="210"/>
      <c r="U417" s="210"/>
      <c r="V417" s="210"/>
      <c r="W417" s="210"/>
      <c r="X417" s="210"/>
      <c r="Y417" s="210"/>
      <c r="Z417" s="210"/>
      <c r="AA417" s="210"/>
      <c r="AB417" s="210"/>
      <c r="AC417" s="210"/>
      <c r="AI417" s="210"/>
      <c r="AJ417" s="210"/>
    </row>
    <row r="418" ht="12.75" customHeight="1">
      <c r="C418" s="210"/>
      <c r="D418" s="210"/>
      <c r="E418" s="210"/>
      <c r="F418" s="210"/>
      <c r="G418" s="210"/>
      <c r="H418" s="210"/>
      <c r="I418" s="210"/>
      <c r="J418" s="210"/>
      <c r="K418" s="210"/>
      <c r="L418" s="210"/>
      <c r="M418" s="210"/>
      <c r="N418" s="210"/>
      <c r="O418" s="210"/>
      <c r="P418" s="210"/>
      <c r="Q418" s="210"/>
      <c r="R418" s="210"/>
      <c r="S418" s="210"/>
      <c r="T418" s="210"/>
      <c r="U418" s="210"/>
      <c r="V418" s="210"/>
      <c r="W418" s="210"/>
      <c r="X418" s="210"/>
      <c r="Y418" s="210"/>
      <c r="Z418" s="210"/>
      <c r="AA418" s="210"/>
      <c r="AB418" s="210"/>
      <c r="AC418" s="210"/>
      <c r="AI418" s="210"/>
      <c r="AJ418" s="210"/>
    </row>
    <row r="419" ht="12.75" customHeight="1">
      <c r="C419" s="210"/>
      <c r="D419" s="210"/>
      <c r="E419" s="210"/>
      <c r="F419" s="210"/>
      <c r="G419" s="210"/>
      <c r="H419" s="210"/>
      <c r="I419" s="210"/>
      <c r="J419" s="210"/>
      <c r="K419" s="210"/>
      <c r="L419" s="210"/>
      <c r="M419" s="210"/>
      <c r="N419" s="210"/>
      <c r="O419" s="210"/>
      <c r="P419" s="210"/>
      <c r="Q419" s="210"/>
      <c r="R419" s="210"/>
      <c r="S419" s="210"/>
      <c r="T419" s="210"/>
      <c r="U419" s="210"/>
      <c r="V419" s="210"/>
      <c r="W419" s="210"/>
      <c r="X419" s="210"/>
      <c r="Y419" s="210"/>
      <c r="Z419" s="210"/>
      <c r="AA419" s="210"/>
      <c r="AB419" s="210"/>
      <c r="AC419" s="210"/>
      <c r="AI419" s="210"/>
      <c r="AJ419" s="210"/>
    </row>
    <row r="420" ht="12.75" customHeight="1">
      <c r="C420" s="210"/>
      <c r="D420" s="210"/>
      <c r="E420" s="210"/>
      <c r="F420" s="210"/>
      <c r="G420" s="210"/>
      <c r="H420" s="210"/>
      <c r="I420" s="210"/>
      <c r="J420" s="210"/>
      <c r="K420" s="210"/>
      <c r="L420" s="210"/>
      <c r="M420" s="210"/>
      <c r="N420" s="210"/>
      <c r="O420" s="210"/>
      <c r="P420" s="210"/>
      <c r="Q420" s="210"/>
      <c r="R420" s="210"/>
      <c r="S420" s="210"/>
      <c r="T420" s="210"/>
      <c r="U420" s="210"/>
      <c r="V420" s="210"/>
      <c r="W420" s="210"/>
      <c r="X420" s="210"/>
      <c r="Y420" s="210"/>
      <c r="Z420" s="210"/>
      <c r="AA420" s="210"/>
      <c r="AB420" s="210"/>
      <c r="AC420" s="210"/>
      <c r="AI420" s="210"/>
      <c r="AJ420" s="210"/>
    </row>
    <row r="421" ht="12.75" customHeight="1">
      <c r="C421" s="210"/>
      <c r="D421" s="210"/>
      <c r="E421" s="210"/>
      <c r="F421" s="210"/>
      <c r="G421" s="210"/>
      <c r="H421" s="210"/>
      <c r="I421" s="210"/>
      <c r="J421" s="210"/>
      <c r="K421" s="210"/>
      <c r="L421" s="210"/>
      <c r="M421" s="210"/>
      <c r="N421" s="210"/>
      <c r="O421" s="210"/>
      <c r="P421" s="210"/>
      <c r="Q421" s="210"/>
      <c r="R421" s="210"/>
      <c r="S421" s="210"/>
      <c r="T421" s="210"/>
      <c r="U421" s="210"/>
      <c r="V421" s="210"/>
      <c r="W421" s="210"/>
      <c r="X421" s="210"/>
      <c r="Y421" s="210"/>
      <c r="Z421" s="210"/>
      <c r="AA421" s="210"/>
      <c r="AB421" s="210"/>
      <c r="AC421" s="210"/>
      <c r="AI421" s="210"/>
      <c r="AJ421" s="210"/>
    </row>
    <row r="422" ht="12.75" customHeight="1">
      <c r="C422" s="210"/>
      <c r="D422" s="210"/>
      <c r="E422" s="210"/>
      <c r="F422" s="210"/>
      <c r="G422" s="210"/>
      <c r="H422" s="210"/>
      <c r="I422" s="210"/>
      <c r="J422" s="210"/>
      <c r="K422" s="210"/>
      <c r="L422" s="210"/>
      <c r="M422" s="210"/>
      <c r="N422" s="210"/>
      <c r="O422" s="210"/>
      <c r="P422" s="210"/>
      <c r="Q422" s="210"/>
      <c r="R422" s="210"/>
      <c r="S422" s="210"/>
      <c r="T422" s="210"/>
      <c r="U422" s="210"/>
      <c r="V422" s="210"/>
      <c r="W422" s="210"/>
      <c r="X422" s="210"/>
      <c r="Y422" s="210"/>
      <c r="Z422" s="210"/>
      <c r="AA422" s="210"/>
      <c r="AB422" s="210"/>
      <c r="AC422" s="210"/>
      <c r="AI422" s="210"/>
      <c r="AJ422" s="210"/>
    </row>
    <row r="423" ht="12.75" customHeight="1">
      <c r="C423" s="210"/>
      <c r="D423" s="210"/>
      <c r="E423" s="210"/>
      <c r="F423" s="210"/>
      <c r="G423" s="210"/>
      <c r="H423" s="210"/>
      <c r="I423" s="210"/>
      <c r="J423" s="210"/>
      <c r="K423" s="210"/>
      <c r="L423" s="210"/>
      <c r="M423" s="210"/>
      <c r="N423" s="210"/>
      <c r="O423" s="210"/>
      <c r="P423" s="210"/>
      <c r="Q423" s="210"/>
      <c r="R423" s="210"/>
      <c r="S423" s="210"/>
      <c r="T423" s="210"/>
      <c r="U423" s="210"/>
      <c r="V423" s="210"/>
      <c r="W423" s="210"/>
      <c r="X423" s="210"/>
      <c r="Y423" s="210"/>
      <c r="Z423" s="210"/>
      <c r="AA423" s="210"/>
      <c r="AB423" s="210"/>
      <c r="AC423" s="210"/>
      <c r="AI423" s="210"/>
      <c r="AJ423" s="210"/>
    </row>
    <row r="424" ht="12.75" customHeight="1">
      <c r="C424" s="210"/>
      <c r="D424" s="210"/>
      <c r="E424" s="210"/>
      <c r="F424" s="210"/>
      <c r="G424" s="210"/>
      <c r="H424" s="210"/>
      <c r="I424" s="210"/>
      <c r="J424" s="210"/>
      <c r="K424" s="210"/>
      <c r="L424" s="210"/>
      <c r="M424" s="210"/>
      <c r="N424" s="210"/>
      <c r="O424" s="210"/>
      <c r="P424" s="210"/>
      <c r="Q424" s="210"/>
      <c r="R424" s="210"/>
      <c r="S424" s="210"/>
      <c r="T424" s="210"/>
      <c r="U424" s="210"/>
      <c r="V424" s="210"/>
      <c r="W424" s="210"/>
      <c r="X424" s="210"/>
      <c r="Y424" s="210"/>
      <c r="Z424" s="210"/>
      <c r="AA424" s="210"/>
      <c r="AB424" s="210"/>
      <c r="AC424" s="210"/>
      <c r="AI424" s="210"/>
      <c r="AJ424" s="210"/>
    </row>
    <row r="425" ht="12.75" customHeight="1">
      <c r="C425" s="210"/>
      <c r="D425" s="210"/>
      <c r="E425" s="210"/>
      <c r="F425" s="210"/>
      <c r="G425" s="210"/>
      <c r="H425" s="210"/>
      <c r="I425" s="210"/>
      <c r="J425" s="210"/>
      <c r="K425" s="210"/>
      <c r="L425" s="210"/>
      <c r="M425" s="210"/>
      <c r="N425" s="210"/>
      <c r="O425" s="210"/>
      <c r="P425" s="210"/>
      <c r="Q425" s="210"/>
      <c r="R425" s="210"/>
      <c r="S425" s="210"/>
      <c r="T425" s="210"/>
      <c r="U425" s="210"/>
      <c r="V425" s="210"/>
      <c r="W425" s="210"/>
      <c r="X425" s="210"/>
      <c r="Y425" s="210"/>
      <c r="Z425" s="210"/>
      <c r="AA425" s="210"/>
      <c r="AB425" s="210"/>
      <c r="AC425" s="210"/>
      <c r="AI425" s="210"/>
      <c r="AJ425" s="210"/>
    </row>
    <row r="426" ht="12.75" customHeight="1">
      <c r="C426" s="210"/>
      <c r="D426" s="210"/>
      <c r="E426" s="210"/>
      <c r="F426" s="210"/>
      <c r="G426" s="210"/>
      <c r="H426" s="210"/>
      <c r="I426" s="210"/>
      <c r="J426" s="210"/>
      <c r="K426" s="210"/>
      <c r="L426" s="210"/>
      <c r="M426" s="210"/>
      <c r="N426" s="210"/>
      <c r="O426" s="210"/>
      <c r="P426" s="210"/>
      <c r="Q426" s="210"/>
      <c r="R426" s="210"/>
      <c r="S426" s="210"/>
      <c r="T426" s="210"/>
      <c r="U426" s="210"/>
      <c r="V426" s="210"/>
      <c r="W426" s="210"/>
      <c r="X426" s="210"/>
      <c r="Y426" s="210"/>
      <c r="Z426" s="210"/>
      <c r="AA426" s="210"/>
      <c r="AB426" s="210"/>
      <c r="AC426" s="210"/>
      <c r="AI426" s="210"/>
      <c r="AJ426" s="210"/>
    </row>
    <row r="427" ht="12.75" customHeight="1">
      <c r="C427" s="210"/>
      <c r="D427" s="210"/>
      <c r="E427" s="210"/>
      <c r="F427" s="210"/>
      <c r="G427" s="210"/>
      <c r="H427" s="210"/>
      <c r="I427" s="210"/>
      <c r="J427" s="210"/>
      <c r="K427" s="210"/>
      <c r="L427" s="210"/>
      <c r="M427" s="210"/>
      <c r="N427" s="210"/>
      <c r="O427" s="210"/>
      <c r="P427" s="210"/>
      <c r="Q427" s="210"/>
      <c r="R427" s="210"/>
      <c r="S427" s="210"/>
      <c r="T427" s="210"/>
      <c r="U427" s="210"/>
      <c r="V427" s="210"/>
      <c r="W427" s="210"/>
      <c r="X427" s="210"/>
      <c r="Y427" s="210"/>
      <c r="Z427" s="210"/>
      <c r="AA427" s="210"/>
      <c r="AB427" s="210"/>
      <c r="AC427" s="210"/>
      <c r="AI427" s="210"/>
      <c r="AJ427" s="210"/>
    </row>
    <row r="428" ht="12.75" customHeight="1">
      <c r="C428" s="210"/>
      <c r="D428" s="210"/>
      <c r="E428" s="210"/>
      <c r="F428" s="210"/>
      <c r="G428" s="210"/>
      <c r="H428" s="210"/>
      <c r="I428" s="210"/>
      <c r="J428" s="210"/>
      <c r="K428" s="210"/>
      <c r="L428" s="210"/>
      <c r="M428" s="210"/>
      <c r="N428" s="210"/>
      <c r="O428" s="210"/>
      <c r="P428" s="210"/>
      <c r="Q428" s="210"/>
      <c r="R428" s="210"/>
      <c r="S428" s="210"/>
      <c r="T428" s="210"/>
      <c r="U428" s="210"/>
      <c r="V428" s="210"/>
      <c r="W428" s="210"/>
      <c r="X428" s="210"/>
      <c r="Y428" s="210"/>
      <c r="Z428" s="210"/>
      <c r="AA428" s="210"/>
      <c r="AB428" s="210"/>
      <c r="AC428" s="210"/>
      <c r="AI428" s="210"/>
      <c r="AJ428" s="210"/>
    </row>
    <row r="429" ht="12.75" customHeight="1">
      <c r="C429" s="210"/>
      <c r="D429" s="210"/>
      <c r="E429" s="210"/>
      <c r="F429" s="210"/>
      <c r="G429" s="210"/>
      <c r="H429" s="210"/>
      <c r="I429" s="210"/>
      <c r="J429" s="210"/>
      <c r="K429" s="210"/>
      <c r="L429" s="210"/>
      <c r="M429" s="210"/>
      <c r="N429" s="210"/>
      <c r="O429" s="210"/>
      <c r="P429" s="210"/>
      <c r="Q429" s="210"/>
      <c r="R429" s="210"/>
      <c r="S429" s="210"/>
      <c r="T429" s="210"/>
      <c r="U429" s="210"/>
      <c r="V429" s="210"/>
      <c r="W429" s="210"/>
      <c r="X429" s="210"/>
      <c r="Y429" s="210"/>
      <c r="Z429" s="210"/>
      <c r="AA429" s="210"/>
      <c r="AB429" s="210"/>
      <c r="AC429" s="210"/>
      <c r="AI429" s="210"/>
      <c r="AJ429" s="210"/>
    </row>
    <row r="430" ht="12.75" customHeight="1">
      <c r="C430" s="210"/>
      <c r="D430" s="210"/>
      <c r="E430" s="210"/>
      <c r="F430" s="210"/>
      <c r="G430" s="210"/>
      <c r="H430" s="210"/>
      <c r="I430" s="210"/>
      <c r="J430" s="210"/>
      <c r="K430" s="210"/>
      <c r="L430" s="210"/>
      <c r="M430" s="210"/>
      <c r="N430" s="210"/>
      <c r="O430" s="210"/>
      <c r="P430" s="210"/>
      <c r="Q430" s="210"/>
      <c r="R430" s="210"/>
      <c r="S430" s="210"/>
      <c r="T430" s="210"/>
      <c r="U430" s="210"/>
      <c r="V430" s="210"/>
      <c r="W430" s="210"/>
      <c r="X430" s="210"/>
      <c r="Y430" s="210"/>
      <c r="Z430" s="210"/>
      <c r="AA430" s="210"/>
      <c r="AB430" s="210"/>
      <c r="AC430" s="210"/>
      <c r="AI430" s="210"/>
      <c r="AJ430" s="210"/>
    </row>
    <row r="431" ht="12.75" customHeight="1">
      <c r="C431" s="210"/>
      <c r="D431" s="210"/>
      <c r="E431" s="210"/>
      <c r="F431" s="210"/>
      <c r="G431" s="210"/>
      <c r="H431" s="210"/>
      <c r="I431" s="210"/>
      <c r="J431" s="210"/>
      <c r="K431" s="210"/>
      <c r="L431" s="210"/>
      <c r="M431" s="210"/>
      <c r="N431" s="210"/>
      <c r="O431" s="210"/>
      <c r="P431" s="210"/>
      <c r="Q431" s="210"/>
      <c r="R431" s="210"/>
      <c r="S431" s="210"/>
      <c r="T431" s="210"/>
      <c r="U431" s="210"/>
      <c r="V431" s="210"/>
      <c r="W431" s="210"/>
      <c r="X431" s="210"/>
      <c r="Y431" s="210"/>
      <c r="Z431" s="210"/>
      <c r="AA431" s="210"/>
      <c r="AB431" s="210"/>
      <c r="AC431" s="210"/>
      <c r="AI431" s="210"/>
      <c r="AJ431" s="210"/>
    </row>
    <row r="432" ht="12.75" customHeight="1">
      <c r="C432" s="210"/>
      <c r="D432" s="210"/>
      <c r="E432" s="210"/>
      <c r="F432" s="210"/>
      <c r="G432" s="210"/>
      <c r="H432" s="210"/>
      <c r="I432" s="210"/>
      <c r="J432" s="210"/>
      <c r="K432" s="210"/>
      <c r="L432" s="210"/>
      <c r="M432" s="210"/>
      <c r="N432" s="210"/>
      <c r="O432" s="210"/>
      <c r="P432" s="210"/>
      <c r="Q432" s="210"/>
      <c r="R432" s="210"/>
      <c r="S432" s="210"/>
      <c r="T432" s="210"/>
      <c r="U432" s="210"/>
      <c r="V432" s="210"/>
      <c r="W432" s="210"/>
      <c r="X432" s="210"/>
      <c r="Y432" s="210"/>
      <c r="Z432" s="210"/>
      <c r="AA432" s="210"/>
      <c r="AB432" s="210"/>
      <c r="AC432" s="210"/>
      <c r="AI432" s="210"/>
      <c r="AJ432" s="210"/>
    </row>
    <row r="433" ht="12.75" customHeight="1">
      <c r="C433" s="210"/>
      <c r="D433" s="210"/>
      <c r="E433" s="210"/>
      <c r="F433" s="210"/>
      <c r="G433" s="210"/>
      <c r="H433" s="210"/>
      <c r="I433" s="210"/>
      <c r="J433" s="210"/>
      <c r="K433" s="210"/>
      <c r="L433" s="210"/>
      <c r="M433" s="210"/>
      <c r="N433" s="210"/>
      <c r="O433" s="210"/>
      <c r="P433" s="210"/>
      <c r="Q433" s="210"/>
      <c r="R433" s="210"/>
      <c r="S433" s="210"/>
      <c r="T433" s="210"/>
      <c r="U433" s="210"/>
      <c r="V433" s="210"/>
      <c r="W433" s="210"/>
      <c r="X433" s="210"/>
      <c r="Y433" s="210"/>
      <c r="Z433" s="210"/>
      <c r="AA433" s="210"/>
      <c r="AB433" s="210"/>
      <c r="AC433" s="210"/>
      <c r="AI433" s="210"/>
      <c r="AJ433" s="210"/>
    </row>
    <row r="434" ht="12.75" customHeight="1">
      <c r="C434" s="210"/>
      <c r="D434" s="210"/>
      <c r="E434" s="210"/>
      <c r="F434" s="210"/>
      <c r="G434" s="210"/>
      <c r="H434" s="210"/>
      <c r="I434" s="210"/>
      <c r="J434" s="210"/>
      <c r="K434" s="210"/>
      <c r="L434" s="210"/>
      <c r="M434" s="210"/>
      <c r="N434" s="210"/>
      <c r="O434" s="210"/>
      <c r="P434" s="210"/>
      <c r="Q434" s="210"/>
      <c r="R434" s="210"/>
      <c r="S434" s="210"/>
      <c r="T434" s="210"/>
      <c r="U434" s="210"/>
      <c r="V434" s="210"/>
      <c r="W434" s="210"/>
      <c r="X434" s="210"/>
      <c r="Y434" s="210"/>
      <c r="Z434" s="210"/>
      <c r="AA434" s="210"/>
      <c r="AB434" s="210"/>
      <c r="AC434" s="210"/>
      <c r="AI434" s="210"/>
      <c r="AJ434" s="210"/>
    </row>
    <row r="435" ht="12.75" customHeight="1">
      <c r="C435" s="210"/>
      <c r="D435" s="210"/>
      <c r="E435" s="210"/>
      <c r="F435" s="210"/>
      <c r="G435" s="210"/>
      <c r="H435" s="210"/>
      <c r="I435" s="210"/>
      <c r="J435" s="210"/>
      <c r="K435" s="210"/>
      <c r="L435" s="210"/>
      <c r="M435" s="210"/>
      <c r="N435" s="210"/>
      <c r="O435" s="210"/>
      <c r="P435" s="210"/>
      <c r="Q435" s="210"/>
      <c r="R435" s="210"/>
      <c r="S435" s="210"/>
      <c r="T435" s="210"/>
      <c r="U435" s="210"/>
      <c r="V435" s="210"/>
      <c r="W435" s="210"/>
      <c r="X435" s="210"/>
      <c r="Y435" s="210"/>
      <c r="Z435" s="210"/>
      <c r="AA435" s="210"/>
      <c r="AB435" s="210"/>
      <c r="AC435" s="210"/>
      <c r="AI435" s="210"/>
      <c r="AJ435" s="210"/>
    </row>
    <row r="436" ht="12.75" customHeight="1">
      <c r="C436" s="210"/>
      <c r="D436" s="210"/>
      <c r="E436" s="210"/>
      <c r="F436" s="210"/>
      <c r="G436" s="210"/>
      <c r="H436" s="210"/>
      <c r="I436" s="210"/>
      <c r="J436" s="210"/>
      <c r="K436" s="210"/>
      <c r="L436" s="210"/>
      <c r="M436" s="210"/>
      <c r="N436" s="210"/>
      <c r="O436" s="210"/>
      <c r="P436" s="210"/>
      <c r="Q436" s="210"/>
      <c r="R436" s="210"/>
      <c r="S436" s="210"/>
      <c r="T436" s="210"/>
      <c r="U436" s="210"/>
      <c r="V436" s="210"/>
      <c r="W436" s="210"/>
      <c r="X436" s="210"/>
      <c r="Y436" s="210"/>
      <c r="Z436" s="210"/>
      <c r="AA436" s="210"/>
      <c r="AB436" s="210"/>
      <c r="AC436" s="210"/>
      <c r="AI436" s="210"/>
      <c r="AJ436" s="210"/>
    </row>
    <row r="437" ht="12.75" customHeight="1">
      <c r="C437" s="210"/>
      <c r="D437" s="210"/>
      <c r="E437" s="210"/>
      <c r="F437" s="210"/>
      <c r="G437" s="210"/>
      <c r="H437" s="210"/>
      <c r="I437" s="210"/>
      <c r="J437" s="210"/>
      <c r="K437" s="210"/>
      <c r="L437" s="210"/>
      <c r="M437" s="210"/>
      <c r="N437" s="210"/>
      <c r="O437" s="210"/>
      <c r="P437" s="210"/>
      <c r="Q437" s="210"/>
      <c r="R437" s="210"/>
      <c r="S437" s="210"/>
      <c r="T437" s="210"/>
      <c r="U437" s="210"/>
      <c r="V437" s="210"/>
      <c r="W437" s="210"/>
      <c r="X437" s="210"/>
      <c r="Y437" s="210"/>
      <c r="Z437" s="210"/>
      <c r="AA437" s="210"/>
      <c r="AB437" s="210"/>
      <c r="AC437" s="210"/>
      <c r="AI437" s="210"/>
      <c r="AJ437" s="210"/>
    </row>
    <row r="438" ht="12.75" customHeight="1">
      <c r="C438" s="210"/>
      <c r="D438" s="210"/>
      <c r="E438" s="210"/>
      <c r="F438" s="210"/>
      <c r="G438" s="210"/>
      <c r="H438" s="210"/>
      <c r="I438" s="210"/>
      <c r="J438" s="210"/>
      <c r="K438" s="210"/>
      <c r="L438" s="210"/>
      <c r="M438" s="210"/>
      <c r="N438" s="210"/>
      <c r="O438" s="210"/>
      <c r="P438" s="210"/>
      <c r="Q438" s="210"/>
      <c r="R438" s="210"/>
      <c r="S438" s="210"/>
      <c r="T438" s="210"/>
      <c r="U438" s="210"/>
      <c r="V438" s="210"/>
      <c r="W438" s="210"/>
      <c r="X438" s="210"/>
      <c r="Y438" s="210"/>
      <c r="Z438" s="210"/>
      <c r="AA438" s="210"/>
      <c r="AB438" s="210"/>
      <c r="AC438" s="210"/>
      <c r="AI438" s="210"/>
      <c r="AJ438" s="210"/>
    </row>
    <row r="439" ht="12.75" customHeight="1">
      <c r="C439" s="210"/>
      <c r="D439" s="210"/>
      <c r="E439" s="210"/>
      <c r="F439" s="210"/>
      <c r="G439" s="210"/>
      <c r="H439" s="210"/>
      <c r="I439" s="210"/>
      <c r="J439" s="210"/>
      <c r="K439" s="210"/>
      <c r="L439" s="210"/>
      <c r="M439" s="210"/>
      <c r="N439" s="210"/>
      <c r="O439" s="210"/>
      <c r="P439" s="210"/>
      <c r="Q439" s="210"/>
      <c r="R439" s="210"/>
      <c r="S439" s="210"/>
      <c r="T439" s="210"/>
      <c r="U439" s="210"/>
      <c r="V439" s="210"/>
      <c r="W439" s="210"/>
      <c r="X439" s="210"/>
      <c r="Y439" s="210"/>
      <c r="Z439" s="210"/>
      <c r="AA439" s="210"/>
      <c r="AB439" s="210"/>
      <c r="AC439" s="210"/>
      <c r="AI439" s="210"/>
      <c r="AJ439" s="210"/>
    </row>
    <row r="440" ht="12.75" customHeight="1">
      <c r="C440" s="210"/>
      <c r="D440" s="210"/>
      <c r="E440" s="210"/>
      <c r="F440" s="210"/>
      <c r="G440" s="210"/>
      <c r="H440" s="210"/>
      <c r="I440" s="210"/>
      <c r="J440" s="210"/>
      <c r="K440" s="210"/>
      <c r="L440" s="210"/>
      <c r="M440" s="210"/>
      <c r="N440" s="210"/>
      <c r="O440" s="210"/>
      <c r="P440" s="210"/>
      <c r="Q440" s="210"/>
      <c r="R440" s="210"/>
      <c r="S440" s="210"/>
      <c r="T440" s="210"/>
      <c r="U440" s="210"/>
      <c r="V440" s="210"/>
      <c r="W440" s="210"/>
      <c r="X440" s="210"/>
      <c r="Y440" s="210"/>
      <c r="Z440" s="210"/>
      <c r="AA440" s="210"/>
      <c r="AB440" s="210"/>
      <c r="AC440" s="210"/>
      <c r="AI440" s="210"/>
      <c r="AJ440" s="210"/>
    </row>
    <row r="441" ht="12.75" customHeight="1">
      <c r="C441" s="210"/>
      <c r="D441" s="210"/>
      <c r="E441" s="210"/>
      <c r="F441" s="210"/>
      <c r="G441" s="210"/>
      <c r="H441" s="210"/>
      <c r="I441" s="210"/>
      <c r="J441" s="210"/>
      <c r="K441" s="210"/>
      <c r="L441" s="210"/>
      <c r="M441" s="210"/>
      <c r="N441" s="210"/>
      <c r="O441" s="210"/>
      <c r="P441" s="210"/>
      <c r="Q441" s="210"/>
      <c r="R441" s="210"/>
      <c r="S441" s="210"/>
      <c r="T441" s="210"/>
      <c r="U441" s="210"/>
      <c r="V441" s="210"/>
      <c r="W441" s="210"/>
      <c r="X441" s="210"/>
      <c r="Y441" s="210"/>
      <c r="Z441" s="210"/>
      <c r="AA441" s="210"/>
      <c r="AB441" s="210"/>
      <c r="AC441" s="210"/>
      <c r="AI441" s="210"/>
      <c r="AJ441" s="210"/>
    </row>
    <row r="442" ht="12.75" customHeight="1">
      <c r="C442" s="210"/>
      <c r="D442" s="210"/>
      <c r="E442" s="210"/>
      <c r="F442" s="210"/>
      <c r="G442" s="210"/>
      <c r="H442" s="210"/>
      <c r="I442" s="210"/>
      <c r="J442" s="210"/>
      <c r="K442" s="210"/>
      <c r="L442" s="210"/>
      <c r="M442" s="210"/>
      <c r="N442" s="210"/>
      <c r="O442" s="210"/>
      <c r="P442" s="210"/>
      <c r="Q442" s="210"/>
      <c r="R442" s="210"/>
      <c r="S442" s="210"/>
      <c r="T442" s="210"/>
      <c r="U442" s="210"/>
      <c r="V442" s="210"/>
      <c r="W442" s="210"/>
      <c r="X442" s="210"/>
      <c r="Y442" s="210"/>
      <c r="Z442" s="210"/>
      <c r="AA442" s="210"/>
      <c r="AB442" s="210"/>
      <c r="AC442" s="210"/>
      <c r="AI442" s="210"/>
      <c r="AJ442" s="210"/>
    </row>
    <row r="443" ht="12.75" customHeight="1">
      <c r="C443" s="210"/>
      <c r="D443" s="210"/>
      <c r="E443" s="210"/>
      <c r="F443" s="210"/>
      <c r="G443" s="210"/>
      <c r="H443" s="210"/>
      <c r="I443" s="210"/>
      <c r="J443" s="210"/>
      <c r="K443" s="210"/>
      <c r="L443" s="210"/>
      <c r="M443" s="210"/>
      <c r="N443" s="210"/>
      <c r="O443" s="210"/>
      <c r="P443" s="210"/>
      <c r="Q443" s="210"/>
      <c r="R443" s="210"/>
      <c r="S443" s="210"/>
      <c r="T443" s="210"/>
      <c r="U443" s="210"/>
      <c r="V443" s="210"/>
      <c r="W443" s="210"/>
      <c r="X443" s="210"/>
      <c r="Y443" s="210"/>
      <c r="Z443" s="210"/>
      <c r="AA443" s="210"/>
      <c r="AB443" s="210"/>
      <c r="AC443" s="210"/>
      <c r="AI443" s="210"/>
      <c r="AJ443" s="210"/>
    </row>
    <row r="444" ht="12.75" customHeight="1">
      <c r="C444" s="210"/>
      <c r="D444" s="210"/>
      <c r="E444" s="210"/>
      <c r="F444" s="210"/>
      <c r="G444" s="210"/>
      <c r="H444" s="210"/>
      <c r="I444" s="210"/>
      <c r="J444" s="210"/>
      <c r="K444" s="210"/>
      <c r="L444" s="210"/>
      <c r="M444" s="210"/>
      <c r="N444" s="210"/>
      <c r="O444" s="210"/>
      <c r="P444" s="210"/>
      <c r="Q444" s="210"/>
      <c r="R444" s="210"/>
      <c r="S444" s="210"/>
      <c r="T444" s="210"/>
      <c r="U444" s="210"/>
      <c r="V444" s="210"/>
      <c r="W444" s="210"/>
      <c r="X444" s="210"/>
      <c r="Y444" s="210"/>
      <c r="Z444" s="210"/>
      <c r="AA444" s="210"/>
      <c r="AB444" s="210"/>
      <c r="AC444" s="210"/>
      <c r="AI444" s="210"/>
      <c r="AJ444" s="210"/>
    </row>
    <row r="445" ht="12.75" customHeight="1">
      <c r="C445" s="210"/>
      <c r="D445" s="210"/>
      <c r="E445" s="210"/>
      <c r="F445" s="210"/>
      <c r="G445" s="210"/>
      <c r="H445" s="210"/>
      <c r="I445" s="210"/>
      <c r="J445" s="210"/>
      <c r="K445" s="210"/>
      <c r="L445" s="210"/>
      <c r="M445" s="210"/>
      <c r="N445" s="210"/>
      <c r="O445" s="210"/>
      <c r="P445" s="210"/>
      <c r="Q445" s="210"/>
      <c r="R445" s="210"/>
      <c r="S445" s="210"/>
      <c r="T445" s="210"/>
      <c r="U445" s="210"/>
      <c r="V445" s="210"/>
      <c r="W445" s="210"/>
      <c r="X445" s="210"/>
      <c r="Y445" s="210"/>
      <c r="Z445" s="210"/>
      <c r="AA445" s="210"/>
      <c r="AB445" s="210"/>
      <c r="AC445" s="210"/>
      <c r="AI445" s="210"/>
      <c r="AJ445" s="210"/>
    </row>
    <row r="446" ht="12.75" customHeight="1">
      <c r="C446" s="210"/>
      <c r="D446" s="210"/>
      <c r="E446" s="210"/>
      <c r="F446" s="210"/>
      <c r="G446" s="210"/>
      <c r="H446" s="210"/>
      <c r="I446" s="210"/>
      <c r="J446" s="210"/>
      <c r="K446" s="210"/>
      <c r="L446" s="210"/>
      <c r="M446" s="210"/>
      <c r="N446" s="210"/>
      <c r="O446" s="210"/>
      <c r="P446" s="210"/>
      <c r="Q446" s="210"/>
      <c r="R446" s="210"/>
      <c r="S446" s="210"/>
      <c r="T446" s="210"/>
      <c r="U446" s="210"/>
      <c r="V446" s="210"/>
      <c r="W446" s="210"/>
      <c r="X446" s="210"/>
      <c r="Y446" s="210"/>
      <c r="Z446" s="210"/>
      <c r="AA446" s="210"/>
      <c r="AB446" s="210"/>
      <c r="AC446" s="210"/>
      <c r="AI446" s="210"/>
      <c r="AJ446" s="210"/>
    </row>
    <row r="447" ht="12.75" customHeight="1">
      <c r="C447" s="210"/>
      <c r="D447" s="210"/>
      <c r="E447" s="210"/>
      <c r="F447" s="210"/>
      <c r="G447" s="210"/>
      <c r="H447" s="210"/>
      <c r="I447" s="210"/>
      <c r="J447" s="210"/>
      <c r="K447" s="210"/>
      <c r="L447" s="210"/>
      <c r="M447" s="210"/>
      <c r="N447" s="210"/>
      <c r="O447" s="210"/>
      <c r="P447" s="210"/>
      <c r="Q447" s="210"/>
      <c r="R447" s="210"/>
      <c r="S447" s="210"/>
      <c r="T447" s="210"/>
      <c r="U447" s="210"/>
      <c r="V447" s="210"/>
      <c r="W447" s="210"/>
      <c r="X447" s="210"/>
      <c r="Y447" s="210"/>
      <c r="Z447" s="210"/>
      <c r="AA447" s="210"/>
      <c r="AB447" s="210"/>
      <c r="AC447" s="210"/>
      <c r="AI447" s="210"/>
      <c r="AJ447" s="210"/>
    </row>
    <row r="448" ht="12.75" customHeight="1">
      <c r="C448" s="210"/>
      <c r="D448" s="210"/>
      <c r="E448" s="210"/>
      <c r="F448" s="210"/>
      <c r="G448" s="210"/>
      <c r="H448" s="210"/>
      <c r="I448" s="210"/>
      <c r="J448" s="210"/>
      <c r="K448" s="210"/>
      <c r="L448" s="210"/>
      <c r="M448" s="210"/>
      <c r="N448" s="210"/>
      <c r="O448" s="210"/>
      <c r="P448" s="210"/>
      <c r="Q448" s="210"/>
      <c r="R448" s="210"/>
      <c r="S448" s="210"/>
      <c r="T448" s="210"/>
      <c r="U448" s="210"/>
      <c r="V448" s="210"/>
      <c r="W448" s="210"/>
      <c r="X448" s="210"/>
      <c r="Y448" s="210"/>
      <c r="Z448" s="210"/>
      <c r="AA448" s="210"/>
      <c r="AB448" s="210"/>
      <c r="AC448" s="210"/>
      <c r="AI448" s="210"/>
      <c r="AJ448" s="210"/>
    </row>
    <row r="449" ht="12.75" customHeight="1">
      <c r="C449" s="210"/>
      <c r="D449" s="210"/>
      <c r="E449" s="210"/>
      <c r="F449" s="210"/>
      <c r="G449" s="210"/>
      <c r="H449" s="210"/>
      <c r="I449" s="210"/>
      <c r="J449" s="210"/>
      <c r="K449" s="210"/>
      <c r="L449" s="210"/>
      <c r="M449" s="210"/>
      <c r="N449" s="210"/>
      <c r="O449" s="210"/>
      <c r="P449" s="210"/>
      <c r="Q449" s="210"/>
      <c r="R449" s="210"/>
      <c r="S449" s="210"/>
      <c r="T449" s="210"/>
      <c r="U449" s="210"/>
      <c r="V449" s="210"/>
      <c r="W449" s="210"/>
      <c r="X449" s="210"/>
      <c r="Y449" s="210"/>
      <c r="Z449" s="210"/>
      <c r="AA449" s="210"/>
      <c r="AB449" s="210"/>
      <c r="AC449" s="210"/>
      <c r="AI449" s="210"/>
      <c r="AJ449" s="210"/>
    </row>
    <row r="450" ht="12.75" customHeight="1">
      <c r="C450" s="210"/>
      <c r="D450" s="210"/>
      <c r="E450" s="210"/>
      <c r="F450" s="210"/>
      <c r="G450" s="210"/>
      <c r="H450" s="210"/>
      <c r="I450" s="210"/>
      <c r="J450" s="210"/>
      <c r="K450" s="210"/>
      <c r="L450" s="210"/>
      <c r="M450" s="210"/>
      <c r="N450" s="210"/>
      <c r="O450" s="210"/>
      <c r="P450" s="210"/>
      <c r="Q450" s="210"/>
      <c r="R450" s="210"/>
      <c r="S450" s="210"/>
      <c r="T450" s="210"/>
      <c r="U450" s="210"/>
      <c r="V450" s="210"/>
      <c r="W450" s="210"/>
      <c r="X450" s="210"/>
      <c r="Y450" s="210"/>
      <c r="Z450" s="210"/>
      <c r="AA450" s="210"/>
      <c r="AB450" s="210"/>
      <c r="AC450" s="210"/>
      <c r="AI450" s="210"/>
      <c r="AJ450" s="210"/>
    </row>
    <row r="451" ht="12.75" customHeight="1">
      <c r="C451" s="210"/>
      <c r="D451" s="210"/>
      <c r="E451" s="210"/>
      <c r="F451" s="210"/>
      <c r="G451" s="210"/>
      <c r="H451" s="210"/>
      <c r="I451" s="210"/>
      <c r="J451" s="210"/>
      <c r="K451" s="210"/>
      <c r="L451" s="210"/>
      <c r="M451" s="210"/>
      <c r="N451" s="210"/>
      <c r="O451" s="210"/>
      <c r="P451" s="210"/>
      <c r="Q451" s="210"/>
      <c r="R451" s="210"/>
      <c r="S451" s="210"/>
      <c r="T451" s="210"/>
      <c r="U451" s="210"/>
      <c r="V451" s="210"/>
      <c r="W451" s="210"/>
      <c r="X451" s="210"/>
      <c r="Y451" s="210"/>
      <c r="Z451" s="210"/>
      <c r="AA451" s="210"/>
      <c r="AB451" s="210"/>
      <c r="AC451" s="210"/>
      <c r="AI451" s="210"/>
      <c r="AJ451" s="210"/>
    </row>
    <row r="452" ht="12.75" customHeight="1">
      <c r="C452" s="210"/>
      <c r="D452" s="210"/>
      <c r="E452" s="210"/>
      <c r="F452" s="210"/>
      <c r="G452" s="210"/>
      <c r="H452" s="210"/>
      <c r="I452" s="210"/>
      <c r="J452" s="210"/>
      <c r="K452" s="210"/>
      <c r="L452" s="210"/>
      <c r="M452" s="210"/>
      <c r="N452" s="210"/>
      <c r="O452" s="210"/>
      <c r="P452" s="210"/>
      <c r="Q452" s="210"/>
      <c r="R452" s="210"/>
      <c r="S452" s="210"/>
      <c r="T452" s="210"/>
      <c r="U452" s="210"/>
      <c r="V452" s="210"/>
      <c r="W452" s="210"/>
      <c r="X452" s="210"/>
      <c r="Y452" s="210"/>
      <c r="Z452" s="210"/>
      <c r="AA452" s="210"/>
      <c r="AB452" s="210"/>
      <c r="AC452" s="210"/>
      <c r="AI452" s="210"/>
      <c r="AJ452" s="210"/>
    </row>
    <row r="453" ht="12.75" customHeight="1">
      <c r="C453" s="210"/>
      <c r="D453" s="210"/>
      <c r="E453" s="210"/>
      <c r="F453" s="210"/>
      <c r="G453" s="210"/>
      <c r="H453" s="210"/>
      <c r="I453" s="210"/>
      <c r="J453" s="210"/>
      <c r="K453" s="210"/>
      <c r="L453" s="210"/>
      <c r="M453" s="210"/>
      <c r="N453" s="210"/>
      <c r="O453" s="210"/>
      <c r="P453" s="210"/>
      <c r="Q453" s="210"/>
      <c r="R453" s="210"/>
      <c r="S453" s="210"/>
      <c r="T453" s="210"/>
      <c r="U453" s="210"/>
      <c r="V453" s="210"/>
      <c r="W453" s="210"/>
      <c r="X453" s="210"/>
      <c r="Y453" s="210"/>
      <c r="Z453" s="210"/>
      <c r="AA453" s="210"/>
      <c r="AB453" s="210"/>
      <c r="AC453" s="210"/>
      <c r="AI453" s="210"/>
      <c r="AJ453" s="210"/>
    </row>
    <row r="454" ht="12.75" customHeight="1">
      <c r="C454" s="210"/>
      <c r="D454" s="210"/>
      <c r="E454" s="210"/>
      <c r="F454" s="210"/>
      <c r="G454" s="210"/>
      <c r="H454" s="210"/>
      <c r="I454" s="210"/>
      <c r="J454" s="210"/>
      <c r="K454" s="210"/>
      <c r="L454" s="210"/>
      <c r="M454" s="210"/>
      <c r="N454" s="210"/>
      <c r="O454" s="210"/>
      <c r="P454" s="210"/>
      <c r="Q454" s="210"/>
      <c r="R454" s="210"/>
      <c r="S454" s="210"/>
      <c r="T454" s="210"/>
      <c r="U454" s="210"/>
      <c r="V454" s="210"/>
      <c r="W454" s="210"/>
      <c r="X454" s="210"/>
      <c r="Y454" s="210"/>
      <c r="Z454" s="210"/>
      <c r="AA454" s="210"/>
      <c r="AB454" s="210"/>
      <c r="AC454" s="210"/>
      <c r="AI454" s="210"/>
      <c r="AJ454" s="210"/>
    </row>
    <row r="455" ht="12.75" customHeight="1">
      <c r="C455" s="210"/>
      <c r="D455" s="210"/>
      <c r="E455" s="210"/>
      <c r="F455" s="210"/>
      <c r="G455" s="210"/>
      <c r="H455" s="210"/>
      <c r="I455" s="210"/>
      <c r="J455" s="210"/>
      <c r="K455" s="210"/>
      <c r="L455" s="210"/>
      <c r="M455" s="210"/>
      <c r="N455" s="210"/>
      <c r="O455" s="210"/>
      <c r="P455" s="210"/>
      <c r="Q455" s="210"/>
      <c r="R455" s="210"/>
      <c r="S455" s="210"/>
      <c r="T455" s="210"/>
      <c r="U455" s="210"/>
      <c r="V455" s="210"/>
      <c r="W455" s="210"/>
      <c r="X455" s="210"/>
      <c r="Y455" s="210"/>
      <c r="Z455" s="210"/>
      <c r="AA455" s="210"/>
      <c r="AB455" s="210"/>
      <c r="AC455" s="210"/>
      <c r="AI455" s="210"/>
      <c r="AJ455" s="210"/>
    </row>
    <row r="456" ht="12.75" customHeight="1">
      <c r="C456" s="210"/>
      <c r="D456" s="210"/>
      <c r="E456" s="210"/>
      <c r="F456" s="210"/>
      <c r="G456" s="210"/>
      <c r="H456" s="210"/>
      <c r="I456" s="210"/>
      <c r="J456" s="210"/>
      <c r="K456" s="210"/>
      <c r="L456" s="210"/>
      <c r="M456" s="210"/>
      <c r="N456" s="210"/>
      <c r="O456" s="210"/>
      <c r="P456" s="210"/>
      <c r="Q456" s="210"/>
      <c r="R456" s="210"/>
      <c r="S456" s="210"/>
      <c r="T456" s="210"/>
      <c r="U456" s="210"/>
      <c r="V456" s="210"/>
      <c r="W456" s="210"/>
      <c r="X456" s="210"/>
      <c r="Y456" s="210"/>
      <c r="Z456" s="210"/>
      <c r="AA456" s="210"/>
      <c r="AB456" s="210"/>
      <c r="AC456" s="210"/>
      <c r="AI456" s="210"/>
      <c r="AJ456" s="210"/>
    </row>
    <row r="457" ht="12.75" customHeight="1">
      <c r="C457" s="210"/>
      <c r="D457" s="210"/>
      <c r="E457" s="210"/>
      <c r="F457" s="210"/>
      <c r="G457" s="210"/>
      <c r="H457" s="210"/>
      <c r="I457" s="210"/>
      <c r="J457" s="210"/>
      <c r="K457" s="210"/>
      <c r="L457" s="210"/>
      <c r="M457" s="210"/>
      <c r="N457" s="210"/>
      <c r="O457" s="210"/>
      <c r="P457" s="210"/>
      <c r="Q457" s="210"/>
      <c r="R457" s="210"/>
      <c r="S457" s="210"/>
      <c r="T457" s="210"/>
      <c r="U457" s="210"/>
      <c r="V457" s="210"/>
      <c r="W457" s="210"/>
      <c r="X457" s="210"/>
      <c r="Y457" s="210"/>
      <c r="Z457" s="210"/>
      <c r="AA457" s="210"/>
      <c r="AB457" s="210"/>
      <c r="AC457" s="210"/>
      <c r="AI457" s="210"/>
      <c r="AJ457" s="210"/>
    </row>
    <row r="458" ht="12.75" customHeight="1">
      <c r="C458" s="210"/>
      <c r="D458" s="210"/>
      <c r="E458" s="210"/>
      <c r="F458" s="210"/>
      <c r="G458" s="210"/>
      <c r="H458" s="210"/>
      <c r="I458" s="210"/>
      <c r="J458" s="210"/>
      <c r="K458" s="210"/>
      <c r="L458" s="210"/>
      <c r="M458" s="210"/>
      <c r="N458" s="210"/>
      <c r="O458" s="210"/>
      <c r="P458" s="210"/>
      <c r="Q458" s="210"/>
      <c r="R458" s="210"/>
      <c r="S458" s="210"/>
      <c r="T458" s="210"/>
      <c r="U458" s="210"/>
      <c r="V458" s="210"/>
      <c r="W458" s="210"/>
      <c r="X458" s="210"/>
      <c r="Y458" s="210"/>
      <c r="Z458" s="210"/>
      <c r="AA458" s="210"/>
      <c r="AB458" s="210"/>
      <c r="AC458" s="210"/>
      <c r="AI458" s="210"/>
      <c r="AJ458" s="210"/>
    </row>
    <row r="459" ht="12.75" customHeight="1">
      <c r="C459" s="210"/>
      <c r="D459" s="210"/>
      <c r="E459" s="210"/>
      <c r="F459" s="210"/>
      <c r="G459" s="210"/>
      <c r="H459" s="210"/>
      <c r="I459" s="210"/>
      <c r="J459" s="210"/>
      <c r="K459" s="210"/>
      <c r="L459" s="210"/>
      <c r="M459" s="210"/>
      <c r="N459" s="210"/>
      <c r="O459" s="210"/>
      <c r="P459" s="210"/>
      <c r="Q459" s="210"/>
      <c r="R459" s="210"/>
      <c r="S459" s="210"/>
      <c r="T459" s="210"/>
      <c r="U459" s="210"/>
      <c r="V459" s="210"/>
      <c r="W459" s="210"/>
      <c r="X459" s="210"/>
      <c r="Y459" s="210"/>
      <c r="Z459" s="210"/>
      <c r="AA459" s="210"/>
      <c r="AB459" s="210"/>
      <c r="AC459" s="210"/>
      <c r="AI459" s="210"/>
      <c r="AJ459" s="210"/>
    </row>
    <row r="460" ht="12.75" customHeight="1">
      <c r="C460" s="210"/>
      <c r="D460" s="210"/>
      <c r="E460" s="210"/>
      <c r="F460" s="210"/>
      <c r="G460" s="210"/>
      <c r="H460" s="210"/>
      <c r="I460" s="210"/>
      <c r="J460" s="210"/>
      <c r="K460" s="210"/>
      <c r="L460" s="210"/>
      <c r="M460" s="210"/>
      <c r="N460" s="210"/>
      <c r="O460" s="210"/>
      <c r="P460" s="210"/>
      <c r="Q460" s="210"/>
      <c r="R460" s="210"/>
      <c r="S460" s="210"/>
      <c r="T460" s="210"/>
      <c r="U460" s="210"/>
      <c r="V460" s="210"/>
      <c r="W460" s="210"/>
      <c r="X460" s="210"/>
      <c r="Y460" s="210"/>
      <c r="Z460" s="210"/>
      <c r="AA460" s="210"/>
      <c r="AB460" s="210"/>
      <c r="AC460" s="210"/>
      <c r="AI460" s="210"/>
      <c r="AJ460" s="210"/>
    </row>
    <row r="461" ht="12.75" customHeight="1">
      <c r="C461" s="210"/>
      <c r="D461" s="210"/>
      <c r="E461" s="210"/>
      <c r="F461" s="210"/>
      <c r="G461" s="210"/>
      <c r="H461" s="210"/>
      <c r="I461" s="210"/>
      <c r="J461" s="210"/>
      <c r="K461" s="210"/>
      <c r="L461" s="210"/>
      <c r="M461" s="210"/>
      <c r="N461" s="210"/>
      <c r="O461" s="210"/>
      <c r="P461" s="210"/>
      <c r="Q461" s="210"/>
      <c r="R461" s="210"/>
      <c r="S461" s="210"/>
      <c r="T461" s="210"/>
      <c r="U461" s="210"/>
      <c r="V461" s="210"/>
      <c r="W461" s="210"/>
      <c r="X461" s="210"/>
      <c r="Y461" s="210"/>
      <c r="Z461" s="210"/>
      <c r="AA461" s="210"/>
      <c r="AB461" s="210"/>
      <c r="AC461" s="210"/>
      <c r="AI461" s="210"/>
      <c r="AJ461" s="210"/>
    </row>
    <row r="462" ht="12.75" customHeight="1">
      <c r="C462" s="210"/>
      <c r="D462" s="210"/>
      <c r="E462" s="210"/>
      <c r="F462" s="210"/>
      <c r="G462" s="210"/>
      <c r="H462" s="210"/>
      <c r="I462" s="210"/>
      <c r="J462" s="210"/>
      <c r="K462" s="210"/>
      <c r="L462" s="210"/>
      <c r="M462" s="210"/>
      <c r="N462" s="210"/>
      <c r="O462" s="210"/>
      <c r="P462" s="210"/>
      <c r="Q462" s="210"/>
      <c r="R462" s="210"/>
      <c r="S462" s="210"/>
      <c r="T462" s="210"/>
      <c r="U462" s="210"/>
      <c r="V462" s="210"/>
      <c r="W462" s="210"/>
      <c r="X462" s="210"/>
      <c r="Y462" s="210"/>
      <c r="Z462" s="210"/>
      <c r="AA462" s="210"/>
      <c r="AB462" s="210"/>
      <c r="AC462" s="210"/>
      <c r="AI462" s="210"/>
      <c r="AJ462" s="210"/>
    </row>
    <row r="463" ht="12.75" customHeight="1">
      <c r="C463" s="210"/>
      <c r="D463" s="210"/>
      <c r="E463" s="210"/>
      <c r="F463" s="210"/>
      <c r="G463" s="210"/>
      <c r="H463" s="210"/>
      <c r="I463" s="210"/>
      <c r="J463" s="210"/>
      <c r="K463" s="210"/>
      <c r="L463" s="210"/>
      <c r="M463" s="210"/>
      <c r="N463" s="210"/>
      <c r="O463" s="210"/>
      <c r="P463" s="210"/>
      <c r="Q463" s="210"/>
      <c r="R463" s="210"/>
      <c r="S463" s="210"/>
      <c r="T463" s="210"/>
      <c r="U463" s="210"/>
      <c r="V463" s="210"/>
      <c r="W463" s="210"/>
      <c r="X463" s="210"/>
      <c r="Y463" s="210"/>
      <c r="Z463" s="210"/>
      <c r="AA463" s="210"/>
      <c r="AB463" s="210"/>
      <c r="AC463" s="210"/>
      <c r="AI463" s="210"/>
      <c r="AJ463" s="210"/>
    </row>
    <row r="464" ht="12.75" customHeight="1">
      <c r="C464" s="210"/>
      <c r="D464" s="210"/>
      <c r="E464" s="210"/>
      <c r="F464" s="210"/>
      <c r="G464" s="210"/>
      <c r="H464" s="210"/>
      <c r="I464" s="210"/>
      <c r="J464" s="210"/>
      <c r="K464" s="210"/>
      <c r="L464" s="210"/>
      <c r="M464" s="210"/>
      <c r="N464" s="210"/>
      <c r="O464" s="210"/>
      <c r="P464" s="210"/>
      <c r="Q464" s="210"/>
      <c r="R464" s="210"/>
      <c r="S464" s="210"/>
      <c r="T464" s="210"/>
      <c r="U464" s="210"/>
      <c r="V464" s="210"/>
      <c r="W464" s="210"/>
      <c r="X464" s="210"/>
      <c r="Y464" s="210"/>
      <c r="Z464" s="210"/>
      <c r="AA464" s="210"/>
      <c r="AB464" s="210"/>
      <c r="AC464" s="210"/>
      <c r="AI464" s="210"/>
      <c r="AJ464" s="210"/>
    </row>
    <row r="465" ht="12.75" customHeight="1">
      <c r="C465" s="210"/>
      <c r="D465" s="210"/>
      <c r="E465" s="210"/>
      <c r="F465" s="210"/>
      <c r="G465" s="210"/>
      <c r="H465" s="210"/>
      <c r="I465" s="210"/>
      <c r="J465" s="210"/>
      <c r="K465" s="210"/>
      <c r="L465" s="210"/>
      <c r="M465" s="210"/>
      <c r="N465" s="210"/>
      <c r="O465" s="210"/>
      <c r="P465" s="210"/>
      <c r="Q465" s="210"/>
      <c r="R465" s="210"/>
      <c r="S465" s="210"/>
      <c r="T465" s="210"/>
      <c r="U465" s="210"/>
      <c r="V465" s="210"/>
      <c r="W465" s="210"/>
      <c r="X465" s="210"/>
      <c r="Y465" s="210"/>
      <c r="Z465" s="210"/>
      <c r="AA465" s="210"/>
      <c r="AB465" s="210"/>
      <c r="AC465" s="210"/>
      <c r="AI465" s="210"/>
      <c r="AJ465" s="210"/>
    </row>
    <row r="466" ht="12.75" customHeight="1">
      <c r="C466" s="210"/>
      <c r="D466" s="210"/>
      <c r="E466" s="210"/>
      <c r="F466" s="210"/>
      <c r="G466" s="210"/>
      <c r="H466" s="210"/>
      <c r="I466" s="210"/>
      <c r="J466" s="210"/>
      <c r="K466" s="210"/>
      <c r="L466" s="210"/>
      <c r="M466" s="210"/>
      <c r="N466" s="210"/>
      <c r="O466" s="210"/>
      <c r="P466" s="210"/>
      <c r="Q466" s="210"/>
      <c r="R466" s="210"/>
      <c r="S466" s="210"/>
      <c r="T466" s="210"/>
      <c r="U466" s="210"/>
      <c r="V466" s="210"/>
      <c r="W466" s="210"/>
      <c r="X466" s="210"/>
      <c r="Y466" s="210"/>
      <c r="Z466" s="210"/>
      <c r="AA466" s="210"/>
      <c r="AB466" s="210"/>
      <c r="AC466" s="210"/>
      <c r="AI466" s="210"/>
      <c r="AJ466" s="210"/>
    </row>
    <row r="467" ht="12.75" customHeight="1">
      <c r="C467" s="210"/>
      <c r="D467" s="210"/>
      <c r="E467" s="210"/>
      <c r="F467" s="210"/>
      <c r="G467" s="210"/>
      <c r="H467" s="210"/>
      <c r="I467" s="210"/>
      <c r="J467" s="210"/>
      <c r="K467" s="210"/>
      <c r="L467" s="210"/>
      <c r="M467" s="210"/>
      <c r="N467" s="210"/>
      <c r="O467" s="210"/>
      <c r="P467" s="210"/>
      <c r="Q467" s="210"/>
      <c r="R467" s="210"/>
      <c r="S467" s="210"/>
      <c r="T467" s="210"/>
      <c r="U467" s="210"/>
      <c r="V467" s="210"/>
      <c r="W467" s="210"/>
      <c r="X467" s="210"/>
      <c r="Y467" s="210"/>
      <c r="Z467" s="210"/>
      <c r="AA467" s="210"/>
      <c r="AB467" s="210"/>
      <c r="AC467" s="210"/>
      <c r="AI467" s="210"/>
      <c r="AJ467" s="210"/>
    </row>
    <row r="468" ht="12.75" customHeight="1">
      <c r="C468" s="210"/>
      <c r="D468" s="210"/>
      <c r="E468" s="210"/>
      <c r="F468" s="210"/>
      <c r="G468" s="210"/>
      <c r="H468" s="210"/>
      <c r="I468" s="210"/>
      <c r="J468" s="210"/>
      <c r="K468" s="210"/>
      <c r="L468" s="210"/>
      <c r="M468" s="210"/>
      <c r="N468" s="210"/>
      <c r="O468" s="210"/>
      <c r="P468" s="210"/>
      <c r="Q468" s="210"/>
      <c r="R468" s="210"/>
      <c r="S468" s="210"/>
      <c r="T468" s="210"/>
      <c r="U468" s="210"/>
      <c r="V468" s="210"/>
      <c r="W468" s="210"/>
      <c r="X468" s="210"/>
      <c r="Y468" s="210"/>
      <c r="Z468" s="210"/>
      <c r="AA468" s="210"/>
      <c r="AB468" s="210"/>
      <c r="AC468" s="210"/>
      <c r="AI468" s="210"/>
      <c r="AJ468" s="210"/>
    </row>
    <row r="469" ht="12.75" customHeight="1">
      <c r="C469" s="210"/>
      <c r="D469" s="210"/>
      <c r="E469" s="210"/>
      <c r="F469" s="210"/>
      <c r="G469" s="210"/>
      <c r="H469" s="210"/>
      <c r="I469" s="210"/>
      <c r="J469" s="210"/>
      <c r="K469" s="210"/>
      <c r="L469" s="210"/>
      <c r="M469" s="210"/>
      <c r="N469" s="210"/>
      <c r="O469" s="210"/>
      <c r="P469" s="210"/>
      <c r="Q469" s="210"/>
      <c r="R469" s="210"/>
      <c r="S469" s="210"/>
      <c r="T469" s="210"/>
      <c r="U469" s="210"/>
      <c r="V469" s="210"/>
      <c r="W469" s="210"/>
      <c r="X469" s="210"/>
      <c r="Y469" s="210"/>
      <c r="Z469" s="210"/>
      <c r="AA469" s="210"/>
      <c r="AB469" s="210"/>
      <c r="AC469" s="210"/>
      <c r="AI469" s="210"/>
      <c r="AJ469" s="210"/>
    </row>
    <row r="470" ht="12.75" customHeight="1">
      <c r="C470" s="210"/>
      <c r="D470" s="210"/>
      <c r="E470" s="210"/>
      <c r="F470" s="210"/>
      <c r="G470" s="210"/>
      <c r="H470" s="210"/>
      <c r="I470" s="210"/>
      <c r="J470" s="210"/>
      <c r="K470" s="210"/>
      <c r="L470" s="210"/>
      <c r="M470" s="210"/>
      <c r="N470" s="210"/>
      <c r="O470" s="210"/>
      <c r="P470" s="210"/>
      <c r="Q470" s="210"/>
      <c r="R470" s="210"/>
      <c r="S470" s="210"/>
      <c r="T470" s="210"/>
      <c r="U470" s="210"/>
      <c r="V470" s="210"/>
      <c r="W470" s="210"/>
      <c r="X470" s="210"/>
      <c r="Y470" s="210"/>
      <c r="Z470" s="210"/>
      <c r="AA470" s="210"/>
      <c r="AB470" s="210"/>
      <c r="AC470" s="210"/>
      <c r="AI470" s="210"/>
      <c r="AJ470" s="210"/>
    </row>
    <row r="471" ht="12.75" customHeight="1">
      <c r="C471" s="210"/>
      <c r="D471" s="210"/>
      <c r="E471" s="210"/>
      <c r="F471" s="210"/>
      <c r="G471" s="210"/>
      <c r="H471" s="210"/>
      <c r="I471" s="210"/>
      <c r="J471" s="210"/>
      <c r="K471" s="210"/>
      <c r="L471" s="210"/>
      <c r="M471" s="210"/>
      <c r="N471" s="210"/>
      <c r="O471" s="210"/>
      <c r="P471" s="210"/>
      <c r="Q471" s="210"/>
      <c r="R471" s="210"/>
      <c r="S471" s="210"/>
      <c r="T471" s="210"/>
      <c r="U471" s="210"/>
      <c r="V471" s="210"/>
      <c r="W471" s="210"/>
      <c r="X471" s="210"/>
      <c r="Y471" s="210"/>
      <c r="Z471" s="210"/>
      <c r="AA471" s="210"/>
      <c r="AB471" s="210"/>
      <c r="AC471" s="210"/>
      <c r="AI471" s="210"/>
      <c r="AJ471" s="210"/>
    </row>
    <row r="472" ht="12.75" customHeight="1">
      <c r="C472" s="210"/>
      <c r="D472" s="210"/>
      <c r="E472" s="210"/>
      <c r="F472" s="210"/>
      <c r="G472" s="210"/>
      <c r="H472" s="210"/>
      <c r="I472" s="210"/>
      <c r="J472" s="210"/>
      <c r="K472" s="210"/>
      <c r="L472" s="210"/>
      <c r="M472" s="210"/>
      <c r="N472" s="210"/>
      <c r="O472" s="210"/>
      <c r="P472" s="210"/>
      <c r="Q472" s="210"/>
      <c r="R472" s="210"/>
      <c r="S472" s="210"/>
      <c r="T472" s="210"/>
      <c r="U472" s="210"/>
      <c r="V472" s="210"/>
      <c r="W472" s="210"/>
      <c r="X472" s="210"/>
      <c r="Y472" s="210"/>
      <c r="Z472" s="210"/>
      <c r="AA472" s="210"/>
      <c r="AB472" s="210"/>
      <c r="AC472" s="210"/>
      <c r="AI472" s="210"/>
      <c r="AJ472" s="210"/>
    </row>
    <row r="473" ht="12.75" customHeight="1">
      <c r="C473" s="210"/>
      <c r="D473" s="210"/>
      <c r="E473" s="210"/>
      <c r="F473" s="210"/>
      <c r="G473" s="210"/>
      <c r="H473" s="210"/>
      <c r="I473" s="210"/>
      <c r="J473" s="210"/>
      <c r="K473" s="210"/>
      <c r="L473" s="210"/>
      <c r="M473" s="210"/>
      <c r="N473" s="210"/>
      <c r="O473" s="210"/>
      <c r="P473" s="210"/>
      <c r="Q473" s="210"/>
      <c r="R473" s="210"/>
      <c r="S473" s="210"/>
      <c r="T473" s="210"/>
      <c r="U473" s="210"/>
      <c r="V473" s="210"/>
      <c r="W473" s="210"/>
      <c r="X473" s="210"/>
      <c r="Y473" s="210"/>
      <c r="Z473" s="210"/>
      <c r="AA473" s="210"/>
      <c r="AB473" s="210"/>
      <c r="AC473" s="210"/>
      <c r="AI473" s="210"/>
      <c r="AJ473" s="210"/>
    </row>
    <row r="474" ht="12.75" customHeight="1">
      <c r="C474" s="210"/>
      <c r="D474" s="210"/>
      <c r="E474" s="210"/>
      <c r="F474" s="210"/>
      <c r="G474" s="210"/>
      <c r="H474" s="210"/>
      <c r="I474" s="210"/>
      <c r="J474" s="210"/>
      <c r="K474" s="210"/>
      <c r="L474" s="210"/>
      <c r="M474" s="210"/>
      <c r="N474" s="210"/>
      <c r="O474" s="210"/>
      <c r="P474" s="210"/>
      <c r="Q474" s="210"/>
      <c r="R474" s="210"/>
      <c r="S474" s="210"/>
      <c r="T474" s="210"/>
      <c r="U474" s="210"/>
      <c r="V474" s="210"/>
      <c r="W474" s="210"/>
      <c r="X474" s="210"/>
      <c r="Y474" s="210"/>
      <c r="Z474" s="210"/>
      <c r="AA474" s="210"/>
      <c r="AB474" s="210"/>
      <c r="AC474" s="210"/>
      <c r="AI474" s="210"/>
      <c r="AJ474" s="210"/>
    </row>
    <row r="475" ht="12.75" customHeight="1">
      <c r="C475" s="210"/>
      <c r="D475" s="210"/>
      <c r="E475" s="210"/>
      <c r="F475" s="210"/>
      <c r="G475" s="210"/>
      <c r="H475" s="210"/>
      <c r="I475" s="210"/>
      <c r="J475" s="210"/>
      <c r="K475" s="210"/>
      <c r="L475" s="210"/>
      <c r="M475" s="210"/>
      <c r="N475" s="210"/>
      <c r="O475" s="210"/>
      <c r="P475" s="210"/>
      <c r="Q475" s="210"/>
      <c r="R475" s="210"/>
      <c r="S475" s="210"/>
      <c r="T475" s="210"/>
      <c r="U475" s="210"/>
      <c r="V475" s="210"/>
      <c r="W475" s="210"/>
      <c r="X475" s="210"/>
      <c r="Y475" s="210"/>
      <c r="Z475" s="210"/>
      <c r="AA475" s="210"/>
      <c r="AB475" s="210"/>
      <c r="AC475" s="210"/>
      <c r="AI475" s="210"/>
      <c r="AJ475" s="210"/>
    </row>
    <row r="476" ht="12.75" customHeight="1">
      <c r="C476" s="210"/>
      <c r="D476" s="210"/>
      <c r="E476" s="210"/>
      <c r="F476" s="210"/>
      <c r="G476" s="210"/>
      <c r="H476" s="210"/>
      <c r="I476" s="210"/>
      <c r="J476" s="210"/>
      <c r="K476" s="210"/>
      <c r="L476" s="210"/>
      <c r="M476" s="210"/>
      <c r="N476" s="210"/>
      <c r="O476" s="210"/>
      <c r="P476" s="210"/>
      <c r="Q476" s="210"/>
      <c r="R476" s="210"/>
      <c r="S476" s="210"/>
      <c r="T476" s="210"/>
      <c r="U476" s="210"/>
      <c r="V476" s="210"/>
      <c r="W476" s="210"/>
      <c r="X476" s="210"/>
      <c r="Y476" s="210"/>
      <c r="Z476" s="210"/>
      <c r="AA476" s="210"/>
      <c r="AB476" s="210"/>
      <c r="AC476" s="210"/>
      <c r="AI476" s="210"/>
      <c r="AJ476" s="210"/>
    </row>
    <row r="477" ht="12.75" customHeight="1">
      <c r="C477" s="210"/>
      <c r="D477" s="210"/>
      <c r="E477" s="210"/>
      <c r="F477" s="210"/>
      <c r="G477" s="210"/>
      <c r="H477" s="210"/>
      <c r="I477" s="210"/>
      <c r="J477" s="210"/>
      <c r="K477" s="210"/>
      <c r="L477" s="210"/>
      <c r="M477" s="210"/>
      <c r="N477" s="210"/>
      <c r="O477" s="210"/>
      <c r="P477" s="210"/>
      <c r="Q477" s="210"/>
      <c r="R477" s="210"/>
      <c r="S477" s="210"/>
      <c r="T477" s="210"/>
      <c r="U477" s="210"/>
      <c r="V477" s="210"/>
      <c r="W477" s="210"/>
      <c r="X477" s="210"/>
      <c r="Y477" s="210"/>
      <c r="Z477" s="210"/>
      <c r="AA477" s="210"/>
      <c r="AB477" s="210"/>
      <c r="AC477" s="210"/>
      <c r="AI477" s="210"/>
      <c r="AJ477" s="210"/>
    </row>
    <row r="478" ht="12.75" customHeight="1">
      <c r="C478" s="210"/>
      <c r="D478" s="210"/>
      <c r="E478" s="210"/>
      <c r="F478" s="210"/>
      <c r="G478" s="210"/>
      <c r="H478" s="210"/>
      <c r="I478" s="210"/>
      <c r="J478" s="210"/>
      <c r="K478" s="210"/>
      <c r="L478" s="210"/>
      <c r="M478" s="210"/>
      <c r="N478" s="210"/>
      <c r="O478" s="210"/>
      <c r="P478" s="210"/>
      <c r="Q478" s="210"/>
      <c r="R478" s="210"/>
      <c r="S478" s="210"/>
      <c r="T478" s="210"/>
      <c r="U478" s="210"/>
      <c r="V478" s="210"/>
      <c r="W478" s="210"/>
      <c r="X478" s="210"/>
      <c r="Y478" s="210"/>
      <c r="Z478" s="210"/>
      <c r="AA478" s="210"/>
      <c r="AB478" s="210"/>
      <c r="AC478" s="210"/>
      <c r="AI478" s="210"/>
      <c r="AJ478" s="210"/>
    </row>
    <row r="479" ht="12.75" customHeight="1">
      <c r="C479" s="210"/>
      <c r="D479" s="210"/>
      <c r="E479" s="210"/>
      <c r="F479" s="210"/>
      <c r="G479" s="210"/>
      <c r="H479" s="210"/>
      <c r="I479" s="210"/>
      <c r="J479" s="210"/>
      <c r="K479" s="210"/>
      <c r="L479" s="210"/>
      <c r="M479" s="210"/>
      <c r="N479" s="210"/>
      <c r="O479" s="210"/>
      <c r="P479" s="210"/>
      <c r="Q479" s="210"/>
      <c r="R479" s="210"/>
      <c r="S479" s="210"/>
      <c r="T479" s="210"/>
      <c r="U479" s="210"/>
      <c r="V479" s="210"/>
      <c r="W479" s="210"/>
      <c r="X479" s="210"/>
      <c r="Y479" s="210"/>
      <c r="Z479" s="210"/>
      <c r="AA479" s="210"/>
      <c r="AB479" s="210"/>
      <c r="AC479" s="210"/>
      <c r="AI479" s="210"/>
      <c r="AJ479" s="210"/>
    </row>
    <row r="480" ht="12.75" customHeight="1">
      <c r="C480" s="210"/>
      <c r="D480" s="210"/>
      <c r="E480" s="210"/>
      <c r="F480" s="210"/>
      <c r="G480" s="210"/>
      <c r="H480" s="210"/>
      <c r="I480" s="210"/>
      <c r="J480" s="210"/>
      <c r="K480" s="210"/>
      <c r="L480" s="210"/>
      <c r="M480" s="210"/>
      <c r="N480" s="210"/>
      <c r="O480" s="210"/>
      <c r="P480" s="210"/>
      <c r="Q480" s="210"/>
      <c r="R480" s="210"/>
      <c r="S480" s="210"/>
      <c r="T480" s="210"/>
      <c r="U480" s="210"/>
      <c r="V480" s="210"/>
      <c r="W480" s="210"/>
      <c r="X480" s="210"/>
      <c r="Y480" s="210"/>
      <c r="Z480" s="210"/>
      <c r="AA480" s="210"/>
      <c r="AB480" s="210"/>
      <c r="AC480" s="210"/>
      <c r="AI480" s="210"/>
      <c r="AJ480" s="210"/>
    </row>
    <row r="481" ht="12.75" customHeight="1">
      <c r="C481" s="210"/>
      <c r="D481" s="210"/>
      <c r="E481" s="210"/>
      <c r="F481" s="210"/>
      <c r="G481" s="210"/>
      <c r="H481" s="210"/>
      <c r="I481" s="210"/>
      <c r="J481" s="210"/>
      <c r="K481" s="210"/>
      <c r="L481" s="210"/>
      <c r="M481" s="210"/>
      <c r="N481" s="210"/>
      <c r="O481" s="210"/>
      <c r="P481" s="210"/>
      <c r="Q481" s="210"/>
      <c r="R481" s="210"/>
      <c r="S481" s="210"/>
      <c r="T481" s="210"/>
      <c r="U481" s="210"/>
      <c r="V481" s="210"/>
      <c r="W481" s="210"/>
      <c r="X481" s="210"/>
      <c r="Y481" s="210"/>
      <c r="Z481" s="210"/>
      <c r="AA481" s="210"/>
      <c r="AB481" s="210"/>
      <c r="AC481" s="210"/>
      <c r="AI481" s="210"/>
      <c r="AJ481" s="210"/>
    </row>
    <row r="482" ht="12.75" customHeight="1">
      <c r="C482" s="210"/>
      <c r="D482" s="210"/>
      <c r="E482" s="210"/>
      <c r="F482" s="210"/>
      <c r="G482" s="210"/>
      <c r="H482" s="210"/>
      <c r="I482" s="210"/>
      <c r="J482" s="210"/>
      <c r="K482" s="210"/>
      <c r="L482" s="210"/>
      <c r="M482" s="210"/>
      <c r="N482" s="210"/>
      <c r="O482" s="210"/>
      <c r="P482" s="210"/>
      <c r="Q482" s="210"/>
      <c r="R482" s="210"/>
      <c r="S482" s="210"/>
      <c r="T482" s="210"/>
      <c r="U482" s="210"/>
      <c r="V482" s="210"/>
      <c r="W482" s="210"/>
      <c r="X482" s="210"/>
      <c r="Y482" s="210"/>
      <c r="Z482" s="210"/>
      <c r="AA482" s="210"/>
      <c r="AB482" s="210"/>
      <c r="AC482" s="210"/>
      <c r="AI482" s="210"/>
      <c r="AJ482" s="210"/>
    </row>
    <row r="483" ht="12.75" customHeight="1">
      <c r="C483" s="210"/>
      <c r="D483" s="210"/>
      <c r="E483" s="210"/>
      <c r="F483" s="210"/>
      <c r="G483" s="210"/>
      <c r="H483" s="210"/>
      <c r="I483" s="210"/>
      <c r="J483" s="210"/>
      <c r="K483" s="210"/>
      <c r="L483" s="210"/>
      <c r="M483" s="210"/>
      <c r="N483" s="210"/>
      <c r="O483" s="210"/>
      <c r="P483" s="210"/>
      <c r="Q483" s="210"/>
      <c r="R483" s="210"/>
      <c r="S483" s="210"/>
      <c r="T483" s="210"/>
      <c r="U483" s="210"/>
      <c r="V483" s="210"/>
      <c r="W483" s="210"/>
      <c r="X483" s="210"/>
      <c r="Y483" s="210"/>
      <c r="Z483" s="210"/>
      <c r="AA483" s="210"/>
      <c r="AB483" s="210"/>
      <c r="AC483" s="210"/>
      <c r="AI483" s="210"/>
      <c r="AJ483" s="210"/>
    </row>
    <row r="484" ht="12.75" customHeight="1">
      <c r="C484" s="210"/>
      <c r="D484" s="210"/>
      <c r="E484" s="210"/>
      <c r="F484" s="210"/>
      <c r="G484" s="210"/>
      <c r="H484" s="210"/>
      <c r="I484" s="210"/>
      <c r="J484" s="210"/>
      <c r="K484" s="210"/>
      <c r="L484" s="210"/>
      <c r="M484" s="210"/>
      <c r="N484" s="210"/>
      <c r="O484" s="210"/>
      <c r="P484" s="210"/>
      <c r="Q484" s="210"/>
      <c r="R484" s="210"/>
      <c r="S484" s="210"/>
      <c r="T484" s="210"/>
      <c r="U484" s="210"/>
      <c r="V484" s="210"/>
      <c r="W484" s="210"/>
      <c r="X484" s="210"/>
      <c r="Y484" s="210"/>
      <c r="Z484" s="210"/>
      <c r="AA484" s="210"/>
      <c r="AB484" s="210"/>
      <c r="AC484" s="210"/>
      <c r="AI484" s="210"/>
      <c r="AJ484" s="210"/>
    </row>
    <row r="485" ht="12.75" customHeight="1">
      <c r="C485" s="210"/>
      <c r="D485" s="210"/>
      <c r="E485" s="210"/>
      <c r="F485" s="210"/>
      <c r="G485" s="210"/>
      <c r="H485" s="210"/>
      <c r="I485" s="210"/>
      <c r="J485" s="210"/>
      <c r="K485" s="210"/>
      <c r="L485" s="210"/>
      <c r="M485" s="210"/>
      <c r="N485" s="210"/>
      <c r="O485" s="210"/>
      <c r="P485" s="210"/>
      <c r="Q485" s="210"/>
      <c r="R485" s="210"/>
      <c r="S485" s="210"/>
      <c r="T485" s="210"/>
      <c r="U485" s="210"/>
      <c r="V485" s="210"/>
      <c r="W485" s="210"/>
      <c r="X485" s="210"/>
      <c r="Y485" s="210"/>
      <c r="Z485" s="210"/>
      <c r="AA485" s="210"/>
      <c r="AB485" s="210"/>
      <c r="AC485" s="210"/>
      <c r="AI485" s="210"/>
      <c r="AJ485" s="210"/>
    </row>
    <row r="486" ht="12.75" customHeight="1">
      <c r="C486" s="210"/>
      <c r="D486" s="210"/>
      <c r="E486" s="210"/>
      <c r="F486" s="210"/>
      <c r="G486" s="210"/>
      <c r="H486" s="210"/>
      <c r="I486" s="210"/>
      <c r="J486" s="210"/>
      <c r="K486" s="210"/>
      <c r="L486" s="210"/>
      <c r="M486" s="210"/>
      <c r="N486" s="210"/>
      <c r="O486" s="210"/>
      <c r="P486" s="210"/>
      <c r="Q486" s="210"/>
      <c r="R486" s="210"/>
      <c r="S486" s="210"/>
      <c r="T486" s="210"/>
      <c r="U486" s="210"/>
      <c r="V486" s="210"/>
      <c r="W486" s="210"/>
      <c r="X486" s="210"/>
      <c r="Y486" s="210"/>
      <c r="Z486" s="210"/>
      <c r="AA486" s="210"/>
      <c r="AB486" s="210"/>
      <c r="AC486" s="210"/>
      <c r="AI486" s="210"/>
      <c r="AJ486" s="210"/>
    </row>
    <row r="487" ht="12.75" customHeight="1">
      <c r="C487" s="210"/>
      <c r="D487" s="210"/>
      <c r="E487" s="210"/>
      <c r="F487" s="210"/>
      <c r="G487" s="210"/>
      <c r="H487" s="210"/>
      <c r="I487" s="210"/>
      <c r="J487" s="210"/>
      <c r="K487" s="210"/>
      <c r="L487" s="210"/>
      <c r="M487" s="210"/>
      <c r="N487" s="210"/>
      <c r="O487" s="210"/>
      <c r="P487" s="210"/>
      <c r="Q487" s="210"/>
      <c r="R487" s="210"/>
      <c r="S487" s="210"/>
      <c r="T487" s="210"/>
      <c r="U487" s="210"/>
      <c r="V487" s="210"/>
      <c r="W487" s="210"/>
      <c r="X487" s="210"/>
      <c r="Y487" s="210"/>
      <c r="Z487" s="210"/>
      <c r="AA487" s="210"/>
      <c r="AB487" s="210"/>
      <c r="AC487" s="210"/>
      <c r="AI487" s="210"/>
      <c r="AJ487" s="210"/>
    </row>
    <row r="488" ht="12.75" customHeight="1">
      <c r="C488" s="210"/>
      <c r="D488" s="210"/>
      <c r="E488" s="210"/>
      <c r="F488" s="210"/>
      <c r="G488" s="210"/>
      <c r="H488" s="210"/>
      <c r="I488" s="210"/>
      <c r="J488" s="210"/>
      <c r="K488" s="210"/>
      <c r="L488" s="210"/>
      <c r="M488" s="210"/>
      <c r="N488" s="210"/>
      <c r="O488" s="210"/>
      <c r="P488" s="210"/>
      <c r="Q488" s="210"/>
      <c r="R488" s="210"/>
      <c r="S488" s="210"/>
      <c r="T488" s="210"/>
      <c r="U488" s="210"/>
      <c r="V488" s="210"/>
      <c r="W488" s="210"/>
      <c r="X488" s="210"/>
      <c r="Y488" s="210"/>
      <c r="Z488" s="210"/>
      <c r="AA488" s="210"/>
      <c r="AB488" s="210"/>
      <c r="AC488" s="210"/>
      <c r="AI488" s="210"/>
      <c r="AJ488" s="210"/>
    </row>
    <row r="489" ht="12.75" customHeight="1">
      <c r="C489" s="210"/>
      <c r="D489" s="210"/>
      <c r="E489" s="210"/>
      <c r="F489" s="210"/>
      <c r="G489" s="210"/>
      <c r="H489" s="210"/>
      <c r="I489" s="210"/>
      <c r="J489" s="210"/>
      <c r="K489" s="210"/>
      <c r="L489" s="210"/>
      <c r="M489" s="210"/>
      <c r="N489" s="210"/>
      <c r="O489" s="210"/>
      <c r="P489" s="210"/>
      <c r="Q489" s="210"/>
      <c r="R489" s="210"/>
      <c r="S489" s="210"/>
      <c r="T489" s="210"/>
      <c r="U489" s="210"/>
      <c r="V489" s="210"/>
      <c r="W489" s="210"/>
      <c r="X489" s="210"/>
      <c r="Y489" s="210"/>
      <c r="Z489" s="210"/>
      <c r="AA489" s="210"/>
      <c r="AB489" s="210"/>
      <c r="AC489" s="210"/>
      <c r="AI489" s="210"/>
      <c r="AJ489" s="210"/>
    </row>
    <row r="490" ht="12.75" customHeight="1">
      <c r="C490" s="210"/>
      <c r="D490" s="210"/>
      <c r="E490" s="210"/>
      <c r="F490" s="210"/>
      <c r="G490" s="210"/>
      <c r="H490" s="210"/>
      <c r="I490" s="210"/>
      <c r="J490" s="210"/>
      <c r="K490" s="210"/>
      <c r="L490" s="210"/>
      <c r="M490" s="210"/>
      <c r="N490" s="210"/>
      <c r="O490" s="210"/>
      <c r="P490" s="210"/>
      <c r="Q490" s="210"/>
      <c r="R490" s="210"/>
      <c r="S490" s="210"/>
      <c r="T490" s="210"/>
      <c r="U490" s="210"/>
      <c r="V490" s="210"/>
      <c r="W490" s="210"/>
      <c r="X490" s="210"/>
      <c r="Y490" s="210"/>
      <c r="Z490" s="210"/>
      <c r="AA490" s="210"/>
      <c r="AB490" s="210"/>
      <c r="AC490" s="210"/>
      <c r="AI490" s="210"/>
      <c r="AJ490" s="210"/>
    </row>
    <row r="491" ht="12.75" customHeight="1">
      <c r="C491" s="210"/>
      <c r="D491" s="210"/>
      <c r="E491" s="210"/>
      <c r="F491" s="210"/>
      <c r="G491" s="210"/>
      <c r="H491" s="210"/>
      <c r="I491" s="210"/>
      <c r="J491" s="210"/>
      <c r="K491" s="210"/>
      <c r="L491" s="210"/>
      <c r="M491" s="210"/>
      <c r="N491" s="210"/>
      <c r="O491" s="210"/>
      <c r="P491" s="210"/>
      <c r="Q491" s="210"/>
      <c r="R491" s="210"/>
      <c r="S491" s="210"/>
      <c r="T491" s="210"/>
      <c r="U491" s="210"/>
      <c r="V491" s="210"/>
      <c r="W491" s="210"/>
      <c r="X491" s="210"/>
      <c r="Y491" s="210"/>
      <c r="Z491" s="210"/>
      <c r="AA491" s="210"/>
      <c r="AB491" s="210"/>
      <c r="AC491" s="210"/>
      <c r="AI491" s="210"/>
      <c r="AJ491" s="210"/>
    </row>
    <row r="492" ht="12.75" customHeight="1">
      <c r="C492" s="210"/>
      <c r="D492" s="210"/>
      <c r="E492" s="210"/>
      <c r="F492" s="210"/>
      <c r="G492" s="210"/>
      <c r="H492" s="210"/>
      <c r="I492" s="210"/>
      <c r="J492" s="210"/>
      <c r="K492" s="210"/>
      <c r="L492" s="210"/>
      <c r="M492" s="210"/>
      <c r="N492" s="210"/>
      <c r="O492" s="210"/>
      <c r="P492" s="210"/>
      <c r="Q492" s="210"/>
      <c r="R492" s="210"/>
      <c r="S492" s="210"/>
      <c r="T492" s="210"/>
      <c r="U492" s="210"/>
      <c r="V492" s="210"/>
      <c r="W492" s="210"/>
      <c r="X492" s="210"/>
      <c r="Y492" s="210"/>
      <c r="Z492" s="210"/>
      <c r="AA492" s="210"/>
      <c r="AB492" s="210"/>
      <c r="AC492" s="210"/>
      <c r="AI492" s="210"/>
      <c r="AJ492" s="210"/>
    </row>
    <row r="493" ht="12.75" customHeight="1">
      <c r="C493" s="210"/>
      <c r="D493" s="210"/>
      <c r="E493" s="210"/>
      <c r="F493" s="210"/>
      <c r="G493" s="210"/>
      <c r="H493" s="210"/>
      <c r="I493" s="210"/>
      <c r="J493" s="210"/>
      <c r="K493" s="210"/>
      <c r="L493" s="210"/>
      <c r="M493" s="210"/>
      <c r="N493" s="210"/>
      <c r="O493" s="210"/>
      <c r="P493" s="210"/>
      <c r="Q493" s="210"/>
      <c r="R493" s="210"/>
      <c r="S493" s="210"/>
      <c r="T493" s="210"/>
      <c r="U493" s="210"/>
      <c r="V493" s="210"/>
      <c r="W493" s="210"/>
      <c r="X493" s="210"/>
      <c r="Y493" s="210"/>
      <c r="Z493" s="210"/>
      <c r="AA493" s="210"/>
      <c r="AB493" s="210"/>
      <c r="AC493" s="210"/>
      <c r="AI493" s="210"/>
      <c r="AJ493" s="210"/>
    </row>
    <row r="494" ht="12.75" customHeight="1">
      <c r="C494" s="210"/>
      <c r="D494" s="210"/>
      <c r="E494" s="210"/>
      <c r="F494" s="210"/>
      <c r="G494" s="210"/>
      <c r="H494" s="210"/>
      <c r="I494" s="210"/>
      <c r="J494" s="210"/>
      <c r="K494" s="210"/>
      <c r="L494" s="210"/>
      <c r="M494" s="210"/>
      <c r="N494" s="210"/>
      <c r="O494" s="210"/>
      <c r="P494" s="210"/>
      <c r="Q494" s="210"/>
      <c r="R494" s="210"/>
      <c r="S494" s="210"/>
      <c r="T494" s="210"/>
      <c r="U494" s="210"/>
      <c r="V494" s="210"/>
      <c r="W494" s="210"/>
      <c r="X494" s="210"/>
      <c r="Y494" s="210"/>
      <c r="Z494" s="210"/>
      <c r="AA494" s="210"/>
      <c r="AB494" s="210"/>
      <c r="AC494" s="210"/>
      <c r="AI494" s="210"/>
      <c r="AJ494" s="210"/>
    </row>
    <row r="495" ht="12.75" customHeight="1">
      <c r="C495" s="210"/>
      <c r="D495" s="210"/>
      <c r="E495" s="210"/>
      <c r="F495" s="210"/>
      <c r="G495" s="210"/>
      <c r="H495" s="210"/>
      <c r="I495" s="210"/>
      <c r="J495" s="210"/>
      <c r="K495" s="210"/>
      <c r="L495" s="210"/>
      <c r="M495" s="210"/>
      <c r="N495" s="210"/>
      <c r="O495" s="210"/>
      <c r="P495" s="210"/>
      <c r="Q495" s="210"/>
      <c r="R495" s="210"/>
      <c r="S495" s="210"/>
      <c r="T495" s="210"/>
      <c r="U495" s="210"/>
      <c r="V495" s="210"/>
      <c r="W495" s="210"/>
      <c r="X495" s="210"/>
      <c r="Y495" s="210"/>
      <c r="Z495" s="210"/>
      <c r="AA495" s="210"/>
      <c r="AB495" s="210"/>
      <c r="AC495" s="210"/>
      <c r="AI495" s="210"/>
      <c r="AJ495" s="210"/>
    </row>
    <row r="496" ht="12.75" customHeight="1">
      <c r="C496" s="210"/>
      <c r="D496" s="210"/>
      <c r="E496" s="210"/>
      <c r="F496" s="210"/>
      <c r="G496" s="210"/>
      <c r="H496" s="210"/>
      <c r="I496" s="210"/>
      <c r="J496" s="210"/>
      <c r="K496" s="210"/>
      <c r="L496" s="210"/>
      <c r="M496" s="210"/>
      <c r="N496" s="210"/>
      <c r="O496" s="210"/>
      <c r="P496" s="210"/>
      <c r="Q496" s="210"/>
      <c r="R496" s="210"/>
      <c r="S496" s="210"/>
      <c r="T496" s="210"/>
      <c r="U496" s="210"/>
      <c r="V496" s="210"/>
      <c r="W496" s="210"/>
      <c r="X496" s="210"/>
      <c r="Y496" s="210"/>
      <c r="Z496" s="210"/>
      <c r="AA496" s="210"/>
      <c r="AB496" s="210"/>
      <c r="AC496" s="210"/>
      <c r="AI496" s="210"/>
      <c r="AJ496" s="210"/>
    </row>
    <row r="497" ht="12.75" customHeight="1">
      <c r="C497" s="210"/>
      <c r="D497" s="210"/>
      <c r="E497" s="210"/>
      <c r="F497" s="210"/>
      <c r="G497" s="210"/>
      <c r="H497" s="210"/>
      <c r="I497" s="210"/>
      <c r="J497" s="210"/>
      <c r="K497" s="210"/>
      <c r="L497" s="210"/>
      <c r="M497" s="210"/>
      <c r="N497" s="210"/>
      <c r="O497" s="210"/>
      <c r="P497" s="210"/>
      <c r="Q497" s="210"/>
      <c r="R497" s="210"/>
      <c r="S497" s="210"/>
      <c r="T497" s="210"/>
      <c r="U497" s="210"/>
      <c r="V497" s="210"/>
      <c r="W497" s="210"/>
      <c r="X497" s="210"/>
      <c r="Y497" s="210"/>
      <c r="Z497" s="210"/>
      <c r="AA497" s="210"/>
      <c r="AB497" s="210"/>
      <c r="AC497" s="210"/>
      <c r="AI497" s="210"/>
      <c r="AJ497" s="210"/>
    </row>
    <row r="498" ht="12.75" customHeight="1">
      <c r="C498" s="210"/>
      <c r="D498" s="210"/>
      <c r="E498" s="210"/>
      <c r="F498" s="210"/>
      <c r="G498" s="210"/>
      <c r="H498" s="210"/>
      <c r="I498" s="210"/>
      <c r="J498" s="210"/>
      <c r="K498" s="210"/>
      <c r="L498" s="210"/>
      <c r="M498" s="210"/>
      <c r="N498" s="210"/>
      <c r="O498" s="210"/>
      <c r="P498" s="210"/>
      <c r="Q498" s="210"/>
      <c r="R498" s="210"/>
      <c r="S498" s="210"/>
      <c r="T498" s="210"/>
      <c r="U498" s="210"/>
      <c r="V498" s="210"/>
      <c r="W498" s="210"/>
      <c r="X498" s="210"/>
      <c r="Y498" s="210"/>
      <c r="Z498" s="210"/>
      <c r="AA498" s="210"/>
      <c r="AB498" s="210"/>
      <c r="AC498" s="210"/>
      <c r="AI498" s="210"/>
      <c r="AJ498" s="210"/>
    </row>
    <row r="499" ht="12.75" customHeight="1">
      <c r="C499" s="210"/>
      <c r="D499" s="210"/>
      <c r="E499" s="210"/>
      <c r="F499" s="210"/>
      <c r="G499" s="210"/>
      <c r="H499" s="210"/>
      <c r="I499" s="210"/>
      <c r="J499" s="210"/>
      <c r="K499" s="210"/>
      <c r="L499" s="210"/>
      <c r="M499" s="210"/>
      <c r="N499" s="210"/>
      <c r="O499" s="210"/>
      <c r="P499" s="210"/>
      <c r="Q499" s="210"/>
      <c r="R499" s="210"/>
      <c r="S499" s="210"/>
      <c r="T499" s="210"/>
      <c r="U499" s="210"/>
      <c r="V499" s="210"/>
      <c r="W499" s="210"/>
      <c r="X499" s="210"/>
      <c r="Y499" s="210"/>
      <c r="Z499" s="210"/>
      <c r="AA499" s="210"/>
      <c r="AB499" s="210"/>
      <c r="AC499" s="210"/>
      <c r="AI499" s="210"/>
      <c r="AJ499" s="210"/>
    </row>
    <row r="500" ht="12.75" customHeight="1">
      <c r="C500" s="210"/>
      <c r="D500" s="210"/>
      <c r="E500" s="210"/>
      <c r="F500" s="210"/>
      <c r="G500" s="210"/>
      <c r="H500" s="210"/>
      <c r="I500" s="210"/>
      <c r="J500" s="210"/>
      <c r="K500" s="210"/>
      <c r="L500" s="210"/>
      <c r="M500" s="210"/>
      <c r="N500" s="210"/>
      <c r="O500" s="210"/>
      <c r="P500" s="210"/>
      <c r="Q500" s="210"/>
      <c r="R500" s="210"/>
      <c r="S500" s="210"/>
      <c r="T500" s="210"/>
      <c r="U500" s="210"/>
      <c r="V500" s="210"/>
      <c r="W500" s="210"/>
      <c r="X500" s="210"/>
      <c r="Y500" s="210"/>
      <c r="Z500" s="210"/>
      <c r="AA500" s="210"/>
      <c r="AB500" s="210"/>
      <c r="AC500" s="210"/>
      <c r="AI500" s="210"/>
      <c r="AJ500" s="210"/>
    </row>
    <row r="501" ht="12.75" customHeight="1">
      <c r="C501" s="210"/>
      <c r="D501" s="210"/>
      <c r="E501" s="210"/>
      <c r="F501" s="210"/>
      <c r="G501" s="210"/>
      <c r="H501" s="210"/>
      <c r="I501" s="210"/>
      <c r="J501" s="210"/>
      <c r="K501" s="210"/>
      <c r="L501" s="210"/>
      <c r="M501" s="210"/>
      <c r="N501" s="210"/>
      <c r="O501" s="210"/>
      <c r="P501" s="210"/>
      <c r="Q501" s="210"/>
      <c r="R501" s="210"/>
      <c r="S501" s="210"/>
      <c r="T501" s="210"/>
      <c r="U501" s="210"/>
      <c r="V501" s="210"/>
      <c r="W501" s="210"/>
      <c r="X501" s="210"/>
      <c r="Y501" s="210"/>
      <c r="Z501" s="210"/>
      <c r="AA501" s="210"/>
      <c r="AB501" s="210"/>
      <c r="AC501" s="210"/>
      <c r="AI501" s="210"/>
      <c r="AJ501" s="210"/>
    </row>
    <row r="502" ht="12.75" customHeight="1">
      <c r="C502" s="210"/>
      <c r="D502" s="210"/>
      <c r="E502" s="210"/>
      <c r="F502" s="210"/>
      <c r="G502" s="210"/>
      <c r="H502" s="210"/>
      <c r="I502" s="210"/>
      <c r="J502" s="210"/>
      <c r="K502" s="210"/>
      <c r="L502" s="210"/>
      <c r="M502" s="210"/>
      <c r="N502" s="210"/>
      <c r="O502" s="210"/>
      <c r="P502" s="210"/>
      <c r="Q502" s="210"/>
      <c r="R502" s="210"/>
      <c r="S502" s="210"/>
      <c r="T502" s="210"/>
      <c r="U502" s="210"/>
      <c r="V502" s="210"/>
      <c r="W502" s="210"/>
      <c r="X502" s="210"/>
      <c r="Y502" s="210"/>
      <c r="Z502" s="210"/>
      <c r="AA502" s="210"/>
      <c r="AB502" s="210"/>
      <c r="AC502" s="210"/>
      <c r="AI502" s="210"/>
      <c r="AJ502" s="210"/>
    </row>
    <row r="503" ht="12.75" customHeight="1">
      <c r="C503" s="210"/>
      <c r="D503" s="210"/>
      <c r="E503" s="210"/>
      <c r="F503" s="210"/>
      <c r="G503" s="210"/>
      <c r="H503" s="210"/>
      <c r="I503" s="210"/>
      <c r="J503" s="210"/>
      <c r="K503" s="210"/>
      <c r="L503" s="210"/>
      <c r="M503" s="210"/>
      <c r="N503" s="210"/>
      <c r="O503" s="210"/>
      <c r="P503" s="210"/>
      <c r="Q503" s="210"/>
      <c r="R503" s="210"/>
      <c r="S503" s="210"/>
      <c r="T503" s="210"/>
      <c r="U503" s="210"/>
      <c r="V503" s="210"/>
      <c r="W503" s="210"/>
      <c r="X503" s="210"/>
      <c r="Y503" s="210"/>
      <c r="Z503" s="210"/>
      <c r="AA503" s="210"/>
      <c r="AB503" s="210"/>
      <c r="AC503" s="210"/>
      <c r="AI503" s="210"/>
      <c r="AJ503" s="210"/>
    </row>
    <row r="504" ht="12.75" customHeight="1">
      <c r="C504" s="210"/>
      <c r="D504" s="210"/>
      <c r="E504" s="210"/>
      <c r="F504" s="210"/>
      <c r="G504" s="210"/>
      <c r="H504" s="210"/>
      <c r="I504" s="210"/>
      <c r="J504" s="210"/>
      <c r="K504" s="210"/>
      <c r="L504" s="210"/>
      <c r="M504" s="210"/>
      <c r="N504" s="210"/>
      <c r="O504" s="210"/>
      <c r="P504" s="210"/>
      <c r="Q504" s="210"/>
      <c r="R504" s="210"/>
      <c r="S504" s="210"/>
      <c r="T504" s="210"/>
      <c r="U504" s="210"/>
      <c r="V504" s="210"/>
      <c r="W504" s="210"/>
      <c r="X504" s="210"/>
      <c r="Y504" s="210"/>
      <c r="Z504" s="210"/>
      <c r="AA504" s="210"/>
      <c r="AB504" s="210"/>
      <c r="AC504" s="210"/>
      <c r="AI504" s="210"/>
      <c r="AJ504" s="210"/>
    </row>
    <row r="505" ht="12.75" customHeight="1">
      <c r="C505" s="210"/>
      <c r="D505" s="210"/>
      <c r="E505" s="210"/>
      <c r="F505" s="210"/>
      <c r="G505" s="210"/>
      <c r="H505" s="210"/>
      <c r="I505" s="210"/>
      <c r="J505" s="210"/>
      <c r="K505" s="210"/>
      <c r="L505" s="210"/>
      <c r="M505" s="210"/>
      <c r="N505" s="210"/>
      <c r="O505" s="210"/>
      <c r="P505" s="210"/>
      <c r="Q505" s="210"/>
      <c r="R505" s="210"/>
      <c r="S505" s="210"/>
      <c r="T505" s="210"/>
      <c r="U505" s="210"/>
      <c r="V505" s="210"/>
      <c r="W505" s="210"/>
      <c r="X505" s="210"/>
      <c r="Y505" s="210"/>
      <c r="Z505" s="210"/>
      <c r="AA505" s="210"/>
      <c r="AB505" s="210"/>
      <c r="AC505" s="210"/>
      <c r="AI505" s="210"/>
      <c r="AJ505" s="210"/>
    </row>
    <row r="506" ht="12.75" customHeight="1">
      <c r="C506" s="210"/>
      <c r="D506" s="210"/>
      <c r="E506" s="210"/>
      <c r="F506" s="210"/>
      <c r="G506" s="210"/>
      <c r="H506" s="210"/>
      <c r="I506" s="210"/>
      <c r="J506" s="210"/>
      <c r="K506" s="210"/>
      <c r="L506" s="210"/>
      <c r="M506" s="210"/>
      <c r="N506" s="210"/>
      <c r="O506" s="210"/>
      <c r="P506" s="210"/>
      <c r="Q506" s="210"/>
      <c r="R506" s="210"/>
      <c r="S506" s="210"/>
      <c r="T506" s="210"/>
      <c r="U506" s="210"/>
      <c r="V506" s="210"/>
      <c r="W506" s="210"/>
      <c r="X506" s="210"/>
      <c r="Y506" s="210"/>
      <c r="Z506" s="210"/>
      <c r="AA506" s="210"/>
      <c r="AB506" s="210"/>
      <c r="AC506" s="210"/>
      <c r="AI506" s="210"/>
      <c r="AJ506" s="210"/>
    </row>
    <row r="507" ht="12.75" customHeight="1">
      <c r="C507" s="210"/>
      <c r="D507" s="210"/>
      <c r="E507" s="210"/>
      <c r="F507" s="210"/>
      <c r="G507" s="210"/>
      <c r="H507" s="210"/>
      <c r="I507" s="210"/>
      <c r="J507" s="210"/>
      <c r="K507" s="210"/>
      <c r="L507" s="210"/>
      <c r="M507" s="210"/>
      <c r="N507" s="210"/>
      <c r="O507" s="210"/>
      <c r="P507" s="210"/>
      <c r="Q507" s="210"/>
      <c r="R507" s="210"/>
      <c r="S507" s="210"/>
      <c r="T507" s="210"/>
      <c r="U507" s="210"/>
      <c r="V507" s="210"/>
      <c r="W507" s="210"/>
      <c r="X507" s="210"/>
      <c r="Y507" s="210"/>
      <c r="Z507" s="210"/>
      <c r="AA507" s="210"/>
      <c r="AB507" s="210"/>
      <c r="AC507" s="210"/>
      <c r="AI507" s="210"/>
      <c r="AJ507" s="210"/>
    </row>
    <row r="508" ht="12.75" customHeight="1">
      <c r="C508" s="210"/>
      <c r="D508" s="210"/>
      <c r="E508" s="210"/>
      <c r="F508" s="210"/>
      <c r="G508" s="210"/>
      <c r="H508" s="210"/>
      <c r="I508" s="210"/>
      <c r="J508" s="210"/>
      <c r="K508" s="210"/>
      <c r="L508" s="210"/>
      <c r="M508" s="210"/>
      <c r="N508" s="210"/>
      <c r="O508" s="210"/>
      <c r="P508" s="210"/>
      <c r="Q508" s="210"/>
      <c r="R508" s="210"/>
      <c r="S508" s="210"/>
      <c r="T508" s="210"/>
      <c r="U508" s="210"/>
      <c r="V508" s="210"/>
      <c r="W508" s="210"/>
      <c r="X508" s="210"/>
      <c r="Y508" s="210"/>
      <c r="Z508" s="210"/>
      <c r="AA508" s="210"/>
      <c r="AB508" s="210"/>
      <c r="AC508" s="210"/>
      <c r="AI508" s="210"/>
      <c r="AJ508" s="210"/>
    </row>
    <row r="509" ht="12.75" customHeight="1">
      <c r="C509" s="210"/>
      <c r="D509" s="210"/>
      <c r="E509" s="210"/>
      <c r="F509" s="210"/>
      <c r="G509" s="210"/>
      <c r="H509" s="210"/>
      <c r="I509" s="210"/>
      <c r="J509" s="210"/>
      <c r="K509" s="210"/>
      <c r="L509" s="210"/>
      <c r="M509" s="210"/>
      <c r="N509" s="210"/>
      <c r="O509" s="210"/>
      <c r="P509" s="210"/>
      <c r="Q509" s="210"/>
      <c r="R509" s="210"/>
      <c r="S509" s="210"/>
      <c r="T509" s="210"/>
      <c r="U509" s="210"/>
      <c r="V509" s="210"/>
      <c r="W509" s="210"/>
      <c r="X509" s="210"/>
      <c r="Y509" s="210"/>
      <c r="Z509" s="210"/>
      <c r="AA509" s="210"/>
      <c r="AB509" s="210"/>
      <c r="AC509" s="210"/>
      <c r="AI509" s="210"/>
      <c r="AJ509" s="210"/>
    </row>
    <row r="510" ht="12.75" customHeight="1">
      <c r="C510" s="210"/>
      <c r="D510" s="210"/>
      <c r="E510" s="210"/>
      <c r="F510" s="210"/>
      <c r="G510" s="210"/>
      <c r="H510" s="210"/>
      <c r="I510" s="210"/>
      <c r="J510" s="210"/>
      <c r="K510" s="210"/>
      <c r="L510" s="210"/>
      <c r="M510" s="210"/>
      <c r="N510" s="210"/>
      <c r="O510" s="210"/>
      <c r="P510" s="210"/>
      <c r="Q510" s="210"/>
      <c r="R510" s="210"/>
      <c r="S510" s="210"/>
      <c r="T510" s="210"/>
      <c r="U510" s="210"/>
      <c r="V510" s="210"/>
      <c r="W510" s="210"/>
      <c r="X510" s="210"/>
      <c r="Y510" s="210"/>
      <c r="Z510" s="210"/>
      <c r="AA510" s="210"/>
      <c r="AB510" s="210"/>
      <c r="AC510" s="210"/>
      <c r="AI510" s="210"/>
      <c r="AJ510" s="210"/>
    </row>
    <row r="511" ht="12.75" customHeight="1">
      <c r="C511" s="210"/>
      <c r="D511" s="210"/>
      <c r="E511" s="210"/>
      <c r="F511" s="210"/>
      <c r="G511" s="210"/>
      <c r="H511" s="210"/>
      <c r="I511" s="210"/>
      <c r="J511" s="210"/>
      <c r="K511" s="210"/>
      <c r="L511" s="210"/>
      <c r="M511" s="210"/>
      <c r="N511" s="210"/>
      <c r="O511" s="210"/>
      <c r="P511" s="210"/>
      <c r="Q511" s="210"/>
      <c r="R511" s="210"/>
      <c r="S511" s="210"/>
      <c r="T511" s="210"/>
      <c r="U511" s="210"/>
      <c r="V511" s="210"/>
      <c r="W511" s="210"/>
      <c r="X511" s="210"/>
      <c r="Y511" s="210"/>
      <c r="Z511" s="210"/>
      <c r="AA511" s="210"/>
      <c r="AB511" s="210"/>
      <c r="AC511" s="210"/>
      <c r="AI511" s="210"/>
      <c r="AJ511" s="210"/>
    </row>
    <row r="512" ht="12.75" customHeight="1">
      <c r="C512" s="210"/>
      <c r="D512" s="210"/>
      <c r="E512" s="210"/>
      <c r="F512" s="210"/>
      <c r="G512" s="210"/>
      <c r="H512" s="210"/>
      <c r="I512" s="210"/>
      <c r="J512" s="210"/>
      <c r="K512" s="210"/>
      <c r="L512" s="210"/>
      <c r="M512" s="210"/>
      <c r="N512" s="210"/>
      <c r="O512" s="210"/>
      <c r="P512" s="210"/>
      <c r="Q512" s="210"/>
      <c r="R512" s="210"/>
      <c r="S512" s="210"/>
      <c r="T512" s="210"/>
      <c r="U512" s="210"/>
      <c r="V512" s="210"/>
      <c r="W512" s="210"/>
      <c r="X512" s="210"/>
      <c r="Y512" s="210"/>
      <c r="Z512" s="210"/>
      <c r="AA512" s="210"/>
      <c r="AB512" s="210"/>
      <c r="AC512" s="210"/>
      <c r="AI512" s="210"/>
      <c r="AJ512" s="210"/>
    </row>
    <row r="513" ht="12.75" customHeight="1">
      <c r="C513" s="210"/>
      <c r="D513" s="210"/>
      <c r="E513" s="210"/>
      <c r="F513" s="210"/>
      <c r="G513" s="210"/>
      <c r="H513" s="210"/>
      <c r="I513" s="210"/>
      <c r="J513" s="210"/>
      <c r="K513" s="210"/>
      <c r="L513" s="210"/>
      <c r="M513" s="210"/>
      <c r="N513" s="210"/>
      <c r="O513" s="210"/>
      <c r="P513" s="210"/>
      <c r="Q513" s="210"/>
      <c r="R513" s="210"/>
      <c r="S513" s="210"/>
      <c r="T513" s="210"/>
      <c r="U513" s="210"/>
      <c r="V513" s="210"/>
      <c r="W513" s="210"/>
      <c r="X513" s="210"/>
      <c r="Y513" s="210"/>
      <c r="Z513" s="210"/>
      <c r="AA513" s="210"/>
      <c r="AB513" s="210"/>
      <c r="AC513" s="210"/>
      <c r="AI513" s="210"/>
      <c r="AJ513" s="210"/>
    </row>
    <row r="514" ht="12.75" customHeight="1">
      <c r="C514" s="210"/>
      <c r="D514" s="210"/>
      <c r="E514" s="210"/>
      <c r="F514" s="210"/>
      <c r="G514" s="210"/>
      <c r="H514" s="210"/>
      <c r="I514" s="210"/>
      <c r="J514" s="210"/>
      <c r="K514" s="210"/>
      <c r="L514" s="210"/>
      <c r="M514" s="210"/>
      <c r="N514" s="210"/>
      <c r="O514" s="210"/>
      <c r="P514" s="210"/>
      <c r="Q514" s="210"/>
      <c r="R514" s="210"/>
      <c r="S514" s="210"/>
      <c r="T514" s="210"/>
      <c r="U514" s="210"/>
      <c r="V514" s="210"/>
      <c r="W514" s="210"/>
      <c r="X514" s="210"/>
      <c r="Y514" s="210"/>
      <c r="Z514" s="210"/>
      <c r="AA514" s="210"/>
      <c r="AB514" s="210"/>
      <c r="AC514" s="210"/>
      <c r="AI514" s="210"/>
      <c r="AJ514" s="210"/>
    </row>
    <row r="515" ht="12.75" customHeight="1">
      <c r="C515" s="210"/>
      <c r="D515" s="210"/>
      <c r="E515" s="210"/>
      <c r="F515" s="210"/>
      <c r="G515" s="210"/>
      <c r="H515" s="210"/>
      <c r="I515" s="210"/>
      <c r="J515" s="210"/>
      <c r="K515" s="210"/>
      <c r="L515" s="210"/>
      <c r="M515" s="210"/>
      <c r="N515" s="210"/>
      <c r="O515" s="210"/>
      <c r="P515" s="210"/>
      <c r="Q515" s="210"/>
      <c r="R515" s="210"/>
      <c r="S515" s="210"/>
      <c r="T515" s="210"/>
      <c r="U515" s="210"/>
      <c r="V515" s="210"/>
      <c r="W515" s="210"/>
      <c r="X515" s="210"/>
      <c r="Y515" s="210"/>
      <c r="Z515" s="210"/>
      <c r="AA515" s="210"/>
      <c r="AB515" s="210"/>
      <c r="AC515" s="210"/>
      <c r="AI515" s="210"/>
      <c r="AJ515" s="210"/>
    </row>
    <row r="516" ht="12.75" customHeight="1">
      <c r="C516" s="210"/>
      <c r="D516" s="210"/>
      <c r="E516" s="210"/>
      <c r="F516" s="210"/>
      <c r="G516" s="210"/>
      <c r="H516" s="210"/>
      <c r="I516" s="210"/>
      <c r="J516" s="210"/>
      <c r="K516" s="210"/>
      <c r="L516" s="210"/>
      <c r="M516" s="210"/>
      <c r="N516" s="210"/>
      <c r="O516" s="210"/>
      <c r="P516" s="210"/>
      <c r="Q516" s="210"/>
      <c r="R516" s="210"/>
      <c r="S516" s="210"/>
      <c r="T516" s="210"/>
      <c r="U516" s="210"/>
      <c r="V516" s="210"/>
      <c r="W516" s="210"/>
      <c r="X516" s="210"/>
      <c r="Y516" s="210"/>
      <c r="Z516" s="210"/>
      <c r="AA516" s="210"/>
      <c r="AB516" s="210"/>
      <c r="AC516" s="210"/>
      <c r="AI516" s="210"/>
      <c r="AJ516" s="210"/>
    </row>
    <row r="517" ht="12.75" customHeight="1">
      <c r="C517" s="210"/>
      <c r="D517" s="210"/>
      <c r="E517" s="210"/>
      <c r="F517" s="210"/>
      <c r="G517" s="210"/>
      <c r="H517" s="210"/>
      <c r="I517" s="210"/>
      <c r="J517" s="210"/>
      <c r="K517" s="210"/>
      <c r="L517" s="210"/>
      <c r="M517" s="210"/>
      <c r="N517" s="210"/>
      <c r="O517" s="210"/>
      <c r="P517" s="210"/>
      <c r="Q517" s="210"/>
      <c r="R517" s="210"/>
      <c r="S517" s="210"/>
      <c r="T517" s="210"/>
      <c r="U517" s="210"/>
      <c r="V517" s="210"/>
      <c r="W517" s="210"/>
      <c r="X517" s="210"/>
      <c r="Y517" s="210"/>
      <c r="Z517" s="210"/>
      <c r="AA517" s="210"/>
      <c r="AB517" s="210"/>
      <c r="AC517" s="210"/>
      <c r="AI517" s="210"/>
      <c r="AJ517" s="210"/>
    </row>
    <row r="518" ht="12.75" customHeight="1">
      <c r="C518" s="210"/>
      <c r="D518" s="210"/>
      <c r="E518" s="210"/>
      <c r="F518" s="210"/>
      <c r="G518" s="210"/>
      <c r="H518" s="210"/>
      <c r="I518" s="210"/>
      <c r="J518" s="210"/>
      <c r="K518" s="210"/>
      <c r="L518" s="210"/>
      <c r="M518" s="210"/>
      <c r="N518" s="210"/>
      <c r="O518" s="210"/>
      <c r="P518" s="210"/>
      <c r="Q518" s="210"/>
      <c r="R518" s="210"/>
      <c r="S518" s="210"/>
      <c r="T518" s="210"/>
      <c r="U518" s="210"/>
      <c r="V518" s="210"/>
      <c r="W518" s="210"/>
      <c r="X518" s="210"/>
      <c r="Y518" s="210"/>
      <c r="Z518" s="210"/>
      <c r="AA518" s="210"/>
      <c r="AB518" s="210"/>
      <c r="AC518" s="210"/>
      <c r="AI518" s="210"/>
      <c r="AJ518" s="210"/>
    </row>
    <row r="519" ht="12.75" customHeight="1">
      <c r="C519" s="210"/>
      <c r="D519" s="210"/>
      <c r="E519" s="210"/>
      <c r="F519" s="210"/>
      <c r="G519" s="210"/>
      <c r="H519" s="210"/>
      <c r="I519" s="210"/>
      <c r="J519" s="210"/>
      <c r="K519" s="210"/>
      <c r="L519" s="210"/>
      <c r="M519" s="210"/>
      <c r="N519" s="210"/>
      <c r="O519" s="210"/>
      <c r="P519" s="210"/>
      <c r="Q519" s="210"/>
      <c r="R519" s="210"/>
      <c r="S519" s="210"/>
      <c r="T519" s="210"/>
      <c r="U519" s="210"/>
      <c r="V519" s="210"/>
      <c r="W519" s="210"/>
      <c r="X519" s="210"/>
      <c r="Y519" s="210"/>
      <c r="Z519" s="210"/>
      <c r="AA519" s="210"/>
      <c r="AB519" s="210"/>
      <c r="AC519" s="210"/>
      <c r="AI519" s="210"/>
      <c r="AJ519" s="210"/>
    </row>
    <row r="520" ht="12.75" customHeight="1">
      <c r="C520" s="210"/>
      <c r="D520" s="210"/>
      <c r="E520" s="210"/>
      <c r="F520" s="210"/>
      <c r="G520" s="210"/>
      <c r="H520" s="210"/>
      <c r="I520" s="210"/>
      <c r="J520" s="210"/>
      <c r="K520" s="210"/>
      <c r="L520" s="210"/>
      <c r="M520" s="210"/>
      <c r="N520" s="210"/>
      <c r="O520" s="210"/>
      <c r="P520" s="210"/>
      <c r="Q520" s="210"/>
      <c r="R520" s="210"/>
      <c r="S520" s="210"/>
      <c r="T520" s="210"/>
      <c r="U520" s="210"/>
      <c r="V520" s="210"/>
      <c r="W520" s="210"/>
      <c r="X520" s="210"/>
      <c r="Y520" s="210"/>
      <c r="Z520" s="210"/>
      <c r="AA520" s="210"/>
      <c r="AB520" s="210"/>
      <c r="AC520" s="210"/>
      <c r="AI520" s="210"/>
      <c r="AJ520" s="210"/>
    </row>
    <row r="521" ht="12.75" customHeight="1">
      <c r="C521" s="210"/>
      <c r="D521" s="210"/>
      <c r="E521" s="210"/>
      <c r="F521" s="210"/>
      <c r="G521" s="210"/>
      <c r="H521" s="210"/>
      <c r="I521" s="210"/>
      <c r="J521" s="210"/>
      <c r="K521" s="210"/>
      <c r="L521" s="210"/>
      <c r="M521" s="210"/>
      <c r="N521" s="210"/>
      <c r="O521" s="210"/>
      <c r="P521" s="210"/>
      <c r="Q521" s="210"/>
      <c r="R521" s="210"/>
      <c r="S521" s="210"/>
      <c r="T521" s="210"/>
      <c r="U521" s="210"/>
      <c r="V521" s="210"/>
      <c r="W521" s="210"/>
      <c r="X521" s="210"/>
      <c r="Y521" s="210"/>
      <c r="Z521" s="210"/>
      <c r="AA521" s="210"/>
      <c r="AB521" s="210"/>
      <c r="AC521" s="210"/>
      <c r="AI521" s="210"/>
      <c r="AJ521" s="210"/>
    </row>
    <row r="522" ht="12.75" customHeight="1">
      <c r="C522" s="210"/>
      <c r="D522" s="210"/>
      <c r="E522" s="210"/>
      <c r="F522" s="210"/>
      <c r="G522" s="210"/>
      <c r="H522" s="210"/>
      <c r="I522" s="210"/>
      <c r="J522" s="210"/>
      <c r="K522" s="210"/>
      <c r="L522" s="210"/>
      <c r="M522" s="210"/>
      <c r="N522" s="210"/>
      <c r="O522" s="210"/>
      <c r="P522" s="210"/>
      <c r="Q522" s="210"/>
      <c r="R522" s="210"/>
      <c r="S522" s="210"/>
      <c r="T522" s="210"/>
      <c r="U522" s="210"/>
      <c r="V522" s="210"/>
      <c r="W522" s="210"/>
      <c r="X522" s="210"/>
      <c r="Y522" s="210"/>
      <c r="Z522" s="210"/>
      <c r="AA522" s="210"/>
      <c r="AB522" s="210"/>
      <c r="AC522" s="210"/>
      <c r="AI522" s="210"/>
      <c r="AJ522" s="210"/>
    </row>
    <row r="523" ht="12.75" customHeight="1">
      <c r="C523" s="210"/>
      <c r="D523" s="210"/>
      <c r="E523" s="210"/>
      <c r="F523" s="210"/>
      <c r="G523" s="210"/>
      <c r="H523" s="210"/>
      <c r="I523" s="210"/>
      <c r="J523" s="210"/>
      <c r="K523" s="210"/>
      <c r="L523" s="210"/>
      <c r="M523" s="210"/>
      <c r="N523" s="210"/>
      <c r="O523" s="210"/>
      <c r="P523" s="210"/>
      <c r="Q523" s="210"/>
      <c r="R523" s="210"/>
      <c r="S523" s="210"/>
      <c r="T523" s="210"/>
      <c r="U523" s="210"/>
      <c r="V523" s="210"/>
      <c r="W523" s="210"/>
      <c r="X523" s="210"/>
      <c r="Y523" s="210"/>
      <c r="Z523" s="210"/>
      <c r="AA523" s="210"/>
      <c r="AB523" s="210"/>
      <c r="AC523" s="210"/>
      <c r="AI523" s="210"/>
      <c r="AJ523" s="210"/>
    </row>
    <row r="524" ht="12.75" customHeight="1">
      <c r="C524" s="210"/>
      <c r="D524" s="210"/>
      <c r="E524" s="210"/>
      <c r="F524" s="210"/>
      <c r="G524" s="210"/>
      <c r="H524" s="210"/>
      <c r="I524" s="210"/>
      <c r="J524" s="210"/>
      <c r="K524" s="210"/>
      <c r="L524" s="210"/>
      <c r="M524" s="210"/>
      <c r="N524" s="210"/>
      <c r="O524" s="210"/>
      <c r="P524" s="210"/>
      <c r="Q524" s="210"/>
      <c r="R524" s="210"/>
      <c r="S524" s="210"/>
      <c r="T524" s="210"/>
      <c r="U524" s="210"/>
      <c r="V524" s="210"/>
      <c r="W524" s="210"/>
      <c r="X524" s="210"/>
      <c r="Y524" s="210"/>
      <c r="Z524" s="210"/>
      <c r="AA524" s="210"/>
      <c r="AB524" s="210"/>
      <c r="AC524" s="210"/>
      <c r="AI524" s="210"/>
      <c r="AJ524" s="210"/>
    </row>
    <row r="525" ht="12.75" customHeight="1">
      <c r="C525" s="210"/>
      <c r="D525" s="210"/>
      <c r="E525" s="210"/>
      <c r="F525" s="210"/>
      <c r="G525" s="210"/>
      <c r="H525" s="210"/>
      <c r="I525" s="210"/>
      <c r="J525" s="210"/>
      <c r="K525" s="210"/>
      <c r="L525" s="210"/>
      <c r="M525" s="210"/>
      <c r="N525" s="210"/>
      <c r="O525" s="210"/>
      <c r="P525" s="210"/>
      <c r="Q525" s="210"/>
      <c r="R525" s="210"/>
      <c r="S525" s="210"/>
      <c r="T525" s="210"/>
      <c r="U525" s="210"/>
      <c r="V525" s="210"/>
      <c r="W525" s="210"/>
      <c r="X525" s="210"/>
      <c r="Y525" s="210"/>
      <c r="Z525" s="210"/>
      <c r="AA525" s="210"/>
      <c r="AB525" s="210"/>
      <c r="AC525" s="210"/>
      <c r="AI525" s="210"/>
      <c r="AJ525" s="210"/>
    </row>
    <row r="526" ht="12.75" customHeight="1">
      <c r="C526" s="210"/>
      <c r="D526" s="210"/>
      <c r="E526" s="210"/>
      <c r="F526" s="210"/>
      <c r="G526" s="210"/>
      <c r="H526" s="210"/>
      <c r="I526" s="210"/>
      <c r="J526" s="210"/>
      <c r="K526" s="210"/>
      <c r="L526" s="210"/>
      <c r="M526" s="210"/>
      <c r="N526" s="210"/>
      <c r="O526" s="210"/>
      <c r="P526" s="210"/>
      <c r="Q526" s="210"/>
      <c r="R526" s="210"/>
      <c r="S526" s="210"/>
      <c r="T526" s="210"/>
      <c r="U526" s="210"/>
      <c r="V526" s="210"/>
      <c r="W526" s="210"/>
      <c r="X526" s="210"/>
      <c r="Y526" s="210"/>
      <c r="Z526" s="210"/>
      <c r="AA526" s="210"/>
      <c r="AB526" s="210"/>
      <c r="AC526" s="210"/>
      <c r="AI526" s="210"/>
      <c r="AJ526" s="210"/>
    </row>
    <row r="527" ht="12.75" customHeight="1">
      <c r="C527" s="210"/>
      <c r="D527" s="210"/>
      <c r="E527" s="210"/>
      <c r="F527" s="210"/>
      <c r="G527" s="210"/>
      <c r="H527" s="210"/>
      <c r="I527" s="210"/>
      <c r="J527" s="210"/>
      <c r="K527" s="210"/>
      <c r="L527" s="210"/>
      <c r="M527" s="210"/>
      <c r="N527" s="210"/>
      <c r="O527" s="210"/>
      <c r="P527" s="210"/>
      <c r="Q527" s="210"/>
      <c r="R527" s="210"/>
      <c r="S527" s="210"/>
      <c r="T527" s="210"/>
      <c r="U527" s="210"/>
      <c r="V527" s="210"/>
      <c r="W527" s="210"/>
      <c r="X527" s="210"/>
      <c r="Y527" s="210"/>
      <c r="Z527" s="210"/>
      <c r="AA527" s="210"/>
      <c r="AB527" s="210"/>
      <c r="AC527" s="210"/>
      <c r="AI527" s="210"/>
      <c r="AJ527" s="210"/>
    </row>
    <row r="528" ht="12.75" customHeight="1">
      <c r="C528" s="210"/>
      <c r="D528" s="210"/>
      <c r="E528" s="210"/>
      <c r="F528" s="210"/>
      <c r="G528" s="210"/>
      <c r="H528" s="210"/>
      <c r="I528" s="210"/>
      <c r="J528" s="210"/>
      <c r="K528" s="210"/>
      <c r="L528" s="210"/>
      <c r="M528" s="210"/>
      <c r="N528" s="210"/>
      <c r="O528" s="210"/>
      <c r="P528" s="210"/>
      <c r="Q528" s="210"/>
      <c r="R528" s="210"/>
      <c r="S528" s="210"/>
      <c r="T528" s="210"/>
      <c r="U528" s="210"/>
      <c r="V528" s="210"/>
      <c r="W528" s="210"/>
      <c r="X528" s="210"/>
      <c r="Y528" s="210"/>
      <c r="Z528" s="210"/>
      <c r="AA528" s="210"/>
      <c r="AB528" s="210"/>
      <c r="AC528" s="210"/>
      <c r="AI528" s="210"/>
      <c r="AJ528" s="210"/>
    </row>
    <row r="529" ht="12.75" customHeight="1">
      <c r="C529" s="210"/>
      <c r="D529" s="210"/>
      <c r="E529" s="210"/>
      <c r="F529" s="210"/>
      <c r="G529" s="210"/>
      <c r="H529" s="210"/>
      <c r="I529" s="210"/>
      <c r="J529" s="210"/>
      <c r="K529" s="210"/>
      <c r="L529" s="210"/>
      <c r="M529" s="210"/>
      <c r="N529" s="210"/>
      <c r="O529" s="210"/>
      <c r="P529" s="210"/>
      <c r="Q529" s="210"/>
      <c r="R529" s="210"/>
      <c r="S529" s="210"/>
      <c r="T529" s="210"/>
      <c r="U529" s="210"/>
      <c r="V529" s="210"/>
      <c r="W529" s="210"/>
      <c r="X529" s="210"/>
      <c r="Y529" s="210"/>
      <c r="Z529" s="210"/>
      <c r="AA529" s="210"/>
      <c r="AB529" s="210"/>
      <c r="AC529" s="210"/>
      <c r="AI529" s="210"/>
      <c r="AJ529" s="210"/>
    </row>
    <row r="530" ht="12.75" customHeight="1">
      <c r="C530" s="210"/>
      <c r="D530" s="210"/>
      <c r="E530" s="210"/>
      <c r="F530" s="210"/>
      <c r="G530" s="210"/>
      <c r="H530" s="210"/>
      <c r="I530" s="210"/>
      <c r="J530" s="210"/>
      <c r="K530" s="210"/>
      <c r="L530" s="210"/>
      <c r="M530" s="210"/>
      <c r="N530" s="210"/>
      <c r="O530" s="210"/>
      <c r="P530" s="210"/>
      <c r="Q530" s="210"/>
      <c r="R530" s="210"/>
      <c r="S530" s="210"/>
      <c r="T530" s="210"/>
      <c r="U530" s="210"/>
      <c r="V530" s="210"/>
      <c r="W530" s="210"/>
      <c r="X530" s="210"/>
      <c r="Y530" s="210"/>
      <c r="Z530" s="210"/>
      <c r="AA530" s="210"/>
      <c r="AB530" s="210"/>
      <c r="AC530" s="210"/>
      <c r="AI530" s="210"/>
      <c r="AJ530" s="210"/>
    </row>
    <row r="531" ht="12.75" customHeight="1">
      <c r="C531" s="210"/>
      <c r="D531" s="210"/>
      <c r="E531" s="210"/>
      <c r="F531" s="210"/>
      <c r="G531" s="210"/>
      <c r="H531" s="210"/>
      <c r="I531" s="210"/>
      <c r="J531" s="210"/>
      <c r="K531" s="210"/>
      <c r="L531" s="210"/>
      <c r="M531" s="210"/>
      <c r="N531" s="210"/>
      <c r="O531" s="210"/>
      <c r="P531" s="210"/>
      <c r="Q531" s="210"/>
      <c r="R531" s="210"/>
      <c r="S531" s="210"/>
      <c r="T531" s="210"/>
      <c r="U531" s="210"/>
      <c r="V531" s="210"/>
      <c r="W531" s="210"/>
      <c r="X531" s="210"/>
      <c r="Y531" s="210"/>
      <c r="Z531" s="210"/>
      <c r="AA531" s="210"/>
      <c r="AB531" s="210"/>
      <c r="AC531" s="210"/>
      <c r="AI531" s="210"/>
      <c r="AJ531" s="210"/>
    </row>
    <row r="532" ht="12.75" customHeight="1">
      <c r="C532" s="210"/>
      <c r="D532" s="210"/>
      <c r="E532" s="210"/>
      <c r="F532" s="210"/>
      <c r="G532" s="210"/>
      <c r="H532" s="210"/>
      <c r="I532" s="210"/>
      <c r="J532" s="210"/>
      <c r="K532" s="210"/>
      <c r="L532" s="210"/>
      <c r="M532" s="210"/>
      <c r="N532" s="210"/>
      <c r="O532" s="210"/>
      <c r="P532" s="210"/>
      <c r="Q532" s="210"/>
      <c r="R532" s="210"/>
      <c r="S532" s="210"/>
      <c r="T532" s="210"/>
      <c r="U532" s="210"/>
      <c r="V532" s="210"/>
      <c r="W532" s="210"/>
      <c r="X532" s="210"/>
      <c r="Y532" s="210"/>
      <c r="Z532" s="210"/>
      <c r="AA532" s="210"/>
      <c r="AB532" s="210"/>
      <c r="AC532" s="210"/>
      <c r="AI532" s="210"/>
      <c r="AJ532" s="210"/>
    </row>
    <row r="533" ht="12.75" customHeight="1">
      <c r="C533" s="210"/>
      <c r="D533" s="210"/>
      <c r="E533" s="210"/>
      <c r="F533" s="210"/>
      <c r="G533" s="210"/>
      <c r="H533" s="210"/>
      <c r="I533" s="210"/>
      <c r="J533" s="210"/>
      <c r="K533" s="210"/>
      <c r="L533" s="210"/>
      <c r="M533" s="210"/>
      <c r="N533" s="210"/>
      <c r="O533" s="210"/>
      <c r="P533" s="210"/>
      <c r="Q533" s="210"/>
      <c r="R533" s="210"/>
      <c r="S533" s="210"/>
      <c r="T533" s="210"/>
      <c r="U533" s="210"/>
      <c r="V533" s="210"/>
      <c r="W533" s="210"/>
      <c r="X533" s="210"/>
      <c r="Y533" s="210"/>
      <c r="Z533" s="210"/>
      <c r="AA533" s="210"/>
      <c r="AB533" s="210"/>
      <c r="AC533" s="210"/>
      <c r="AI533" s="210"/>
      <c r="AJ533" s="210"/>
    </row>
    <row r="534" ht="12.75" customHeight="1">
      <c r="C534" s="210"/>
      <c r="D534" s="210"/>
      <c r="E534" s="210"/>
      <c r="F534" s="210"/>
      <c r="G534" s="210"/>
      <c r="H534" s="210"/>
      <c r="I534" s="210"/>
      <c r="J534" s="210"/>
      <c r="K534" s="210"/>
      <c r="L534" s="210"/>
      <c r="M534" s="210"/>
      <c r="N534" s="210"/>
      <c r="O534" s="210"/>
      <c r="P534" s="210"/>
      <c r="Q534" s="210"/>
      <c r="R534" s="210"/>
      <c r="S534" s="210"/>
      <c r="T534" s="210"/>
      <c r="U534" s="210"/>
      <c r="V534" s="210"/>
      <c r="W534" s="210"/>
      <c r="X534" s="210"/>
      <c r="Y534" s="210"/>
      <c r="Z534" s="210"/>
      <c r="AA534" s="210"/>
      <c r="AB534" s="210"/>
      <c r="AC534" s="210"/>
      <c r="AI534" s="210"/>
      <c r="AJ534" s="210"/>
    </row>
    <row r="535" ht="12.75" customHeight="1">
      <c r="C535" s="210"/>
      <c r="D535" s="210"/>
      <c r="E535" s="210"/>
      <c r="F535" s="210"/>
      <c r="G535" s="210"/>
      <c r="H535" s="210"/>
      <c r="I535" s="210"/>
      <c r="J535" s="210"/>
      <c r="K535" s="210"/>
      <c r="L535" s="210"/>
      <c r="M535" s="210"/>
      <c r="N535" s="210"/>
      <c r="O535" s="210"/>
      <c r="P535" s="210"/>
      <c r="Q535" s="210"/>
      <c r="R535" s="210"/>
      <c r="S535" s="210"/>
      <c r="T535" s="210"/>
      <c r="U535" s="210"/>
      <c r="V535" s="210"/>
      <c r="W535" s="210"/>
      <c r="X535" s="210"/>
      <c r="Y535" s="210"/>
      <c r="Z535" s="210"/>
      <c r="AA535" s="210"/>
      <c r="AB535" s="210"/>
      <c r="AC535" s="210"/>
      <c r="AI535" s="210"/>
      <c r="AJ535" s="210"/>
    </row>
    <row r="536" ht="12.75" customHeight="1">
      <c r="C536" s="210"/>
      <c r="D536" s="210"/>
      <c r="E536" s="210"/>
      <c r="F536" s="210"/>
      <c r="G536" s="210"/>
      <c r="H536" s="210"/>
      <c r="I536" s="210"/>
      <c r="J536" s="210"/>
      <c r="K536" s="210"/>
      <c r="L536" s="210"/>
      <c r="M536" s="210"/>
      <c r="N536" s="210"/>
      <c r="O536" s="210"/>
      <c r="P536" s="210"/>
      <c r="Q536" s="210"/>
      <c r="R536" s="210"/>
      <c r="S536" s="210"/>
      <c r="T536" s="210"/>
      <c r="U536" s="210"/>
      <c r="V536" s="210"/>
      <c r="W536" s="210"/>
      <c r="X536" s="210"/>
      <c r="Y536" s="210"/>
      <c r="Z536" s="210"/>
      <c r="AA536" s="210"/>
      <c r="AB536" s="210"/>
      <c r="AC536" s="210"/>
      <c r="AI536" s="210"/>
      <c r="AJ536" s="210"/>
    </row>
    <row r="537" ht="12.75" customHeight="1">
      <c r="C537" s="210"/>
      <c r="D537" s="210"/>
      <c r="E537" s="210"/>
      <c r="F537" s="210"/>
      <c r="G537" s="210"/>
      <c r="H537" s="210"/>
      <c r="I537" s="210"/>
      <c r="J537" s="210"/>
      <c r="K537" s="210"/>
      <c r="L537" s="210"/>
      <c r="M537" s="210"/>
      <c r="N537" s="210"/>
      <c r="O537" s="210"/>
      <c r="P537" s="210"/>
      <c r="Q537" s="210"/>
      <c r="R537" s="210"/>
      <c r="S537" s="210"/>
      <c r="T537" s="210"/>
      <c r="U537" s="210"/>
      <c r="V537" s="210"/>
      <c r="W537" s="210"/>
      <c r="X537" s="210"/>
      <c r="Y537" s="210"/>
      <c r="Z537" s="210"/>
      <c r="AA537" s="210"/>
      <c r="AB537" s="210"/>
      <c r="AC537" s="210"/>
      <c r="AI537" s="210"/>
      <c r="AJ537" s="210"/>
    </row>
    <row r="538" ht="12.75" customHeight="1">
      <c r="C538" s="210"/>
      <c r="D538" s="210"/>
      <c r="E538" s="210"/>
      <c r="F538" s="210"/>
      <c r="G538" s="210"/>
      <c r="H538" s="210"/>
      <c r="I538" s="210"/>
      <c r="J538" s="210"/>
      <c r="K538" s="210"/>
      <c r="L538" s="210"/>
      <c r="M538" s="210"/>
      <c r="N538" s="210"/>
      <c r="O538" s="210"/>
      <c r="P538" s="210"/>
      <c r="Q538" s="210"/>
      <c r="R538" s="210"/>
      <c r="S538" s="210"/>
      <c r="T538" s="210"/>
      <c r="U538" s="210"/>
      <c r="V538" s="210"/>
      <c r="W538" s="210"/>
      <c r="X538" s="210"/>
      <c r="Y538" s="210"/>
      <c r="Z538" s="210"/>
      <c r="AA538" s="210"/>
      <c r="AB538" s="210"/>
      <c r="AC538" s="210"/>
      <c r="AI538" s="210"/>
      <c r="AJ538" s="210"/>
    </row>
    <row r="539" ht="12.75" customHeight="1">
      <c r="C539" s="210"/>
      <c r="D539" s="210"/>
      <c r="E539" s="210"/>
      <c r="F539" s="210"/>
      <c r="G539" s="210"/>
      <c r="H539" s="210"/>
      <c r="I539" s="210"/>
      <c r="J539" s="210"/>
      <c r="K539" s="210"/>
      <c r="L539" s="210"/>
      <c r="M539" s="210"/>
      <c r="N539" s="210"/>
      <c r="O539" s="210"/>
      <c r="P539" s="210"/>
      <c r="Q539" s="210"/>
      <c r="R539" s="210"/>
      <c r="S539" s="210"/>
      <c r="T539" s="210"/>
      <c r="U539" s="210"/>
      <c r="V539" s="210"/>
      <c r="W539" s="210"/>
      <c r="X539" s="210"/>
      <c r="Y539" s="210"/>
      <c r="Z539" s="210"/>
      <c r="AA539" s="210"/>
      <c r="AB539" s="210"/>
      <c r="AC539" s="210"/>
      <c r="AI539" s="210"/>
      <c r="AJ539" s="210"/>
    </row>
    <row r="540" ht="12.75" customHeight="1">
      <c r="C540" s="210"/>
      <c r="D540" s="210"/>
      <c r="E540" s="210"/>
      <c r="F540" s="210"/>
      <c r="G540" s="210"/>
      <c r="H540" s="210"/>
      <c r="I540" s="210"/>
      <c r="J540" s="210"/>
      <c r="K540" s="210"/>
      <c r="L540" s="210"/>
      <c r="M540" s="210"/>
      <c r="N540" s="210"/>
      <c r="O540" s="210"/>
      <c r="P540" s="210"/>
      <c r="Q540" s="210"/>
      <c r="R540" s="210"/>
      <c r="S540" s="210"/>
      <c r="T540" s="210"/>
      <c r="U540" s="210"/>
      <c r="V540" s="210"/>
      <c r="W540" s="210"/>
      <c r="X540" s="210"/>
      <c r="Y540" s="210"/>
      <c r="Z540" s="210"/>
      <c r="AA540" s="210"/>
      <c r="AB540" s="210"/>
      <c r="AC540" s="210"/>
      <c r="AI540" s="210"/>
      <c r="AJ540" s="210"/>
    </row>
    <row r="541" ht="12.75" customHeight="1">
      <c r="C541" s="210"/>
      <c r="D541" s="210"/>
      <c r="E541" s="210"/>
      <c r="F541" s="210"/>
      <c r="G541" s="210"/>
      <c r="H541" s="210"/>
      <c r="I541" s="210"/>
      <c r="J541" s="210"/>
      <c r="K541" s="210"/>
      <c r="L541" s="210"/>
      <c r="M541" s="210"/>
      <c r="N541" s="210"/>
      <c r="O541" s="210"/>
      <c r="P541" s="210"/>
      <c r="Q541" s="210"/>
      <c r="R541" s="210"/>
      <c r="S541" s="210"/>
      <c r="T541" s="210"/>
      <c r="U541" s="210"/>
      <c r="V541" s="210"/>
      <c r="W541" s="210"/>
      <c r="X541" s="210"/>
      <c r="Y541" s="210"/>
      <c r="Z541" s="210"/>
      <c r="AA541" s="210"/>
      <c r="AB541" s="210"/>
      <c r="AC541" s="210"/>
      <c r="AI541" s="210"/>
      <c r="AJ541" s="210"/>
    </row>
    <row r="542" ht="12.75" customHeight="1">
      <c r="C542" s="210"/>
      <c r="D542" s="210"/>
      <c r="E542" s="210"/>
      <c r="F542" s="210"/>
      <c r="G542" s="210"/>
      <c r="H542" s="210"/>
      <c r="I542" s="210"/>
      <c r="J542" s="210"/>
      <c r="K542" s="210"/>
      <c r="L542" s="210"/>
      <c r="M542" s="210"/>
      <c r="N542" s="210"/>
      <c r="O542" s="210"/>
      <c r="P542" s="210"/>
      <c r="Q542" s="210"/>
      <c r="R542" s="210"/>
      <c r="S542" s="210"/>
      <c r="T542" s="210"/>
      <c r="U542" s="210"/>
      <c r="V542" s="210"/>
      <c r="W542" s="210"/>
      <c r="X542" s="210"/>
      <c r="Y542" s="210"/>
      <c r="Z542" s="210"/>
      <c r="AA542" s="210"/>
      <c r="AB542" s="210"/>
      <c r="AC542" s="210"/>
      <c r="AI542" s="210"/>
      <c r="AJ542" s="210"/>
    </row>
    <row r="543" ht="12.75" customHeight="1">
      <c r="C543" s="210"/>
      <c r="D543" s="210"/>
      <c r="E543" s="210"/>
      <c r="F543" s="210"/>
      <c r="G543" s="210"/>
      <c r="H543" s="210"/>
      <c r="I543" s="210"/>
      <c r="J543" s="210"/>
      <c r="K543" s="210"/>
      <c r="L543" s="210"/>
      <c r="M543" s="210"/>
      <c r="N543" s="210"/>
      <c r="O543" s="210"/>
      <c r="P543" s="210"/>
      <c r="Q543" s="210"/>
      <c r="R543" s="210"/>
      <c r="S543" s="210"/>
      <c r="T543" s="210"/>
      <c r="U543" s="210"/>
      <c r="V543" s="210"/>
      <c r="W543" s="210"/>
      <c r="X543" s="210"/>
      <c r="Y543" s="210"/>
      <c r="Z543" s="210"/>
      <c r="AA543" s="210"/>
      <c r="AB543" s="210"/>
      <c r="AC543" s="210"/>
      <c r="AI543" s="210"/>
      <c r="AJ543" s="210"/>
    </row>
    <row r="544" ht="12.75" customHeight="1">
      <c r="C544" s="210"/>
      <c r="D544" s="210"/>
      <c r="E544" s="210"/>
      <c r="F544" s="210"/>
      <c r="G544" s="210"/>
      <c r="H544" s="210"/>
      <c r="I544" s="210"/>
      <c r="J544" s="210"/>
      <c r="K544" s="210"/>
      <c r="L544" s="210"/>
      <c r="M544" s="210"/>
      <c r="N544" s="210"/>
      <c r="O544" s="210"/>
      <c r="P544" s="210"/>
      <c r="Q544" s="210"/>
      <c r="R544" s="210"/>
      <c r="S544" s="210"/>
      <c r="T544" s="210"/>
      <c r="U544" s="210"/>
      <c r="V544" s="210"/>
      <c r="W544" s="210"/>
      <c r="X544" s="210"/>
      <c r="Y544" s="210"/>
      <c r="Z544" s="210"/>
      <c r="AA544" s="210"/>
      <c r="AB544" s="210"/>
      <c r="AC544" s="210"/>
      <c r="AI544" s="210"/>
      <c r="AJ544" s="210"/>
    </row>
    <row r="545" ht="12.75" customHeight="1">
      <c r="C545" s="210"/>
      <c r="D545" s="210"/>
      <c r="E545" s="210"/>
      <c r="F545" s="210"/>
      <c r="G545" s="210"/>
      <c r="H545" s="210"/>
      <c r="I545" s="210"/>
      <c r="J545" s="210"/>
      <c r="K545" s="210"/>
      <c r="L545" s="210"/>
      <c r="M545" s="210"/>
      <c r="N545" s="210"/>
      <c r="O545" s="210"/>
      <c r="P545" s="210"/>
      <c r="Q545" s="210"/>
      <c r="R545" s="210"/>
      <c r="S545" s="210"/>
      <c r="T545" s="210"/>
      <c r="U545" s="210"/>
      <c r="V545" s="210"/>
      <c r="W545" s="210"/>
      <c r="X545" s="210"/>
      <c r="Y545" s="210"/>
      <c r="Z545" s="210"/>
      <c r="AA545" s="210"/>
      <c r="AB545" s="210"/>
      <c r="AC545" s="210"/>
      <c r="AI545" s="210"/>
      <c r="AJ545" s="210"/>
    </row>
    <row r="546" ht="12.75" customHeight="1">
      <c r="C546" s="210"/>
      <c r="D546" s="210"/>
      <c r="E546" s="210"/>
      <c r="F546" s="210"/>
      <c r="G546" s="210"/>
      <c r="H546" s="210"/>
      <c r="I546" s="210"/>
      <c r="J546" s="210"/>
      <c r="K546" s="210"/>
      <c r="L546" s="210"/>
      <c r="M546" s="210"/>
      <c r="N546" s="210"/>
      <c r="O546" s="210"/>
      <c r="P546" s="210"/>
      <c r="Q546" s="210"/>
      <c r="R546" s="210"/>
      <c r="S546" s="210"/>
      <c r="T546" s="210"/>
      <c r="U546" s="210"/>
      <c r="V546" s="210"/>
      <c r="W546" s="210"/>
      <c r="X546" s="210"/>
      <c r="Y546" s="210"/>
      <c r="Z546" s="210"/>
      <c r="AA546" s="210"/>
      <c r="AB546" s="210"/>
      <c r="AC546" s="210"/>
      <c r="AI546" s="210"/>
      <c r="AJ546" s="210"/>
    </row>
    <row r="547" ht="12.75" customHeight="1">
      <c r="C547" s="210"/>
      <c r="D547" s="210"/>
      <c r="E547" s="210"/>
      <c r="F547" s="210"/>
      <c r="G547" s="210"/>
      <c r="H547" s="210"/>
      <c r="I547" s="210"/>
      <c r="J547" s="210"/>
      <c r="K547" s="210"/>
      <c r="L547" s="210"/>
      <c r="M547" s="210"/>
      <c r="N547" s="210"/>
      <c r="O547" s="210"/>
      <c r="P547" s="210"/>
      <c r="Q547" s="210"/>
      <c r="R547" s="210"/>
      <c r="S547" s="210"/>
      <c r="T547" s="210"/>
      <c r="U547" s="210"/>
      <c r="V547" s="210"/>
      <c r="W547" s="210"/>
      <c r="X547" s="210"/>
      <c r="Y547" s="210"/>
      <c r="Z547" s="210"/>
      <c r="AA547" s="210"/>
      <c r="AB547" s="210"/>
      <c r="AC547" s="210"/>
      <c r="AI547" s="210"/>
      <c r="AJ547" s="210"/>
    </row>
    <row r="548" ht="12.75" customHeight="1">
      <c r="C548" s="210"/>
      <c r="D548" s="210"/>
      <c r="E548" s="210"/>
      <c r="F548" s="210"/>
      <c r="G548" s="210"/>
      <c r="H548" s="210"/>
      <c r="I548" s="210"/>
      <c r="J548" s="210"/>
      <c r="K548" s="210"/>
      <c r="L548" s="210"/>
      <c r="M548" s="210"/>
      <c r="N548" s="210"/>
      <c r="O548" s="210"/>
      <c r="P548" s="210"/>
      <c r="Q548" s="210"/>
      <c r="R548" s="210"/>
      <c r="S548" s="210"/>
      <c r="T548" s="210"/>
      <c r="U548" s="210"/>
      <c r="V548" s="210"/>
      <c r="W548" s="210"/>
      <c r="X548" s="210"/>
      <c r="Y548" s="210"/>
      <c r="Z548" s="210"/>
      <c r="AA548" s="210"/>
      <c r="AB548" s="210"/>
      <c r="AC548" s="210"/>
      <c r="AI548" s="210"/>
      <c r="AJ548" s="210"/>
    </row>
    <row r="549" ht="12.75" customHeight="1">
      <c r="C549" s="210"/>
      <c r="D549" s="210"/>
      <c r="E549" s="210"/>
      <c r="F549" s="210"/>
      <c r="G549" s="210"/>
      <c r="H549" s="210"/>
      <c r="I549" s="210"/>
      <c r="J549" s="210"/>
      <c r="K549" s="210"/>
      <c r="L549" s="210"/>
      <c r="M549" s="210"/>
      <c r="N549" s="210"/>
      <c r="O549" s="210"/>
      <c r="P549" s="210"/>
      <c r="Q549" s="210"/>
      <c r="R549" s="210"/>
      <c r="S549" s="210"/>
      <c r="T549" s="210"/>
      <c r="U549" s="210"/>
      <c r="V549" s="210"/>
      <c r="W549" s="210"/>
      <c r="X549" s="210"/>
      <c r="Y549" s="210"/>
      <c r="Z549" s="210"/>
      <c r="AA549" s="210"/>
      <c r="AB549" s="210"/>
      <c r="AC549" s="210"/>
      <c r="AI549" s="210"/>
      <c r="AJ549" s="210"/>
    </row>
    <row r="550" ht="12.75" customHeight="1">
      <c r="C550" s="210"/>
      <c r="D550" s="210"/>
      <c r="E550" s="210"/>
      <c r="F550" s="210"/>
      <c r="G550" s="210"/>
      <c r="H550" s="210"/>
      <c r="I550" s="210"/>
      <c r="J550" s="210"/>
      <c r="K550" s="210"/>
      <c r="L550" s="210"/>
      <c r="M550" s="210"/>
      <c r="N550" s="210"/>
      <c r="O550" s="210"/>
      <c r="P550" s="210"/>
      <c r="Q550" s="210"/>
      <c r="R550" s="210"/>
      <c r="S550" s="210"/>
      <c r="T550" s="210"/>
      <c r="U550" s="210"/>
      <c r="V550" s="210"/>
      <c r="W550" s="210"/>
      <c r="X550" s="210"/>
      <c r="Y550" s="210"/>
      <c r="Z550" s="210"/>
      <c r="AA550" s="210"/>
      <c r="AB550" s="210"/>
      <c r="AC550" s="210"/>
      <c r="AI550" s="210"/>
      <c r="AJ550" s="210"/>
    </row>
    <row r="551" ht="12.75" customHeight="1">
      <c r="C551" s="210"/>
      <c r="D551" s="210"/>
      <c r="E551" s="210"/>
      <c r="F551" s="210"/>
      <c r="G551" s="210"/>
      <c r="H551" s="210"/>
      <c r="I551" s="210"/>
      <c r="J551" s="210"/>
      <c r="K551" s="210"/>
      <c r="L551" s="210"/>
      <c r="M551" s="210"/>
      <c r="N551" s="210"/>
      <c r="O551" s="210"/>
      <c r="P551" s="210"/>
      <c r="Q551" s="210"/>
      <c r="R551" s="210"/>
      <c r="S551" s="210"/>
      <c r="T551" s="210"/>
      <c r="U551" s="210"/>
      <c r="V551" s="210"/>
      <c r="W551" s="210"/>
      <c r="X551" s="210"/>
      <c r="Y551" s="210"/>
      <c r="Z551" s="210"/>
      <c r="AA551" s="210"/>
      <c r="AB551" s="210"/>
      <c r="AC551" s="210"/>
      <c r="AI551" s="210"/>
      <c r="AJ551" s="210"/>
    </row>
    <row r="552" ht="12.75" customHeight="1">
      <c r="C552" s="210"/>
      <c r="D552" s="210"/>
      <c r="E552" s="210"/>
      <c r="F552" s="210"/>
      <c r="G552" s="210"/>
      <c r="H552" s="210"/>
      <c r="I552" s="210"/>
      <c r="J552" s="210"/>
      <c r="K552" s="210"/>
      <c r="L552" s="210"/>
      <c r="M552" s="210"/>
      <c r="N552" s="210"/>
      <c r="O552" s="210"/>
      <c r="P552" s="210"/>
      <c r="Q552" s="210"/>
      <c r="R552" s="210"/>
      <c r="S552" s="210"/>
      <c r="T552" s="210"/>
      <c r="U552" s="210"/>
      <c r="V552" s="210"/>
      <c r="W552" s="210"/>
      <c r="X552" s="210"/>
      <c r="Y552" s="210"/>
      <c r="Z552" s="210"/>
      <c r="AA552" s="210"/>
      <c r="AB552" s="210"/>
      <c r="AC552" s="210"/>
      <c r="AI552" s="210"/>
      <c r="AJ552" s="210"/>
    </row>
    <row r="553" ht="12.75" customHeight="1">
      <c r="C553" s="210"/>
      <c r="D553" s="210"/>
      <c r="E553" s="210"/>
      <c r="F553" s="210"/>
      <c r="G553" s="210"/>
      <c r="H553" s="210"/>
      <c r="I553" s="210"/>
      <c r="J553" s="210"/>
      <c r="K553" s="210"/>
      <c r="L553" s="210"/>
      <c r="M553" s="210"/>
      <c r="N553" s="210"/>
      <c r="O553" s="210"/>
      <c r="P553" s="210"/>
      <c r="Q553" s="210"/>
      <c r="R553" s="210"/>
      <c r="S553" s="210"/>
      <c r="T553" s="210"/>
      <c r="U553" s="210"/>
      <c r="V553" s="210"/>
      <c r="W553" s="210"/>
      <c r="X553" s="210"/>
      <c r="Y553" s="210"/>
      <c r="Z553" s="210"/>
      <c r="AA553" s="210"/>
      <c r="AB553" s="210"/>
      <c r="AC553" s="210"/>
      <c r="AI553" s="210"/>
      <c r="AJ553" s="210"/>
    </row>
    <row r="554" ht="12.75" customHeight="1">
      <c r="C554" s="210"/>
      <c r="D554" s="210"/>
      <c r="E554" s="210"/>
      <c r="F554" s="210"/>
      <c r="G554" s="210"/>
      <c r="H554" s="210"/>
      <c r="I554" s="210"/>
      <c r="J554" s="210"/>
      <c r="K554" s="210"/>
      <c r="L554" s="210"/>
      <c r="M554" s="210"/>
      <c r="N554" s="210"/>
      <c r="O554" s="210"/>
      <c r="P554" s="210"/>
      <c r="Q554" s="210"/>
      <c r="R554" s="210"/>
      <c r="S554" s="210"/>
      <c r="T554" s="210"/>
      <c r="U554" s="210"/>
      <c r="V554" s="210"/>
      <c r="W554" s="210"/>
      <c r="X554" s="210"/>
      <c r="Y554" s="210"/>
      <c r="Z554" s="210"/>
      <c r="AA554" s="210"/>
      <c r="AB554" s="210"/>
      <c r="AC554" s="210"/>
      <c r="AI554" s="210"/>
      <c r="AJ554" s="210"/>
    </row>
    <row r="555" ht="12.75" customHeight="1">
      <c r="C555" s="210"/>
      <c r="D555" s="210"/>
      <c r="E555" s="210"/>
      <c r="F555" s="210"/>
      <c r="G555" s="210"/>
      <c r="H555" s="210"/>
      <c r="I555" s="210"/>
      <c r="J555" s="210"/>
      <c r="K555" s="210"/>
      <c r="L555" s="210"/>
      <c r="M555" s="210"/>
      <c r="N555" s="210"/>
      <c r="O555" s="210"/>
      <c r="P555" s="210"/>
      <c r="Q555" s="210"/>
      <c r="R555" s="210"/>
      <c r="S555" s="210"/>
      <c r="T555" s="210"/>
      <c r="U555" s="210"/>
      <c r="V555" s="210"/>
      <c r="W555" s="210"/>
      <c r="X555" s="210"/>
      <c r="Y555" s="210"/>
      <c r="Z555" s="210"/>
      <c r="AA555" s="210"/>
      <c r="AB555" s="210"/>
      <c r="AC555" s="210"/>
      <c r="AI555" s="210"/>
      <c r="AJ555" s="210"/>
    </row>
    <row r="556" ht="12.75" customHeight="1">
      <c r="C556" s="210"/>
      <c r="D556" s="210"/>
      <c r="E556" s="210"/>
      <c r="F556" s="210"/>
      <c r="G556" s="210"/>
      <c r="H556" s="210"/>
      <c r="I556" s="210"/>
      <c r="J556" s="210"/>
      <c r="K556" s="210"/>
      <c r="L556" s="210"/>
      <c r="M556" s="210"/>
      <c r="N556" s="210"/>
      <c r="O556" s="210"/>
      <c r="P556" s="210"/>
      <c r="Q556" s="210"/>
      <c r="R556" s="210"/>
      <c r="S556" s="210"/>
      <c r="T556" s="210"/>
      <c r="U556" s="210"/>
      <c r="V556" s="210"/>
      <c r="W556" s="210"/>
      <c r="X556" s="210"/>
      <c r="Y556" s="210"/>
      <c r="Z556" s="210"/>
      <c r="AA556" s="210"/>
      <c r="AB556" s="210"/>
      <c r="AC556" s="210"/>
      <c r="AI556" s="210"/>
      <c r="AJ556" s="210"/>
    </row>
    <row r="557" ht="12.75" customHeight="1">
      <c r="C557" s="210"/>
      <c r="D557" s="210"/>
      <c r="E557" s="210"/>
      <c r="F557" s="210"/>
      <c r="G557" s="210"/>
      <c r="H557" s="210"/>
      <c r="I557" s="210"/>
      <c r="J557" s="210"/>
      <c r="K557" s="210"/>
      <c r="L557" s="210"/>
      <c r="M557" s="210"/>
      <c r="N557" s="210"/>
      <c r="O557" s="210"/>
      <c r="P557" s="210"/>
      <c r="Q557" s="210"/>
      <c r="R557" s="210"/>
      <c r="S557" s="210"/>
      <c r="T557" s="210"/>
      <c r="U557" s="210"/>
      <c r="V557" s="210"/>
      <c r="W557" s="210"/>
      <c r="X557" s="210"/>
      <c r="Y557" s="210"/>
      <c r="Z557" s="210"/>
      <c r="AA557" s="210"/>
      <c r="AB557" s="210"/>
      <c r="AC557" s="210"/>
      <c r="AI557" s="210"/>
      <c r="AJ557" s="210"/>
    </row>
    <row r="558" ht="12.75" customHeight="1">
      <c r="C558" s="210"/>
      <c r="D558" s="210"/>
      <c r="E558" s="210"/>
      <c r="F558" s="210"/>
      <c r="G558" s="210"/>
      <c r="H558" s="210"/>
      <c r="I558" s="210"/>
      <c r="J558" s="210"/>
      <c r="K558" s="210"/>
      <c r="L558" s="210"/>
      <c r="M558" s="210"/>
      <c r="N558" s="210"/>
      <c r="O558" s="210"/>
      <c r="P558" s="210"/>
      <c r="Q558" s="210"/>
      <c r="R558" s="210"/>
      <c r="S558" s="210"/>
      <c r="T558" s="210"/>
      <c r="U558" s="210"/>
      <c r="V558" s="210"/>
      <c r="W558" s="210"/>
      <c r="X558" s="210"/>
      <c r="Y558" s="210"/>
      <c r="Z558" s="210"/>
      <c r="AA558" s="210"/>
      <c r="AB558" s="210"/>
      <c r="AC558" s="210"/>
      <c r="AI558" s="210"/>
      <c r="AJ558" s="210"/>
    </row>
    <row r="559" ht="12.75" customHeight="1">
      <c r="C559" s="210"/>
      <c r="D559" s="210"/>
      <c r="E559" s="210"/>
      <c r="F559" s="210"/>
      <c r="G559" s="210"/>
      <c r="H559" s="210"/>
      <c r="I559" s="210"/>
      <c r="J559" s="210"/>
      <c r="K559" s="210"/>
      <c r="L559" s="210"/>
      <c r="M559" s="210"/>
      <c r="N559" s="210"/>
      <c r="O559" s="210"/>
      <c r="P559" s="210"/>
      <c r="Q559" s="210"/>
      <c r="R559" s="210"/>
      <c r="S559" s="210"/>
      <c r="T559" s="210"/>
      <c r="U559" s="210"/>
      <c r="V559" s="210"/>
      <c r="W559" s="210"/>
      <c r="X559" s="210"/>
      <c r="Y559" s="210"/>
      <c r="Z559" s="210"/>
      <c r="AA559" s="210"/>
      <c r="AB559" s="210"/>
      <c r="AC559" s="210"/>
      <c r="AI559" s="210"/>
      <c r="AJ559" s="210"/>
    </row>
    <row r="560" ht="12.75" customHeight="1">
      <c r="C560" s="210"/>
      <c r="D560" s="210"/>
      <c r="E560" s="210"/>
      <c r="F560" s="210"/>
      <c r="G560" s="210"/>
      <c r="H560" s="210"/>
      <c r="I560" s="210"/>
      <c r="J560" s="210"/>
      <c r="K560" s="210"/>
      <c r="L560" s="210"/>
      <c r="M560" s="210"/>
      <c r="N560" s="210"/>
      <c r="O560" s="210"/>
      <c r="P560" s="210"/>
      <c r="Q560" s="210"/>
      <c r="R560" s="210"/>
      <c r="S560" s="210"/>
      <c r="T560" s="210"/>
      <c r="U560" s="210"/>
      <c r="V560" s="210"/>
      <c r="W560" s="210"/>
      <c r="X560" s="210"/>
      <c r="Y560" s="210"/>
      <c r="Z560" s="210"/>
      <c r="AA560" s="210"/>
      <c r="AB560" s="210"/>
      <c r="AC560" s="210"/>
      <c r="AI560" s="210"/>
      <c r="AJ560" s="210"/>
    </row>
    <row r="561" ht="12.75" customHeight="1">
      <c r="C561" s="210"/>
      <c r="D561" s="210"/>
      <c r="E561" s="210"/>
      <c r="F561" s="210"/>
      <c r="G561" s="210"/>
      <c r="H561" s="210"/>
      <c r="I561" s="210"/>
      <c r="J561" s="210"/>
      <c r="K561" s="210"/>
      <c r="L561" s="210"/>
      <c r="M561" s="210"/>
      <c r="N561" s="210"/>
      <c r="O561" s="210"/>
      <c r="P561" s="210"/>
      <c r="Q561" s="210"/>
      <c r="R561" s="210"/>
      <c r="S561" s="210"/>
      <c r="T561" s="210"/>
      <c r="U561" s="210"/>
      <c r="V561" s="210"/>
      <c r="W561" s="210"/>
      <c r="X561" s="210"/>
      <c r="Y561" s="210"/>
      <c r="Z561" s="210"/>
      <c r="AA561" s="210"/>
      <c r="AB561" s="210"/>
      <c r="AC561" s="210"/>
      <c r="AI561" s="210"/>
      <c r="AJ561" s="210"/>
    </row>
    <row r="562" ht="12.75" customHeight="1">
      <c r="C562" s="210"/>
      <c r="D562" s="210"/>
      <c r="E562" s="210"/>
      <c r="F562" s="210"/>
      <c r="G562" s="210"/>
      <c r="H562" s="210"/>
      <c r="I562" s="210"/>
      <c r="J562" s="210"/>
      <c r="K562" s="210"/>
      <c r="L562" s="210"/>
      <c r="M562" s="210"/>
      <c r="N562" s="210"/>
      <c r="O562" s="210"/>
      <c r="P562" s="210"/>
      <c r="Q562" s="210"/>
      <c r="R562" s="210"/>
      <c r="S562" s="210"/>
      <c r="T562" s="210"/>
      <c r="U562" s="210"/>
      <c r="V562" s="210"/>
      <c r="W562" s="210"/>
      <c r="X562" s="210"/>
      <c r="Y562" s="210"/>
      <c r="Z562" s="210"/>
      <c r="AA562" s="210"/>
      <c r="AB562" s="210"/>
      <c r="AC562" s="210"/>
      <c r="AI562" s="210"/>
      <c r="AJ562" s="210"/>
    </row>
    <row r="563" ht="12.75" customHeight="1">
      <c r="C563" s="210"/>
      <c r="D563" s="210"/>
      <c r="E563" s="210"/>
      <c r="F563" s="210"/>
      <c r="G563" s="210"/>
      <c r="H563" s="210"/>
      <c r="I563" s="210"/>
      <c r="J563" s="210"/>
      <c r="K563" s="210"/>
      <c r="L563" s="210"/>
      <c r="M563" s="210"/>
      <c r="N563" s="210"/>
      <c r="O563" s="210"/>
      <c r="P563" s="210"/>
      <c r="Q563" s="210"/>
      <c r="R563" s="210"/>
      <c r="S563" s="210"/>
      <c r="T563" s="210"/>
      <c r="U563" s="210"/>
      <c r="V563" s="210"/>
      <c r="W563" s="210"/>
      <c r="X563" s="210"/>
      <c r="Y563" s="210"/>
      <c r="Z563" s="210"/>
      <c r="AA563" s="210"/>
      <c r="AB563" s="210"/>
      <c r="AC563" s="210"/>
      <c r="AI563" s="210"/>
      <c r="AJ563" s="210"/>
    </row>
    <row r="564" ht="12.75" customHeight="1">
      <c r="C564" s="210"/>
      <c r="D564" s="210"/>
      <c r="E564" s="210"/>
      <c r="F564" s="210"/>
      <c r="G564" s="210"/>
      <c r="H564" s="210"/>
      <c r="I564" s="210"/>
      <c r="J564" s="210"/>
      <c r="K564" s="210"/>
      <c r="L564" s="210"/>
      <c r="M564" s="210"/>
      <c r="N564" s="210"/>
      <c r="O564" s="210"/>
      <c r="P564" s="210"/>
      <c r="Q564" s="210"/>
      <c r="R564" s="210"/>
      <c r="S564" s="210"/>
      <c r="T564" s="210"/>
      <c r="U564" s="210"/>
      <c r="V564" s="210"/>
      <c r="W564" s="210"/>
      <c r="X564" s="210"/>
      <c r="Y564" s="210"/>
      <c r="Z564" s="210"/>
      <c r="AA564" s="210"/>
      <c r="AB564" s="210"/>
      <c r="AC564" s="210"/>
      <c r="AI564" s="210"/>
      <c r="AJ564" s="210"/>
    </row>
    <row r="565" ht="12.75" customHeight="1">
      <c r="C565" s="210"/>
      <c r="D565" s="210"/>
      <c r="E565" s="210"/>
      <c r="F565" s="210"/>
      <c r="G565" s="210"/>
      <c r="H565" s="210"/>
      <c r="I565" s="210"/>
      <c r="J565" s="210"/>
      <c r="K565" s="210"/>
      <c r="L565" s="210"/>
      <c r="M565" s="210"/>
      <c r="N565" s="210"/>
      <c r="O565" s="210"/>
      <c r="P565" s="210"/>
      <c r="Q565" s="210"/>
      <c r="R565" s="210"/>
      <c r="S565" s="210"/>
      <c r="T565" s="210"/>
      <c r="U565" s="210"/>
      <c r="V565" s="210"/>
      <c r="W565" s="210"/>
      <c r="X565" s="210"/>
      <c r="Y565" s="210"/>
      <c r="Z565" s="210"/>
      <c r="AA565" s="210"/>
      <c r="AB565" s="210"/>
      <c r="AC565" s="210"/>
      <c r="AI565" s="210"/>
      <c r="AJ565" s="210"/>
    </row>
    <row r="566" ht="12.75" customHeight="1">
      <c r="C566" s="210"/>
      <c r="D566" s="210"/>
      <c r="E566" s="210"/>
      <c r="F566" s="210"/>
      <c r="G566" s="210"/>
      <c r="H566" s="210"/>
      <c r="I566" s="210"/>
      <c r="J566" s="210"/>
      <c r="K566" s="210"/>
      <c r="L566" s="210"/>
      <c r="M566" s="210"/>
      <c r="N566" s="210"/>
      <c r="O566" s="210"/>
      <c r="P566" s="210"/>
      <c r="Q566" s="210"/>
      <c r="R566" s="210"/>
      <c r="S566" s="210"/>
      <c r="T566" s="210"/>
      <c r="U566" s="210"/>
      <c r="V566" s="210"/>
      <c r="W566" s="210"/>
      <c r="X566" s="210"/>
      <c r="Y566" s="210"/>
      <c r="Z566" s="210"/>
      <c r="AA566" s="210"/>
      <c r="AB566" s="210"/>
      <c r="AC566" s="210"/>
      <c r="AI566" s="210"/>
      <c r="AJ566" s="210"/>
    </row>
    <row r="567" ht="12.75" customHeight="1">
      <c r="C567" s="210"/>
      <c r="D567" s="210"/>
      <c r="E567" s="210"/>
      <c r="F567" s="210"/>
      <c r="G567" s="210"/>
      <c r="H567" s="210"/>
      <c r="I567" s="210"/>
      <c r="J567" s="210"/>
      <c r="K567" s="210"/>
      <c r="L567" s="210"/>
      <c r="M567" s="210"/>
      <c r="N567" s="210"/>
      <c r="O567" s="210"/>
      <c r="P567" s="210"/>
      <c r="Q567" s="210"/>
      <c r="R567" s="210"/>
      <c r="S567" s="210"/>
      <c r="T567" s="210"/>
      <c r="U567" s="210"/>
      <c r="V567" s="210"/>
      <c r="W567" s="210"/>
      <c r="X567" s="210"/>
      <c r="Y567" s="210"/>
      <c r="Z567" s="210"/>
      <c r="AA567" s="210"/>
      <c r="AB567" s="210"/>
      <c r="AC567" s="210"/>
      <c r="AI567" s="210"/>
      <c r="AJ567" s="210"/>
    </row>
    <row r="568" ht="12.75" customHeight="1">
      <c r="C568" s="210"/>
      <c r="D568" s="210"/>
      <c r="E568" s="210"/>
      <c r="F568" s="210"/>
      <c r="G568" s="210"/>
      <c r="H568" s="210"/>
      <c r="I568" s="210"/>
      <c r="J568" s="210"/>
      <c r="K568" s="210"/>
      <c r="L568" s="210"/>
      <c r="M568" s="210"/>
      <c r="N568" s="210"/>
      <c r="O568" s="210"/>
      <c r="P568" s="210"/>
      <c r="Q568" s="210"/>
      <c r="R568" s="210"/>
      <c r="S568" s="210"/>
      <c r="T568" s="210"/>
      <c r="U568" s="210"/>
      <c r="V568" s="210"/>
      <c r="W568" s="210"/>
      <c r="X568" s="210"/>
      <c r="Y568" s="210"/>
      <c r="Z568" s="210"/>
      <c r="AA568" s="210"/>
      <c r="AB568" s="210"/>
      <c r="AC568" s="210"/>
      <c r="AI568" s="210"/>
      <c r="AJ568" s="210"/>
    </row>
    <row r="569" ht="12.75" customHeight="1">
      <c r="C569" s="210"/>
      <c r="D569" s="210"/>
      <c r="E569" s="210"/>
      <c r="F569" s="210"/>
      <c r="G569" s="210"/>
      <c r="H569" s="210"/>
      <c r="I569" s="210"/>
      <c r="J569" s="210"/>
      <c r="K569" s="210"/>
      <c r="L569" s="210"/>
      <c r="M569" s="210"/>
      <c r="N569" s="210"/>
      <c r="O569" s="210"/>
      <c r="P569" s="210"/>
      <c r="Q569" s="210"/>
      <c r="R569" s="210"/>
      <c r="S569" s="210"/>
      <c r="T569" s="210"/>
      <c r="U569" s="210"/>
      <c r="V569" s="210"/>
      <c r="W569" s="210"/>
      <c r="X569" s="210"/>
      <c r="Y569" s="210"/>
      <c r="Z569" s="210"/>
      <c r="AA569" s="210"/>
      <c r="AB569" s="210"/>
      <c r="AC569" s="210"/>
      <c r="AI569" s="210"/>
      <c r="AJ569" s="210"/>
    </row>
    <row r="570" ht="12.75" customHeight="1">
      <c r="C570" s="210"/>
      <c r="D570" s="210"/>
      <c r="E570" s="210"/>
      <c r="F570" s="210"/>
      <c r="G570" s="210"/>
      <c r="H570" s="210"/>
      <c r="I570" s="210"/>
      <c r="J570" s="210"/>
      <c r="K570" s="210"/>
      <c r="L570" s="210"/>
      <c r="M570" s="210"/>
      <c r="N570" s="210"/>
      <c r="O570" s="210"/>
      <c r="P570" s="210"/>
      <c r="Q570" s="210"/>
      <c r="R570" s="210"/>
      <c r="S570" s="210"/>
      <c r="T570" s="210"/>
      <c r="U570" s="210"/>
      <c r="V570" s="210"/>
      <c r="W570" s="210"/>
      <c r="X570" s="210"/>
      <c r="Y570" s="210"/>
      <c r="Z570" s="210"/>
      <c r="AA570" s="210"/>
      <c r="AB570" s="210"/>
      <c r="AC570" s="210"/>
      <c r="AI570" s="210"/>
      <c r="AJ570" s="210"/>
    </row>
    <row r="571" ht="12.75" customHeight="1">
      <c r="C571" s="210"/>
      <c r="D571" s="210"/>
      <c r="E571" s="210"/>
      <c r="F571" s="210"/>
      <c r="G571" s="210"/>
      <c r="H571" s="210"/>
      <c r="I571" s="210"/>
      <c r="J571" s="210"/>
      <c r="K571" s="210"/>
      <c r="L571" s="210"/>
      <c r="M571" s="210"/>
      <c r="N571" s="210"/>
      <c r="O571" s="210"/>
      <c r="P571" s="210"/>
      <c r="Q571" s="210"/>
      <c r="R571" s="210"/>
      <c r="S571" s="210"/>
      <c r="T571" s="210"/>
      <c r="U571" s="210"/>
      <c r="V571" s="210"/>
      <c r="W571" s="210"/>
      <c r="X571" s="210"/>
      <c r="Y571" s="210"/>
      <c r="Z571" s="210"/>
      <c r="AA571" s="210"/>
      <c r="AB571" s="210"/>
      <c r="AC571" s="210"/>
      <c r="AI571" s="210"/>
      <c r="AJ571" s="210"/>
    </row>
    <row r="572" ht="12.75" customHeight="1">
      <c r="C572" s="210"/>
      <c r="D572" s="210"/>
      <c r="E572" s="210"/>
      <c r="F572" s="210"/>
      <c r="G572" s="210"/>
      <c r="H572" s="210"/>
      <c r="I572" s="210"/>
      <c r="J572" s="210"/>
      <c r="K572" s="210"/>
      <c r="L572" s="210"/>
      <c r="M572" s="210"/>
      <c r="N572" s="210"/>
      <c r="O572" s="210"/>
      <c r="P572" s="210"/>
      <c r="Q572" s="210"/>
      <c r="R572" s="210"/>
      <c r="S572" s="210"/>
      <c r="T572" s="210"/>
      <c r="U572" s="210"/>
      <c r="V572" s="210"/>
      <c r="W572" s="210"/>
      <c r="X572" s="210"/>
      <c r="Y572" s="210"/>
      <c r="Z572" s="210"/>
      <c r="AA572" s="210"/>
      <c r="AB572" s="210"/>
      <c r="AC572" s="210"/>
      <c r="AI572" s="210"/>
      <c r="AJ572" s="210"/>
    </row>
    <row r="573" ht="12.75" customHeight="1">
      <c r="C573" s="210"/>
      <c r="D573" s="210"/>
      <c r="E573" s="210"/>
      <c r="F573" s="210"/>
      <c r="G573" s="210"/>
      <c r="H573" s="210"/>
      <c r="I573" s="210"/>
      <c r="J573" s="210"/>
      <c r="K573" s="210"/>
      <c r="L573" s="210"/>
      <c r="M573" s="210"/>
      <c r="N573" s="210"/>
      <c r="O573" s="210"/>
      <c r="P573" s="210"/>
      <c r="Q573" s="210"/>
      <c r="R573" s="210"/>
      <c r="S573" s="210"/>
      <c r="T573" s="210"/>
      <c r="U573" s="210"/>
      <c r="V573" s="210"/>
      <c r="W573" s="210"/>
      <c r="X573" s="210"/>
      <c r="Y573" s="210"/>
      <c r="Z573" s="210"/>
      <c r="AA573" s="210"/>
      <c r="AB573" s="210"/>
      <c r="AC573" s="210"/>
      <c r="AI573" s="210"/>
      <c r="AJ573" s="210"/>
    </row>
    <row r="574" ht="12.75" customHeight="1">
      <c r="C574" s="210"/>
      <c r="D574" s="210"/>
      <c r="E574" s="210"/>
      <c r="F574" s="210"/>
      <c r="G574" s="210"/>
      <c r="H574" s="210"/>
      <c r="I574" s="210"/>
      <c r="J574" s="210"/>
      <c r="K574" s="210"/>
      <c r="L574" s="210"/>
      <c r="M574" s="210"/>
      <c r="N574" s="210"/>
      <c r="O574" s="210"/>
      <c r="P574" s="210"/>
      <c r="Q574" s="210"/>
      <c r="R574" s="210"/>
      <c r="S574" s="210"/>
      <c r="T574" s="210"/>
      <c r="U574" s="210"/>
      <c r="V574" s="210"/>
      <c r="W574" s="210"/>
      <c r="X574" s="210"/>
      <c r="Y574" s="210"/>
      <c r="Z574" s="210"/>
      <c r="AA574" s="210"/>
      <c r="AB574" s="210"/>
      <c r="AC574" s="210"/>
      <c r="AI574" s="210"/>
      <c r="AJ574" s="210"/>
    </row>
    <row r="575" ht="12.75" customHeight="1">
      <c r="C575" s="210"/>
      <c r="D575" s="210"/>
      <c r="E575" s="210"/>
      <c r="F575" s="210"/>
      <c r="G575" s="210"/>
      <c r="H575" s="210"/>
      <c r="I575" s="210"/>
      <c r="J575" s="210"/>
      <c r="K575" s="210"/>
      <c r="L575" s="210"/>
      <c r="M575" s="210"/>
      <c r="N575" s="210"/>
      <c r="O575" s="210"/>
      <c r="P575" s="210"/>
      <c r="Q575" s="210"/>
      <c r="R575" s="210"/>
      <c r="S575" s="210"/>
      <c r="T575" s="210"/>
      <c r="U575" s="210"/>
      <c r="V575" s="210"/>
      <c r="W575" s="210"/>
      <c r="X575" s="210"/>
      <c r="Y575" s="210"/>
      <c r="Z575" s="210"/>
      <c r="AA575" s="210"/>
      <c r="AB575" s="210"/>
      <c r="AC575" s="210"/>
      <c r="AI575" s="210"/>
      <c r="AJ575" s="210"/>
    </row>
    <row r="576" ht="12.75" customHeight="1">
      <c r="C576" s="210"/>
      <c r="D576" s="210"/>
      <c r="E576" s="210"/>
      <c r="F576" s="210"/>
      <c r="G576" s="210"/>
      <c r="H576" s="210"/>
      <c r="I576" s="210"/>
      <c r="J576" s="210"/>
      <c r="K576" s="210"/>
      <c r="L576" s="210"/>
      <c r="M576" s="210"/>
      <c r="N576" s="210"/>
      <c r="O576" s="210"/>
      <c r="P576" s="210"/>
      <c r="Q576" s="210"/>
      <c r="R576" s="210"/>
      <c r="S576" s="210"/>
      <c r="T576" s="210"/>
      <c r="U576" s="210"/>
      <c r="V576" s="210"/>
      <c r="W576" s="210"/>
      <c r="X576" s="210"/>
      <c r="Y576" s="210"/>
      <c r="Z576" s="210"/>
      <c r="AA576" s="210"/>
      <c r="AB576" s="210"/>
      <c r="AC576" s="210"/>
      <c r="AI576" s="210"/>
      <c r="AJ576" s="210"/>
    </row>
    <row r="577" ht="12.75" customHeight="1">
      <c r="C577" s="210"/>
      <c r="D577" s="210"/>
      <c r="E577" s="210"/>
      <c r="F577" s="210"/>
      <c r="G577" s="210"/>
      <c r="H577" s="210"/>
      <c r="I577" s="210"/>
      <c r="J577" s="210"/>
      <c r="K577" s="210"/>
      <c r="L577" s="210"/>
      <c r="M577" s="210"/>
      <c r="N577" s="210"/>
      <c r="O577" s="210"/>
      <c r="P577" s="210"/>
      <c r="Q577" s="210"/>
      <c r="R577" s="210"/>
      <c r="S577" s="210"/>
      <c r="T577" s="210"/>
      <c r="U577" s="210"/>
      <c r="V577" s="210"/>
      <c r="W577" s="210"/>
      <c r="X577" s="210"/>
      <c r="Y577" s="210"/>
      <c r="Z577" s="210"/>
      <c r="AA577" s="210"/>
      <c r="AB577" s="210"/>
      <c r="AC577" s="210"/>
      <c r="AI577" s="210"/>
      <c r="AJ577" s="210"/>
    </row>
    <row r="578" ht="12.75" customHeight="1">
      <c r="C578" s="210"/>
      <c r="D578" s="210"/>
      <c r="E578" s="210"/>
      <c r="F578" s="210"/>
      <c r="G578" s="210"/>
      <c r="H578" s="210"/>
      <c r="I578" s="210"/>
      <c r="J578" s="210"/>
      <c r="K578" s="210"/>
      <c r="L578" s="210"/>
      <c r="M578" s="210"/>
      <c r="N578" s="210"/>
      <c r="O578" s="210"/>
      <c r="P578" s="210"/>
      <c r="Q578" s="210"/>
      <c r="R578" s="210"/>
      <c r="S578" s="210"/>
      <c r="T578" s="210"/>
      <c r="U578" s="210"/>
      <c r="V578" s="210"/>
      <c r="W578" s="210"/>
      <c r="X578" s="210"/>
      <c r="Y578" s="210"/>
      <c r="Z578" s="210"/>
      <c r="AA578" s="210"/>
      <c r="AB578" s="210"/>
      <c r="AC578" s="210"/>
      <c r="AI578" s="210"/>
      <c r="AJ578" s="210"/>
    </row>
    <row r="579" ht="12.75" customHeight="1">
      <c r="C579" s="210"/>
      <c r="D579" s="210"/>
      <c r="E579" s="210"/>
      <c r="F579" s="210"/>
      <c r="G579" s="210"/>
      <c r="H579" s="210"/>
      <c r="I579" s="210"/>
      <c r="J579" s="210"/>
      <c r="K579" s="210"/>
      <c r="L579" s="210"/>
      <c r="M579" s="210"/>
      <c r="N579" s="210"/>
      <c r="O579" s="210"/>
      <c r="P579" s="210"/>
      <c r="Q579" s="210"/>
      <c r="R579" s="210"/>
      <c r="S579" s="210"/>
      <c r="T579" s="210"/>
      <c r="U579" s="210"/>
      <c r="V579" s="210"/>
      <c r="W579" s="210"/>
      <c r="X579" s="210"/>
      <c r="Y579" s="210"/>
      <c r="Z579" s="210"/>
      <c r="AA579" s="210"/>
      <c r="AB579" s="210"/>
      <c r="AC579" s="210"/>
      <c r="AI579" s="210"/>
      <c r="AJ579" s="210"/>
    </row>
    <row r="580" ht="12.75" customHeight="1">
      <c r="C580" s="210"/>
      <c r="D580" s="210"/>
      <c r="E580" s="210"/>
      <c r="F580" s="210"/>
      <c r="G580" s="210"/>
      <c r="H580" s="210"/>
      <c r="I580" s="210"/>
      <c r="J580" s="210"/>
      <c r="K580" s="210"/>
      <c r="L580" s="210"/>
      <c r="M580" s="210"/>
      <c r="N580" s="210"/>
      <c r="O580" s="210"/>
      <c r="P580" s="210"/>
      <c r="Q580" s="210"/>
      <c r="R580" s="210"/>
      <c r="S580" s="210"/>
      <c r="T580" s="210"/>
      <c r="U580" s="210"/>
      <c r="V580" s="210"/>
      <c r="W580" s="210"/>
      <c r="X580" s="210"/>
      <c r="Y580" s="210"/>
      <c r="Z580" s="210"/>
      <c r="AA580" s="210"/>
      <c r="AB580" s="210"/>
      <c r="AC580" s="210"/>
      <c r="AI580" s="210"/>
      <c r="AJ580" s="210"/>
    </row>
    <row r="581" ht="12.75" customHeight="1">
      <c r="C581" s="210"/>
      <c r="D581" s="210"/>
      <c r="E581" s="210"/>
      <c r="F581" s="210"/>
      <c r="G581" s="210"/>
      <c r="H581" s="210"/>
      <c r="I581" s="210"/>
      <c r="J581" s="210"/>
      <c r="K581" s="210"/>
      <c r="L581" s="210"/>
      <c r="M581" s="210"/>
      <c r="N581" s="210"/>
      <c r="O581" s="210"/>
      <c r="P581" s="210"/>
      <c r="Q581" s="210"/>
      <c r="R581" s="210"/>
      <c r="S581" s="210"/>
      <c r="T581" s="210"/>
      <c r="U581" s="210"/>
      <c r="V581" s="210"/>
      <c r="W581" s="210"/>
      <c r="X581" s="210"/>
      <c r="Y581" s="210"/>
      <c r="Z581" s="210"/>
      <c r="AA581" s="210"/>
      <c r="AB581" s="210"/>
      <c r="AC581" s="210"/>
      <c r="AI581" s="210"/>
      <c r="AJ581" s="210"/>
    </row>
    <row r="582" ht="12.75" customHeight="1">
      <c r="C582" s="210"/>
      <c r="D582" s="210"/>
      <c r="E582" s="210"/>
      <c r="F582" s="210"/>
      <c r="G582" s="210"/>
      <c r="H582" s="210"/>
      <c r="I582" s="210"/>
      <c r="J582" s="210"/>
      <c r="K582" s="210"/>
      <c r="L582" s="210"/>
      <c r="M582" s="210"/>
      <c r="N582" s="210"/>
      <c r="O582" s="210"/>
      <c r="P582" s="210"/>
      <c r="Q582" s="210"/>
      <c r="R582" s="210"/>
      <c r="S582" s="210"/>
      <c r="T582" s="210"/>
      <c r="U582" s="210"/>
      <c r="V582" s="210"/>
      <c r="W582" s="210"/>
      <c r="X582" s="210"/>
      <c r="Y582" s="210"/>
      <c r="Z582" s="210"/>
      <c r="AA582" s="210"/>
      <c r="AB582" s="210"/>
      <c r="AC582" s="210"/>
      <c r="AI582" s="210"/>
      <c r="AJ582" s="210"/>
    </row>
    <row r="583" ht="12.75" customHeight="1">
      <c r="C583" s="210"/>
      <c r="D583" s="210"/>
      <c r="E583" s="210"/>
      <c r="F583" s="210"/>
      <c r="G583" s="210"/>
      <c r="H583" s="210"/>
      <c r="I583" s="210"/>
      <c r="J583" s="210"/>
      <c r="K583" s="210"/>
      <c r="L583" s="210"/>
      <c r="M583" s="210"/>
      <c r="N583" s="210"/>
      <c r="O583" s="210"/>
      <c r="P583" s="210"/>
      <c r="Q583" s="210"/>
      <c r="R583" s="210"/>
      <c r="S583" s="210"/>
      <c r="T583" s="210"/>
      <c r="U583" s="210"/>
      <c r="V583" s="210"/>
      <c r="W583" s="210"/>
      <c r="X583" s="210"/>
      <c r="Y583" s="210"/>
      <c r="Z583" s="210"/>
      <c r="AA583" s="210"/>
      <c r="AB583" s="210"/>
      <c r="AC583" s="210"/>
      <c r="AI583" s="210"/>
      <c r="AJ583" s="210"/>
    </row>
    <row r="584" ht="12.75" customHeight="1">
      <c r="C584" s="210"/>
      <c r="D584" s="210"/>
      <c r="E584" s="210"/>
      <c r="F584" s="210"/>
      <c r="G584" s="210"/>
      <c r="H584" s="210"/>
      <c r="I584" s="210"/>
      <c r="J584" s="210"/>
      <c r="K584" s="210"/>
      <c r="L584" s="210"/>
      <c r="M584" s="210"/>
      <c r="N584" s="210"/>
      <c r="O584" s="210"/>
      <c r="P584" s="210"/>
      <c r="Q584" s="210"/>
      <c r="R584" s="210"/>
      <c r="S584" s="210"/>
      <c r="T584" s="210"/>
      <c r="U584" s="210"/>
      <c r="V584" s="210"/>
      <c r="W584" s="210"/>
      <c r="X584" s="210"/>
      <c r="Y584" s="210"/>
      <c r="Z584" s="210"/>
      <c r="AA584" s="210"/>
      <c r="AB584" s="210"/>
      <c r="AC584" s="210"/>
      <c r="AI584" s="210"/>
      <c r="AJ584" s="210"/>
    </row>
    <row r="585" ht="12.75" customHeight="1">
      <c r="C585" s="210"/>
      <c r="D585" s="210"/>
      <c r="E585" s="210"/>
      <c r="F585" s="210"/>
      <c r="G585" s="210"/>
      <c r="H585" s="210"/>
      <c r="I585" s="210"/>
      <c r="J585" s="210"/>
      <c r="K585" s="210"/>
      <c r="L585" s="210"/>
      <c r="M585" s="210"/>
      <c r="N585" s="210"/>
      <c r="O585" s="210"/>
      <c r="P585" s="210"/>
      <c r="Q585" s="210"/>
      <c r="R585" s="210"/>
      <c r="S585" s="210"/>
      <c r="T585" s="210"/>
      <c r="U585" s="210"/>
      <c r="V585" s="210"/>
      <c r="W585" s="210"/>
      <c r="X585" s="210"/>
      <c r="Y585" s="210"/>
      <c r="Z585" s="210"/>
      <c r="AA585" s="210"/>
      <c r="AB585" s="210"/>
      <c r="AC585" s="210"/>
      <c r="AI585" s="210"/>
      <c r="AJ585" s="210"/>
    </row>
    <row r="586" ht="12.75" customHeight="1">
      <c r="C586" s="210"/>
      <c r="D586" s="210"/>
      <c r="E586" s="210"/>
      <c r="F586" s="210"/>
      <c r="G586" s="210"/>
      <c r="H586" s="210"/>
      <c r="I586" s="210"/>
      <c r="J586" s="210"/>
      <c r="K586" s="210"/>
      <c r="L586" s="210"/>
      <c r="M586" s="210"/>
      <c r="N586" s="210"/>
      <c r="O586" s="210"/>
      <c r="P586" s="210"/>
      <c r="Q586" s="210"/>
      <c r="R586" s="210"/>
      <c r="S586" s="210"/>
      <c r="T586" s="210"/>
      <c r="U586" s="210"/>
      <c r="V586" s="210"/>
      <c r="W586" s="210"/>
      <c r="X586" s="210"/>
      <c r="Y586" s="210"/>
      <c r="Z586" s="210"/>
      <c r="AA586" s="210"/>
      <c r="AB586" s="210"/>
      <c r="AC586" s="210"/>
      <c r="AI586" s="210"/>
      <c r="AJ586" s="210"/>
    </row>
    <row r="587" ht="12.75" customHeight="1">
      <c r="C587" s="210"/>
      <c r="D587" s="210"/>
      <c r="E587" s="210"/>
      <c r="F587" s="210"/>
      <c r="G587" s="210"/>
      <c r="H587" s="210"/>
      <c r="I587" s="210"/>
      <c r="J587" s="210"/>
      <c r="K587" s="210"/>
      <c r="L587" s="210"/>
      <c r="M587" s="210"/>
      <c r="N587" s="210"/>
      <c r="O587" s="210"/>
      <c r="P587" s="210"/>
      <c r="Q587" s="210"/>
      <c r="R587" s="210"/>
      <c r="S587" s="210"/>
      <c r="T587" s="210"/>
      <c r="U587" s="210"/>
      <c r="V587" s="210"/>
      <c r="W587" s="210"/>
      <c r="X587" s="210"/>
      <c r="Y587" s="210"/>
      <c r="Z587" s="210"/>
      <c r="AA587" s="210"/>
      <c r="AB587" s="210"/>
      <c r="AC587" s="210"/>
      <c r="AI587" s="210"/>
      <c r="AJ587" s="210"/>
    </row>
    <row r="588" ht="12.75" customHeight="1">
      <c r="C588" s="210"/>
      <c r="D588" s="210"/>
      <c r="E588" s="210"/>
      <c r="F588" s="210"/>
      <c r="G588" s="210"/>
      <c r="H588" s="210"/>
      <c r="I588" s="210"/>
      <c r="J588" s="210"/>
      <c r="K588" s="210"/>
      <c r="L588" s="210"/>
      <c r="M588" s="210"/>
      <c r="N588" s="210"/>
      <c r="O588" s="210"/>
      <c r="P588" s="210"/>
      <c r="Q588" s="210"/>
      <c r="R588" s="210"/>
      <c r="S588" s="210"/>
      <c r="T588" s="210"/>
      <c r="U588" s="210"/>
      <c r="V588" s="210"/>
      <c r="W588" s="210"/>
      <c r="X588" s="210"/>
      <c r="Y588" s="210"/>
      <c r="Z588" s="210"/>
      <c r="AA588" s="210"/>
      <c r="AB588" s="210"/>
      <c r="AC588" s="210"/>
      <c r="AI588" s="210"/>
      <c r="AJ588" s="210"/>
    </row>
    <row r="589" ht="12.75" customHeight="1">
      <c r="C589" s="210"/>
      <c r="D589" s="210"/>
      <c r="E589" s="210"/>
      <c r="F589" s="210"/>
      <c r="G589" s="210"/>
      <c r="H589" s="210"/>
      <c r="I589" s="210"/>
      <c r="J589" s="210"/>
      <c r="K589" s="210"/>
      <c r="L589" s="210"/>
      <c r="M589" s="210"/>
      <c r="N589" s="210"/>
      <c r="O589" s="210"/>
      <c r="P589" s="210"/>
      <c r="Q589" s="210"/>
      <c r="R589" s="210"/>
      <c r="S589" s="210"/>
      <c r="T589" s="210"/>
      <c r="U589" s="210"/>
      <c r="V589" s="210"/>
      <c r="W589" s="210"/>
      <c r="X589" s="210"/>
      <c r="Y589" s="210"/>
      <c r="Z589" s="210"/>
      <c r="AA589" s="210"/>
      <c r="AB589" s="210"/>
      <c r="AC589" s="210"/>
      <c r="AI589" s="210"/>
      <c r="AJ589" s="210"/>
    </row>
    <row r="590" ht="12.75" customHeight="1">
      <c r="C590" s="210"/>
      <c r="D590" s="210"/>
      <c r="E590" s="210"/>
      <c r="F590" s="210"/>
      <c r="G590" s="210"/>
      <c r="H590" s="210"/>
      <c r="I590" s="210"/>
      <c r="J590" s="210"/>
      <c r="K590" s="210"/>
      <c r="L590" s="210"/>
      <c r="M590" s="210"/>
      <c r="N590" s="210"/>
      <c r="O590" s="210"/>
      <c r="P590" s="210"/>
      <c r="Q590" s="210"/>
      <c r="R590" s="210"/>
      <c r="S590" s="210"/>
      <c r="T590" s="210"/>
      <c r="U590" s="210"/>
      <c r="V590" s="210"/>
      <c r="W590" s="210"/>
      <c r="X590" s="210"/>
      <c r="Y590" s="210"/>
      <c r="Z590" s="210"/>
      <c r="AA590" s="210"/>
      <c r="AB590" s="210"/>
      <c r="AC590" s="210"/>
      <c r="AI590" s="210"/>
      <c r="AJ590" s="210"/>
    </row>
    <row r="591" ht="12.75" customHeight="1">
      <c r="C591" s="210"/>
      <c r="D591" s="210"/>
      <c r="E591" s="210"/>
      <c r="F591" s="210"/>
      <c r="G591" s="210"/>
      <c r="H591" s="210"/>
      <c r="I591" s="210"/>
      <c r="J591" s="210"/>
      <c r="K591" s="210"/>
      <c r="L591" s="210"/>
      <c r="M591" s="210"/>
      <c r="N591" s="210"/>
      <c r="O591" s="210"/>
      <c r="P591" s="210"/>
      <c r="Q591" s="210"/>
      <c r="R591" s="210"/>
      <c r="S591" s="210"/>
      <c r="T591" s="210"/>
      <c r="U591" s="210"/>
      <c r="V591" s="210"/>
      <c r="W591" s="210"/>
      <c r="X591" s="210"/>
      <c r="Y591" s="210"/>
      <c r="Z591" s="210"/>
      <c r="AA591" s="210"/>
      <c r="AB591" s="210"/>
      <c r="AC591" s="210"/>
      <c r="AI591" s="210"/>
      <c r="AJ591" s="210"/>
    </row>
    <row r="592" ht="12.75" customHeight="1">
      <c r="C592" s="210"/>
      <c r="D592" s="210"/>
      <c r="E592" s="210"/>
      <c r="F592" s="210"/>
      <c r="G592" s="210"/>
      <c r="H592" s="210"/>
      <c r="I592" s="210"/>
      <c r="J592" s="210"/>
      <c r="K592" s="210"/>
      <c r="L592" s="210"/>
      <c r="M592" s="210"/>
      <c r="N592" s="210"/>
      <c r="O592" s="210"/>
      <c r="P592" s="210"/>
      <c r="Q592" s="210"/>
      <c r="R592" s="210"/>
      <c r="S592" s="210"/>
      <c r="T592" s="210"/>
      <c r="U592" s="210"/>
      <c r="V592" s="210"/>
      <c r="W592" s="210"/>
      <c r="X592" s="210"/>
      <c r="Y592" s="210"/>
      <c r="Z592" s="210"/>
      <c r="AA592" s="210"/>
      <c r="AB592" s="210"/>
      <c r="AC592" s="210"/>
      <c r="AI592" s="210"/>
      <c r="AJ592" s="210"/>
    </row>
    <row r="593" ht="12.75" customHeight="1">
      <c r="C593" s="210"/>
      <c r="D593" s="210"/>
      <c r="E593" s="210"/>
      <c r="F593" s="210"/>
      <c r="G593" s="210"/>
      <c r="H593" s="210"/>
      <c r="I593" s="210"/>
      <c r="J593" s="210"/>
      <c r="K593" s="210"/>
      <c r="L593" s="210"/>
      <c r="M593" s="210"/>
      <c r="N593" s="210"/>
      <c r="O593" s="210"/>
      <c r="P593" s="210"/>
      <c r="Q593" s="210"/>
      <c r="R593" s="210"/>
      <c r="S593" s="210"/>
      <c r="T593" s="210"/>
      <c r="U593" s="210"/>
      <c r="V593" s="210"/>
      <c r="W593" s="210"/>
      <c r="X593" s="210"/>
      <c r="Y593" s="210"/>
      <c r="Z593" s="210"/>
      <c r="AA593" s="210"/>
      <c r="AB593" s="210"/>
      <c r="AC593" s="210"/>
      <c r="AI593" s="210"/>
      <c r="AJ593" s="210"/>
    </row>
    <row r="594" ht="12.75" customHeight="1">
      <c r="C594" s="210"/>
      <c r="D594" s="210"/>
      <c r="E594" s="210"/>
      <c r="F594" s="210"/>
      <c r="G594" s="210"/>
      <c r="H594" s="210"/>
      <c r="I594" s="210"/>
      <c r="J594" s="210"/>
      <c r="K594" s="210"/>
      <c r="L594" s="210"/>
      <c r="M594" s="210"/>
      <c r="N594" s="210"/>
      <c r="O594" s="210"/>
      <c r="P594" s="210"/>
      <c r="Q594" s="210"/>
      <c r="R594" s="210"/>
      <c r="S594" s="210"/>
      <c r="T594" s="210"/>
      <c r="U594" s="210"/>
      <c r="V594" s="210"/>
      <c r="W594" s="210"/>
      <c r="X594" s="210"/>
      <c r="Y594" s="210"/>
      <c r="Z594" s="210"/>
      <c r="AA594" s="210"/>
      <c r="AB594" s="210"/>
      <c r="AC594" s="210"/>
      <c r="AI594" s="210"/>
      <c r="AJ594" s="210"/>
    </row>
    <row r="595" ht="12.75" customHeight="1">
      <c r="C595" s="210"/>
      <c r="D595" s="210"/>
      <c r="E595" s="210"/>
      <c r="F595" s="210"/>
      <c r="G595" s="210"/>
      <c r="H595" s="210"/>
      <c r="I595" s="210"/>
      <c r="J595" s="210"/>
      <c r="K595" s="210"/>
      <c r="L595" s="210"/>
      <c r="M595" s="210"/>
      <c r="N595" s="210"/>
      <c r="O595" s="210"/>
      <c r="P595" s="210"/>
      <c r="Q595" s="210"/>
      <c r="R595" s="210"/>
      <c r="S595" s="210"/>
      <c r="T595" s="210"/>
      <c r="U595" s="210"/>
      <c r="V595" s="210"/>
      <c r="W595" s="210"/>
      <c r="X595" s="210"/>
      <c r="Y595" s="210"/>
      <c r="Z595" s="210"/>
      <c r="AA595" s="210"/>
      <c r="AB595" s="210"/>
      <c r="AC595" s="210"/>
      <c r="AI595" s="210"/>
      <c r="AJ595" s="210"/>
    </row>
    <row r="596" ht="12.75" customHeight="1">
      <c r="C596" s="210"/>
      <c r="D596" s="210"/>
      <c r="E596" s="210"/>
      <c r="F596" s="210"/>
      <c r="G596" s="210"/>
      <c r="H596" s="210"/>
      <c r="I596" s="210"/>
      <c r="J596" s="210"/>
      <c r="K596" s="210"/>
      <c r="L596" s="210"/>
      <c r="M596" s="210"/>
      <c r="N596" s="210"/>
      <c r="O596" s="210"/>
      <c r="P596" s="210"/>
      <c r="Q596" s="210"/>
      <c r="R596" s="210"/>
      <c r="S596" s="210"/>
      <c r="T596" s="210"/>
      <c r="U596" s="210"/>
      <c r="V596" s="210"/>
      <c r="W596" s="210"/>
      <c r="X596" s="210"/>
      <c r="Y596" s="210"/>
      <c r="Z596" s="210"/>
      <c r="AA596" s="210"/>
      <c r="AB596" s="210"/>
      <c r="AC596" s="210"/>
      <c r="AI596" s="210"/>
      <c r="AJ596" s="210"/>
    </row>
    <row r="597" ht="12.75" customHeight="1">
      <c r="C597" s="210"/>
      <c r="D597" s="210"/>
      <c r="E597" s="210"/>
      <c r="F597" s="210"/>
      <c r="G597" s="210"/>
      <c r="H597" s="210"/>
      <c r="I597" s="210"/>
      <c r="J597" s="210"/>
      <c r="K597" s="210"/>
      <c r="L597" s="210"/>
      <c r="M597" s="210"/>
      <c r="N597" s="210"/>
      <c r="O597" s="210"/>
      <c r="P597" s="210"/>
      <c r="Q597" s="210"/>
      <c r="R597" s="210"/>
      <c r="S597" s="210"/>
      <c r="T597" s="210"/>
      <c r="U597" s="210"/>
      <c r="V597" s="210"/>
      <c r="W597" s="210"/>
      <c r="X597" s="210"/>
      <c r="Y597" s="210"/>
      <c r="Z597" s="210"/>
      <c r="AA597" s="210"/>
      <c r="AB597" s="210"/>
      <c r="AC597" s="210"/>
      <c r="AI597" s="210"/>
      <c r="AJ597" s="210"/>
    </row>
    <row r="598" ht="12.75" customHeight="1">
      <c r="C598" s="210"/>
      <c r="D598" s="210"/>
      <c r="E598" s="210"/>
      <c r="F598" s="210"/>
      <c r="G598" s="210"/>
      <c r="H598" s="210"/>
      <c r="I598" s="210"/>
      <c r="J598" s="210"/>
      <c r="K598" s="210"/>
      <c r="L598" s="210"/>
      <c r="M598" s="210"/>
      <c r="N598" s="210"/>
      <c r="O598" s="210"/>
      <c r="P598" s="210"/>
      <c r="Q598" s="210"/>
      <c r="R598" s="210"/>
      <c r="S598" s="210"/>
      <c r="T598" s="210"/>
      <c r="U598" s="210"/>
      <c r="V598" s="210"/>
      <c r="W598" s="210"/>
      <c r="X598" s="210"/>
      <c r="Y598" s="210"/>
      <c r="Z598" s="210"/>
      <c r="AA598" s="210"/>
      <c r="AB598" s="210"/>
      <c r="AC598" s="210"/>
      <c r="AI598" s="210"/>
      <c r="AJ598" s="210"/>
    </row>
    <row r="599" ht="12.75" customHeight="1">
      <c r="C599" s="210"/>
      <c r="D599" s="210"/>
      <c r="E599" s="210"/>
      <c r="F599" s="210"/>
      <c r="G599" s="210"/>
      <c r="H599" s="210"/>
      <c r="I599" s="210"/>
      <c r="J599" s="210"/>
      <c r="K599" s="210"/>
      <c r="L599" s="210"/>
      <c r="M599" s="210"/>
      <c r="N599" s="210"/>
      <c r="O599" s="210"/>
      <c r="P599" s="210"/>
      <c r="Q599" s="210"/>
      <c r="R599" s="210"/>
      <c r="S599" s="210"/>
      <c r="T599" s="210"/>
      <c r="U599" s="210"/>
      <c r="V599" s="210"/>
      <c r="W599" s="210"/>
      <c r="X599" s="210"/>
      <c r="Y599" s="210"/>
      <c r="Z599" s="210"/>
      <c r="AA599" s="210"/>
      <c r="AB599" s="210"/>
      <c r="AC599" s="210"/>
      <c r="AI599" s="210"/>
      <c r="AJ599" s="210"/>
    </row>
    <row r="600" ht="12.75" customHeight="1">
      <c r="C600" s="210"/>
      <c r="D600" s="210"/>
      <c r="E600" s="210"/>
      <c r="F600" s="210"/>
      <c r="G600" s="210"/>
      <c r="H600" s="210"/>
      <c r="I600" s="210"/>
      <c r="J600" s="210"/>
      <c r="K600" s="210"/>
      <c r="L600" s="210"/>
      <c r="M600" s="210"/>
      <c r="N600" s="210"/>
      <c r="O600" s="210"/>
      <c r="P600" s="210"/>
      <c r="Q600" s="210"/>
      <c r="R600" s="210"/>
      <c r="S600" s="210"/>
      <c r="T600" s="210"/>
      <c r="U600" s="210"/>
      <c r="V600" s="210"/>
      <c r="W600" s="210"/>
      <c r="X600" s="210"/>
      <c r="Y600" s="210"/>
      <c r="Z600" s="210"/>
      <c r="AA600" s="210"/>
      <c r="AB600" s="210"/>
      <c r="AC600" s="210"/>
      <c r="AI600" s="210"/>
      <c r="AJ600" s="210"/>
    </row>
    <row r="601" ht="12.75" customHeight="1">
      <c r="C601" s="210"/>
      <c r="D601" s="210"/>
      <c r="E601" s="210"/>
      <c r="F601" s="210"/>
      <c r="G601" s="210"/>
      <c r="H601" s="210"/>
      <c r="I601" s="210"/>
      <c r="J601" s="210"/>
      <c r="K601" s="210"/>
      <c r="L601" s="210"/>
      <c r="M601" s="210"/>
      <c r="N601" s="210"/>
      <c r="O601" s="210"/>
      <c r="P601" s="210"/>
      <c r="Q601" s="210"/>
      <c r="R601" s="210"/>
      <c r="S601" s="210"/>
      <c r="T601" s="210"/>
      <c r="U601" s="210"/>
      <c r="V601" s="210"/>
      <c r="W601" s="210"/>
      <c r="X601" s="210"/>
      <c r="Y601" s="210"/>
      <c r="Z601" s="210"/>
      <c r="AA601" s="210"/>
      <c r="AB601" s="210"/>
      <c r="AC601" s="210"/>
      <c r="AI601" s="210"/>
      <c r="AJ601" s="210"/>
    </row>
    <row r="602" ht="12.75" customHeight="1">
      <c r="C602" s="210"/>
      <c r="D602" s="210"/>
      <c r="E602" s="210"/>
      <c r="F602" s="210"/>
      <c r="G602" s="210"/>
      <c r="H602" s="210"/>
      <c r="I602" s="210"/>
      <c r="J602" s="210"/>
      <c r="K602" s="210"/>
      <c r="L602" s="210"/>
      <c r="M602" s="210"/>
      <c r="N602" s="210"/>
      <c r="O602" s="210"/>
      <c r="P602" s="210"/>
      <c r="Q602" s="210"/>
      <c r="R602" s="210"/>
      <c r="S602" s="210"/>
      <c r="T602" s="210"/>
      <c r="U602" s="210"/>
      <c r="V602" s="210"/>
      <c r="W602" s="210"/>
      <c r="X602" s="210"/>
      <c r="Y602" s="210"/>
      <c r="Z602" s="210"/>
      <c r="AA602" s="210"/>
      <c r="AB602" s="210"/>
      <c r="AC602" s="210"/>
      <c r="AI602" s="210"/>
      <c r="AJ602" s="210"/>
    </row>
    <row r="603" ht="12.75" customHeight="1">
      <c r="C603" s="210"/>
      <c r="D603" s="210"/>
      <c r="E603" s="210"/>
      <c r="F603" s="210"/>
      <c r="G603" s="210"/>
      <c r="H603" s="210"/>
      <c r="I603" s="210"/>
      <c r="J603" s="210"/>
      <c r="K603" s="210"/>
      <c r="L603" s="210"/>
      <c r="M603" s="210"/>
      <c r="N603" s="210"/>
      <c r="O603" s="210"/>
      <c r="P603" s="210"/>
      <c r="Q603" s="210"/>
      <c r="R603" s="210"/>
      <c r="S603" s="210"/>
      <c r="T603" s="210"/>
      <c r="U603" s="210"/>
      <c r="V603" s="210"/>
      <c r="W603" s="210"/>
      <c r="X603" s="210"/>
      <c r="Y603" s="210"/>
      <c r="Z603" s="210"/>
      <c r="AA603" s="210"/>
      <c r="AB603" s="210"/>
      <c r="AC603" s="210"/>
      <c r="AI603" s="210"/>
      <c r="AJ603" s="210"/>
    </row>
    <row r="604" ht="12.75" customHeight="1">
      <c r="C604" s="210"/>
      <c r="D604" s="210"/>
      <c r="E604" s="210"/>
      <c r="F604" s="210"/>
      <c r="G604" s="210"/>
      <c r="H604" s="210"/>
      <c r="I604" s="210"/>
      <c r="J604" s="210"/>
      <c r="K604" s="210"/>
      <c r="L604" s="210"/>
      <c r="M604" s="210"/>
      <c r="N604" s="210"/>
      <c r="O604" s="210"/>
      <c r="P604" s="210"/>
      <c r="Q604" s="210"/>
      <c r="R604" s="210"/>
      <c r="S604" s="210"/>
      <c r="T604" s="210"/>
      <c r="U604" s="210"/>
      <c r="V604" s="210"/>
      <c r="W604" s="210"/>
      <c r="X604" s="210"/>
      <c r="Y604" s="210"/>
      <c r="Z604" s="210"/>
      <c r="AA604" s="210"/>
      <c r="AB604" s="210"/>
      <c r="AC604" s="210"/>
      <c r="AI604" s="210"/>
      <c r="AJ604" s="210"/>
    </row>
    <row r="605" ht="12.75" customHeight="1">
      <c r="C605" s="210"/>
      <c r="D605" s="210"/>
      <c r="E605" s="210"/>
      <c r="F605" s="210"/>
      <c r="G605" s="210"/>
      <c r="H605" s="210"/>
      <c r="I605" s="210"/>
      <c r="J605" s="210"/>
      <c r="K605" s="210"/>
      <c r="L605" s="210"/>
      <c r="M605" s="210"/>
      <c r="N605" s="210"/>
      <c r="O605" s="210"/>
      <c r="P605" s="210"/>
      <c r="Q605" s="210"/>
      <c r="R605" s="210"/>
      <c r="S605" s="210"/>
      <c r="T605" s="210"/>
      <c r="U605" s="210"/>
      <c r="V605" s="210"/>
      <c r="W605" s="210"/>
      <c r="X605" s="210"/>
      <c r="Y605" s="210"/>
      <c r="Z605" s="210"/>
      <c r="AA605" s="210"/>
      <c r="AB605" s="210"/>
      <c r="AC605" s="210"/>
      <c r="AI605" s="210"/>
      <c r="AJ605" s="210"/>
    </row>
    <row r="606" ht="12.75" customHeight="1">
      <c r="C606" s="210"/>
      <c r="D606" s="210"/>
      <c r="E606" s="210"/>
      <c r="F606" s="210"/>
      <c r="G606" s="210"/>
      <c r="H606" s="210"/>
      <c r="I606" s="210"/>
      <c r="J606" s="210"/>
      <c r="K606" s="210"/>
      <c r="L606" s="210"/>
      <c r="M606" s="210"/>
      <c r="N606" s="210"/>
      <c r="O606" s="210"/>
      <c r="P606" s="210"/>
      <c r="Q606" s="210"/>
      <c r="R606" s="210"/>
      <c r="S606" s="210"/>
      <c r="T606" s="210"/>
      <c r="U606" s="210"/>
      <c r="V606" s="210"/>
      <c r="W606" s="210"/>
      <c r="X606" s="210"/>
      <c r="Y606" s="210"/>
      <c r="Z606" s="210"/>
      <c r="AA606" s="210"/>
      <c r="AB606" s="210"/>
      <c r="AC606" s="210"/>
      <c r="AI606" s="210"/>
      <c r="AJ606" s="210"/>
    </row>
    <row r="607" ht="12.75" customHeight="1">
      <c r="C607" s="210"/>
      <c r="D607" s="210"/>
      <c r="E607" s="210"/>
      <c r="F607" s="210"/>
      <c r="G607" s="210"/>
      <c r="H607" s="210"/>
      <c r="I607" s="210"/>
      <c r="J607" s="210"/>
      <c r="K607" s="210"/>
      <c r="L607" s="210"/>
      <c r="M607" s="210"/>
      <c r="N607" s="210"/>
      <c r="O607" s="210"/>
      <c r="P607" s="210"/>
      <c r="Q607" s="210"/>
      <c r="R607" s="210"/>
      <c r="S607" s="210"/>
      <c r="T607" s="210"/>
      <c r="U607" s="210"/>
      <c r="V607" s="210"/>
      <c r="W607" s="210"/>
      <c r="X607" s="210"/>
      <c r="Y607" s="210"/>
      <c r="Z607" s="210"/>
      <c r="AA607" s="210"/>
      <c r="AB607" s="210"/>
      <c r="AC607" s="210"/>
      <c r="AI607" s="210"/>
      <c r="AJ607" s="210"/>
    </row>
    <row r="608" ht="12.75" customHeight="1">
      <c r="C608" s="210"/>
      <c r="D608" s="210"/>
      <c r="E608" s="210"/>
      <c r="F608" s="210"/>
      <c r="G608" s="210"/>
      <c r="H608" s="210"/>
      <c r="I608" s="210"/>
      <c r="J608" s="210"/>
      <c r="K608" s="210"/>
      <c r="L608" s="210"/>
      <c r="M608" s="210"/>
      <c r="N608" s="210"/>
      <c r="O608" s="210"/>
      <c r="P608" s="210"/>
      <c r="Q608" s="210"/>
      <c r="R608" s="210"/>
      <c r="S608" s="210"/>
      <c r="T608" s="210"/>
      <c r="U608" s="210"/>
      <c r="V608" s="210"/>
      <c r="W608" s="210"/>
      <c r="X608" s="210"/>
      <c r="Y608" s="210"/>
      <c r="Z608" s="210"/>
      <c r="AA608" s="210"/>
      <c r="AB608" s="210"/>
      <c r="AC608" s="210"/>
      <c r="AI608" s="210"/>
      <c r="AJ608" s="210"/>
    </row>
    <row r="609" ht="12.75" customHeight="1">
      <c r="C609" s="210"/>
      <c r="D609" s="210"/>
      <c r="E609" s="210"/>
      <c r="F609" s="210"/>
      <c r="G609" s="210"/>
      <c r="H609" s="210"/>
      <c r="I609" s="210"/>
      <c r="J609" s="210"/>
      <c r="K609" s="210"/>
      <c r="L609" s="210"/>
      <c r="M609" s="210"/>
      <c r="N609" s="210"/>
      <c r="O609" s="210"/>
      <c r="P609" s="210"/>
      <c r="Q609" s="210"/>
      <c r="R609" s="210"/>
      <c r="S609" s="210"/>
      <c r="T609" s="210"/>
      <c r="U609" s="210"/>
      <c r="V609" s="210"/>
      <c r="W609" s="210"/>
      <c r="X609" s="210"/>
      <c r="Y609" s="210"/>
      <c r="Z609" s="210"/>
      <c r="AA609" s="210"/>
      <c r="AB609" s="210"/>
      <c r="AC609" s="210"/>
      <c r="AI609" s="210"/>
      <c r="AJ609" s="210"/>
    </row>
    <row r="610" ht="12.75" customHeight="1">
      <c r="C610" s="210"/>
      <c r="D610" s="210"/>
      <c r="E610" s="210"/>
      <c r="F610" s="210"/>
      <c r="G610" s="210"/>
      <c r="H610" s="210"/>
      <c r="I610" s="210"/>
      <c r="J610" s="210"/>
      <c r="K610" s="210"/>
      <c r="L610" s="210"/>
      <c r="M610" s="210"/>
      <c r="N610" s="210"/>
      <c r="O610" s="210"/>
      <c r="P610" s="210"/>
      <c r="Q610" s="210"/>
      <c r="R610" s="210"/>
      <c r="S610" s="210"/>
      <c r="T610" s="210"/>
      <c r="U610" s="210"/>
      <c r="V610" s="210"/>
      <c r="W610" s="210"/>
      <c r="X610" s="210"/>
      <c r="Y610" s="210"/>
      <c r="Z610" s="210"/>
      <c r="AA610" s="210"/>
      <c r="AB610" s="210"/>
      <c r="AC610" s="210"/>
      <c r="AI610" s="210"/>
      <c r="AJ610" s="210"/>
    </row>
    <row r="611" ht="12.75" customHeight="1">
      <c r="C611" s="210"/>
      <c r="D611" s="210"/>
      <c r="E611" s="210"/>
      <c r="F611" s="210"/>
      <c r="G611" s="210"/>
      <c r="H611" s="210"/>
      <c r="I611" s="210"/>
      <c r="J611" s="210"/>
      <c r="K611" s="210"/>
      <c r="L611" s="210"/>
      <c r="M611" s="210"/>
      <c r="N611" s="210"/>
      <c r="O611" s="210"/>
      <c r="P611" s="210"/>
      <c r="Q611" s="210"/>
      <c r="R611" s="210"/>
      <c r="S611" s="210"/>
      <c r="T611" s="210"/>
      <c r="U611" s="210"/>
      <c r="V611" s="210"/>
      <c r="W611" s="210"/>
      <c r="X611" s="210"/>
      <c r="Y611" s="210"/>
      <c r="Z611" s="210"/>
      <c r="AA611" s="210"/>
      <c r="AB611" s="210"/>
      <c r="AC611" s="210"/>
      <c r="AI611" s="210"/>
      <c r="AJ611" s="210"/>
    </row>
    <row r="612" ht="12.75" customHeight="1">
      <c r="C612" s="210"/>
      <c r="D612" s="210"/>
      <c r="E612" s="210"/>
      <c r="F612" s="210"/>
      <c r="G612" s="210"/>
      <c r="H612" s="210"/>
      <c r="I612" s="210"/>
      <c r="J612" s="210"/>
      <c r="K612" s="210"/>
      <c r="L612" s="210"/>
      <c r="M612" s="210"/>
      <c r="N612" s="210"/>
      <c r="O612" s="210"/>
      <c r="P612" s="210"/>
      <c r="Q612" s="210"/>
      <c r="R612" s="210"/>
      <c r="S612" s="210"/>
      <c r="T612" s="210"/>
      <c r="U612" s="210"/>
      <c r="V612" s="210"/>
      <c r="W612" s="210"/>
      <c r="X612" s="210"/>
      <c r="Y612" s="210"/>
      <c r="Z612" s="210"/>
      <c r="AA612" s="210"/>
      <c r="AB612" s="210"/>
      <c r="AC612" s="210"/>
      <c r="AI612" s="210"/>
      <c r="AJ612" s="210"/>
    </row>
    <row r="613" ht="12.75" customHeight="1">
      <c r="C613" s="210"/>
      <c r="D613" s="210"/>
      <c r="E613" s="210"/>
      <c r="F613" s="210"/>
      <c r="G613" s="210"/>
      <c r="H613" s="210"/>
      <c r="I613" s="210"/>
      <c r="J613" s="210"/>
      <c r="K613" s="210"/>
      <c r="L613" s="210"/>
      <c r="M613" s="210"/>
      <c r="N613" s="210"/>
      <c r="O613" s="210"/>
      <c r="P613" s="210"/>
      <c r="Q613" s="210"/>
      <c r="R613" s="210"/>
      <c r="S613" s="210"/>
      <c r="T613" s="210"/>
      <c r="U613" s="210"/>
      <c r="V613" s="210"/>
      <c r="W613" s="210"/>
      <c r="X613" s="210"/>
      <c r="Y613" s="210"/>
      <c r="Z613" s="210"/>
      <c r="AA613" s="210"/>
      <c r="AB613" s="210"/>
      <c r="AC613" s="210"/>
      <c r="AI613" s="210"/>
      <c r="AJ613" s="210"/>
    </row>
    <row r="614" ht="12.75" customHeight="1">
      <c r="C614" s="210"/>
      <c r="D614" s="210"/>
      <c r="E614" s="210"/>
      <c r="F614" s="210"/>
      <c r="G614" s="210"/>
      <c r="H614" s="210"/>
      <c r="I614" s="210"/>
      <c r="J614" s="210"/>
      <c r="K614" s="210"/>
      <c r="L614" s="210"/>
      <c r="M614" s="210"/>
      <c r="N614" s="210"/>
      <c r="O614" s="210"/>
      <c r="P614" s="210"/>
      <c r="Q614" s="210"/>
      <c r="R614" s="210"/>
      <c r="S614" s="210"/>
      <c r="T614" s="210"/>
      <c r="U614" s="210"/>
      <c r="V614" s="210"/>
      <c r="W614" s="210"/>
      <c r="X614" s="210"/>
      <c r="Y614" s="210"/>
      <c r="Z614" s="210"/>
      <c r="AA614" s="210"/>
      <c r="AB614" s="210"/>
      <c r="AC614" s="210"/>
      <c r="AI614" s="210"/>
      <c r="AJ614" s="210"/>
    </row>
    <row r="615" ht="12.75" customHeight="1">
      <c r="C615" s="210"/>
      <c r="D615" s="210"/>
      <c r="E615" s="210"/>
      <c r="F615" s="210"/>
      <c r="G615" s="210"/>
      <c r="H615" s="210"/>
      <c r="I615" s="210"/>
      <c r="J615" s="210"/>
      <c r="K615" s="210"/>
      <c r="L615" s="210"/>
      <c r="M615" s="210"/>
      <c r="N615" s="210"/>
      <c r="O615" s="210"/>
      <c r="P615" s="210"/>
      <c r="Q615" s="210"/>
      <c r="R615" s="210"/>
      <c r="S615" s="210"/>
      <c r="T615" s="210"/>
      <c r="U615" s="210"/>
      <c r="V615" s="210"/>
      <c r="W615" s="210"/>
      <c r="X615" s="210"/>
      <c r="Y615" s="210"/>
      <c r="Z615" s="210"/>
      <c r="AA615" s="210"/>
      <c r="AB615" s="210"/>
      <c r="AC615" s="210"/>
      <c r="AI615" s="210"/>
      <c r="AJ615" s="210"/>
    </row>
    <row r="616" ht="12.75" customHeight="1">
      <c r="C616" s="210"/>
      <c r="D616" s="210"/>
      <c r="E616" s="210"/>
      <c r="F616" s="210"/>
      <c r="G616" s="210"/>
      <c r="H616" s="210"/>
      <c r="I616" s="210"/>
      <c r="J616" s="210"/>
      <c r="K616" s="210"/>
      <c r="L616" s="210"/>
      <c r="M616" s="210"/>
      <c r="N616" s="210"/>
      <c r="O616" s="210"/>
      <c r="P616" s="210"/>
      <c r="Q616" s="210"/>
      <c r="R616" s="210"/>
      <c r="S616" s="210"/>
      <c r="T616" s="210"/>
      <c r="U616" s="210"/>
      <c r="V616" s="210"/>
      <c r="W616" s="210"/>
      <c r="X616" s="210"/>
      <c r="Y616" s="210"/>
      <c r="Z616" s="210"/>
      <c r="AA616" s="210"/>
      <c r="AB616" s="210"/>
      <c r="AC616" s="210"/>
      <c r="AI616" s="210"/>
      <c r="AJ616" s="210"/>
    </row>
    <row r="617" ht="12.75" customHeight="1">
      <c r="C617" s="210"/>
      <c r="D617" s="210"/>
      <c r="E617" s="210"/>
      <c r="F617" s="210"/>
      <c r="G617" s="210"/>
      <c r="H617" s="210"/>
      <c r="I617" s="210"/>
      <c r="J617" s="210"/>
      <c r="K617" s="210"/>
      <c r="L617" s="210"/>
      <c r="M617" s="210"/>
      <c r="N617" s="210"/>
      <c r="O617" s="210"/>
      <c r="P617" s="210"/>
      <c r="Q617" s="210"/>
      <c r="R617" s="210"/>
      <c r="S617" s="210"/>
      <c r="T617" s="210"/>
      <c r="U617" s="210"/>
      <c r="V617" s="210"/>
      <c r="W617" s="210"/>
      <c r="X617" s="210"/>
      <c r="Y617" s="210"/>
      <c r="Z617" s="210"/>
      <c r="AA617" s="210"/>
      <c r="AB617" s="210"/>
      <c r="AC617" s="210"/>
      <c r="AI617" s="210"/>
      <c r="AJ617" s="210"/>
    </row>
    <row r="618" ht="12.75" customHeight="1">
      <c r="C618" s="210"/>
      <c r="D618" s="210"/>
      <c r="E618" s="210"/>
      <c r="F618" s="210"/>
      <c r="G618" s="210"/>
      <c r="H618" s="210"/>
      <c r="I618" s="210"/>
      <c r="J618" s="210"/>
      <c r="K618" s="210"/>
      <c r="L618" s="210"/>
      <c r="M618" s="210"/>
      <c r="N618" s="210"/>
      <c r="O618" s="210"/>
      <c r="P618" s="210"/>
      <c r="Q618" s="210"/>
      <c r="R618" s="210"/>
      <c r="S618" s="210"/>
      <c r="T618" s="210"/>
      <c r="U618" s="210"/>
      <c r="V618" s="210"/>
      <c r="W618" s="210"/>
      <c r="X618" s="210"/>
      <c r="Y618" s="210"/>
      <c r="Z618" s="210"/>
      <c r="AA618" s="210"/>
      <c r="AB618" s="210"/>
      <c r="AC618" s="210"/>
      <c r="AI618" s="210"/>
      <c r="AJ618" s="210"/>
    </row>
    <row r="619" ht="12.75" customHeight="1">
      <c r="C619" s="210"/>
      <c r="D619" s="210"/>
      <c r="E619" s="210"/>
      <c r="F619" s="210"/>
      <c r="G619" s="210"/>
      <c r="H619" s="210"/>
      <c r="I619" s="210"/>
      <c r="J619" s="210"/>
      <c r="K619" s="210"/>
      <c r="L619" s="210"/>
      <c r="M619" s="210"/>
      <c r="N619" s="210"/>
      <c r="O619" s="210"/>
      <c r="P619" s="210"/>
      <c r="Q619" s="210"/>
      <c r="R619" s="210"/>
      <c r="S619" s="210"/>
      <c r="T619" s="210"/>
      <c r="U619" s="210"/>
      <c r="V619" s="210"/>
      <c r="W619" s="210"/>
      <c r="X619" s="210"/>
      <c r="Y619" s="210"/>
      <c r="Z619" s="210"/>
      <c r="AA619" s="210"/>
      <c r="AB619" s="210"/>
      <c r="AC619" s="210"/>
      <c r="AI619" s="210"/>
      <c r="AJ619" s="210"/>
    </row>
    <row r="620" ht="12.75" customHeight="1">
      <c r="C620" s="210"/>
      <c r="D620" s="210"/>
      <c r="E620" s="210"/>
      <c r="F620" s="210"/>
      <c r="G620" s="210"/>
      <c r="H620" s="210"/>
      <c r="I620" s="210"/>
      <c r="J620" s="210"/>
      <c r="K620" s="210"/>
      <c r="L620" s="210"/>
      <c r="M620" s="210"/>
      <c r="N620" s="210"/>
      <c r="O620" s="210"/>
      <c r="P620" s="210"/>
      <c r="Q620" s="210"/>
      <c r="R620" s="210"/>
      <c r="S620" s="210"/>
      <c r="T620" s="210"/>
      <c r="U620" s="210"/>
      <c r="V620" s="210"/>
      <c r="W620" s="210"/>
      <c r="X620" s="210"/>
      <c r="Y620" s="210"/>
      <c r="Z620" s="210"/>
      <c r="AA620" s="210"/>
      <c r="AB620" s="210"/>
      <c r="AC620" s="210"/>
      <c r="AI620" s="210"/>
      <c r="AJ620" s="210"/>
    </row>
    <row r="621" ht="12.75" customHeight="1">
      <c r="C621" s="210"/>
      <c r="D621" s="210"/>
      <c r="E621" s="210"/>
      <c r="F621" s="210"/>
      <c r="G621" s="210"/>
      <c r="H621" s="210"/>
      <c r="I621" s="210"/>
      <c r="J621" s="210"/>
      <c r="K621" s="210"/>
      <c r="L621" s="210"/>
      <c r="M621" s="210"/>
      <c r="N621" s="210"/>
      <c r="O621" s="210"/>
      <c r="P621" s="210"/>
      <c r="Q621" s="210"/>
      <c r="R621" s="210"/>
      <c r="S621" s="210"/>
      <c r="T621" s="210"/>
      <c r="U621" s="210"/>
      <c r="V621" s="210"/>
      <c r="W621" s="210"/>
      <c r="X621" s="210"/>
      <c r="Y621" s="210"/>
      <c r="Z621" s="210"/>
      <c r="AA621" s="210"/>
      <c r="AB621" s="210"/>
      <c r="AC621" s="210"/>
      <c r="AI621" s="210"/>
      <c r="AJ621" s="210"/>
    </row>
    <row r="622" ht="12.75" customHeight="1">
      <c r="C622" s="210"/>
      <c r="D622" s="210"/>
      <c r="E622" s="210"/>
      <c r="F622" s="210"/>
      <c r="G622" s="210"/>
      <c r="H622" s="210"/>
      <c r="I622" s="210"/>
      <c r="J622" s="210"/>
      <c r="K622" s="210"/>
      <c r="L622" s="210"/>
      <c r="M622" s="210"/>
      <c r="N622" s="210"/>
      <c r="O622" s="210"/>
      <c r="P622" s="210"/>
      <c r="Q622" s="210"/>
      <c r="R622" s="210"/>
      <c r="S622" s="210"/>
      <c r="T622" s="210"/>
      <c r="U622" s="210"/>
      <c r="V622" s="210"/>
      <c r="W622" s="210"/>
      <c r="X622" s="210"/>
      <c r="Y622" s="210"/>
      <c r="Z622" s="210"/>
      <c r="AA622" s="210"/>
      <c r="AB622" s="210"/>
      <c r="AC622" s="210"/>
      <c r="AI622" s="210"/>
      <c r="AJ622" s="210"/>
    </row>
    <row r="623" ht="12.75" customHeight="1">
      <c r="C623" s="210"/>
      <c r="D623" s="210"/>
      <c r="E623" s="210"/>
      <c r="F623" s="210"/>
      <c r="G623" s="210"/>
      <c r="H623" s="210"/>
      <c r="I623" s="210"/>
      <c r="J623" s="210"/>
      <c r="K623" s="210"/>
      <c r="L623" s="210"/>
      <c r="M623" s="210"/>
      <c r="N623" s="210"/>
      <c r="O623" s="210"/>
      <c r="P623" s="210"/>
      <c r="Q623" s="210"/>
      <c r="R623" s="210"/>
      <c r="S623" s="210"/>
      <c r="T623" s="210"/>
      <c r="U623" s="210"/>
      <c r="V623" s="210"/>
      <c r="W623" s="210"/>
      <c r="X623" s="210"/>
      <c r="Y623" s="210"/>
      <c r="Z623" s="210"/>
      <c r="AA623" s="210"/>
      <c r="AB623" s="210"/>
      <c r="AC623" s="210"/>
      <c r="AI623" s="210"/>
      <c r="AJ623" s="210"/>
    </row>
    <row r="624" ht="12.75" customHeight="1">
      <c r="C624" s="210"/>
      <c r="D624" s="210"/>
      <c r="E624" s="210"/>
      <c r="F624" s="210"/>
      <c r="G624" s="210"/>
      <c r="H624" s="210"/>
      <c r="I624" s="210"/>
      <c r="J624" s="210"/>
      <c r="K624" s="210"/>
      <c r="L624" s="210"/>
      <c r="M624" s="210"/>
      <c r="N624" s="210"/>
      <c r="O624" s="210"/>
      <c r="P624" s="210"/>
      <c r="Q624" s="210"/>
      <c r="R624" s="210"/>
      <c r="S624" s="210"/>
      <c r="T624" s="210"/>
      <c r="U624" s="210"/>
      <c r="V624" s="210"/>
      <c r="W624" s="210"/>
      <c r="X624" s="210"/>
      <c r="Y624" s="210"/>
      <c r="Z624" s="210"/>
      <c r="AA624" s="210"/>
      <c r="AB624" s="210"/>
      <c r="AC624" s="210"/>
      <c r="AI624" s="210"/>
      <c r="AJ624" s="210"/>
    </row>
    <row r="625" ht="12.75" customHeight="1">
      <c r="C625" s="210"/>
      <c r="D625" s="210"/>
      <c r="E625" s="210"/>
      <c r="F625" s="210"/>
      <c r="G625" s="210"/>
      <c r="H625" s="210"/>
      <c r="I625" s="210"/>
      <c r="J625" s="210"/>
      <c r="K625" s="210"/>
      <c r="L625" s="210"/>
      <c r="M625" s="210"/>
      <c r="N625" s="210"/>
      <c r="O625" s="210"/>
      <c r="P625" s="210"/>
      <c r="Q625" s="210"/>
      <c r="R625" s="210"/>
      <c r="S625" s="210"/>
      <c r="T625" s="210"/>
      <c r="U625" s="210"/>
      <c r="V625" s="210"/>
      <c r="W625" s="210"/>
      <c r="X625" s="210"/>
      <c r="Y625" s="210"/>
      <c r="Z625" s="210"/>
      <c r="AA625" s="210"/>
      <c r="AB625" s="210"/>
      <c r="AC625" s="210"/>
      <c r="AI625" s="210"/>
      <c r="AJ625" s="210"/>
    </row>
    <row r="626" ht="12.75" customHeight="1">
      <c r="C626" s="210"/>
      <c r="D626" s="210"/>
      <c r="E626" s="210"/>
      <c r="F626" s="210"/>
      <c r="G626" s="210"/>
      <c r="H626" s="210"/>
      <c r="I626" s="210"/>
      <c r="J626" s="210"/>
      <c r="K626" s="210"/>
      <c r="L626" s="210"/>
      <c r="M626" s="210"/>
      <c r="N626" s="210"/>
      <c r="O626" s="210"/>
      <c r="P626" s="210"/>
      <c r="Q626" s="210"/>
      <c r="R626" s="210"/>
      <c r="S626" s="210"/>
      <c r="T626" s="210"/>
      <c r="U626" s="210"/>
      <c r="V626" s="210"/>
      <c r="W626" s="210"/>
      <c r="X626" s="210"/>
      <c r="Y626" s="210"/>
      <c r="Z626" s="210"/>
      <c r="AA626" s="210"/>
      <c r="AB626" s="210"/>
      <c r="AC626" s="210"/>
      <c r="AI626" s="210"/>
      <c r="AJ626" s="210"/>
    </row>
    <row r="627" ht="12.75" customHeight="1">
      <c r="C627" s="210"/>
      <c r="D627" s="210"/>
      <c r="E627" s="210"/>
      <c r="F627" s="210"/>
      <c r="G627" s="210"/>
      <c r="H627" s="210"/>
      <c r="I627" s="210"/>
      <c r="J627" s="210"/>
      <c r="K627" s="210"/>
      <c r="L627" s="210"/>
      <c r="M627" s="210"/>
      <c r="N627" s="210"/>
      <c r="O627" s="210"/>
      <c r="P627" s="210"/>
      <c r="Q627" s="210"/>
      <c r="R627" s="210"/>
      <c r="S627" s="210"/>
      <c r="T627" s="210"/>
      <c r="U627" s="210"/>
      <c r="V627" s="210"/>
      <c r="W627" s="210"/>
      <c r="X627" s="210"/>
      <c r="Y627" s="210"/>
      <c r="Z627" s="210"/>
      <c r="AA627" s="210"/>
      <c r="AB627" s="210"/>
      <c r="AC627" s="210"/>
      <c r="AI627" s="210"/>
      <c r="AJ627" s="210"/>
    </row>
    <row r="628" ht="12.75" customHeight="1">
      <c r="C628" s="210"/>
      <c r="D628" s="210"/>
      <c r="E628" s="210"/>
      <c r="F628" s="210"/>
      <c r="G628" s="210"/>
      <c r="H628" s="210"/>
      <c r="I628" s="210"/>
      <c r="J628" s="210"/>
      <c r="K628" s="210"/>
      <c r="L628" s="210"/>
      <c r="M628" s="210"/>
      <c r="N628" s="210"/>
      <c r="O628" s="210"/>
      <c r="P628" s="210"/>
      <c r="Q628" s="210"/>
      <c r="R628" s="210"/>
      <c r="S628" s="210"/>
      <c r="T628" s="210"/>
      <c r="U628" s="210"/>
      <c r="V628" s="210"/>
      <c r="W628" s="210"/>
      <c r="X628" s="210"/>
      <c r="Y628" s="210"/>
      <c r="Z628" s="210"/>
      <c r="AA628" s="210"/>
      <c r="AB628" s="210"/>
      <c r="AC628" s="210"/>
      <c r="AI628" s="210"/>
      <c r="AJ628" s="210"/>
    </row>
    <row r="629" ht="12.75" customHeight="1">
      <c r="C629" s="210"/>
      <c r="D629" s="210"/>
      <c r="E629" s="210"/>
      <c r="F629" s="210"/>
      <c r="G629" s="210"/>
      <c r="H629" s="210"/>
      <c r="I629" s="210"/>
      <c r="J629" s="210"/>
      <c r="K629" s="210"/>
      <c r="L629" s="210"/>
      <c r="M629" s="210"/>
      <c r="N629" s="210"/>
      <c r="O629" s="210"/>
      <c r="P629" s="210"/>
      <c r="Q629" s="210"/>
      <c r="R629" s="210"/>
      <c r="S629" s="210"/>
      <c r="T629" s="210"/>
      <c r="U629" s="210"/>
      <c r="V629" s="210"/>
      <c r="W629" s="210"/>
      <c r="X629" s="210"/>
      <c r="Y629" s="210"/>
      <c r="Z629" s="210"/>
      <c r="AA629" s="210"/>
      <c r="AB629" s="210"/>
      <c r="AC629" s="210"/>
      <c r="AI629" s="210"/>
      <c r="AJ629" s="210"/>
    </row>
    <row r="630" ht="12.75" customHeight="1">
      <c r="C630" s="210"/>
      <c r="D630" s="210"/>
      <c r="E630" s="210"/>
      <c r="F630" s="210"/>
      <c r="G630" s="210"/>
      <c r="H630" s="210"/>
      <c r="I630" s="210"/>
      <c r="J630" s="210"/>
      <c r="K630" s="210"/>
      <c r="L630" s="210"/>
      <c r="M630" s="210"/>
      <c r="N630" s="210"/>
      <c r="O630" s="210"/>
      <c r="P630" s="210"/>
      <c r="Q630" s="210"/>
      <c r="R630" s="210"/>
      <c r="S630" s="210"/>
      <c r="T630" s="210"/>
      <c r="U630" s="210"/>
      <c r="V630" s="210"/>
      <c r="W630" s="210"/>
      <c r="X630" s="210"/>
      <c r="Y630" s="210"/>
      <c r="Z630" s="210"/>
      <c r="AA630" s="210"/>
      <c r="AB630" s="210"/>
      <c r="AC630" s="210"/>
      <c r="AI630" s="210"/>
      <c r="AJ630" s="210"/>
    </row>
    <row r="631" ht="12.75" customHeight="1">
      <c r="C631" s="210"/>
      <c r="D631" s="210"/>
      <c r="E631" s="210"/>
      <c r="F631" s="210"/>
      <c r="G631" s="210"/>
      <c r="H631" s="210"/>
      <c r="I631" s="210"/>
      <c r="J631" s="210"/>
      <c r="K631" s="210"/>
      <c r="L631" s="210"/>
      <c r="M631" s="210"/>
      <c r="N631" s="210"/>
      <c r="O631" s="210"/>
      <c r="P631" s="210"/>
      <c r="Q631" s="210"/>
      <c r="R631" s="210"/>
      <c r="S631" s="210"/>
      <c r="T631" s="210"/>
      <c r="U631" s="210"/>
      <c r="V631" s="210"/>
      <c r="W631" s="210"/>
      <c r="X631" s="210"/>
      <c r="Y631" s="210"/>
      <c r="Z631" s="210"/>
      <c r="AA631" s="210"/>
      <c r="AB631" s="210"/>
      <c r="AC631" s="210"/>
      <c r="AI631" s="210"/>
      <c r="AJ631" s="210"/>
    </row>
    <row r="632" ht="12.75" customHeight="1">
      <c r="C632" s="210"/>
      <c r="D632" s="210"/>
      <c r="E632" s="210"/>
      <c r="F632" s="210"/>
      <c r="G632" s="210"/>
      <c r="H632" s="210"/>
      <c r="I632" s="210"/>
      <c r="J632" s="210"/>
      <c r="K632" s="210"/>
      <c r="L632" s="210"/>
      <c r="M632" s="210"/>
      <c r="N632" s="210"/>
      <c r="O632" s="210"/>
      <c r="P632" s="210"/>
      <c r="Q632" s="210"/>
      <c r="R632" s="210"/>
      <c r="S632" s="210"/>
      <c r="T632" s="210"/>
      <c r="U632" s="210"/>
      <c r="V632" s="210"/>
      <c r="W632" s="210"/>
      <c r="X632" s="210"/>
      <c r="Y632" s="210"/>
      <c r="Z632" s="210"/>
      <c r="AA632" s="210"/>
      <c r="AB632" s="210"/>
      <c r="AC632" s="210"/>
      <c r="AI632" s="210"/>
      <c r="AJ632" s="210"/>
    </row>
    <row r="633" ht="12.75" customHeight="1">
      <c r="C633" s="210"/>
      <c r="D633" s="210"/>
      <c r="E633" s="210"/>
      <c r="F633" s="210"/>
      <c r="G633" s="210"/>
      <c r="H633" s="210"/>
      <c r="I633" s="210"/>
      <c r="J633" s="210"/>
      <c r="K633" s="210"/>
      <c r="L633" s="210"/>
      <c r="M633" s="210"/>
      <c r="N633" s="210"/>
      <c r="O633" s="210"/>
      <c r="P633" s="210"/>
      <c r="Q633" s="210"/>
      <c r="R633" s="210"/>
      <c r="S633" s="210"/>
      <c r="T633" s="210"/>
      <c r="U633" s="210"/>
      <c r="V633" s="210"/>
      <c r="W633" s="210"/>
      <c r="X633" s="210"/>
      <c r="Y633" s="210"/>
      <c r="Z633" s="210"/>
      <c r="AA633" s="210"/>
      <c r="AB633" s="210"/>
      <c r="AC633" s="210"/>
      <c r="AI633" s="210"/>
      <c r="AJ633" s="210"/>
    </row>
    <row r="634" ht="12.75" customHeight="1">
      <c r="C634" s="210"/>
      <c r="D634" s="210"/>
      <c r="E634" s="210"/>
      <c r="F634" s="210"/>
      <c r="G634" s="210"/>
      <c r="H634" s="210"/>
      <c r="I634" s="210"/>
      <c r="J634" s="210"/>
      <c r="K634" s="210"/>
      <c r="L634" s="210"/>
      <c r="M634" s="210"/>
      <c r="N634" s="210"/>
      <c r="O634" s="210"/>
      <c r="P634" s="210"/>
      <c r="Q634" s="210"/>
      <c r="R634" s="210"/>
      <c r="S634" s="210"/>
      <c r="T634" s="210"/>
      <c r="U634" s="210"/>
      <c r="V634" s="210"/>
      <c r="W634" s="210"/>
      <c r="X634" s="210"/>
      <c r="Y634" s="210"/>
      <c r="Z634" s="210"/>
      <c r="AA634" s="210"/>
      <c r="AB634" s="210"/>
      <c r="AC634" s="210"/>
      <c r="AI634" s="210"/>
      <c r="AJ634" s="210"/>
    </row>
    <row r="635" ht="12.75" customHeight="1">
      <c r="C635" s="210"/>
      <c r="D635" s="210"/>
      <c r="E635" s="210"/>
      <c r="F635" s="210"/>
      <c r="G635" s="210"/>
      <c r="H635" s="210"/>
      <c r="I635" s="210"/>
      <c r="J635" s="210"/>
      <c r="K635" s="210"/>
      <c r="L635" s="210"/>
      <c r="M635" s="210"/>
      <c r="N635" s="210"/>
      <c r="O635" s="210"/>
      <c r="P635" s="210"/>
      <c r="Q635" s="210"/>
      <c r="R635" s="210"/>
      <c r="S635" s="210"/>
      <c r="T635" s="210"/>
      <c r="U635" s="210"/>
      <c r="V635" s="210"/>
      <c r="W635" s="210"/>
      <c r="X635" s="210"/>
      <c r="Y635" s="210"/>
      <c r="Z635" s="210"/>
      <c r="AA635" s="210"/>
      <c r="AB635" s="210"/>
      <c r="AC635" s="210"/>
      <c r="AI635" s="210"/>
      <c r="AJ635" s="210"/>
    </row>
    <row r="636" ht="12.75" customHeight="1">
      <c r="C636" s="210"/>
      <c r="D636" s="210"/>
      <c r="E636" s="210"/>
      <c r="F636" s="210"/>
      <c r="G636" s="210"/>
      <c r="H636" s="210"/>
      <c r="I636" s="210"/>
      <c r="J636" s="210"/>
      <c r="K636" s="210"/>
      <c r="L636" s="210"/>
      <c r="M636" s="210"/>
      <c r="N636" s="210"/>
      <c r="O636" s="210"/>
      <c r="P636" s="210"/>
      <c r="Q636" s="210"/>
      <c r="R636" s="210"/>
      <c r="S636" s="210"/>
      <c r="T636" s="210"/>
      <c r="U636" s="210"/>
      <c r="V636" s="210"/>
      <c r="W636" s="210"/>
      <c r="X636" s="210"/>
      <c r="Y636" s="210"/>
      <c r="Z636" s="210"/>
      <c r="AA636" s="210"/>
      <c r="AB636" s="210"/>
      <c r="AC636" s="210"/>
      <c r="AI636" s="210"/>
      <c r="AJ636" s="210"/>
    </row>
    <row r="637" ht="12.75" customHeight="1">
      <c r="C637" s="210"/>
      <c r="D637" s="210"/>
      <c r="E637" s="210"/>
      <c r="F637" s="210"/>
      <c r="G637" s="210"/>
      <c r="H637" s="210"/>
      <c r="I637" s="210"/>
      <c r="J637" s="210"/>
      <c r="K637" s="210"/>
      <c r="L637" s="210"/>
      <c r="M637" s="210"/>
      <c r="N637" s="210"/>
      <c r="O637" s="210"/>
      <c r="P637" s="210"/>
      <c r="Q637" s="210"/>
      <c r="R637" s="210"/>
      <c r="S637" s="210"/>
      <c r="T637" s="210"/>
      <c r="U637" s="210"/>
      <c r="V637" s="210"/>
      <c r="W637" s="210"/>
      <c r="X637" s="210"/>
      <c r="Y637" s="210"/>
      <c r="Z637" s="210"/>
      <c r="AA637" s="210"/>
      <c r="AB637" s="210"/>
      <c r="AC637" s="210"/>
      <c r="AI637" s="210"/>
      <c r="AJ637" s="210"/>
    </row>
    <row r="638" ht="12.75" customHeight="1">
      <c r="C638" s="210"/>
      <c r="D638" s="210"/>
      <c r="E638" s="210"/>
      <c r="F638" s="210"/>
      <c r="G638" s="210"/>
      <c r="H638" s="210"/>
      <c r="I638" s="210"/>
      <c r="J638" s="210"/>
      <c r="K638" s="210"/>
      <c r="L638" s="210"/>
      <c r="M638" s="210"/>
      <c r="N638" s="210"/>
      <c r="O638" s="210"/>
      <c r="P638" s="210"/>
      <c r="Q638" s="210"/>
      <c r="R638" s="210"/>
      <c r="S638" s="210"/>
      <c r="T638" s="210"/>
      <c r="U638" s="210"/>
      <c r="V638" s="210"/>
      <c r="W638" s="210"/>
      <c r="X638" s="210"/>
      <c r="Y638" s="210"/>
      <c r="Z638" s="210"/>
      <c r="AA638" s="210"/>
      <c r="AB638" s="210"/>
      <c r="AC638" s="210"/>
      <c r="AI638" s="210"/>
      <c r="AJ638" s="210"/>
    </row>
    <row r="639" ht="12.75" customHeight="1">
      <c r="C639" s="210"/>
      <c r="D639" s="210"/>
      <c r="E639" s="210"/>
      <c r="F639" s="210"/>
      <c r="G639" s="210"/>
      <c r="H639" s="210"/>
      <c r="I639" s="210"/>
      <c r="J639" s="210"/>
      <c r="K639" s="210"/>
      <c r="L639" s="210"/>
      <c r="M639" s="210"/>
      <c r="N639" s="210"/>
      <c r="O639" s="210"/>
      <c r="P639" s="210"/>
      <c r="Q639" s="210"/>
      <c r="R639" s="210"/>
      <c r="S639" s="210"/>
      <c r="T639" s="210"/>
      <c r="U639" s="210"/>
      <c r="V639" s="210"/>
      <c r="W639" s="210"/>
      <c r="X639" s="210"/>
      <c r="Y639" s="210"/>
      <c r="Z639" s="210"/>
      <c r="AA639" s="210"/>
      <c r="AB639" s="210"/>
      <c r="AC639" s="210"/>
      <c r="AI639" s="210"/>
      <c r="AJ639" s="210"/>
    </row>
    <row r="640" ht="12.75" customHeight="1">
      <c r="C640" s="210"/>
      <c r="D640" s="210"/>
      <c r="E640" s="210"/>
      <c r="F640" s="210"/>
      <c r="G640" s="210"/>
      <c r="H640" s="210"/>
      <c r="I640" s="210"/>
      <c r="J640" s="210"/>
      <c r="K640" s="210"/>
      <c r="L640" s="210"/>
      <c r="M640" s="210"/>
      <c r="N640" s="210"/>
      <c r="O640" s="210"/>
      <c r="P640" s="210"/>
      <c r="Q640" s="210"/>
      <c r="R640" s="210"/>
      <c r="S640" s="210"/>
      <c r="T640" s="210"/>
      <c r="U640" s="210"/>
      <c r="V640" s="210"/>
      <c r="W640" s="210"/>
      <c r="X640" s="210"/>
      <c r="Y640" s="210"/>
      <c r="Z640" s="210"/>
      <c r="AA640" s="210"/>
      <c r="AB640" s="210"/>
      <c r="AC640" s="210"/>
      <c r="AI640" s="210"/>
      <c r="AJ640" s="210"/>
    </row>
    <row r="641" ht="12.75" customHeight="1">
      <c r="C641" s="210"/>
      <c r="D641" s="210"/>
      <c r="E641" s="210"/>
      <c r="F641" s="210"/>
      <c r="G641" s="210"/>
      <c r="H641" s="210"/>
      <c r="I641" s="210"/>
      <c r="J641" s="210"/>
      <c r="K641" s="210"/>
      <c r="L641" s="210"/>
      <c r="M641" s="210"/>
      <c r="N641" s="210"/>
      <c r="O641" s="210"/>
      <c r="P641" s="210"/>
      <c r="Q641" s="210"/>
      <c r="R641" s="210"/>
      <c r="S641" s="210"/>
      <c r="T641" s="210"/>
      <c r="U641" s="210"/>
      <c r="V641" s="210"/>
      <c r="W641" s="210"/>
      <c r="X641" s="210"/>
      <c r="Y641" s="210"/>
      <c r="Z641" s="210"/>
      <c r="AA641" s="210"/>
      <c r="AB641" s="210"/>
      <c r="AC641" s="210"/>
      <c r="AI641" s="210"/>
      <c r="AJ641" s="210"/>
    </row>
    <row r="642" ht="12.75" customHeight="1">
      <c r="C642" s="210"/>
      <c r="D642" s="210"/>
      <c r="E642" s="210"/>
      <c r="F642" s="210"/>
      <c r="G642" s="210"/>
      <c r="H642" s="210"/>
      <c r="I642" s="210"/>
      <c r="J642" s="210"/>
      <c r="K642" s="210"/>
      <c r="L642" s="210"/>
      <c r="M642" s="210"/>
      <c r="N642" s="210"/>
      <c r="O642" s="210"/>
      <c r="P642" s="210"/>
      <c r="Q642" s="210"/>
      <c r="R642" s="210"/>
      <c r="S642" s="210"/>
      <c r="T642" s="210"/>
      <c r="U642" s="210"/>
      <c r="V642" s="210"/>
      <c r="W642" s="210"/>
      <c r="X642" s="210"/>
      <c r="Y642" s="210"/>
      <c r="Z642" s="210"/>
      <c r="AA642" s="210"/>
      <c r="AB642" s="210"/>
      <c r="AC642" s="210"/>
      <c r="AI642" s="210"/>
      <c r="AJ642" s="210"/>
    </row>
    <row r="643" ht="12.75" customHeight="1">
      <c r="C643" s="210"/>
      <c r="D643" s="210"/>
      <c r="E643" s="210"/>
      <c r="F643" s="210"/>
      <c r="G643" s="210"/>
      <c r="H643" s="210"/>
      <c r="I643" s="210"/>
      <c r="J643" s="210"/>
      <c r="K643" s="210"/>
      <c r="L643" s="210"/>
      <c r="M643" s="210"/>
      <c r="N643" s="210"/>
      <c r="O643" s="210"/>
      <c r="P643" s="210"/>
      <c r="Q643" s="210"/>
      <c r="R643" s="210"/>
      <c r="S643" s="210"/>
      <c r="T643" s="210"/>
      <c r="U643" s="210"/>
      <c r="V643" s="210"/>
      <c r="W643" s="210"/>
      <c r="X643" s="210"/>
      <c r="Y643" s="210"/>
      <c r="Z643" s="210"/>
      <c r="AA643" s="210"/>
      <c r="AB643" s="210"/>
      <c r="AC643" s="210"/>
      <c r="AI643" s="210"/>
      <c r="AJ643" s="210"/>
    </row>
    <row r="644" ht="12.75" customHeight="1">
      <c r="C644" s="210"/>
      <c r="D644" s="210"/>
      <c r="E644" s="210"/>
      <c r="F644" s="210"/>
      <c r="G644" s="210"/>
      <c r="H644" s="210"/>
      <c r="I644" s="210"/>
      <c r="J644" s="210"/>
      <c r="K644" s="210"/>
      <c r="L644" s="210"/>
      <c r="M644" s="210"/>
      <c r="N644" s="210"/>
      <c r="O644" s="210"/>
      <c r="P644" s="210"/>
      <c r="Q644" s="210"/>
      <c r="R644" s="210"/>
      <c r="S644" s="210"/>
      <c r="T644" s="210"/>
      <c r="U644" s="210"/>
      <c r="V644" s="210"/>
      <c r="W644" s="210"/>
      <c r="X644" s="210"/>
      <c r="Y644" s="210"/>
      <c r="Z644" s="210"/>
      <c r="AA644" s="210"/>
      <c r="AB644" s="210"/>
      <c r="AC644" s="210"/>
      <c r="AI644" s="210"/>
      <c r="AJ644" s="210"/>
    </row>
    <row r="645" ht="12.75" customHeight="1">
      <c r="C645" s="210"/>
      <c r="D645" s="210"/>
      <c r="E645" s="210"/>
      <c r="F645" s="210"/>
      <c r="G645" s="210"/>
      <c r="H645" s="210"/>
      <c r="I645" s="210"/>
      <c r="J645" s="210"/>
      <c r="K645" s="210"/>
      <c r="L645" s="210"/>
      <c r="M645" s="210"/>
      <c r="N645" s="210"/>
      <c r="O645" s="210"/>
      <c r="P645" s="210"/>
      <c r="Q645" s="210"/>
      <c r="R645" s="210"/>
      <c r="S645" s="210"/>
      <c r="T645" s="210"/>
      <c r="U645" s="210"/>
      <c r="V645" s="210"/>
      <c r="W645" s="210"/>
      <c r="X645" s="210"/>
      <c r="Y645" s="210"/>
      <c r="Z645" s="210"/>
      <c r="AA645" s="210"/>
      <c r="AB645" s="210"/>
      <c r="AC645" s="210"/>
      <c r="AI645" s="210"/>
      <c r="AJ645" s="210"/>
    </row>
    <row r="646" ht="12.75" customHeight="1">
      <c r="C646" s="210"/>
      <c r="D646" s="210"/>
      <c r="E646" s="210"/>
      <c r="F646" s="210"/>
      <c r="G646" s="210"/>
      <c r="H646" s="210"/>
      <c r="I646" s="210"/>
      <c r="J646" s="210"/>
      <c r="K646" s="210"/>
      <c r="L646" s="210"/>
      <c r="M646" s="210"/>
      <c r="N646" s="210"/>
      <c r="O646" s="210"/>
      <c r="P646" s="210"/>
      <c r="Q646" s="210"/>
      <c r="R646" s="210"/>
      <c r="S646" s="210"/>
      <c r="T646" s="210"/>
      <c r="U646" s="210"/>
      <c r="V646" s="210"/>
      <c r="W646" s="210"/>
      <c r="X646" s="210"/>
      <c r="Y646" s="210"/>
      <c r="Z646" s="210"/>
      <c r="AA646" s="210"/>
      <c r="AB646" s="210"/>
      <c r="AC646" s="210"/>
      <c r="AI646" s="210"/>
      <c r="AJ646" s="210"/>
    </row>
    <row r="647" ht="12.75" customHeight="1">
      <c r="C647" s="210"/>
      <c r="D647" s="210"/>
      <c r="E647" s="210"/>
      <c r="F647" s="210"/>
      <c r="G647" s="210"/>
      <c r="H647" s="210"/>
      <c r="I647" s="210"/>
      <c r="J647" s="210"/>
      <c r="K647" s="210"/>
      <c r="L647" s="210"/>
      <c r="M647" s="210"/>
      <c r="N647" s="210"/>
      <c r="O647" s="210"/>
      <c r="P647" s="210"/>
      <c r="Q647" s="210"/>
      <c r="R647" s="210"/>
      <c r="S647" s="210"/>
      <c r="T647" s="210"/>
      <c r="U647" s="210"/>
      <c r="V647" s="210"/>
      <c r="W647" s="210"/>
      <c r="X647" s="210"/>
      <c r="Y647" s="210"/>
      <c r="Z647" s="210"/>
      <c r="AA647" s="210"/>
      <c r="AB647" s="210"/>
      <c r="AC647" s="210"/>
      <c r="AI647" s="210"/>
      <c r="AJ647" s="210"/>
    </row>
    <row r="648" ht="12.75" customHeight="1">
      <c r="C648" s="210"/>
      <c r="D648" s="210"/>
      <c r="E648" s="210"/>
      <c r="F648" s="210"/>
      <c r="G648" s="210"/>
      <c r="H648" s="210"/>
      <c r="I648" s="210"/>
      <c r="J648" s="210"/>
      <c r="K648" s="210"/>
      <c r="L648" s="210"/>
      <c r="M648" s="210"/>
      <c r="N648" s="210"/>
      <c r="O648" s="210"/>
      <c r="P648" s="210"/>
      <c r="Q648" s="210"/>
      <c r="R648" s="210"/>
      <c r="S648" s="210"/>
      <c r="T648" s="210"/>
      <c r="U648" s="210"/>
      <c r="V648" s="210"/>
      <c r="W648" s="210"/>
      <c r="X648" s="210"/>
      <c r="Y648" s="210"/>
      <c r="Z648" s="210"/>
      <c r="AA648" s="210"/>
      <c r="AB648" s="210"/>
      <c r="AC648" s="210"/>
      <c r="AI648" s="210"/>
      <c r="AJ648" s="210"/>
    </row>
    <row r="649" ht="12.75" customHeight="1">
      <c r="C649" s="210"/>
      <c r="D649" s="210"/>
      <c r="E649" s="210"/>
      <c r="F649" s="210"/>
      <c r="G649" s="210"/>
      <c r="H649" s="210"/>
      <c r="I649" s="210"/>
      <c r="J649" s="210"/>
      <c r="K649" s="210"/>
      <c r="L649" s="210"/>
      <c r="M649" s="210"/>
      <c r="N649" s="210"/>
      <c r="O649" s="210"/>
      <c r="P649" s="210"/>
      <c r="Q649" s="210"/>
      <c r="R649" s="210"/>
      <c r="S649" s="210"/>
      <c r="T649" s="210"/>
      <c r="U649" s="210"/>
      <c r="V649" s="210"/>
      <c r="W649" s="210"/>
      <c r="X649" s="210"/>
      <c r="Y649" s="210"/>
      <c r="Z649" s="210"/>
      <c r="AA649" s="210"/>
      <c r="AB649" s="210"/>
      <c r="AC649" s="210"/>
      <c r="AI649" s="210"/>
      <c r="AJ649" s="210"/>
    </row>
    <row r="650" ht="12.75" customHeight="1">
      <c r="C650" s="210"/>
      <c r="D650" s="210"/>
      <c r="E650" s="210"/>
      <c r="F650" s="210"/>
      <c r="G650" s="210"/>
      <c r="H650" s="210"/>
      <c r="I650" s="210"/>
      <c r="J650" s="210"/>
      <c r="K650" s="210"/>
      <c r="L650" s="210"/>
      <c r="M650" s="210"/>
      <c r="N650" s="210"/>
      <c r="O650" s="210"/>
      <c r="P650" s="210"/>
      <c r="Q650" s="210"/>
      <c r="R650" s="210"/>
      <c r="S650" s="210"/>
      <c r="T650" s="210"/>
      <c r="U650" s="210"/>
      <c r="V650" s="210"/>
      <c r="W650" s="210"/>
      <c r="X650" s="210"/>
      <c r="Y650" s="210"/>
      <c r="Z650" s="210"/>
      <c r="AA650" s="210"/>
      <c r="AB650" s="210"/>
      <c r="AC650" s="210"/>
      <c r="AI650" s="210"/>
      <c r="AJ650" s="210"/>
    </row>
    <row r="651" ht="12.75" customHeight="1">
      <c r="C651" s="210"/>
      <c r="D651" s="210"/>
      <c r="E651" s="210"/>
      <c r="F651" s="210"/>
      <c r="G651" s="210"/>
      <c r="H651" s="210"/>
      <c r="I651" s="210"/>
      <c r="J651" s="210"/>
      <c r="K651" s="210"/>
      <c r="L651" s="210"/>
      <c r="M651" s="210"/>
      <c r="N651" s="210"/>
      <c r="O651" s="210"/>
      <c r="P651" s="210"/>
      <c r="Q651" s="210"/>
      <c r="R651" s="210"/>
      <c r="S651" s="210"/>
      <c r="T651" s="210"/>
      <c r="U651" s="210"/>
      <c r="V651" s="210"/>
      <c r="W651" s="210"/>
      <c r="X651" s="210"/>
      <c r="Y651" s="210"/>
      <c r="Z651" s="210"/>
      <c r="AA651" s="210"/>
      <c r="AB651" s="210"/>
      <c r="AC651" s="210"/>
      <c r="AI651" s="210"/>
      <c r="AJ651" s="210"/>
    </row>
    <row r="652" ht="12.75" customHeight="1">
      <c r="C652" s="210"/>
      <c r="D652" s="210"/>
      <c r="E652" s="210"/>
      <c r="F652" s="210"/>
      <c r="G652" s="210"/>
      <c r="H652" s="210"/>
      <c r="I652" s="210"/>
      <c r="J652" s="210"/>
      <c r="K652" s="210"/>
      <c r="L652" s="210"/>
      <c r="M652" s="210"/>
      <c r="N652" s="210"/>
      <c r="O652" s="210"/>
      <c r="P652" s="210"/>
      <c r="Q652" s="210"/>
      <c r="R652" s="210"/>
      <c r="S652" s="210"/>
      <c r="T652" s="210"/>
      <c r="U652" s="210"/>
      <c r="V652" s="210"/>
      <c r="W652" s="210"/>
      <c r="X652" s="210"/>
      <c r="Y652" s="210"/>
      <c r="Z652" s="210"/>
      <c r="AA652" s="210"/>
      <c r="AB652" s="210"/>
      <c r="AC652" s="210"/>
      <c r="AI652" s="210"/>
      <c r="AJ652" s="210"/>
    </row>
    <row r="653" ht="12.75" customHeight="1">
      <c r="C653" s="210"/>
      <c r="D653" s="210"/>
      <c r="E653" s="210"/>
      <c r="F653" s="210"/>
      <c r="G653" s="210"/>
      <c r="H653" s="210"/>
      <c r="I653" s="210"/>
      <c r="J653" s="210"/>
      <c r="K653" s="210"/>
      <c r="L653" s="210"/>
      <c r="M653" s="210"/>
      <c r="N653" s="210"/>
      <c r="O653" s="210"/>
      <c r="P653" s="210"/>
      <c r="Q653" s="210"/>
      <c r="R653" s="210"/>
      <c r="S653" s="210"/>
      <c r="T653" s="210"/>
      <c r="U653" s="210"/>
      <c r="V653" s="210"/>
      <c r="W653" s="210"/>
      <c r="X653" s="210"/>
      <c r="Y653" s="210"/>
      <c r="Z653" s="210"/>
      <c r="AA653" s="210"/>
      <c r="AB653" s="210"/>
      <c r="AC653" s="210"/>
      <c r="AI653" s="210"/>
      <c r="AJ653" s="210"/>
    </row>
    <row r="654" ht="12.75" customHeight="1">
      <c r="C654" s="210"/>
      <c r="D654" s="210"/>
      <c r="E654" s="210"/>
      <c r="F654" s="210"/>
      <c r="G654" s="210"/>
      <c r="H654" s="210"/>
      <c r="I654" s="210"/>
      <c r="J654" s="210"/>
      <c r="K654" s="210"/>
      <c r="L654" s="210"/>
      <c r="M654" s="210"/>
      <c r="N654" s="210"/>
      <c r="O654" s="210"/>
      <c r="P654" s="210"/>
      <c r="Q654" s="210"/>
      <c r="R654" s="210"/>
      <c r="S654" s="210"/>
      <c r="T654" s="210"/>
      <c r="U654" s="210"/>
      <c r="V654" s="210"/>
      <c r="W654" s="210"/>
      <c r="X654" s="210"/>
      <c r="Y654" s="210"/>
      <c r="Z654" s="210"/>
      <c r="AA654" s="210"/>
      <c r="AB654" s="210"/>
      <c r="AC654" s="210"/>
      <c r="AI654" s="210"/>
      <c r="AJ654" s="210"/>
    </row>
    <row r="655" ht="12.75" customHeight="1">
      <c r="C655" s="210"/>
      <c r="D655" s="210"/>
      <c r="E655" s="210"/>
      <c r="F655" s="210"/>
      <c r="G655" s="210"/>
      <c r="H655" s="210"/>
      <c r="I655" s="210"/>
      <c r="J655" s="210"/>
      <c r="K655" s="210"/>
      <c r="L655" s="210"/>
      <c r="M655" s="210"/>
      <c r="N655" s="210"/>
      <c r="O655" s="210"/>
      <c r="P655" s="210"/>
      <c r="Q655" s="210"/>
      <c r="R655" s="210"/>
      <c r="S655" s="210"/>
      <c r="T655" s="210"/>
      <c r="U655" s="210"/>
      <c r="V655" s="210"/>
      <c r="W655" s="210"/>
      <c r="X655" s="210"/>
      <c r="Y655" s="210"/>
      <c r="Z655" s="210"/>
      <c r="AA655" s="210"/>
      <c r="AB655" s="210"/>
      <c r="AC655" s="210"/>
      <c r="AI655" s="210"/>
      <c r="AJ655" s="210"/>
    </row>
    <row r="656" ht="12.75" customHeight="1">
      <c r="C656" s="210"/>
      <c r="D656" s="210"/>
      <c r="E656" s="210"/>
      <c r="F656" s="210"/>
      <c r="G656" s="210"/>
      <c r="H656" s="210"/>
      <c r="I656" s="210"/>
      <c r="J656" s="210"/>
      <c r="K656" s="210"/>
      <c r="L656" s="210"/>
      <c r="M656" s="210"/>
      <c r="N656" s="210"/>
      <c r="O656" s="210"/>
      <c r="P656" s="210"/>
      <c r="Q656" s="210"/>
      <c r="R656" s="210"/>
      <c r="S656" s="210"/>
      <c r="T656" s="210"/>
      <c r="U656" s="210"/>
      <c r="V656" s="210"/>
      <c r="W656" s="210"/>
      <c r="X656" s="210"/>
      <c r="Y656" s="210"/>
      <c r="Z656" s="210"/>
      <c r="AA656" s="210"/>
      <c r="AB656" s="210"/>
      <c r="AC656" s="210"/>
      <c r="AI656" s="210"/>
      <c r="AJ656" s="210"/>
    </row>
    <row r="657" ht="12.75" customHeight="1">
      <c r="C657" s="210"/>
      <c r="D657" s="210"/>
      <c r="E657" s="210"/>
      <c r="F657" s="210"/>
      <c r="G657" s="210"/>
      <c r="H657" s="210"/>
      <c r="I657" s="210"/>
      <c r="J657" s="210"/>
      <c r="K657" s="210"/>
      <c r="L657" s="210"/>
      <c r="M657" s="210"/>
      <c r="N657" s="210"/>
      <c r="O657" s="210"/>
      <c r="P657" s="210"/>
      <c r="Q657" s="210"/>
      <c r="R657" s="210"/>
      <c r="S657" s="210"/>
      <c r="T657" s="210"/>
      <c r="U657" s="210"/>
      <c r="V657" s="210"/>
      <c r="W657" s="210"/>
      <c r="X657" s="210"/>
      <c r="Y657" s="210"/>
      <c r="Z657" s="210"/>
      <c r="AA657" s="210"/>
      <c r="AB657" s="210"/>
      <c r="AC657" s="210"/>
      <c r="AI657" s="210"/>
      <c r="AJ657" s="210"/>
    </row>
    <row r="658" ht="12.75" customHeight="1">
      <c r="C658" s="210"/>
      <c r="D658" s="210"/>
      <c r="E658" s="210"/>
      <c r="F658" s="210"/>
      <c r="G658" s="210"/>
      <c r="H658" s="210"/>
      <c r="I658" s="210"/>
      <c r="J658" s="210"/>
      <c r="K658" s="210"/>
      <c r="L658" s="210"/>
      <c r="M658" s="210"/>
      <c r="N658" s="210"/>
      <c r="O658" s="210"/>
      <c r="P658" s="210"/>
      <c r="Q658" s="210"/>
      <c r="R658" s="210"/>
      <c r="S658" s="210"/>
      <c r="T658" s="210"/>
      <c r="U658" s="210"/>
      <c r="V658" s="210"/>
      <c r="W658" s="210"/>
      <c r="X658" s="210"/>
      <c r="Y658" s="210"/>
      <c r="Z658" s="210"/>
      <c r="AA658" s="210"/>
      <c r="AB658" s="210"/>
      <c r="AC658" s="210"/>
      <c r="AI658" s="210"/>
      <c r="AJ658" s="210"/>
    </row>
    <row r="659" ht="12.75" customHeight="1">
      <c r="C659" s="210"/>
      <c r="D659" s="210"/>
      <c r="E659" s="210"/>
      <c r="F659" s="210"/>
      <c r="G659" s="210"/>
      <c r="H659" s="210"/>
      <c r="I659" s="210"/>
      <c r="J659" s="210"/>
      <c r="K659" s="210"/>
      <c r="L659" s="210"/>
      <c r="M659" s="210"/>
      <c r="N659" s="210"/>
      <c r="O659" s="210"/>
      <c r="P659" s="210"/>
      <c r="Q659" s="210"/>
      <c r="R659" s="210"/>
      <c r="S659" s="210"/>
      <c r="T659" s="210"/>
      <c r="U659" s="210"/>
      <c r="V659" s="210"/>
      <c r="W659" s="210"/>
      <c r="X659" s="210"/>
      <c r="Y659" s="210"/>
      <c r="Z659" s="210"/>
      <c r="AA659" s="210"/>
      <c r="AB659" s="210"/>
      <c r="AC659" s="210"/>
      <c r="AI659" s="210"/>
      <c r="AJ659" s="210"/>
    </row>
    <row r="660" ht="12.75" customHeight="1">
      <c r="C660" s="210"/>
      <c r="D660" s="210"/>
      <c r="E660" s="210"/>
      <c r="F660" s="210"/>
      <c r="G660" s="210"/>
      <c r="H660" s="210"/>
      <c r="I660" s="210"/>
      <c r="J660" s="210"/>
      <c r="K660" s="210"/>
      <c r="L660" s="210"/>
      <c r="M660" s="210"/>
      <c r="N660" s="210"/>
      <c r="O660" s="210"/>
      <c r="P660" s="210"/>
      <c r="Q660" s="210"/>
      <c r="R660" s="210"/>
      <c r="S660" s="210"/>
      <c r="T660" s="210"/>
      <c r="U660" s="210"/>
      <c r="V660" s="210"/>
      <c r="W660" s="210"/>
      <c r="X660" s="210"/>
      <c r="Y660" s="210"/>
      <c r="Z660" s="210"/>
      <c r="AA660" s="210"/>
      <c r="AB660" s="210"/>
      <c r="AC660" s="210"/>
      <c r="AI660" s="210"/>
      <c r="AJ660" s="210"/>
    </row>
    <row r="661" ht="12.75" customHeight="1">
      <c r="C661" s="210"/>
      <c r="D661" s="210"/>
      <c r="E661" s="210"/>
      <c r="F661" s="210"/>
      <c r="G661" s="210"/>
      <c r="H661" s="210"/>
      <c r="I661" s="210"/>
      <c r="J661" s="210"/>
      <c r="K661" s="210"/>
      <c r="L661" s="210"/>
      <c r="M661" s="210"/>
      <c r="N661" s="210"/>
      <c r="O661" s="210"/>
      <c r="P661" s="210"/>
      <c r="Q661" s="210"/>
      <c r="R661" s="210"/>
      <c r="S661" s="210"/>
      <c r="T661" s="210"/>
      <c r="U661" s="210"/>
      <c r="V661" s="210"/>
      <c r="W661" s="210"/>
      <c r="X661" s="210"/>
      <c r="Y661" s="210"/>
      <c r="Z661" s="210"/>
      <c r="AA661" s="210"/>
      <c r="AB661" s="210"/>
      <c r="AC661" s="210"/>
      <c r="AI661" s="210"/>
      <c r="AJ661" s="210"/>
    </row>
    <row r="662" ht="12.75" customHeight="1">
      <c r="C662" s="210"/>
      <c r="D662" s="210"/>
      <c r="E662" s="210"/>
      <c r="F662" s="210"/>
      <c r="G662" s="210"/>
      <c r="H662" s="210"/>
      <c r="I662" s="210"/>
      <c r="J662" s="210"/>
      <c r="K662" s="210"/>
      <c r="L662" s="210"/>
      <c r="M662" s="210"/>
      <c r="N662" s="210"/>
      <c r="O662" s="210"/>
      <c r="P662" s="210"/>
      <c r="Q662" s="210"/>
      <c r="R662" s="210"/>
      <c r="S662" s="210"/>
      <c r="T662" s="210"/>
      <c r="U662" s="210"/>
      <c r="V662" s="210"/>
      <c r="W662" s="210"/>
      <c r="X662" s="210"/>
      <c r="Y662" s="210"/>
      <c r="Z662" s="210"/>
      <c r="AA662" s="210"/>
      <c r="AB662" s="210"/>
      <c r="AC662" s="210"/>
      <c r="AI662" s="210"/>
      <c r="AJ662" s="210"/>
    </row>
    <row r="663" ht="12.75" customHeight="1">
      <c r="C663" s="210"/>
      <c r="D663" s="210"/>
      <c r="E663" s="210"/>
      <c r="F663" s="210"/>
      <c r="G663" s="210"/>
      <c r="H663" s="210"/>
      <c r="I663" s="210"/>
      <c r="J663" s="210"/>
      <c r="K663" s="210"/>
      <c r="L663" s="210"/>
      <c r="M663" s="210"/>
      <c r="N663" s="210"/>
      <c r="O663" s="210"/>
      <c r="P663" s="210"/>
      <c r="Q663" s="210"/>
      <c r="R663" s="210"/>
      <c r="S663" s="210"/>
      <c r="T663" s="210"/>
      <c r="U663" s="210"/>
      <c r="V663" s="210"/>
      <c r="W663" s="210"/>
      <c r="X663" s="210"/>
      <c r="Y663" s="210"/>
      <c r="Z663" s="210"/>
      <c r="AA663" s="210"/>
      <c r="AB663" s="210"/>
      <c r="AC663" s="210"/>
      <c r="AI663" s="210"/>
      <c r="AJ663" s="210"/>
    </row>
    <row r="664" ht="12.75" customHeight="1">
      <c r="C664" s="210"/>
      <c r="D664" s="210"/>
      <c r="E664" s="210"/>
      <c r="F664" s="210"/>
      <c r="G664" s="210"/>
      <c r="H664" s="210"/>
      <c r="I664" s="210"/>
      <c r="J664" s="210"/>
      <c r="K664" s="210"/>
      <c r="L664" s="210"/>
      <c r="M664" s="210"/>
      <c r="N664" s="210"/>
      <c r="O664" s="210"/>
      <c r="P664" s="210"/>
      <c r="Q664" s="210"/>
      <c r="R664" s="210"/>
      <c r="S664" s="210"/>
      <c r="T664" s="210"/>
      <c r="U664" s="210"/>
      <c r="V664" s="210"/>
      <c r="W664" s="210"/>
      <c r="X664" s="210"/>
      <c r="Y664" s="210"/>
      <c r="Z664" s="210"/>
      <c r="AA664" s="210"/>
      <c r="AB664" s="210"/>
      <c r="AC664" s="210"/>
      <c r="AI664" s="210"/>
      <c r="AJ664" s="210"/>
    </row>
    <row r="665" ht="12.75" customHeight="1">
      <c r="C665" s="210"/>
      <c r="D665" s="210"/>
      <c r="E665" s="210"/>
      <c r="F665" s="210"/>
      <c r="G665" s="210"/>
      <c r="H665" s="210"/>
      <c r="I665" s="210"/>
      <c r="J665" s="210"/>
      <c r="K665" s="210"/>
      <c r="L665" s="210"/>
      <c r="M665" s="210"/>
      <c r="N665" s="210"/>
      <c r="O665" s="210"/>
      <c r="P665" s="210"/>
      <c r="Q665" s="210"/>
      <c r="R665" s="210"/>
      <c r="S665" s="210"/>
      <c r="T665" s="210"/>
      <c r="U665" s="210"/>
      <c r="V665" s="210"/>
      <c r="W665" s="210"/>
      <c r="X665" s="210"/>
      <c r="Y665" s="210"/>
      <c r="Z665" s="210"/>
      <c r="AA665" s="210"/>
      <c r="AB665" s="210"/>
      <c r="AC665" s="210"/>
      <c r="AI665" s="210"/>
      <c r="AJ665" s="210"/>
    </row>
    <row r="666" ht="12.75" customHeight="1">
      <c r="C666" s="210"/>
      <c r="D666" s="210"/>
      <c r="E666" s="210"/>
      <c r="F666" s="210"/>
      <c r="G666" s="210"/>
      <c r="H666" s="210"/>
      <c r="I666" s="210"/>
      <c r="J666" s="210"/>
      <c r="K666" s="210"/>
      <c r="L666" s="210"/>
      <c r="M666" s="210"/>
      <c r="N666" s="210"/>
      <c r="O666" s="210"/>
      <c r="P666" s="210"/>
      <c r="Q666" s="210"/>
      <c r="R666" s="210"/>
      <c r="S666" s="210"/>
      <c r="T666" s="210"/>
      <c r="U666" s="210"/>
      <c r="V666" s="210"/>
      <c r="W666" s="210"/>
      <c r="X666" s="210"/>
      <c r="Y666" s="210"/>
      <c r="Z666" s="210"/>
      <c r="AA666" s="210"/>
      <c r="AB666" s="210"/>
      <c r="AC666" s="210"/>
      <c r="AI666" s="210"/>
      <c r="AJ666" s="210"/>
    </row>
    <row r="667" ht="12.75" customHeight="1">
      <c r="C667" s="210"/>
      <c r="D667" s="210"/>
      <c r="E667" s="210"/>
      <c r="F667" s="210"/>
      <c r="G667" s="210"/>
      <c r="H667" s="210"/>
      <c r="I667" s="210"/>
      <c r="J667" s="210"/>
      <c r="K667" s="210"/>
      <c r="L667" s="210"/>
      <c r="M667" s="210"/>
      <c r="N667" s="210"/>
      <c r="O667" s="210"/>
      <c r="P667" s="210"/>
      <c r="Q667" s="210"/>
      <c r="R667" s="210"/>
      <c r="S667" s="210"/>
      <c r="T667" s="210"/>
      <c r="U667" s="210"/>
      <c r="V667" s="210"/>
      <c r="W667" s="210"/>
      <c r="X667" s="210"/>
      <c r="Y667" s="210"/>
      <c r="Z667" s="210"/>
      <c r="AA667" s="210"/>
      <c r="AB667" s="210"/>
      <c r="AC667" s="210"/>
      <c r="AI667" s="210"/>
      <c r="AJ667" s="210"/>
    </row>
    <row r="668" ht="12.75" customHeight="1">
      <c r="C668" s="210"/>
      <c r="D668" s="210"/>
      <c r="E668" s="210"/>
      <c r="F668" s="210"/>
      <c r="G668" s="210"/>
      <c r="H668" s="210"/>
      <c r="I668" s="210"/>
      <c r="J668" s="210"/>
      <c r="K668" s="210"/>
      <c r="L668" s="210"/>
      <c r="M668" s="210"/>
      <c r="N668" s="210"/>
      <c r="O668" s="210"/>
      <c r="P668" s="210"/>
      <c r="Q668" s="210"/>
      <c r="R668" s="210"/>
      <c r="S668" s="210"/>
      <c r="T668" s="210"/>
      <c r="U668" s="210"/>
      <c r="V668" s="210"/>
      <c r="W668" s="210"/>
      <c r="X668" s="210"/>
      <c r="Y668" s="210"/>
      <c r="Z668" s="210"/>
      <c r="AA668" s="210"/>
      <c r="AB668" s="210"/>
      <c r="AC668" s="210"/>
      <c r="AI668" s="210"/>
      <c r="AJ668" s="210"/>
    </row>
    <row r="669" ht="12.75" customHeight="1">
      <c r="C669" s="210"/>
      <c r="D669" s="210"/>
      <c r="E669" s="210"/>
      <c r="F669" s="210"/>
      <c r="G669" s="210"/>
      <c r="H669" s="210"/>
      <c r="I669" s="210"/>
      <c r="J669" s="210"/>
      <c r="K669" s="210"/>
      <c r="L669" s="210"/>
      <c r="M669" s="210"/>
      <c r="N669" s="210"/>
      <c r="O669" s="210"/>
      <c r="P669" s="210"/>
      <c r="Q669" s="210"/>
      <c r="R669" s="210"/>
      <c r="S669" s="210"/>
      <c r="T669" s="210"/>
      <c r="U669" s="210"/>
      <c r="V669" s="210"/>
      <c r="W669" s="210"/>
      <c r="X669" s="210"/>
      <c r="Y669" s="210"/>
      <c r="Z669" s="210"/>
      <c r="AA669" s="210"/>
      <c r="AB669" s="210"/>
      <c r="AC669" s="210"/>
      <c r="AI669" s="210"/>
      <c r="AJ669" s="210"/>
    </row>
    <row r="670" ht="12.75" customHeight="1">
      <c r="C670" s="210"/>
      <c r="D670" s="210"/>
      <c r="E670" s="210"/>
      <c r="F670" s="210"/>
      <c r="G670" s="210"/>
      <c r="H670" s="210"/>
      <c r="I670" s="210"/>
      <c r="J670" s="210"/>
      <c r="K670" s="210"/>
      <c r="L670" s="210"/>
      <c r="M670" s="210"/>
      <c r="N670" s="210"/>
      <c r="O670" s="210"/>
      <c r="P670" s="210"/>
      <c r="Q670" s="210"/>
      <c r="R670" s="210"/>
      <c r="S670" s="210"/>
      <c r="T670" s="210"/>
      <c r="U670" s="210"/>
      <c r="V670" s="210"/>
      <c r="W670" s="210"/>
      <c r="X670" s="210"/>
      <c r="Y670" s="210"/>
      <c r="Z670" s="210"/>
      <c r="AA670" s="210"/>
      <c r="AB670" s="210"/>
      <c r="AC670" s="210"/>
      <c r="AI670" s="210"/>
      <c r="AJ670" s="210"/>
    </row>
    <row r="671" ht="12.75" customHeight="1">
      <c r="C671" s="210"/>
      <c r="D671" s="210"/>
      <c r="E671" s="210"/>
      <c r="F671" s="210"/>
      <c r="G671" s="210"/>
      <c r="H671" s="210"/>
      <c r="I671" s="210"/>
      <c r="J671" s="210"/>
      <c r="K671" s="210"/>
      <c r="L671" s="210"/>
      <c r="M671" s="210"/>
      <c r="N671" s="210"/>
      <c r="O671" s="210"/>
      <c r="P671" s="210"/>
      <c r="Q671" s="210"/>
      <c r="R671" s="210"/>
      <c r="S671" s="210"/>
      <c r="T671" s="210"/>
      <c r="U671" s="210"/>
      <c r="V671" s="210"/>
      <c r="W671" s="210"/>
      <c r="X671" s="210"/>
      <c r="Y671" s="210"/>
      <c r="Z671" s="210"/>
      <c r="AA671" s="210"/>
      <c r="AB671" s="210"/>
      <c r="AC671" s="210"/>
      <c r="AI671" s="210"/>
      <c r="AJ671" s="210"/>
    </row>
    <row r="672" ht="12.75" customHeight="1">
      <c r="C672" s="210"/>
      <c r="D672" s="210"/>
      <c r="E672" s="210"/>
      <c r="F672" s="210"/>
      <c r="G672" s="210"/>
      <c r="H672" s="210"/>
      <c r="I672" s="210"/>
      <c r="J672" s="210"/>
      <c r="K672" s="210"/>
      <c r="L672" s="210"/>
      <c r="M672" s="210"/>
      <c r="N672" s="210"/>
      <c r="O672" s="210"/>
      <c r="P672" s="210"/>
      <c r="Q672" s="210"/>
      <c r="R672" s="210"/>
      <c r="S672" s="210"/>
      <c r="T672" s="210"/>
      <c r="U672" s="210"/>
      <c r="V672" s="210"/>
      <c r="W672" s="210"/>
      <c r="X672" s="210"/>
      <c r="Y672" s="210"/>
      <c r="Z672" s="210"/>
      <c r="AA672" s="210"/>
      <c r="AB672" s="210"/>
      <c r="AC672" s="210"/>
      <c r="AI672" s="210"/>
      <c r="AJ672" s="210"/>
    </row>
    <row r="673" ht="12.75" customHeight="1">
      <c r="C673" s="210"/>
      <c r="D673" s="210"/>
      <c r="E673" s="210"/>
      <c r="F673" s="210"/>
      <c r="G673" s="210"/>
      <c r="H673" s="210"/>
      <c r="I673" s="210"/>
      <c r="J673" s="210"/>
      <c r="K673" s="210"/>
      <c r="L673" s="210"/>
      <c r="M673" s="210"/>
      <c r="N673" s="210"/>
      <c r="O673" s="210"/>
      <c r="P673" s="210"/>
      <c r="Q673" s="210"/>
      <c r="R673" s="210"/>
      <c r="S673" s="210"/>
      <c r="T673" s="210"/>
      <c r="U673" s="210"/>
      <c r="V673" s="210"/>
      <c r="W673" s="210"/>
      <c r="X673" s="210"/>
      <c r="Y673" s="210"/>
      <c r="Z673" s="210"/>
      <c r="AA673" s="210"/>
      <c r="AB673" s="210"/>
      <c r="AC673" s="210"/>
      <c r="AI673" s="210"/>
      <c r="AJ673" s="210"/>
    </row>
    <row r="674" ht="12.75" customHeight="1">
      <c r="C674" s="210"/>
      <c r="D674" s="210"/>
      <c r="E674" s="210"/>
      <c r="F674" s="210"/>
      <c r="G674" s="210"/>
      <c r="H674" s="210"/>
      <c r="I674" s="210"/>
      <c r="J674" s="210"/>
      <c r="K674" s="210"/>
      <c r="L674" s="210"/>
      <c r="M674" s="210"/>
      <c r="N674" s="210"/>
      <c r="O674" s="210"/>
      <c r="P674" s="210"/>
      <c r="Q674" s="210"/>
      <c r="R674" s="210"/>
      <c r="S674" s="210"/>
      <c r="T674" s="210"/>
      <c r="U674" s="210"/>
      <c r="V674" s="210"/>
      <c r="W674" s="210"/>
      <c r="X674" s="210"/>
      <c r="Y674" s="210"/>
      <c r="Z674" s="210"/>
      <c r="AA674" s="210"/>
      <c r="AB674" s="210"/>
      <c r="AC674" s="210"/>
      <c r="AI674" s="210"/>
      <c r="AJ674" s="210"/>
    </row>
    <row r="675" ht="12.75" customHeight="1">
      <c r="C675" s="210"/>
      <c r="D675" s="210"/>
      <c r="E675" s="210"/>
      <c r="F675" s="210"/>
      <c r="G675" s="210"/>
      <c r="H675" s="210"/>
      <c r="I675" s="210"/>
      <c r="J675" s="210"/>
      <c r="K675" s="210"/>
      <c r="L675" s="210"/>
      <c r="M675" s="210"/>
      <c r="N675" s="210"/>
      <c r="O675" s="210"/>
      <c r="P675" s="210"/>
      <c r="Q675" s="210"/>
      <c r="R675" s="210"/>
      <c r="S675" s="210"/>
      <c r="T675" s="210"/>
      <c r="U675" s="210"/>
      <c r="V675" s="210"/>
      <c r="W675" s="210"/>
      <c r="X675" s="210"/>
      <c r="Y675" s="210"/>
      <c r="Z675" s="210"/>
      <c r="AA675" s="210"/>
      <c r="AB675" s="210"/>
      <c r="AC675" s="210"/>
      <c r="AI675" s="210"/>
      <c r="AJ675" s="210"/>
    </row>
    <row r="676" ht="12.75" customHeight="1">
      <c r="C676" s="210"/>
      <c r="D676" s="210"/>
      <c r="E676" s="210"/>
      <c r="F676" s="210"/>
      <c r="G676" s="210"/>
      <c r="H676" s="210"/>
      <c r="I676" s="210"/>
      <c r="J676" s="210"/>
      <c r="K676" s="210"/>
      <c r="L676" s="210"/>
      <c r="M676" s="210"/>
      <c r="N676" s="210"/>
      <c r="O676" s="210"/>
      <c r="P676" s="210"/>
      <c r="Q676" s="210"/>
      <c r="R676" s="210"/>
      <c r="S676" s="210"/>
      <c r="T676" s="210"/>
      <c r="U676" s="210"/>
      <c r="V676" s="210"/>
      <c r="W676" s="210"/>
      <c r="X676" s="210"/>
      <c r="Y676" s="210"/>
      <c r="Z676" s="210"/>
      <c r="AA676" s="210"/>
      <c r="AB676" s="210"/>
      <c r="AC676" s="210"/>
      <c r="AI676" s="210"/>
      <c r="AJ676" s="210"/>
    </row>
    <row r="677" ht="12.75" customHeight="1">
      <c r="C677" s="210"/>
      <c r="D677" s="210"/>
      <c r="E677" s="210"/>
      <c r="F677" s="210"/>
      <c r="G677" s="210"/>
      <c r="H677" s="210"/>
      <c r="I677" s="210"/>
      <c r="J677" s="210"/>
      <c r="K677" s="210"/>
      <c r="L677" s="210"/>
      <c r="M677" s="210"/>
      <c r="N677" s="210"/>
      <c r="O677" s="210"/>
      <c r="P677" s="210"/>
      <c r="Q677" s="210"/>
      <c r="R677" s="210"/>
      <c r="S677" s="210"/>
      <c r="T677" s="210"/>
      <c r="U677" s="210"/>
      <c r="V677" s="210"/>
      <c r="W677" s="210"/>
      <c r="X677" s="210"/>
      <c r="Y677" s="210"/>
      <c r="Z677" s="210"/>
      <c r="AA677" s="210"/>
      <c r="AB677" s="210"/>
      <c r="AC677" s="210"/>
      <c r="AI677" s="210"/>
      <c r="AJ677" s="210"/>
    </row>
    <row r="678" ht="12.75" customHeight="1">
      <c r="C678" s="210"/>
      <c r="D678" s="210"/>
      <c r="E678" s="210"/>
      <c r="F678" s="210"/>
      <c r="G678" s="210"/>
      <c r="H678" s="210"/>
      <c r="I678" s="210"/>
      <c r="J678" s="210"/>
      <c r="K678" s="210"/>
      <c r="L678" s="210"/>
      <c r="M678" s="210"/>
      <c r="N678" s="210"/>
      <c r="O678" s="210"/>
      <c r="P678" s="210"/>
      <c r="Q678" s="210"/>
      <c r="R678" s="210"/>
      <c r="S678" s="210"/>
      <c r="T678" s="210"/>
      <c r="U678" s="210"/>
      <c r="V678" s="210"/>
      <c r="W678" s="210"/>
      <c r="X678" s="210"/>
      <c r="Y678" s="210"/>
      <c r="Z678" s="210"/>
      <c r="AA678" s="210"/>
      <c r="AB678" s="210"/>
      <c r="AC678" s="210"/>
      <c r="AI678" s="210"/>
      <c r="AJ678" s="210"/>
    </row>
    <row r="679" ht="12.75" customHeight="1">
      <c r="C679" s="210"/>
      <c r="D679" s="210"/>
      <c r="E679" s="210"/>
      <c r="F679" s="210"/>
      <c r="G679" s="210"/>
      <c r="H679" s="210"/>
      <c r="I679" s="210"/>
      <c r="J679" s="210"/>
      <c r="K679" s="210"/>
      <c r="L679" s="210"/>
      <c r="M679" s="210"/>
      <c r="N679" s="210"/>
      <c r="O679" s="210"/>
      <c r="P679" s="210"/>
      <c r="Q679" s="210"/>
      <c r="R679" s="210"/>
      <c r="S679" s="210"/>
      <c r="T679" s="210"/>
      <c r="U679" s="210"/>
      <c r="V679" s="210"/>
      <c r="W679" s="210"/>
      <c r="X679" s="210"/>
      <c r="Y679" s="210"/>
      <c r="Z679" s="210"/>
      <c r="AA679" s="210"/>
      <c r="AB679" s="210"/>
      <c r="AC679" s="210"/>
      <c r="AI679" s="210"/>
      <c r="AJ679" s="210"/>
    </row>
    <row r="680" ht="12.75" customHeight="1">
      <c r="C680" s="210"/>
      <c r="D680" s="210"/>
      <c r="E680" s="210"/>
      <c r="F680" s="210"/>
      <c r="G680" s="210"/>
      <c r="H680" s="210"/>
      <c r="I680" s="210"/>
      <c r="J680" s="210"/>
      <c r="K680" s="210"/>
      <c r="L680" s="210"/>
      <c r="M680" s="210"/>
      <c r="N680" s="210"/>
      <c r="O680" s="210"/>
      <c r="P680" s="210"/>
      <c r="Q680" s="210"/>
      <c r="R680" s="210"/>
      <c r="S680" s="210"/>
      <c r="T680" s="210"/>
      <c r="U680" s="210"/>
      <c r="V680" s="210"/>
      <c r="W680" s="210"/>
      <c r="X680" s="210"/>
      <c r="Y680" s="210"/>
      <c r="Z680" s="210"/>
      <c r="AA680" s="210"/>
      <c r="AB680" s="210"/>
      <c r="AC680" s="210"/>
      <c r="AI680" s="210"/>
      <c r="AJ680" s="210"/>
    </row>
    <row r="681" ht="12.75" customHeight="1">
      <c r="C681" s="210"/>
      <c r="D681" s="210"/>
      <c r="E681" s="210"/>
      <c r="F681" s="210"/>
      <c r="G681" s="210"/>
      <c r="H681" s="210"/>
      <c r="I681" s="210"/>
      <c r="J681" s="210"/>
      <c r="K681" s="210"/>
      <c r="L681" s="210"/>
      <c r="M681" s="210"/>
      <c r="N681" s="210"/>
      <c r="O681" s="210"/>
      <c r="P681" s="210"/>
      <c r="Q681" s="210"/>
      <c r="R681" s="210"/>
      <c r="S681" s="210"/>
      <c r="T681" s="210"/>
      <c r="U681" s="210"/>
      <c r="V681" s="210"/>
      <c r="W681" s="210"/>
      <c r="X681" s="210"/>
      <c r="Y681" s="210"/>
      <c r="Z681" s="210"/>
      <c r="AA681" s="210"/>
      <c r="AB681" s="210"/>
      <c r="AC681" s="210"/>
      <c r="AI681" s="210"/>
      <c r="AJ681" s="210"/>
    </row>
    <row r="682" ht="12.75" customHeight="1">
      <c r="C682" s="210"/>
      <c r="D682" s="210"/>
      <c r="E682" s="210"/>
      <c r="F682" s="210"/>
      <c r="G682" s="210"/>
      <c r="H682" s="210"/>
      <c r="I682" s="210"/>
      <c r="J682" s="210"/>
      <c r="K682" s="210"/>
      <c r="L682" s="210"/>
      <c r="M682" s="210"/>
      <c r="N682" s="210"/>
      <c r="O682" s="210"/>
      <c r="P682" s="210"/>
      <c r="Q682" s="210"/>
      <c r="R682" s="210"/>
      <c r="S682" s="210"/>
      <c r="T682" s="210"/>
      <c r="U682" s="210"/>
      <c r="V682" s="210"/>
      <c r="W682" s="210"/>
      <c r="X682" s="210"/>
      <c r="Y682" s="210"/>
      <c r="Z682" s="210"/>
      <c r="AA682" s="210"/>
      <c r="AB682" s="210"/>
      <c r="AC682" s="210"/>
      <c r="AI682" s="210"/>
      <c r="AJ682" s="210"/>
    </row>
    <row r="683" ht="12.75" customHeight="1">
      <c r="C683" s="210"/>
      <c r="D683" s="210"/>
      <c r="E683" s="210"/>
      <c r="F683" s="210"/>
      <c r="G683" s="210"/>
      <c r="H683" s="210"/>
      <c r="I683" s="210"/>
      <c r="J683" s="210"/>
      <c r="K683" s="210"/>
      <c r="L683" s="210"/>
      <c r="M683" s="210"/>
      <c r="N683" s="210"/>
      <c r="O683" s="210"/>
      <c r="P683" s="210"/>
      <c r="Q683" s="210"/>
      <c r="R683" s="210"/>
      <c r="S683" s="210"/>
      <c r="T683" s="210"/>
      <c r="U683" s="210"/>
      <c r="V683" s="210"/>
      <c r="W683" s="210"/>
      <c r="X683" s="210"/>
      <c r="Y683" s="210"/>
      <c r="Z683" s="210"/>
      <c r="AA683" s="210"/>
      <c r="AB683" s="210"/>
      <c r="AC683" s="210"/>
      <c r="AI683" s="210"/>
      <c r="AJ683" s="210"/>
    </row>
    <row r="684" ht="12.75" customHeight="1">
      <c r="C684" s="210"/>
      <c r="D684" s="210"/>
      <c r="E684" s="210"/>
      <c r="F684" s="210"/>
      <c r="G684" s="210"/>
      <c r="H684" s="210"/>
      <c r="I684" s="210"/>
      <c r="J684" s="210"/>
      <c r="K684" s="210"/>
      <c r="L684" s="210"/>
      <c r="M684" s="210"/>
      <c r="N684" s="210"/>
      <c r="O684" s="210"/>
      <c r="P684" s="210"/>
      <c r="Q684" s="210"/>
      <c r="R684" s="210"/>
      <c r="S684" s="210"/>
      <c r="T684" s="210"/>
      <c r="U684" s="210"/>
      <c r="V684" s="210"/>
      <c r="W684" s="210"/>
      <c r="X684" s="210"/>
      <c r="Y684" s="210"/>
      <c r="Z684" s="210"/>
      <c r="AA684" s="210"/>
      <c r="AB684" s="210"/>
      <c r="AC684" s="210"/>
      <c r="AI684" s="210"/>
      <c r="AJ684" s="210"/>
    </row>
    <row r="685" ht="12.75" customHeight="1">
      <c r="C685" s="210"/>
      <c r="D685" s="210"/>
      <c r="E685" s="210"/>
      <c r="F685" s="210"/>
      <c r="G685" s="210"/>
      <c r="H685" s="210"/>
      <c r="I685" s="210"/>
      <c r="J685" s="210"/>
      <c r="K685" s="210"/>
      <c r="L685" s="210"/>
      <c r="M685" s="210"/>
      <c r="N685" s="210"/>
      <c r="O685" s="210"/>
      <c r="P685" s="210"/>
      <c r="Q685" s="210"/>
      <c r="R685" s="210"/>
      <c r="S685" s="210"/>
      <c r="T685" s="210"/>
      <c r="U685" s="210"/>
      <c r="V685" s="210"/>
      <c r="W685" s="210"/>
      <c r="X685" s="210"/>
      <c r="Y685" s="210"/>
      <c r="Z685" s="210"/>
      <c r="AA685" s="210"/>
      <c r="AB685" s="210"/>
      <c r="AC685" s="210"/>
      <c r="AI685" s="210"/>
      <c r="AJ685" s="210"/>
    </row>
    <row r="686" ht="12.75" customHeight="1">
      <c r="C686" s="210"/>
      <c r="D686" s="210"/>
      <c r="E686" s="210"/>
      <c r="F686" s="210"/>
      <c r="G686" s="210"/>
      <c r="H686" s="210"/>
      <c r="I686" s="210"/>
      <c r="J686" s="210"/>
      <c r="K686" s="210"/>
      <c r="L686" s="210"/>
      <c r="M686" s="210"/>
      <c r="N686" s="210"/>
      <c r="O686" s="210"/>
      <c r="P686" s="210"/>
      <c r="Q686" s="210"/>
      <c r="R686" s="210"/>
      <c r="S686" s="210"/>
      <c r="T686" s="210"/>
      <c r="U686" s="210"/>
      <c r="V686" s="210"/>
      <c r="W686" s="210"/>
      <c r="X686" s="210"/>
      <c r="Y686" s="210"/>
      <c r="Z686" s="210"/>
      <c r="AA686" s="210"/>
      <c r="AB686" s="210"/>
      <c r="AC686" s="210"/>
      <c r="AI686" s="210"/>
      <c r="AJ686" s="210"/>
    </row>
    <row r="687" ht="12.75" customHeight="1">
      <c r="C687" s="210"/>
      <c r="D687" s="210"/>
      <c r="E687" s="210"/>
      <c r="F687" s="210"/>
      <c r="G687" s="210"/>
      <c r="H687" s="210"/>
      <c r="I687" s="210"/>
      <c r="J687" s="210"/>
      <c r="K687" s="210"/>
      <c r="L687" s="210"/>
      <c r="M687" s="210"/>
      <c r="N687" s="210"/>
      <c r="O687" s="210"/>
      <c r="P687" s="210"/>
      <c r="Q687" s="210"/>
      <c r="R687" s="210"/>
      <c r="S687" s="210"/>
      <c r="T687" s="210"/>
      <c r="U687" s="210"/>
      <c r="V687" s="210"/>
      <c r="W687" s="210"/>
      <c r="X687" s="210"/>
      <c r="Y687" s="210"/>
      <c r="Z687" s="210"/>
      <c r="AA687" s="210"/>
      <c r="AB687" s="210"/>
      <c r="AC687" s="210"/>
      <c r="AI687" s="210"/>
      <c r="AJ687" s="210"/>
    </row>
    <row r="688" ht="12.75" customHeight="1">
      <c r="C688" s="210"/>
      <c r="D688" s="210"/>
      <c r="E688" s="210"/>
      <c r="F688" s="210"/>
      <c r="G688" s="210"/>
      <c r="H688" s="210"/>
      <c r="I688" s="210"/>
      <c r="J688" s="210"/>
      <c r="K688" s="210"/>
      <c r="L688" s="210"/>
      <c r="M688" s="210"/>
      <c r="N688" s="210"/>
      <c r="O688" s="210"/>
      <c r="P688" s="210"/>
      <c r="Q688" s="210"/>
      <c r="R688" s="210"/>
      <c r="S688" s="210"/>
      <c r="T688" s="210"/>
      <c r="U688" s="210"/>
      <c r="V688" s="210"/>
      <c r="W688" s="210"/>
      <c r="X688" s="210"/>
      <c r="Y688" s="210"/>
      <c r="Z688" s="210"/>
      <c r="AA688" s="210"/>
      <c r="AB688" s="210"/>
      <c r="AC688" s="210"/>
      <c r="AI688" s="210"/>
      <c r="AJ688" s="210"/>
    </row>
    <row r="689" ht="12.75" customHeight="1">
      <c r="C689" s="210"/>
      <c r="D689" s="210"/>
      <c r="E689" s="210"/>
      <c r="F689" s="210"/>
      <c r="G689" s="210"/>
      <c r="H689" s="210"/>
      <c r="I689" s="210"/>
      <c r="J689" s="210"/>
      <c r="K689" s="210"/>
      <c r="L689" s="210"/>
      <c r="M689" s="210"/>
      <c r="N689" s="210"/>
      <c r="O689" s="210"/>
      <c r="P689" s="210"/>
      <c r="Q689" s="210"/>
      <c r="R689" s="210"/>
      <c r="S689" s="210"/>
      <c r="T689" s="210"/>
      <c r="U689" s="210"/>
      <c r="V689" s="210"/>
      <c r="W689" s="210"/>
      <c r="X689" s="210"/>
      <c r="Y689" s="210"/>
      <c r="Z689" s="210"/>
      <c r="AA689" s="210"/>
      <c r="AB689" s="210"/>
      <c r="AC689" s="210"/>
      <c r="AI689" s="210"/>
      <c r="AJ689" s="210"/>
    </row>
    <row r="690" ht="12.75" customHeight="1">
      <c r="C690" s="210"/>
      <c r="D690" s="210"/>
      <c r="E690" s="210"/>
      <c r="F690" s="210"/>
      <c r="G690" s="210"/>
      <c r="H690" s="210"/>
      <c r="I690" s="210"/>
      <c r="J690" s="210"/>
      <c r="K690" s="210"/>
      <c r="L690" s="210"/>
      <c r="M690" s="210"/>
      <c r="N690" s="210"/>
      <c r="O690" s="210"/>
      <c r="P690" s="210"/>
      <c r="Q690" s="210"/>
      <c r="R690" s="210"/>
      <c r="S690" s="210"/>
      <c r="T690" s="210"/>
      <c r="U690" s="210"/>
      <c r="V690" s="210"/>
      <c r="W690" s="210"/>
      <c r="X690" s="210"/>
      <c r="Y690" s="210"/>
      <c r="Z690" s="210"/>
      <c r="AA690" s="210"/>
      <c r="AB690" s="210"/>
      <c r="AC690" s="210"/>
      <c r="AI690" s="210"/>
      <c r="AJ690" s="210"/>
    </row>
    <row r="691" ht="12.75" customHeight="1">
      <c r="C691" s="210"/>
      <c r="D691" s="210"/>
      <c r="E691" s="210"/>
      <c r="F691" s="210"/>
      <c r="G691" s="210"/>
      <c r="H691" s="210"/>
      <c r="I691" s="210"/>
      <c r="J691" s="210"/>
      <c r="K691" s="210"/>
      <c r="L691" s="210"/>
      <c r="M691" s="210"/>
      <c r="N691" s="210"/>
      <c r="O691" s="210"/>
      <c r="P691" s="210"/>
      <c r="Q691" s="210"/>
      <c r="R691" s="210"/>
      <c r="S691" s="210"/>
      <c r="T691" s="210"/>
      <c r="U691" s="210"/>
      <c r="V691" s="210"/>
      <c r="W691" s="210"/>
      <c r="X691" s="210"/>
      <c r="Y691" s="210"/>
      <c r="Z691" s="210"/>
      <c r="AA691" s="210"/>
      <c r="AB691" s="210"/>
      <c r="AC691" s="210"/>
      <c r="AI691" s="210"/>
      <c r="AJ691" s="210"/>
    </row>
    <row r="692" ht="12.75" customHeight="1">
      <c r="C692" s="210"/>
      <c r="D692" s="210"/>
      <c r="E692" s="210"/>
      <c r="F692" s="210"/>
      <c r="G692" s="210"/>
      <c r="H692" s="210"/>
      <c r="I692" s="210"/>
      <c r="J692" s="210"/>
      <c r="K692" s="210"/>
      <c r="L692" s="210"/>
      <c r="M692" s="210"/>
      <c r="N692" s="210"/>
      <c r="O692" s="210"/>
      <c r="P692" s="210"/>
      <c r="Q692" s="210"/>
      <c r="R692" s="210"/>
      <c r="S692" s="210"/>
      <c r="T692" s="210"/>
      <c r="U692" s="210"/>
      <c r="V692" s="210"/>
      <c r="W692" s="210"/>
      <c r="X692" s="210"/>
      <c r="Y692" s="210"/>
      <c r="Z692" s="210"/>
      <c r="AA692" s="210"/>
      <c r="AB692" s="210"/>
      <c r="AC692" s="210"/>
      <c r="AI692" s="210"/>
      <c r="AJ692" s="210"/>
    </row>
    <row r="693" ht="12.75" customHeight="1">
      <c r="C693" s="210"/>
      <c r="D693" s="210"/>
      <c r="E693" s="210"/>
      <c r="F693" s="210"/>
      <c r="G693" s="210"/>
      <c r="H693" s="210"/>
      <c r="I693" s="210"/>
      <c r="J693" s="210"/>
      <c r="K693" s="210"/>
      <c r="L693" s="210"/>
      <c r="M693" s="210"/>
      <c r="N693" s="210"/>
      <c r="O693" s="210"/>
      <c r="P693" s="210"/>
      <c r="Q693" s="210"/>
      <c r="R693" s="210"/>
      <c r="S693" s="210"/>
      <c r="T693" s="210"/>
      <c r="U693" s="210"/>
      <c r="V693" s="210"/>
      <c r="W693" s="210"/>
      <c r="X693" s="210"/>
      <c r="Y693" s="210"/>
      <c r="Z693" s="210"/>
      <c r="AA693" s="210"/>
      <c r="AB693" s="210"/>
      <c r="AC693" s="210"/>
      <c r="AI693" s="210"/>
      <c r="AJ693" s="210"/>
    </row>
    <row r="694" ht="12.75" customHeight="1">
      <c r="C694" s="210"/>
      <c r="D694" s="210"/>
      <c r="E694" s="210"/>
      <c r="F694" s="210"/>
      <c r="G694" s="210"/>
      <c r="H694" s="210"/>
      <c r="I694" s="210"/>
      <c r="J694" s="210"/>
      <c r="K694" s="210"/>
      <c r="L694" s="210"/>
      <c r="M694" s="210"/>
      <c r="N694" s="210"/>
      <c r="O694" s="210"/>
      <c r="P694" s="210"/>
      <c r="Q694" s="210"/>
      <c r="R694" s="210"/>
      <c r="S694" s="210"/>
      <c r="T694" s="210"/>
      <c r="U694" s="210"/>
      <c r="V694" s="210"/>
      <c r="W694" s="210"/>
      <c r="X694" s="210"/>
      <c r="Y694" s="210"/>
      <c r="Z694" s="210"/>
      <c r="AA694" s="210"/>
      <c r="AB694" s="210"/>
      <c r="AC694" s="210"/>
      <c r="AI694" s="210"/>
      <c r="AJ694" s="210"/>
    </row>
    <row r="695" ht="12.75" customHeight="1">
      <c r="C695" s="210"/>
      <c r="D695" s="210"/>
      <c r="E695" s="210"/>
      <c r="F695" s="210"/>
      <c r="G695" s="210"/>
      <c r="H695" s="210"/>
      <c r="I695" s="210"/>
      <c r="J695" s="210"/>
      <c r="K695" s="210"/>
      <c r="L695" s="210"/>
      <c r="M695" s="210"/>
      <c r="N695" s="210"/>
      <c r="O695" s="210"/>
      <c r="P695" s="210"/>
      <c r="Q695" s="210"/>
      <c r="R695" s="210"/>
      <c r="S695" s="210"/>
      <c r="T695" s="210"/>
      <c r="U695" s="210"/>
      <c r="V695" s="210"/>
      <c r="W695" s="210"/>
      <c r="X695" s="210"/>
      <c r="Y695" s="210"/>
      <c r="Z695" s="210"/>
      <c r="AA695" s="210"/>
      <c r="AB695" s="210"/>
      <c r="AC695" s="210"/>
      <c r="AI695" s="210"/>
      <c r="AJ695" s="210"/>
    </row>
    <row r="696" ht="12.75" customHeight="1">
      <c r="C696" s="210"/>
      <c r="D696" s="210"/>
      <c r="E696" s="210"/>
      <c r="F696" s="210"/>
      <c r="G696" s="210"/>
      <c r="H696" s="210"/>
      <c r="I696" s="210"/>
      <c r="J696" s="210"/>
      <c r="K696" s="210"/>
      <c r="L696" s="210"/>
      <c r="M696" s="210"/>
      <c r="N696" s="210"/>
      <c r="O696" s="210"/>
      <c r="P696" s="210"/>
      <c r="Q696" s="210"/>
      <c r="R696" s="210"/>
      <c r="S696" s="210"/>
      <c r="T696" s="210"/>
      <c r="U696" s="210"/>
      <c r="V696" s="210"/>
      <c r="W696" s="210"/>
      <c r="X696" s="210"/>
      <c r="Y696" s="210"/>
      <c r="Z696" s="210"/>
      <c r="AA696" s="210"/>
      <c r="AB696" s="210"/>
      <c r="AC696" s="210"/>
      <c r="AI696" s="210"/>
      <c r="AJ696" s="210"/>
    </row>
    <row r="697" ht="12.75" customHeight="1">
      <c r="C697" s="210"/>
      <c r="D697" s="210"/>
      <c r="E697" s="210"/>
      <c r="F697" s="210"/>
      <c r="G697" s="210"/>
      <c r="H697" s="210"/>
      <c r="I697" s="210"/>
      <c r="J697" s="210"/>
      <c r="K697" s="210"/>
      <c r="L697" s="210"/>
      <c r="M697" s="210"/>
      <c r="N697" s="210"/>
      <c r="O697" s="210"/>
      <c r="P697" s="210"/>
      <c r="Q697" s="210"/>
      <c r="R697" s="210"/>
      <c r="S697" s="210"/>
      <c r="T697" s="210"/>
      <c r="U697" s="210"/>
      <c r="V697" s="210"/>
      <c r="W697" s="210"/>
      <c r="X697" s="210"/>
      <c r="Y697" s="210"/>
      <c r="Z697" s="210"/>
      <c r="AA697" s="210"/>
      <c r="AB697" s="210"/>
      <c r="AC697" s="210"/>
      <c r="AI697" s="210"/>
      <c r="AJ697" s="210"/>
    </row>
    <row r="698" ht="12.75" customHeight="1">
      <c r="C698" s="210"/>
      <c r="D698" s="210"/>
      <c r="E698" s="210"/>
      <c r="F698" s="210"/>
      <c r="G698" s="210"/>
      <c r="H698" s="210"/>
      <c r="I698" s="210"/>
      <c r="J698" s="210"/>
      <c r="K698" s="210"/>
      <c r="L698" s="210"/>
      <c r="M698" s="210"/>
      <c r="N698" s="210"/>
      <c r="O698" s="210"/>
      <c r="P698" s="210"/>
      <c r="Q698" s="210"/>
      <c r="R698" s="210"/>
      <c r="S698" s="210"/>
      <c r="T698" s="210"/>
      <c r="U698" s="210"/>
      <c r="V698" s="210"/>
      <c r="W698" s="210"/>
      <c r="X698" s="210"/>
      <c r="Y698" s="210"/>
      <c r="Z698" s="210"/>
      <c r="AA698" s="210"/>
      <c r="AB698" s="210"/>
      <c r="AC698" s="210"/>
      <c r="AI698" s="210"/>
      <c r="AJ698" s="210"/>
    </row>
    <row r="699" ht="12.75" customHeight="1">
      <c r="C699" s="210"/>
      <c r="D699" s="210"/>
      <c r="E699" s="210"/>
      <c r="F699" s="210"/>
      <c r="G699" s="210"/>
      <c r="H699" s="210"/>
      <c r="I699" s="210"/>
      <c r="J699" s="210"/>
      <c r="K699" s="210"/>
      <c r="L699" s="210"/>
      <c r="M699" s="210"/>
      <c r="N699" s="210"/>
      <c r="O699" s="210"/>
      <c r="P699" s="210"/>
      <c r="Q699" s="210"/>
      <c r="R699" s="210"/>
      <c r="S699" s="210"/>
      <c r="T699" s="210"/>
      <c r="U699" s="210"/>
      <c r="V699" s="210"/>
      <c r="W699" s="210"/>
      <c r="X699" s="210"/>
      <c r="Y699" s="210"/>
      <c r="Z699" s="210"/>
      <c r="AA699" s="210"/>
      <c r="AB699" s="210"/>
      <c r="AC699" s="210"/>
      <c r="AI699" s="210"/>
      <c r="AJ699" s="210"/>
    </row>
    <row r="700" ht="12.75" customHeight="1">
      <c r="C700" s="210"/>
      <c r="D700" s="210"/>
      <c r="E700" s="210"/>
      <c r="F700" s="210"/>
      <c r="G700" s="210"/>
      <c r="H700" s="210"/>
      <c r="I700" s="210"/>
      <c r="J700" s="210"/>
      <c r="K700" s="210"/>
      <c r="L700" s="210"/>
      <c r="M700" s="210"/>
      <c r="N700" s="210"/>
      <c r="O700" s="210"/>
      <c r="P700" s="210"/>
      <c r="Q700" s="210"/>
      <c r="R700" s="210"/>
      <c r="S700" s="210"/>
      <c r="T700" s="210"/>
      <c r="U700" s="210"/>
      <c r="V700" s="210"/>
      <c r="W700" s="210"/>
      <c r="X700" s="210"/>
      <c r="Y700" s="210"/>
      <c r="Z700" s="210"/>
      <c r="AA700" s="210"/>
      <c r="AB700" s="210"/>
      <c r="AC700" s="210"/>
      <c r="AI700" s="210"/>
      <c r="AJ700" s="210"/>
    </row>
    <row r="701" ht="12.75" customHeight="1">
      <c r="C701" s="210"/>
      <c r="D701" s="210"/>
      <c r="E701" s="210"/>
      <c r="F701" s="210"/>
      <c r="G701" s="210"/>
      <c r="H701" s="210"/>
      <c r="I701" s="210"/>
      <c r="J701" s="210"/>
      <c r="K701" s="210"/>
      <c r="L701" s="210"/>
      <c r="M701" s="210"/>
      <c r="N701" s="210"/>
      <c r="O701" s="210"/>
      <c r="P701" s="210"/>
      <c r="Q701" s="210"/>
      <c r="R701" s="210"/>
      <c r="S701" s="210"/>
      <c r="T701" s="210"/>
      <c r="U701" s="210"/>
      <c r="V701" s="210"/>
      <c r="W701" s="210"/>
      <c r="X701" s="210"/>
      <c r="Y701" s="210"/>
      <c r="Z701" s="210"/>
      <c r="AA701" s="210"/>
      <c r="AB701" s="210"/>
      <c r="AC701" s="210"/>
      <c r="AI701" s="210"/>
      <c r="AJ701" s="210"/>
    </row>
    <row r="702" ht="12.75" customHeight="1">
      <c r="C702" s="210"/>
      <c r="D702" s="210"/>
      <c r="E702" s="210"/>
      <c r="F702" s="210"/>
      <c r="G702" s="210"/>
      <c r="H702" s="210"/>
      <c r="I702" s="210"/>
      <c r="J702" s="210"/>
      <c r="K702" s="210"/>
      <c r="L702" s="210"/>
      <c r="M702" s="210"/>
      <c r="N702" s="210"/>
      <c r="O702" s="210"/>
      <c r="P702" s="210"/>
      <c r="Q702" s="210"/>
      <c r="R702" s="210"/>
      <c r="S702" s="210"/>
      <c r="T702" s="210"/>
      <c r="U702" s="210"/>
      <c r="V702" s="210"/>
      <c r="W702" s="210"/>
      <c r="X702" s="210"/>
      <c r="Y702" s="210"/>
      <c r="Z702" s="210"/>
      <c r="AA702" s="210"/>
      <c r="AB702" s="210"/>
      <c r="AC702" s="210"/>
      <c r="AI702" s="210"/>
      <c r="AJ702" s="210"/>
    </row>
    <row r="703" ht="12.75" customHeight="1">
      <c r="C703" s="210"/>
      <c r="D703" s="210"/>
      <c r="E703" s="210"/>
      <c r="F703" s="210"/>
      <c r="G703" s="210"/>
      <c r="H703" s="210"/>
      <c r="I703" s="210"/>
      <c r="J703" s="210"/>
      <c r="K703" s="210"/>
      <c r="L703" s="210"/>
      <c r="M703" s="210"/>
      <c r="N703" s="210"/>
      <c r="O703" s="210"/>
      <c r="P703" s="210"/>
      <c r="Q703" s="210"/>
      <c r="R703" s="210"/>
      <c r="S703" s="210"/>
      <c r="T703" s="210"/>
      <c r="U703" s="210"/>
      <c r="V703" s="210"/>
      <c r="W703" s="210"/>
      <c r="X703" s="210"/>
      <c r="Y703" s="210"/>
      <c r="Z703" s="210"/>
      <c r="AA703" s="210"/>
      <c r="AB703" s="210"/>
      <c r="AC703" s="210"/>
      <c r="AI703" s="210"/>
      <c r="AJ703" s="210"/>
    </row>
    <row r="704" ht="12.75" customHeight="1">
      <c r="C704" s="210"/>
      <c r="D704" s="210"/>
      <c r="E704" s="210"/>
      <c r="F704" s="210"/>
      <c r="G704" s="210"/>
      <c r="H704" s="210"/>
      <c r="I704" s="210"/>
      <c r="J704" s="210"/>
      <c r="K704" s="210"/>
      <c r="L704" s="210"/>
      <c r="M704" s="210"/>
      <c r="N704" s="210"/>
      <c r="O704" s="210"/>
      <c r="P704" s="210"/>
      <c r="Q704" s="210"/>
      <c r="R704" s="210"/>
      <c r="S704" s="210"/>
      <c r="T704" s="210"/>
      <c r="U704" s="210"/>
      <c r="V704" s="210"/>
      <c r="W704" s="210"/>
      <c r="X704" s="210"/>
      <c r="Y704" s="210"/>
      <c r="Z704" s="210"/>
      <c r="AA704" s="210"/>
      <c r="AB704" s="210"/>
      <c r="AC704" s="210"/>
      <c r="AI704" s="210"/>
      <c r="AJ704" s="210"/>
    </row>
    <row r="705" ht="12.75" customHeight="1">
      <c r="C705" s="210"/>
      <c r="D705" s="210"/>
      <c r="E705" s="210"/>
      <c r="F705" s="210"/>
      <c r="G705" s="210"/>
      <c r="H705" s="210"/>
      <c r="I705" s="210"/>
      <c r="J705" s="210"/>
      <c r="K705" s="210"/>
      <c r="L705" s="210"/>
      <c r="M705" s="210"/>
      <c r="N705" s="210"/>
      <c r="O705" s="210"/>
      <c r="P705" s="210"/>
      <c r="Q705" s="210"/>
      <c r="R705" s="210"/>
      <c r="S705" s="210"/>
      <c r="T705" s="210"/>
      <c r="U705" s="210"/>
      <c r="V705" s="210"/>
      <c r="W705" s="210"/>
      <c r="X705" s="210"/>
      <c r="Y705" s="210"/>
      <c r="Z705" s="210"/>
      <c r="AA705" s="210"/>
      <c r="AB705" s="210"/>
      <c r="AC705" s="210"/>
      <c r="AI705" s="210"/>
      <c r="AJ705" s="210"/>
    </row>
    <row r="706" ht="12.75" customHeight="1">
      <c r="C706" s="210"/>
      <c r="D706" s="210"/>
      <c r="E706" s="210"/>
      <c r="F706" s="210"/>
      <c r="G706" s="210"/>
      <c r="H706" s="210"/>
      <c r="I706" s="210"/>
      <c r="J706" s="210"/>
      <c r="K706" s="210"/>
      <c r="L706" s="210"/>
      <c r="M706" s="210"/>
      <c r="N706" s="210"/>
      <c r="O706" s="210"/>
      <c r="P706" s="210"/>
      <c r="Q706" s="210"/>
      <c r="R706" s="210"/>
      <c r="S706" s="210"/>
      <c r="T706" s="210"/>
      <c r="U706" s="210"/>
      <c r="V706" s="210"/>
      <c r="W706" s="210"/>
      <c r="X706" s="210"/>
      <c r="Y706" s="210"/>
      <c r="Z706" s="210"/>
      <c r="AA706" s="210"/>
      <c r="AB706" s="210"/>
      <c r="AC706" s="210"/>
      <c r="AI706" s="210"/>
      <c r="AJ706" s="210"/>
    </row>
    <row r="707" ht="12.75" customHeight="1">
      <c r="C707" s="210"/>
      <c r="D707" s="210"/>
      <c r="E707" s="210"/>
      <c r="F707" s="210"/>
      <c r="G707" s="210"/>
      <c r="H707" s="210"/>
      <c r="I707" s="210"/>
      <c r="J707" s="210"/>
      <c r="K707" s="210"/>
      <c r="L707" s="210"/>
      <c r="M707" s="210"/>
      <c r="N707" s="210"/>
      <c r="O707" s="210"/>
      <c r="P707" s="210"/>
      <c r="Q707" s="210"/>
      <c r="R707" s="210"/>
      <c r="S707" s="210"/>
      <c r="T707" s="210"/>
      <c r="U707" s="210"/>
      <c r="V707" s="210"/>
      <c r="W707" s="210"/>
      <c r="X707" s="210"/>
      <c r="Y707" s="210"/>
      <c r="Z707" s="210"/>
      <c r="AA707" s="210"/>
      <c r="AB707" s="210"/>
      <c r="AC707" s="210"/>
      <c r="AI707" s="210"/>
      <c r="AJ707" s="210"/>
    </row>
    <row r="708" ht="12.75" customHeight="1">
      <c r="C708" s="210"/>
      <c r="D708" s="210"/>
      <c r="E708" s="210"/>
      <c r="F708" s="210"/>
      <c r="G708" s="210"/>
      <c r="H708" s="210"/>
      <c r="I708" s="210"/>
      <c r="J708" s="210"/>
      <c r="K708" s="210"/>
      <c r="L708" s="210"/>
      <c r="M708" s="210"/>
      <c r="N708" s="210"/>
      <c r="O708" s="210"/>
      <c r="P708" s="210"/>
      <c r="Q708" s="210"/>
      <c r="R708" s="210"/>
      <c r="S708" s="210"/>
      <c r="T708" s="210"/>
      <c r="U708" s="210"/>
      <c r="V708" s="210"/>
      <c r="W708" s="210"/>
      <c r="X708" s="210"/>
      <c r="Y708" s="210"/>
      <c r="Z708" s="210"/>
      <c r="AA708" s="210"/>
      <c r="AB708" s="210"/>
      <c r="AC708" s="210"/>
      <c r="AI708" s="210"/>
      <c r="AJ708" s="210"/>
    </row>
    <row r="709" ht="12.75" customHeight="1">
      <c r="C709" s="210"/>
      <c r="D709" s="210"/>
      <c r="E709" s="210"/>
      <c r="F709" s="210"/>
      <c r="G709" s="210"/>
      <c r="H709" s="210"/>
      <c r="I709" s="210"/>
      <c r="J709" s="210"/>
      <c r="K709" s="210"/>
      <c r="L709" s="210"/>
      <c r="M709" s="210"/>
      <c r="N709" s="210"/>
      <c r="O709" s="210"/>
      <c r="P709" s="210"/>
      <c r="Q709" s="210"/>
      <c r="R709" s="210"/>
      <c r="S709" s="210"/>
      <c r="T709" s="210"/>
      <c r="U709" s="210"/>
      <c r="V709" s="210"/>
      <c r="W709" s="210"/>
      <c r="X709" s="210"/>
      <c r="Y709" s="210"/>
      <c r="Z709" s="210"/>
      <c r="AA709" s="210"/>
      <c r="AB709" s="210"/>
      <c r="AC709" s="210"/>
      <c r="AI709" s="210"/>
      <c r="AJ709" s="210"/>
    </row>
    <row r="710" ht="12.75" customHeight="1">
      <c r="C710" s="210"/>
      <c r="D710" s="210"/>
      <c r="E710" s="210"/>
      <c r="F710" s="210"/>
      <c r="G710" s="210"/>
      <c r="H710" s="210"/>
      <c r="I710" s="210"/>
      <c r="J710" s="210"/>
      <c r="K710" s="210"/>
      <c r="L710" s="210"/>
      <c r="M710" s="210"/>
      <c r="N710" s="210"/>
      <c r="O710" s="210"/>
      <c r="P710" s="210"/>
      <c r="Q710" s="210"/>
      <c r="R710" s="210"/>
      <c r="S710" s="210"/>
      <c r="T710" s="210"/>
      <c r="U710" s="210"/>
      <c r="V710" s="210"/>
      <c r="W710" s="210"/>
      <c r="X710" s="210"/>
      <c r="Y710" s="210"/>
      <c r="Z710" s="210"/>
      <c r="AA710" s="210"/>
      <c r="AB710" s="210"/>
      <c r="AC710" s="210"/>
      <c r="AI710" s="210"/>
      <c r="AJ710" s="210"/>
    </row>
    <row r="711" ht="12.75" customHeight="1">
      <c r="C711" s="210"/>
      <c r="D711" s="210"/>
      <c r="E711" s="210"/>
      <c r="F711" s="210"/>
      <c r="G711" s="210"/>
      <c r="H711" s="210"/>
      <c r="I711" s="210"/>
      <c r="J711" s="210"/>
      <c r="K711" s="210"/>
      <c r="L711" s="210"/>
      <c r="M711" s="210"/>
      <c r="N711" s="210"/>
      <c r="O711" s="210"/>
      <c r="P711" s="210"/>
      <c r="Q711" s="210"/>
      <c r="R711" s="210"/>
      <c r="S711" s="210"/>
      <c r="T711" s="210"/>
      <c r="U711" s="210"/>
      <c r="V711" s="210"/>
      <c r="W711" s="210"/>
      <c r="X711" s="210"/>
      <c r="Y711" s="210"/>
      <c r="Z711" s="210"/>
      <c r="AA711" s="210"/>
      <c r="AB711" s="210"/>
      <c r="AC711" s="210"/>
      <c r="AI711" s="210"/>
      <c r="AJ711" s="210"/>
    </row>
    <row r="712" ht="12.75" customHeight="1">
      <c r="C712" s="210"/>
      <c r="D712" s="210"/>
      <c r="E712" s="210"/>
      <c r="F712" s="210"/>
      <c r="G712" s="210"/>
      <c r="H712" s="210"/>
      <c r="I712" s="210"/>
      <c r="J712" s="210"/>
      <c r="K712" s="210"/>
      <c r="L712" s="210"/>
      <c r="M712" s="210"/>
      <c r="N712" s="210"/>
      <c r="O712" s="210"/>
      <c r="P712" s="210"/>
      <c r="Q712" s="210"/>
      <c r="R712" s="210"/>
      <c r="S712" s="210"/>
      <c r="T712" s="210"/>
      <c r="U712" s="210"/>
      <c r="V712" s="210"/>
      <c r="W712" s="210"/>
      <c r="X712" s="210"/>
      <c r="Y712" s="210"/>
      <c r="Z712" s="210"/>
      <c r="AA712" s="210"/>
      <c r="AB712" s="210"/>
      <c r="AC712" s="210"/>
      <c r="AI712" s="210"/>
      <c r="AJ712" s="210"/>
    </row>
    <row r="713" ht="12.75" customHeight="1">
      <c r="C713" s="210"/>
      <c r="D713" s="210"/>
      <c r="E713" s="210"/>
      <c r="F713" s="210"/>
      <c r="G713" s="210"/>
      <c r="H713" s="210"/>
      <c r="I713" s="210"/>
      <c r="J713" s="210"/>
      <c r="K713" s="210"/>
      <c r="L713" s="210"/>
      <c r="M713" s="210"/>
      <c r="N713" s="210"/>
      <c r="O713" s="210"/>
      <c r="P713" s="210"/>
      <c r="Q713" s="210"/>
      <c r="R713" s="210"/>
      <c r="S713" s="210"/>
      <c r="T713" s="210"/>
      <c r="U713" s="210"/>
      <c r="V713" s="210"/>
      <c r="W713" s="210"/>
      <c r="X713" s="210"/>
      <c r="Y713" s="210"/>
      <c r="Z713" s="210"/>
      <c r="AA713" s="210"/>
      <c r="AB713" s="210"/>
      <c r="AC713" s="210"/>
      <c r="AI713" s="210"/>
      <c r="AJ713" s="210"/>
    </row>
    <row r="714" ht="12.75" customHeight="1">
      <c r="C714" s="210"/>
      <c r="D714" s="210"/>
      <c r="E714" s="210"/>
      <c r="F714" s="210"/>
      <c r="G714" s="210"/>
      <c r="H714" s="210"/>
      <c r="I714" s="210"/>
      <c r="J714" s="210"/>
      <c r="K714" s="210"/>
      <c r="L714" s="210"/>
      <c r="M714" s="210"/>
      <c r="N714" s="210"/>
      <c r="O714" s="210"/>
      <c r="P714" s="210"/>
      <c r="Q714" s="210"/>
      <c r="R714" s="210"/>
      <c r="S714" s="210"/>
      <c r="T714" s="210"/>
      <c r="U714" s="210"/>
      <c r="V714" s="210"/>
      <c r="W714" s="210"/>
      <c r="X714" s="210"/>
      <c r="Y714" s="210"/>
      <c r="Z714" s="210"/>
      <c r="AA714" s="210"/>
      <c r="AB714" s="210"/>
      <c r="AC714" s="210"/>
      <c r="AI714" s="210"/>
      <c r="AJ714" s="210"/>
    </row>
    <row r="715" ht="12.75" customHeight="1">
      <c r="C715" s="210"/>
      <c r="D715" s="210"/>
      <c r="E715" s="210"/>
      <c r="F715" s="210"/>
      <c r="G715" s="210"/>
      <c r="H715" s="210"/>
      <c r="I715" s="210"/>
      <c r="J715" s="210"/>
      <c r="K715" s="210"/>
      <c r="L715" s="210"/>
      <c r="M715" s="210"/>
      <c r="N715" s="210"/>
      <c r="O715" s="210"/>
      <c r="P715" s="210"/>
      <c r="Q715" s="210"/>
      <c r="R715" s="210"/>
      <c r="S715" s="210"/>
      <c r="T715" s="210"/>
      <c r="U715" s="210"/>
      <c r="V715" s="210"/>
      <c r="W715" s="210"/>
      <c r="X715" s="210"/>
      <c r="Y715" s="210"/>
      <c r="Z715" s="210"/>
      <c r="AA715" s="210"/>
      <c r="AB715" s="210"/>
      <c r="AC715" s="210"/>
      <c r="AI715" s="210"/>
      <c r="AJ715" s="210"/>
    </row>
    <row r="716" ht="12.75" customHeight="1">
      <c r="C716" s="210"/>
      <c r="D716" s="210"/>
      <c r="E716" s="210"/>
      <c r="F716" s="210"/>
      <c r="G716" s="210"/>
      <c r="H716" s="210"/>
      <c r="I716" s="210"/>
      <c r="J716" s="210"/>
      <c r="K716" s="210"/>
      <c r="L716" s="210"/>
      <c r="M716" s="210"/>
      <c r="N716" s="210"/>
      <c r="O716" s="210"/>
      <c r="P716" s="210"/>
      <c r="Q716" s="210"/>
      <c r="R716" s="210"/>
      <c r="S716" s="210"/>
      <c r="T716" s="210"/>
      <c r="U716" s="210"/>
      <c r="V716" s="210"/>
      <c r="W716" s="210"/>
      <c r="X716" s="210"/>
      <c r="Y716" s="210"/>
      <c r="Z716" s="210"/>
      <c r="AA716" s="210"/>
      <c r="AB716" s="210"/>
      <c r="AC716" s="210"/>
      <c r="AI716" s="210"/>
      <c r="AJ716" s="210"/>
    </row>
    <row r="717" ht="12.75" customHeight="1">
      <c r="C717" s="210"/>
      <c r="D717" s="210"/>
      <c r="E717" s="210"/>
      <c r="F717" s="210"/>
      <c r="G717" s="210"/>
      <c r="H717" s="210"/>
      <c r="I717" s="210"/>
      <c r="J717" s="210"/>
      <c r="K717" s="210"/>
      <c r="L717" s="210"/>
      <c r="M717" s="210"/>
      <c r="N717" s="210"/>
      <c r="O717" s="210"/>
      <c r="P717" s="210"/>
      <c r="Q717" s="210"/>
      <c r="R717" s="210"/>
      <c r="S717" s="210"/>
      <c r="T717" s="210"/>
      <c r="U717" s="210"/>
      <c r="V717" s="210"/>
      <c r="W717" s="210"/>
      <c r="X717" s="210"/>
      <c r="Y717" s="210"/>
      <c r="Z717" s="210"/>
      <c r="AA717" s="210"/>
      <c r="AB717" s="210"/>
      <c r="AC717" s="210"/>
      <c r="AI717" s="210"/>
      <c r="AJ717" s="210"/>
    </row>
    <row r="718" ht="12.75" customHeight="1">
      <c r="C718" s="210"/>
      <c r="D718" s="210"/>
      <c r="E718" s="210"/>
      <c r="F718" s="210"/>
      <c r="G718" s="210"/>
      <c r="H718" s="210"/>
      <c r="I718" s="210"/>
      <c r="J718" s="210"/>
      <c r="K718" s="210"/>
      <c r="L718" s="210"/>
      <c r="M718" s="210"/>
      <c r="N718" s="210"/>
      <c r="O718" s="210"/>
      <c r="P718" s="210"/>
      <c r="Q718" s="210"/>
      <c r="R718" s="210"/>
      <c r="S718" s="210"/>
      <c r="T718" s="210"/>
      <c r="U718" s="210"/>
      <c r="V718" s="210"/>
      <c r="W718" s="210"/>
      <c r="X718" s="210"/>
      <c r="Y718" s="210"/>
      <c r="Z718" s="210"/>
      <c r="AA718" s="210"/>
      <c r="AB718" s="210"/>
      <c r="AC718" s="210"/>
      <c r="AI718" s="210"/>
      <c r="AJ718" s="210"/>
    </row>
    <row r="719" ht="12.75" customHeight="1">
      <c r="C719" s="210"/>
      <c r="D719" s="210"/>
      <c r="E719" s="210"/>
      <c r="F719" s="210"/>
      <c r="G719" s="210"/>
      <c r="H719" s="210"/>
      <c r="I719" s="210"/>
      <c r="J719" s="210"/>
      <c r="K719" s="210"/>
      <c r="L719" s="210"/>
      <c r="M719" s="210"/>
      <c r="N719" s="210"/>
      <c r="O719" s="210"/>
      <c r="P719" s="210"/>
      <c r="Q719" s="210"/>
      <c r="R719" s="210"/>
      <c r="S719" s="210"/>
      <c r="T719" s="210"/>
      <c r="U719" s="210"/>
      <c r="V719" s="210"/>
      <c r="W719" s="210"/>
      <c r="X719" s="210"/>
      <c r="Y719" s="210"/>
      <c r="Z719" s="210"/>
      <c r="AA719" s="210"/>
      <c r="AB719" s="210"/>
      <c r="AC719" s="210"/>
      <c r="AI719" s="210"/>
      <c r="AJ719" s="210"/>
    </row>
    <row r="720" ht="12.75" customHeight="1">
      <c r="C720" s="210"/>
      <c r="D720" s="210"/>
      <c r="E720" s="210"/>
      <c r="F720" s="210"/>
      <c r="G720" s="210"/>
      <c r="H720" s="210"/>
      <c r="I720" s="210"/>
      <c r="J720" s="210"/>
      <c r="K720" s="210"/>
      <c r="L720" s="210"/>
      <c r="M720" s="210"/>
      <c r="N720" s="210"/>
      <c r="O720" s="210"/>
      <c r="P720" s="210"/>
      <c r="Q720" s="210"/>
      <c r="R720" s="210"/>
      <c r="S720" s="210"/>
      <c r="T720" s="210"/>
      <c r="U720" s="210"/>
      <c r="V720" s="210"/>
      <c r="W720" s="210"/>
      <c r="X720" s="210"/>
      <c r="Y720" s="210"/>
      <c r="Z720" s="210"/>
      <c r="AA720" s="210"/>
      <c r="AB720" s="210"/>
      <c r="AC720" s="210"/>
      <c r="AI720" s="210"/>
      <c r="AJ720" s="210"/>
    </row>
    <row r="721" ht="12.75" customHeight="1">
      <c r="C721" s="210"/>
      <c r="D721" s="210"/>
      <c r="E721" s="210"/>
      <c r="F721" s="210"/>
      <c r="G721" s="210"/>
      <c r="H721" s="210"/>
      <c r="I721" s="210"/>
      <c r="J721" s="210"/>
      <c r="K721" s="210"/>
      <c r="L721" s="210"/>
      <c r="M721" s="210"/>
      <c r="N721" s="210"/>
      <c r="O721" s="210"/>
      <c r="P721" s="210"/>
      <c r="Q721" s="210"/>
      <c r="R721" s="210"/>
      <c r="S721" s="210"/>
      <c r="T721" s="210"/>
      <c r="U721" s="210"/>
      <c r="V721" s="210"/>
      <c r="W721" s="210"/>
      <c r="X721" s="210"/>
      <c r="Y721" s="210"/>
      <c r="Z721" s="210"/>
      <c r="AA721" s="210"/>
      <c r="AB721" s="210"/>
      <c r="AC721" s="210"/>
      <c r="AI721" s="210"/>
      <c r="AJ721" s="210"/>
    </row>
    <row r="722" ht="12.75" customHeight="1">
      <c r="C722" s="210"/>
      <c r="D722" s="210"/>
      <c r="E722" s="210"/>
      <c r="F722" s="210"/>
      <c r="G722" s="210"/>
      <c r="H722" s="210"/>
      <c r="I722" s="210"/>
      <c r="J722" s="210"/>
      <c r="K722" s="210"/>
      <c r="L722" s="210"/>
      <c r="M722" s="210"/>
      <c r="N722" s="210"/>
      <c r="O722" s="210"/>
      <c r="P722" s="210"/>
      <c r="Q722" s="210"/>
      <c r="R722" s="210"/>
      <c r="S722" s="210"/>
      <c r="T722" s="210"/>
      <c r="U722" s="210"/>
      <c r="V722" s="210"/>
      <c r="W722" s="210"/>
      <c r="X722" s="210"/>
      <c r="Y722" s="210"/>
      <c r="Z722" s="210"/>
      <c r="AA722" s="210"/>
      <c r="AB722" s="210"/>
      <c r="AC722" s="210"/>
      <c r="AI722" s="210"/>
      <c r="AJ722" s="210"/>
    </row>
    <row r="723" ht="12.75" customHeight="1">
      <c r="C723" s="210"/>
      <c r="D723" s="210"/>
      <c r="E723" s="210"/>
      <c r="F723" s="210"/>
      <c r="G723" s="210"/>
      <c r="H723" s="210"/>
      <c r="I723" s="210"/>
      <c r="J723" s="210"/>
      <c r="K723" s="210"/>
      <c r="L723" s="210"/>
      <c r="M723" s="210"/>
      <c r="N723" s="210"/>
      <c r="O723" s="210"/>
      <c r="P723" s="210"/>
      <c r="Q723" s="210"/>
      <c r="R723" s="210"/>
      <c r="S723" s="210"/>
      <c r="T723" s="210"/>
      <c r="U723" s="210"/>
      <c r="V723" s="210"/>
      <c r="W723" s="210"/>
      <c r="X723" s="210"/>
      <c r="Y723" s="210"/>
      <c r="Z723" s="210"/>
      <c r="AA723" s="210"/>
      <c r="AB723" s="210"/>
      <c r="AC723" s="210"/>
      <c r="AI723" s="210"/>
      <c r="AJ723" s="210"/>
    </row>
    <row r="724" ht="12.75" customHeight="1">
      <c r="C724" s="210"/>
      <c r="D724" s="210"/>
      <c r="E724" s="210"/>
      <c r="F724" s="210"/>
      <c r="G724" s="210"/>
      <c r="H724" s="210"/>
      <c r="I724" s="210"/>
      <c r="J724" s="210"/>
      <c r="K724" s="210"/>
      <c r="L724" s="210"/>
      <c r="M724" s="210"/>
      <c r="N724" s="210"/>
      <c r="O724" s="210"/>
      <c r="P724" s="210"/>
      <c r="Q724" s="210"/>
      <c r="R724" s="210"/>
      <c r="S724" s="210"/>
      <c r="T724" s="210"/>
      <c r="U724" s="210"/>
      <c r="V724" s="210"/>
      <c r="W724" s="210"/>
      <c r="X724" s="210"/>
      <c r="Y724" s="210"/>
      <c r="Z724" s="210"/>
      <c r="AA724" s="210"/>
      <c r="AB724" s="210"/>
      <c r="AC724" s="210"/>
      <c r="AI724" s="210"/>
      <c r="AJ724" s="210"/>
    </row>
    <row r="725" ht="12.75" customHeight="1">
      <c r="C725" s="210"/>
      <c r="D725" s="210"/>
      <c r="E725" s="210"/>
      <c r="F725" s="210"/>
      <c r="G725" s="210"/>
      <c r="H725" s="210"/>
      <c r="I725" s="210"/>
      <c r="J725" s="210"/>
      <c r="K725" s="210"/>
      <c r="L725" s="210"/>
      <c r="M725" s="210"/>
      <c r="N725" s="210"/>
      <c r="O725" s="210"/>
      <c r="P725" s="210"/>
      <c r="Q725" s="210"/>
      <c r="R725" s="210"/>
      <c r="S725" s="210"/>
      <c r="T725" s="210"/>
      <c r="U725" s="210"/>
      <c r="V725" s="210"/>
      <c r="W725" s="210"/>
      <c r="X725" s="210"/>
      <c r="Y725" s="210"/>
      <c r="Z725" s="210"/>
      <c r="AA725" s="210"/>
      <c r="AB725" s="210"/>
      <c r="AC725" s="210"/>
      <c r="AI725" s="210"/>
      <c r="AJ725" s="210"/>
    </row>
    <row r="726" ht="12.75" customHeight="1">
      <c r="C726" s="210"/>
      <c r="D726" s="210"/>
      <c r="E726" s="210"/>
      <c r="F726" s="210"/>
      <c r="G726" s="210"/>
      <c r="H726" s="210"/>
      <c r="I726" s="210"/>
      <c r="J726" s="210"/>
      <c r="K726" s="210"/>
      <c r="L726" s="210"/>
      <c r="M726" s="210"/>
      <c r="N726" s="210"/>
      <c r="O726" s="210"/>
      <c r="P726" s="210"/>
      <c r="Q726" s="210"/>
      <c r="R726" s="210"/>
      <c r="S726" s="210"/>
      <c r="T726" s="210"/>
      <c r="U726" s="210"/>
      <c r="V726" s="210"/>
      <c r="W726" s="210"/>
      <c r="X726" s="210"/>
      <c r="Y726" s="210"/>
      <c r="Z726" s="210"/>
      <c r="AA726" s="210"/>
      <c r="AB726" s="210"/>
      <c r="AC726" s="210"/>
      <c r="AI726" s="210"/>
      <c r="AJ726" s="210"/>
    </row>
    <row r="727" ht="12.75" customHeight="1">
      <c r="C727" s="210"/>
      <c r="D727" s="210"/>
      <c r="E727" s="210"/>
      <c r="F727" s="210"/>
      <c r="G727" s="210"/>
      <c r="H727" s="210"/>
      <c r="I727" s="210"/>
      <c r="J727" s="210"/>
      <c r="K727" s="210"/>
      <c r="L727" s="210"/>
      <c r="M727" s="210"/>
      <c r="N727" s="210"/>
      <c r="O727" s="210"/>
      <c r="P727" s="210"/>
      <c r="Q727" s="210"/>
      <c r="R727" s="210"/>
      <c r="S727" s="210"/>
      <c r="T727" s="210"/>
      <c r="U727" s="210"/>
      <c r="V727" s="210"/>
      <c r="W727" s="210"/>
      <c r="X727" s="210"/>
      <c r="Y727" s="210"/>
      <c r="Z727" s="210"/>
      <c r="AA727" s="210"/>
      <c r="AB727" s="210"/>
      <c r="AC727" s="210"/>
      <c r="AI727" s="210"/>
      <c r="AJ727" s="210"/>
    </row>
    <row r="728" ht="12.75" customHeight="1">
      <c r="C728" s="210"/>
      <c r="D728" s="210"/>
      <c r="E728" s="210"/>
      <c r="F728" s="210"/>
      <c r="G728" s="210"/>
      <c r="H728" s="210"/>
      <c r="I728" s="210"/>
      <c r="J728" s="210"/>
      <c r="K728" s="210"/>
      <c r="L728" s="210"/>
      <c r="M728" s="210"/>
      <c r="N728" s="210"/>
      <c r="O728" s="210"/>
      <c r="P728" s="210"/>
      <c r="Q728" s="210"/>
      <c r="R728" s="210"/>
      <c r="S728" s="210"/>
      <c r="T728" s="210"/>
      <c r="U728" s="210"/>
      <c r="V728" s="210"/>
      <c r="W728" s="210"/>
      <c r="X728" s="210"/>
      <c r="Y728" s="210"/>
      <c r="Z728" s="210"/>
      <c r="AA728" s="210"/>
      <c r="AB728" s="210"/>
      <c r="AC728" s="210"/>
      <c r="AI728" s="210"/>
      <c r="AJ728" s="210"/>
    </row>
    <row r="729" ht="12.75" customHeight="1">
      <c r="C729" s="210"/>
      <c r="D729" s="210"/>
      <c r="E729" s="210"/>
      <c r="F729" s="210"/>
      <c r="G729" s="210"/>
      <c r="H729" s="210"/>
      <c r="I729" s="210"/>
      <c r="J729" s="210"/>
      <c r="K729" s="210"/>
      <c r="L729" s="210"/>
      <c r="M729" s="210"/>
      <c r="N729" s="210"/>
      <c r="O729" s="210"/>
      <c r="P729" s="210"/>
      <c r="Q729" s="210"/>
      <c r="R729" s="210"/>
      <c r="S729" s="210"/>
      <c r="T729" s="210"/>
      <c r="U729" s="210"/>
      <c r="V729" s="210"/>
      <c r="W729" s="210"/>
      <c r="X729" s="210"/>
      <c r="Y729" s="210"/>
      <c r="Z729" s="210"/>
      <c r="AA729" s="210"/>
      <c r="AB729" s="210"/>
      <c r="AC729" s="210"/>
      <c r="AI729" s="210"/>
      <c r="AJ729" s="210"/>
    </row>
    <row r="730" ht="12.75" customHeight="1">
      <c r="C730" s="210"/>
      <c r="D730" s="210"/>
      <c r="E730" s="210"/>
      <c r="F730" s="210"/>
      <c r="G730" s="210"/>
      <c r="H730" s="210"/>
      <c r="I730" s="210"/>
      <c r="J730" s="210"/>
      <c r="K730" s="210"/>
      <c r="L730" s="210"/>
      <c r="M730" s="210"/>
      <c r="N730" s="210"/>
      <c r="O730" s="210"/>
      <c r="P730" s="210"/>
      <c r="Q730" s="210"/>
      <c r="R730" s="210"/>
      <c r="S730" s="210"/>
      <c r="T730" s="210"/>
      <c r="U730" s="210"/>
      <c r="V730" s="210"/>
      <c r="W730" s="210"/>
      <c r="X730" s="210"/>
      <c r="Y730" s="210"/>
      <c r="Z730" s="210"/>
      <c r="AA730" s="210"/>
      <c r="AB730" s="210"/>
      <c r="AC730" s="210"/>
      <c r="AI730" s="210"/>
      <c r="AJ730" s="210"/>
    </row>
    <row r="731" ht="12.75" customHeight="1">
      <c r="C731" s="210"/>
      <c r="D731" s="210"/>
      <c r="E731" s="210"/>
      <c r="F731" s="210"/>
      <c r="G731" s="210"/>
      <c r="H731" s="210"/>
      <c r="I731" s="210"/>
      <c r="J731" s="210"/>
      <c r="K731" s="210"/>
      <c r="L731" s="210"/>
      <c r="M731" s="210"/>
      <c r="N731" s="210"/>
      <c r="O731" s="210"/>
      <c r="P731" s="210"/>
      <c r="Q731" s="210"/>
      <c r="R731" s="210"/>
      <c r="S731" s="210"/>
      <c r="T731" s="210"/>
      <c r="U731" s="210"/>
      <c r="V731" s="210"/>
      <c r="W731" s="210"/>
      <c r="X731" s="210"/>
      <c r="Y731" s="210"/>
      <c r="Z731" s="210"/>
      <c r="AA731" s="210"/>
      <c r="AB731" s="210"/>
      <c r="AC731" s="210"/>
      <c r="AI731" s="210"/>
      <c r="AJ731" s="210"/>
    </row>
    <row r="732" ht="12.75" customHeight="1">
      <c r="C732" s="210"/>
      <c r="D732" s="210"/>
      <c r="E732" s="210"/>
      <c r="F732" s="210"/>
      <c r="G732" s="210"/>
      <c r="H732" s="210"/>
      <c r="I732" s="210"/>
      <c r="J732" s="210"/>
      <c r="K732" s="210"/>
      <c r="L732" s="210"/>
      <c r="M732" s="210"/>
      <c r="N732" s="210"/>
      <c r="O732" s="210"/>
      <c r="P732" s="210"/>
      <c r="Q732" s="210"/>
      <c r="R732" s="210"/>
      <c r="S732" s="210"/>
      <c r="T732" s="210"/>
      <c r="U732" s="210"/>
      <c r="V732" s="210"/>
      <c r="W732" s="210"/>
      <c r="X732" s="210"/>
      <c r="Y732" s="210"/>
      <c r="Z732" s="210"/>
      <c r="AA732" s="210"/>
      <c r="AB732" s="210"/>
      <c r="AC732" s="210"/>
      <c r="AI732" s="210"/>
      <c r="AJ732" s="210"/>
    </row>
    <row r="733" ht="12.75" customHeight="1">
      <c r="C733" s="210"/>
      <c r="D733" s="210"/>
      <c r="E733" s="210"/>
      <c r="F733" s="210"/>
      <c r="G733" s="210"/>
      <c r="H733" s="210"/>
      <c r="I733" s="210"/>
      <c r="J733" s="210"/>
      <c r="K733" s="210"/>
      <c r="L733" s="210"/>
      <c r="M733" s="210"/>
      <c r="N733" s="210"/>
      <c r="O733" s="210"/>
      <c r="P733" s="210"/>
      <c r="Q733" s="210"/>
      <c r="R733" s="210"/>
      <c r="S733" s="210"/>
      <c r="T733" s="210"/>
      <c r="U733" s="210"/>
      <c r="V733" s="210"/>
      <c r="W733" s="210"/>
      <c r="X733" s="210"/>
      <c r="Y733" s="210"/>
      <c r="Z733" s="210"/>
      <c r="AA733" s="210"/>
      <c r="AB733" s="210"/>
      <c r="AC733" s="210"/>
      <c r="AI733" s="210"/>
      <c r="AJ733" s="210"/>
    </row>
    <row r="734" ht="12.75" customHeight="1">
      <c r="C734" s="210"/>
      <c r="D734" s="210"/>
      <c r="E734" s="210"/>
      <c r="F734" s="210"/>
      <c r="G734" s="210"/>
      <c r="H734" s="210"/>
      <c r="I734" s="210"/>
      <c r="J734" s="210"/>
      <c r="K734" s="210"/>
      <c r="L734" s="210"/>
      <c r="M734" s="210"/>
      <c r="N734" s="210"/>
      <c r="O734" s="210"/>
      <c r="P734" s="210"/>
      <c r="Q734" s="210"/>
      <c r="R734" s="210"/>
      <c r="S734" s="210"/>
      <c r="T734" s="210"/>
      <c r="U734" s="210"/>
      <c r="V734" s="210"/>
      <c r="W734" s="210"/>
      <c r="X734" s="210"/>
      <c r="Y734" s="210"/>
      <c r="Z734" s="210"/>
      <c r="AA734" s="210"/>
      <c r="AB734" s="210"/>
      <c r="AC734" s="210"/>
      <c r="AI734" s="210"/>
      <c r="AJ734" s="210"/>
    </row>
    <row r="735" ht="12.75" customHeight="1">
      <c r="C735" s="210"/>
      <c r="D735" s="210"/>
      <c r="E735" s="210"/>
      <c r="F735" s="210"/>
      <c r="G735" s="210"/>
      <c r="H735" s="210"/>
      <c r="I735" s="210"/>
      <c r="J735" s="210"/>
      <c r="K735" s="210"/>
      <c r="L735" s="210"/>
      <c r="M735" s="210"/>
      <c r="N735" s="210"/>
      <c r="O735" s="210"/>
      <c r="P735" s="210"/>
      <c r="Q735" s="210"/>
      <c r="R735" s="210"/>
      <c r="S735" s="210"/>
      <c r="T735" s="210"/>
      <c r="U735" s="210"/>
      <c r="V735" s="210"/>
      <c r="W735" s="210"/>
      <c r="X735" s="210"/>
      <c r="Y735" s="210"/>
      <c r="Z735" s="210"/>
      <c r="AA735" s="210"/>
      <c r="AB735" s="210"/>
      <c r="AC735" s="210"/>
      <c r="AI735" s="210"/>
      <c r="AJ735" s="210"/>
    </row>
    <row r="736" ht="12.75" customHeight="1">
      <c r="C736" s="210"/>
      <c r="D736" s="210"/>
      <c r="E736" s="210"/>
      <c r="F736" s="210"/>
      <c r="G736" s="210"/>
      <c r="H736" s="210"/>
      <c r="I736" s="210"/>
      <c r="J736" s="210"/>
      <c r="K736" s="210"/>
      <c r="L736" s="210"/>
      <c r="M736" s="210"/>
      <c r="N736" s="210"/>
      <c r="O736" s="210"/>
      <c r="P736" s="210"/>
      <c r="Q736" s="210"/>
      <c r="R736" s="210"/>
      <c r="S736" s="210"/>
      <c r="T736" s="210"/>
      <c r="U736" s="210"/>
      <c r="V736" s="210"/>
      <c r="W736" s="210"/>
      <c r="X736" s="210"/>
      <c r="Y736" s="210"/>
      <c r="Z736" s="210"/>
      <c r="AA736" s="210"/>
      <c r="AB736" s="210"/>
      <c r="AC736" s="210"/>
      <c r="AI736" s="210"/>
      <c r="AJ736" s="210"/>
    </row>
    <row r="737" ht="12.75" customHeight="1">
      <c r="C737" s="210"/>
      <c r="D737" s="210"/>
      <c r="E737" s="210"/>
      <c r="F737" s="210"/>
      <c r="G737" s="210"/>
      <c r="H737" s="210"/>
      <c r="I737" s="210"/>
      <c r="J737" s="210"/>
      <c r="K737" s="210"/>
      <c r="L737" s="210"/>
      <c r="M737" s="210"/>
      <c r="N737" s="210"/>
      <c r="O737" s="210"/>
      <c r="P737" s="210"/>
      <c r="Q737" s="210"/>
      <c r="R737" s="210"/>
      <c r="S737" s="210"/>
      <c r="T737" s="210"/>
      <c r="U737" s="210"/>
      <c r="V737" s="210"/>
      <c r="W737" s="210"/>
      <c r="X737" s="210"/>
      <c r="Y737" s="210"/>
      <c r="Z737" s="210"/>
      <c r="AA737" s="210"/>
      <c r="AB737" s="210"/>
      <c r="AC737" s="210"/>
      <c r="AI737" s="210"/>
      <c r="AJ737" s="210"/>
    </row>
    <row r="738" ht="12.75" customHeight="1">
      <c r="C738" s="210"/>
      <c r="D738" s="210"/>
      <c r="E738" s="210"/>
      <c r="F738" s="210"/>
      <c r="G738" s="210"/>
      <c r="H738" s="210"/>
      <c r="I738" s="210"/>
      <c r="J738" s="210"/>
      <c r="K738" s="210"/>
      <c r="L738" s="210"/>
      <c r="M738" s="210"/>
      <c r="N738" s="210"/>
      <c r="O738" s="210"/>
      <c r="P738" s="210"/>
      <c r="Q738" s="210"/>
      <c r="R738" s="210"/>
      <c r="S738" s="210"/>
      <c r="T738" s="210"/>
      <c r="U738" s="210"/>
      <c r="V738" s="210"/>
      <c r="W738" s="210"/>
      <c r="X738" s="210"/>
      <c r="Y738" s="210"/>
      <c r="Z738" s="210"/>
      <c r="AA738" s="210"/>
      <c r="AB738" s="210"/>
      <c r="AC738" s="210"/>
      <c r="AI738" s="210"/>
      <c r="AJ738" s="210"/>
    </row>
    <row r="739" ht="12.75" customHeight="1">
      <c r="C739" s="210"/>
      <c r="D739" s="210"/>
      <c r="E739" s="210"/>
      <c r="F739" s="210"/>
      <c r="G739" s="210"/>
      <c r="H739" s="210"/>
      <c r="I739" s="210"/>
      <c r="J739" s="210"/>
      <c r="K739" s="210"/>
      <c r="L739" s="210"/>
      <c r="M739" s="210"/>
      <c r="N739" s="210"/>
      <c r="O739" s="210"/>
      <c r="P739" s="210"/>
      <c r="Q739" s="210"/>
      <c r="R739" s="210"/>
      <c r="S739" s="210"/>
      <c r="T739" s="210"/>
      <c r="U739" s="210"/>
      <c r="V739" s="210"/>
      <c r="W739" s="210"/>
      <c r="X739" s="210"/>
      <c r="Y739" s="210"/>
      <c r="Z739" s="210"/>
      <c r="AA739" s="210"/>
      <c r="AB739" s="210"/>
      <c r="AC739" s="210"/>
      <c r="AI739" s="210"/>
      <c r="AJ739" s="210"/>
    </row>
    <row r="740" ht="12.75" customHeight="1">
      <c r="C740" s="210"/>
      <c r="D740" s="210"/>
      <c r="E740" s="210"/>
      <c r="F740" s="210"/>
      <c r="G740" s="210"/>
      <c r="H740" s="210"/>
      <c r="I740" s="210"/>
      <c r="J740" s="210"/>
      <c r="K740" s="210"/>
      <c r="L740" s="210"/>
      <c r="M740" s="210"/>
      <c r="N740" s="210"/>
      <c r="O740" s="210"/>
      <c r="P740" s="210"/>
      <c r="Q740" s="210"/>
      <c r="R740" s="210"/>
      <c r="S740" s="210"/>
      <c r="T740" s="210"/>
      <c r="U740" s="210"/>
      <c r="V740" s="210"/>
      <c r="W740" s="210"/>
      <c r="X740" s="210"/>
      <c r="Y740" s="210"/>
      <c r="Z740" s="210"/>
      <c r="AA740" s="210"/>
      <c r="AB740" s="210"/>
      <c r="AC740" s="210"/>
      <c r="AI740" s="210"/>
      <c r="AJ740" s="210"/>
    </row>
    <row r="741" ht="12.75" customHeight="1">
      <c r="C741" s="210"/>
      <c r="D741" s="210"/>
      <c r="E741" s="210"/>
      <c r="F741" s="210"/>
      <c r="G741" s="210"/>
      <c r="H741" s="210"/>
      <c r="I741" s="210"/>
      <c r="J741" s="210"/>
      <c r="K741" s="210"/>
      <c r="L741" s="210"/>
      <c r="M741" s="210"/>
      <c r="N741" s="210"/>
      <c r="O741" s="210"/>
      <c r="P741" s="210"/>
      <c r="Q741" s="210"/>
      <c r="R741" s="210"/>
      <c r="S741" s="210"/>
      <c r="T741" s="210"/>
      <c r="U741" s="210"/>
      <c r="V741" s="210"/>
      <c r="W741" s="210"/>
      <c r="X741" s="210"/>
      <c r="Y741" s="210"/>
      <c r="Z741" s="210"/>
      <c r="AA741" s="210"/>
      <c r="AB741" s="210"/>
      <c r="AC741" s="210"/>
      <c r="AI741" s="210"/>
      <c r="AJ741" s="210"/>
    </row>
    <row r="742" ht="12.75" customHeight="1">
      <c r="C742" s="210"/>
      <c r="D742" s="210"/>
      <c r="E742" s="210"/>
      <c r="F742" s="210"/>
      <c r="G742" s="210"/>
      <c r="H742" s="210"/>
      <c r="I742" s="210"/>
      <c r="J742" s="210"/>
      <c r="K742" s="210"/>
      <c r="L742" s="210"/>
      <c r="M742" s="210"/>
      <c r="N742" s="210"/>
      <c r="O742" s="210"/>
      <c r="P742" s="210"/>
      <c r="Q742" s="210"/>
      <c r="R742" s="210"/>
      <c r="S742" s="210"/>
      <c r="T742" s="210"/>
      <c r="U742" s="210"/>
      <c r="V742" s="210"/>
      <c r="W742" s="210"/>
      <c r="X742" s="210"/>
      <c r="Y742" s="210"/>
      <c r="Z742" s="210"/>
      <c r="AA742" s="210"/>
      <c r="AB742" s="210"/>
      <c r="AC742" s="210"/>
      <c r="AI742" s="210"/>
      <c r="AJ742" s="210"/>
    </row>
    <row r="743" ht="12.75" customHeight="1">
      <c r="C743" s="210"/>
      <c r="D743" s="210"/>
      <c r="E743" s="210"/>
      <c r="F743" s="210"/>
      <c r="G743" s="210"/>
      <c r="H743" s="210"/>
      <c r="I743" s="210"/>
      <c r="J743" s="210"/>
      <c r="K743" s="210"/>
      <c r="L743" s="210"/>
      <c r="M743" s="210"/>
      <c r="N743" s="210"/>
      <c r="O743" s="210"/>
      <c r="P743" s="210"/>
      <c r="Q743" s="210"/>
      <c r="R743" s="210"/>
      <c r="S743" s="210"/>
      <c r="T743" s="210"/>
      <c r="U743" s="210"/>
      <c r="V743" s="210"/>
      <c r="W743" s="210"/>
      <c r="X743" s="210"/>
      <c r="Y743" s="210"/>
      <c r="Z743" s="210"/>
      <c r="AA743" s="210"/>
      <c r="AB743" s="210"/>
      <c r="AC743" s="210"/>
      <c r="AI743" s="210"/>
      <c r="AJ743" s="210"/>
    </row>
    <row r="744" ht="12.75" customHeight="1">
      <c r="C744" s="210"/>
      <c r="D744" s="210"/>
      <c r="E744" s="210"/>
      <c r="F744" s="210"/>
      <c r="G744" s="210"/>
      <c r="H744" s="210"/>
      <c r="I744" s="210"/>
      <c r="J744" s="210"/>
      <c r="K744" s="210"/>
      <c r="L744" s="210"/>
      <c r="M744" s="210"/>
      <c r="N744" s="210"/>
      <c r="O744" s="210"/>
      <c r="P744" s="210"/>
      <c r="Q744" s="210"/>
      <c r="R744" s="210"/>
      <c r="S744" s="210"/>
      <c r="T744" s="210"/>
      <c r="U744" s="210"/>
      <c r="V744" s="210"/>
      <c r="W744" s="210"/>
      <c r="X744" s="210"/>
      <c r="Y744" s="210"/>
      <c r="Z744" s="210"/>
      <c r="AA744" s="210"/>
      <c r="AB744" s="210"/>
      <c r="AC744" s="210"/>
      <c r="AI744" s="210"/>
      <c r="AJ744" s="210"/>
    </row>
    <row r="745" ht="12.75" customHeight="1">
      <c r="C745" s="210"/>
      <c r="D745" s="210"/>
      <c r="E745" s="210"/>
      <c r="F745" s="210"/>
      <c r="G745" s="210"/>
      <c r="H745" s="210"/>
      <c r="I745" s="210"/>
      <c r="J745" s="210"/>
      <c r="K745" s="210"/>
      <c r="L745" s="210"/>
      <c r="M745" s="210"/>
      <c r="N745" s="210"/>
      <c r="O745" s="210"/>
      <c r="P745" s="210"/>
      <c r="Q745" s="210"/>
      <c r="R745" s="210"/>
      <c r="S745" s="210"/>
      <c r="T745" s="210"/>
      <c r="U745" s="210"/>
      <c r="V745" s="210"/>
      <c r="W745" s="210"/>
      <c r="X745" s="210"/>
      <c r="Y745" s="210"/>
      <c r="Z745" s="210"/>
      <c r="AA745" s="210"/>
      <c r="AB745" s="210"/>
      <c r="AC745" s="210"/>
      <c r="AI745" s="210"/>
      <c r="AJ745" s="210"/>
    </row>
    <row r="746" ht="12.75" customHeight="1">
      <c r="C746" s="210"/>
      <c r="D746" s="210"/>
      <c r="E746" s="210"/>
      <c r="F746" s="210"/>
      <c r="G746" s="210"/>
      <c r="H746" s="210"/>
      <c r="I746" s="210"/>
      <c r="J746" s="210"/>
      <c r="K746" s="210"/>
      <c r="L746" s="210"/>
      <c r="M746" s="210"/>
      <c r="N746" s="210"/>
      <c r="O746" s="210"/>
      <c r="P746" s="210"/>
      <c r="Q746" s="210"/>
      <c r="R746" s="210"/>
      <c r="S746" s="210"/>
      <c r="T746" s="210"/>
      <c r="U746" s="210"/>
      <c r="V746" s="210"/>
      <c r="W746" s="210"/>
      <c r="X746" s="210"/>
      <c r="Y746" s="210"/>
      <c r="Z746" s="210"/>
      <c r="AA746" s="210"/>
      <c r="AB746" s="210"/>
      <c r="AC746" s="210"/>
      <c r="AI746" s="210"/>
      <c r="AJ746" s="210"/>
    </row>
    <row r="747" ht="12.75" customHeight="1">
      <c r="C747" s="210"/>
      <c r="D747" s="210"/>
      <c r="E747" s="210"/>
      <c r="F747" s="210"/>
      <c r="G747" s="210"/>
      <c r="H747" s="210"/>
      <c r="I747" s="210"/>
      <c r="J747" s="210"/>
      <c r="K747" s="210"/>
      <c r="L747" s="210"/>
      <c r="M747" s="210"/>
      <c r="N747" s="210"/>
      <c r="O747" s="210"/>
      <c r="P747" s="210"/>
      <c r="Q747" s="210"/>
      <c r="R747" s="210"/>
      <c r="S747" s="210"/>
      <c r="T747" s="210"/>
      <c r="U747" s="210"/>
      <c r="V747" s="210"/>
      <c r="W747" s="210"/>
      <c r="X747" s="210"/>
      <c r="Y747" s="210"/>
      <c r="Z747" s="210"/>
      <c r="AA747" s="210"/>
      <c r="AB747" s="210"/>
      <c r="AC747" s="210"/>
      <c r="AI747" s="210"/>
      <c r="AJ747" s="210"/>
    </row>
    <row r="748" ht="12.75" customHeight="1">
      <c r="C748" s="210"/>
      <c r="D748" s="210"/>
      <c r="E748" s="210"/>
      <c r="F748" s="210"/>
      <c r="G748" s="210"/>
      <c r="H748" s="210"/>
      <c r="I748" s="210"/>
      <c r="J748" s="210"/>
      <c r="K748" s="210"/>
      <c r="L748" s="210"/>
      <c r="M748" s="210"/>
      <c r="N748" s="210"/>
      <c r="O748" s="210"/>
      <c r="P748" s="210"/>
      <c r="Q748" s="210"/>
      <c r="R748" s="210"/>
      <c r="S748" s="210"/>
      <c r="T748" s="210"/>
      <c r="U748" s="210"/>
      <c r="V748" s="210"/>
      <c r="W748" s="210"/>
      <c r="X748" s="210"/>
      <c r="Y748" s="210"/>
      <c r="Z748" s="210"/>
      <c r="AA748" s="210"/>
      <c r="AB748" s="210"/>
      <c r="AC748" s="210"/>
      <c r="AI748" s="210"/>
      <c r="AJ748" s="210"/>
    </row>
    <row r="749" ht="12.75" customHeight="1">
      <c r="C749" s="210"/>
      <c r="D749" s="210"/>
      <c r="E749" s="210"/>
      <c r="F749" s="210"/>
      <c r="G749" s="210"/>
      <c r="H749" s="210"/>
      <c r="I749" s="210"/>
      <c r="J749" s="210"/>
      <c r="K749" s="210"/>
      <c r="L749" s="210"/>
      <c r="M749" s="210"/>
      <c r="N749" s="210"/>
      <c r="O749" s="210"/>
      <c r="P749" s="210"/>
      <c r="Q749" s="210"/>
      <c r="R749" s="210"/>
      <c r="S749" s="210"/>
      <c r="T749" s="210"/>
      <c r="U749" s="210"/>
      <c r="V749" s="210"/>
      <c r="W749" s="210"/>
      <c r="X749" s="210"/>
      <c r="Y749" s="210"/>
      <c r="Z749" s="210"/>
      <c r="AA749" s="210"/>
      <c r="AB749" s="210"/>
      <c r="AC749" s="210"/>
      <c r="AI749" s="210"/>
      <c r="AJ749" s="210"/>
    </row>
    <row r="750" ht="12.75" customHeight="1">
      <c r="C750" s="210"/>
      <c r="D750" s="210"/>
      <c r="E750" s="210"/>
      <c r="F750" s="210"/>
      <c r="G750" s="210"/>
      <c r="H750" s="210"/>
      <c r="I750" s="210"/>
      <c r="J750" s="210"/>
      <c r="K750" s="210"/>
      <c r="L750" s="210"/>
      <c r="M750" s="210"/>
      <c r="N750" s="210"/>
      <c r="O750" s="210"/>
      <c r="P750" s="210"/>
      <c r="Q750" s="210"/>
      <c r="R750" s="210"/>
      <c r="S750" s="210"/>
      <c r="T750" s="210"/>
      <c r="U750" s="210"/>
      <c r="V750" s="210"/>
      <c r="W750" s="210"/>
      <c r="X750" s="210"/>
      <c r="Y750" s="210"/>
      <c r="Z750" s="210"/>
      <c r="AA750" s="210"/>
      <c r="AB750" s="210"/>
      <c r="AC750" s="210"/>
      <c r="AI750" s="210"/>
      <c r="AJ750" s="210"/>
    </row>
    <row r="751" ht="12.75" customHeight="1">
      <c r="C751" s="210"/>
      <c r="D751" s="210"/>
      <c r="E751" s="210"/>
      <c r="F751" s="210"/>
      <c r="G751" s="210"/>
      <c r="H751" s="210"/>
      <c r="I751" s="210"/>
      <c r="J751" s="210"/>
      <c r="K751" s="210"/>
      <c r="L751" s="210"/>
      <c r="M751" s="210"/>
      <c r="N751" s="210"/>
      <c r="O751" s="210"/>
      <c r="P751" s="210"/>
      <c r="Q751" s="210"/>
      <c r="R751" s="210"/>
      <c r="S751" s="210"/>
      <c r="T751" s="210"/>
      <c r="U751" s="210"/>
      <c r="V751" s="210"/>
      <c r="W751" s="210"/>
      <c r="X751" s="210"/>
      <c r="Y751" s="210"/>
      <c r="Z751" s="210"/>
      <c r="AA751" s="210"/>
      <c r="AB751" s="210"/>
      <c r="AC751" s="210"/>
      <c r="AI751" s="210"/>
      <c r="AJ751" s="210"/>
    </row>
    <row r="752" ht="12.75" customHeight="1">
      <c r="C752" s="210"/>
      <c r="D752" s="210"/>
      <c r="E752" s="210"/>
      <c r="F752" s="210"/>
      <c r="G752" s="210"/>
      <c r="H752" s="210"/>
      <c r="I752" s="210"/>
      <c r="J752" s="210"/>
      <c r="K752" s="210"/>
      <c r="L752" s="210"/>
      <c r="M752" s="210"/>
      <c r="N752" s="210"/>
      <c r="O752" s="210"/>
      <c r="P752" s="210"/>
      <c r="Q752" s="210"/>
      <c r="R752" s="210"/>
      <c r="S752" s="210"/>
      <c r="T752" s="210"/>
      <c r="U752" s="210"/>
      <c r="V752" s="210"/>
      <c r="W752" s="210"/>
      <c r="X752" s="210"/>
      <c r="Y752" s="210"/>
      <c r="Z752" s="210"/>
      <c r="AA752" s="210"/>
      <c r="AB752" s="210"/>
      <c r="AC752" s="210"/>
      <c r="AI752" s="210"/>
      <c r="AJ752" s="210"/>
    </row>
    <row r="753" ht="12.75" customHeight="1">
      <c r="C753" s="210"/>
      <c r="D753" s="210"/>
      <c r="E753" s="210"/>
      <c r="F753" s="210"/>
      <c r="G753" s="210"/>
      <c r="H753" s="210"/>
      <c r="I753" s="210"/>
      <c r="J753" s="210"/>
      <c r="K753" s="210"/>
      <c r="L753" s="210"/>
      <c r="M753" s="210"/>
      <c r="N753" s="210"/>
      <c r="O753" s="210"/>
      <c r="P753" s="210"/>
      <c r="Q753" s="210"/>
      <c r="R753" s="210"/>
      <c r="S753" s="210"/>
      <c r="T753" s="210"/>
      <c r="U753" s="210"/>
      <c r="V753" s="210"/>
      <c r="W753" s="210"/>
      <c r="X753" s="210"/>
      <c r="Y753" s="210"/>
      <c r="Z753" s="210"/>
      <c r="AA753" s="210"/>
      <c r="AB753" s="210"/>
      <c r="AC753" s="210"/>
      <c r="AI753" s="210"/>
      <c r="AJ753" s="210"/>
    </row>
    <row r="754" ht="12.75" customHeight="1">
      <c r="C754" s="210"/>
      <c r="D754" s="210"/>
      <c r="E754" s="210"/>
      <c r="F754" s="210"/>
      <c r="G754" s="210"/>
      <c r="H754" s="210"/>
      <c r="I754" s="210"/>
      <c r="J754" s="210"/>
      <c r="K754" s="210"/>
      <c r="L754" s="210"/>
      <c r="M754" s="210"/>
      <c r="N754" s="210"/>
      <c r="O754" s="210"/>
      <c r="P754" s="210"/>
      <c r="Q754" s="210"/>
      <c r="R754" s="210"/>
      <c r="S754" s="210"/>
      <c r="T754" s="210"/>
      <c r="U754" s="210"/>
      <c r="V754" s="210"/>
      <c r="W754" s="210"/>
      <c r="X754" s="210"/>
      <c r="Y754" s="210"/>
      <c r="Z754" s="210"/>
      <c r="AA754" s="210"/>
      <c r="AB754" s="210"/>
      <c r="AC754" s="210"/>
      <c r="AI754" s="210"/>
      <c r="AJ754" s="210"/>
    </row>
    <row r="755" ht="12.75" customHeight="1">
      <c r="C755" s="210"/>
      <c r="D755" s="210"/>
      <c r="E755" s="210"/>
      <c r="F755" s="210"/>
      <c r="G755" s="210"/>
      <c r="H755" s="210"/>
      <c r="I755" s="210"/>
      <c r="J755" s="210"/>
      <c r="K755" s="210"/>
      <c r="L755" s="210"/>
      <c r="M755" s="210"/>
      <c r="N755" s="210"/>
      <c r="O755" s="210"/>
      <c r="P755" s="210"/>
      <c r="Q755" s="210"/>
      <c r="R755" s="210"/>
      <c r="S755" s="210"/>
      <c r="T755" s="210"/>
      <c r="U755" s="210"/>
      <c r="V755" s="210"/>
      <c r="W755" s="210"/>
      <c r="X755" s="210"/>
      <c r="Y755" s="210"/>
      <c r="Z755" s="210"/>
      <c r="AA755" s="210"/>
      <c r="AB755" s="210"/>
      <c r="AC755" s="210"/>
      <c r="AI755" s="210"/>
      <c r="AJ755" s="210"/>
    </row>
    <row r="756" ht="12.75" customHeight="1">
      <c r="C756" s="210"/>
      <c r="D756" s="210"/>
      <c r="E756" s="210"/>
      <c r="F756" s="210"/>
      <c r="G756" s="210"/>
      <c r="H756" s="210"/>
      <c r="I756" s="210"/>
      <c r="J756" s="210"/>
      <c r="K756" s="210"/>
      <c r="L756" s="210"/>
      <c r="M756" s="210"/>
      <c r="N756" s="210"/>
      <c r="O756" s="210"/>
      <c r="P756" s="210"/>
      <c r="Q756" s="210"/>
      <c r="R756" s="210"/>
      <c r="S756" s="210"/>
      <c r="T756" s="210"/>
      <c r="U756" s="210"/>
      <c r="V756" s="210"/>
      <c r="W756" s="210"/>
      <c r="X756" s="210"/>
      <c r="Y756" s="210"/>
      <c r="Z756" s="210"/>
      <c r="AA756" s="210"/>
      <c r="AB756" s="210"/>
      <c r="AC756" s="210"/>
      <c r="AI756" s="210"/>
      <c r="AJ756" s="210"/>
    </row>
    <row r="757" ht="12.75" customHeight="1">
      <c r="C757" s="210"/>
      <c r="D757" s="210"/>
      <c r="E757" s="210"/>
      <c r="F757" s="210"/>
      <c r="G757" s="210"/>
      <c r="H757" s="210"/>
      <c r="I757" s="210"/>
      <c r="J757" s="210"/>
      <c r="K757" s="210"/>
      <c r="L757" s="210"/>
      <c r="M757" s="210"/>
      <c r="N757" s="210"/>
      <c r="O757" s="210"/>
      <c r="P757" s="210"/>
      <c r="Q757" s="210"/>
      <c r="R757" s="210"/>
      <c r="S757" s="210"/>
      <c r="T757" s="210"/>
      <c r="U757" s="210"/>
      <c r="V757" s="210"/>
      <c r="W757" s="210"/>
      <c r="X757" s="210"/>
      <c r="Y757" s="210"/>
      <c r="Z757" s="210"/>
      <c r="AA757" s="210"/>
      <c r="AB757" s="210"/>
      <c r="AC757" s="210"/>
      <c r="AI757" s="210"/>
      <c r="AJ757" s="210"/>
    </row>
    <row r="758" ht="12.75" customHeight="1">
      <c r="C758" s="210"/>
      <c r="D758" s="210"/>
      <c r="E758" s="210"/>
      <c r="F758" s="210"/>
      <c r="G758" s="210"/>
      <c r="H758" s="210"/>
      <c r="I758" s="210"/>
      <c r="J758" s="210"/>
      <c r="K758" s="210"/>
      <c r="L758" s="210"/>
      <c r="M758" s="210"/>
      <c r="N758" s="210"/>
      <c r="O758" s="210"/>
      <c r="P758" s="210"/>
      <c r="Q758" s="210"/>
      <c r="R758" s="210"/>
      <c r="S758" s="210"/>
      <c r="T758" s="210"/>
      <c r="U758" s="210"/>
      <c r="V758" s="210"/>
      <c r="W758" s="210"/>
      <c r="X758" s="210"/>
      <c r="Y758" s="210"/>
      <c r="Z758" s="210"/>
      <c r="AA758" s="210"/>
      <c r="AB758" s="210"/>
      <c r="AC758" s="210"/>
      <c r="AI758" s="210"/>
      <c r="AJ758" s="210"/>
    </row>
    <row r="759" ht="12.75" customHeight="1">
      <c r="C759" s="210"/>
      <c r="D759" s="210"/>
      <c r="E759" s="210"/>
      <c r="F759" s="210"/>
      <c r="G759" s="210"/>
      <c r="H759" s="210"/>
      <c r="I759" s="210"/>
      <c r="J759" s="210"/>
      <c r="K759" s="210"/>
      <c r="L759" s="210"/>
      <c r="M759" s="210"/>
      <c r="N759" s="210"/>
      <c r="O759" s="210"/>
      <c r="P759" s="210"/>
      <c r="Q759" s="210"/>
      <c r="R759" s="210"/>
      <c r="S759" s="210"/>
      <c r="T759" s="210"/>
      <c r="U759" s="210"/>
      <c r="V759" s="210"/>
      <c r="W759" s="210"/>
      <c r="X759" s="210"/>
      <c r="Y759" s="210"/>
      <c r="Z759" s="210"/>
      <c r="AA759" s="210"/>
      <c r="AB759" s="210"/>
      <c r="AC759" s="210"/>
      <c r="AI759" s="210"/>
      <c r="AJ759" s="210"/>
    </row>
    <row r="760" ht="12.75" customHeight="1">
      <c r="C760" s="210"/>
      <c r="D760" s="210"/>
      <c r="E760" s="210"/>
      <c r="F760" s="210"/>
      <c r="G760" s="210"/>
      <c r="H760" s="210"/>
      <c r="I760" s="210"/>
      <c r="J760" s="210"/>
      <c r="K760" s="210"/>
      <c r="L760" s="210"/>
      <c r="M760" s="210"/>
      <c r="N760" s="210"/>
      <c r="O760" s="210"/>
      <c r="P760" s="210"/>
      <c r="Q760" s="210"/>
      <c r="R760" s="210"/>
      <c r="S760" s="210"/>
      <c r="T760" s="210"/>
      <c r="U760" s="210"/>
      <c r="V760" s="210"/>
      <c r="W760" s="210"/>
      <c r="X760" s="210"/>
      <c r="Y760" s="210"/>
      <c r="Z760" s="210"/>
      <c r="AA760" s="210"/>
      <c r="AB760" s="210"/>
      <c r="AC760" s="210"/>
      <c r="AI760" s="210"/>
      <c r="AJ760" s="210"/>
    </row>
    <row r="761" ht="12.75" customHeight="1">
      <c r="C761" s="210"/>
      <c r="D761" s="210"/>
      <c r="E761" s="210"/>
      <c r="F761" s="210"/>
      <c r="G761" s="210"/>
      <c r="H761" s="210"/>
      <c r="I761" s="210"/>
      <c r="J761" s="210"/>
      <c r="K761" s="210"/>
      <c r="L761" s="210"/>
      <c r="M761" s="210"/>
      <c r="N761" s="210"/>
      <c r="O761" s="210"/>
      <c r="P761" s="210"/>
      <c r="Q761" s="210"/>
      <c r="R761" s="210"/>
      <c r="S761" s="210"/>
      <c r="T761" s="210"/>
      <c r="U761" s="210"/>
      <c r="V761" s="210"/>
      <c r="W761" s="210"/>
      <c r="X761" s="210"/>
      <c r="Y761" s="210"/>
      <c r="Z761" s="210"/>
      <c r="AA761" s="210"/>
      <c r="AB761" s="210"/>
      <c r="AC761" s="210"/>
      <c r="AI761" s="210"/>
      <c r="AJ761" s="210"/>
    </row>
    <row r="762" ht="12.75" customHeight="1">
      <c r="C762" s="210"/>
      <c r="D762" s="210"/>
      <c r="E762" s="210"/>
      <c r="F762" s="210"/>
      <c r="G762" s="210"/>
      <c r="H762" s="210"/>
      <c r="I762" s="210"/>
      <c r="J762" s="210"/>
      <c r="K762" s="210"/>
      <c r="L762" s="210"/>
      <c r="M762" s="210"/>
      <c r="N762" s="210"/>
      <c r="O762" s="210"/>
      <c r="P762" s="210"/>
      <c r="Q762" s="210"/>
      <c r="R762" s="210"/>
      <c r="S762" s="210"/>
      <c r="T762" s="210"/>
      <c r="U762" s="210"/>
      <c r="V762" s="210"/>
      <c r="W762" s="210"/>
      <c r="X762" s="210"/>
      <c r="Y762" s="210"/>
      <c r="Z762" s="210"/>
      <c r="AA762" s="210"/>
      <c r="AB762" s="210"/>
      <c r="AC762" s="210"/>
      <c r="AI762" s="210"/>
      <c r="AJ762" s="210"/>
    </row>
    <row r="763" ht="12.75" customHeight="1">
      <c r="C763" s="210"/>
      <c r="D763" s="210"/>
      <c r="E763" s="210"/>
      <c r="F763" s="210"/>
      <c r="G763" s="210"/>
      <c r="H763" s="210"/>
      <c r="I763" s="210"/>
      <c r="J763" s="210"/>
      <c r="K763" s="210"/>
      <c r="L763" s="210"/>
      <c r="M763" s="210"/>
      <c r="N763" s="210"/>
      <c r="O763" s="210"/>
      <c r="P763" s="210"/>
      <c r="Q763" s="210"/>
      <c r="R763" s="210"/>
      <c r="S763" s="210"/>
      <c r="T763" s="210"/>
      <c r="U763" s="210"/>
      <c r="V763" s="210"/>
      <c r="W763" s="210"/>
      <c r="X763" s="210"/>
      <c r="Y763" s="210"/>
      <c r="Z763" s="210"/>
      <c r="AA763" s="210"/>
      <c r="AB763" s="210"/>
      <c r="AC763" s="210"/>
      <c r="AI763" s="210"/>
      <c r="AJ763" s="210"/>
    </row>
    <row r="764" ht="12.75" customHeight="1">
      <c r="C764" s="210"/>
      <c r="D764" s="210"/>
      <c r="E764" s="210"/>
      <c r="F764" s="210"/>
      <c r="G764" s="210"/>
      <c r="H764" s="210"/>
      <c r="I764" s="210"/>
      <c r="J764" s="210"/>
      <c r="K764" s="210"/>
      <c r="L764" s="210"/>
      <c r="M764" s="210"/>
      <c r="N764" s="210"/>
      <c r="O764" s="210"/>
      <c r="P764" s="210"/>
      <c r="Q764" s="210"/>
      <c r="R764" s="210"/>
      <c r="S764" s="210"/>
      <c r="T764" s="210"/>
      <c r="U764" s="210"/>
      <c r="V764" s="210"/>
      <c r="W764" s="210"/>
      <c r="X764" s="210"/>
      <c r="Y764" s="210"/>
      <c r="Z764" s="210"/>
      <c r="AA764" s="210"/>
      <c r="AB764" s="210"/>
      <c r="AC764" s="210"/>
      <c r="AI764" s="210"/>
      <c r="AJ764" s="210"/>
    </row>
    <row r="765" ht="12.75" customHeight="1">
      <c r="C765" s="210"/>
      <c r="D765" s="210"/>
      <c r="E765" s="210"/>
      <c r="F765" s="210"/>
      <c r="G765" s="210"/>
      <c r="H765" s="210"/>
      <c r="I765" s="210"/>
      <c r="J765" s="210"/>
      <c r="K765" s="210"/>
      <c r="L765" s="210"/>
      <c r="M765" s="210"/>
      <c r="N765" s="210"/>
      <c r="O765" s="210"/>
      <c r="P765" s="210"/>
      <c r="Q765" s="210"/>
      <c r="R765" s="210"/>
      <c r="S765" s="210"/>
      <c r="T765" s="210"/>
      <c r="U765" s="210"/>
      <c r="V765" s="210"/>
      <c r="W765" s="210"/>
      <c r="X765" s="210"/>
      <c r="Y765" s="210"/>
      <c r="Z765" s="210"/>
      <c r="AA765" s="210"/>
      <c r="AB765" s="210"/>
      <c r="AC765" s="210"/>
      <c r="AI765" s="210"/>
      <c r="AJ765" s="210"/>
    </row>
    <row r="766" ht="12.75" customHeight="1">
      <c r="C766" s="210"/>
      <c r="D766" s="210"/>
      <c r="E766" s="210"/>
      <c r="F766" s="210"/>
      <c r="G766" s="210"/>
      <c r="H766" s="210"/>
      <c r="I766" s="210"/>
      <c r="J766" s="210"/>
      <c r="K766" s="210"/>
      <c r="L766" s="210"/>
      <c r="M766" s="210"/>
      <c r="N766" s="210"/>
      <c r="O766" s="210"/>
      <c r="P766" s="210"/>
      <c r="Q766" s="210"/>
      <c r="R766" s="210"/>
      <c r="S766" s="210"/>
      <c r="T766" s="210"/>
      <c r="U766" s="210"/>
      <c r="V766" s="210"/>
      <c r="W766" s="210"/>
      <c r="X766" s="210"/>
      <c r="Y766" s="210"/>
      <c r="Z766" s="210"/>
      <c r="AA766" s="210"/>
      <c r="AB766" s="210"/>
      <c r="AC766" s="210"/>
      <c r="AI766" s="210"/>
      <c r="AJ766" s="210"/>
    </row>
    <row r="767" ht="12.75" customHeight="1">
      <c r="C767" s="210"/>
      <c r="D767" s="210"/>
      <c r="E767" s="210"/>
      <c r="F767" s="210"/>
      <c r="G767" s="210"/>
      <c r="H767" s="210"/>
      <c r="I767" s="210"/>
      <c r="J767" s="210"/>
      <c r="K767" s="210"/>
      <c r="L767" s="210"/>
      <c r="M767" s="210"/>
      <c r="N767" s="210"/>
      <c r="O767" s="210"/>
      <c r="P767" s="210"/>
      <c r="Q767" s="210"/>
      <c r="R767" s="210"/>
      <c r="S767" s="210"/>
      <c r="T767" s="210"/>
      <c r="U767" s="210"/>
      <c r="V767" s="210"/>
      <c r="W767" s="210"/>
      <c r="X767" s="210"/>
      <c r="Y767" s="210"/>
      <c r="Z767" s="210"/>
      <c r="AA767" s="210"/>
      <c r="AB767" s="210"/>
      <c r="AC767" s="210"/>
      <c r="AI767" s="210"/>
      <c r="AJ767" s="210"/>
    </row>
    <row r="768" ht="12.75" customHeight="1">
      <c r="C768" s="210"/>
      <c r="D768" s="210"/>
      <c r="E768" s="210"/>
      <c r="F768" s="210"/>
      <c r="G768" s="210"/>
      <c r="H768" s="210"/>
      <c r="I768" s="210"/>
      <c r="J768" s="210"/>
      <c r="K768" s="210"/>
      <c r="L768" s="210"/>
      <c r="M768" s="210"/>
      <c r="N768" s="210"/>
      <c r="O768" s="210"/>
      <c r="P768" s="210"/>
      <c r="Q768" s="210"/>
      <c r="R768" s="210"/>
      <c r="S768" s="210"/>
      <c r="T768" s="210"/>
      <c r="U768" s="210"/>
      <c r="V768" s="210"/>
      <c r="W768" s="210"/>
      <c r="X768" s="210"/>
      <c r="Y768" s="210"/>
      <c r="Z768" s="210"/>
      <c r="AA768" s="210"/>
      <c r="AB768" s="210"/>
      <c r="AC768" s="210"/>
      <c r="AI768" s="210"/>
      <c r="AJ768" s="210"/>
    </row>
    <row r="769" ht="12.75" customHeight="1">
      <c r="C769" s="210"/>
      <c r="D769" s="210"/>
      <c r="E769" s="210"/>
      <c r="F769" s="210"/>
      <c r="G769" s="210"/>
      <c r="H769" s="210"/>
      <c r="I769" s="210"/>
      <c r="J769" s="210"/>
      <c r="K769" s="210"/>
      <c r="L769" s="210"/>
      <c r="M769" s="210"/>
      <c r="N769" s="210"/>
      <c r="O769" s="210"/>
      <c r="P769" s="210"/>
      <c r="Q769" s="210"/>
      <c r="R769" s="210"/>
      <c r="S769" s="210"/>
      <c r="T769" s="210"/>
      <c r="U769" s="210"/>
      <c r="V769" s="210"/>
      <c r="W769" s="210"/>
      <c r="X769" s="210"/>
      <c r="Y769" s="210"/>
      <c r="Z769" s="210"/>
      <c r="AA769" s="210"/>
      <c r="AB769" s="210"/>
      <c r="AC769" s="210"/>
      <c r="AI769" s="210"/>
      <c r="AJ769" s="210"/>
    </row>
    <row r="770" ht="12.75" customHeight="1">
      <c r="C770" s="210"/>
      <c r="D770" s="210"/>
      <c r="E770" s="210"/>
      <c r="F770" s="210"/>
      <c r="G770" s="210"/>
      <c r="H770" s="210"/>
      <c r="I770" s="210"/>
      <c r="J770" s="210"/>
      <c r="K770" s="210"/>
      <c r="L770" s="210"/>
      <c r="M770" s="210"/>
      <c r="N770" s="210"/>
      <c r="O770" s="210"/>
      <c r="P770" s="210"/>
      <c r="Q770" s="210"/>
      <c r="R770" s="210"/>
      <c r="S770" s="210"/>
      <c r="T770" s="210"/>
      <c r="U770" s="210"/>
      <c r="V770" s="210"/>
      <c r="W770" s="210"/>
      <c r="X770" s="210"/>
      <c r="Y770" s="210"/>
      <c r="Z770" s="210"/>
      <c r="AA770" s="210"/>
      <c r="AB770" s="210"/>
      <c r="AC770" s="210"/>
      <c r="AI770" s="210"/>
      <c r="AJ770" s="210"/>
    </row>
    <row r="771" ht="12.75" customHeight="1">
      <c r="C771" s="210"/>
      <c r="D771" s="210"/>
      <c r="E771" s="210"/>
      <c r="F771" s="210"/>
      <c r="G771" s="210"/>
      <c r="H771" s="210"/>
      <c r="I771" s="210"/>
      <c r="J771" s="210"/>
      <c r="K771" s="210"/>
      <c r="L771" s="210"/>
      <c r="M771" s="210"/>
      <c r="N771" s="210"/>
      <c r="O771" s="210"/>
      <c r="P771" s="210"/>
      <c r="Q771" s="210"/>
      <c r="R771" s="210"/>
      <c r="S771" s="210"/>
      <c r="T771" s="210"/>
      <c r="U771" s="210"/>
      <c r="V771" s="210"/>
      <c r="W771" s="210"/>
      <c r="X771" s="210"/>
      <c r="Y771" s="210"/>
      <c r="Z771" s="210"/>
      <c r="AA771" s="210"/>
      <c r="AB771" s="210"/>
      <c r="AC771" s="210"/>
      <c r="AI771" s="210"/>
      <c r="AJ771" s="210"/>
    </row>
    <row r="772" ht="12.75" customHeight="1">
      <c r="C772" s="210"/>
      <c r="D772" s="210"/>
      <c r="E772" s="210"/>
      <c r="F772" s="210"/>
      <c r="G772" s="210"/>
      <c r="H772" s="210"/>
      <c r="I772" s="210"/>
      <c r="J772" s="210"/>
      <c r="K772" s="210"/>
      <c r="L772" s="210"/>
      <c r="M772" s="210"/>
      <c r="N772" s="210"/>
      <c r="O772" s="210"/>
      <c r="P772" s="210"/>
      <c r="Q772" s="210"/>
      <c r="R772" s="210"/>
      <c r="S772" s="210"/>
      <c r="T772" s="210"/>
      <c r="U772" s="210"/>
      <c r="V772" s="210"/>
      <c r="W772" s="210"/>
      <c r="X772" s="210"/>
      <c r="Y772" s="210"/>
      <c r="Z772" s="210"/>
      <c r="AA772" s="210"/>
      <c r="AB772" s="210"/>
      <c r="AC772" s="210"/>
      <c r="AI772" s="210"/>
      <c r="AJ772" s="210"/>
    </row>
    <row r="773" ht="12.75" customHeight="1">
      <c r="C773" s="210"/>
      <c r="D773" s="210"/>
      <c r="E773" s="210"/>
      <c r="F773" s="210"/>
      <c r="G773" s="210"/>
      <c r="H773" s="210"/>
      <c r="I773" s="210"/>
      <c r="J773" s="210"/>
      <c r="K773" s="210"/>
      <c r="L773" s="210"/>
      <c r="M773" s="210"/>
      <c r="N773" s="210"/>
      <c r="O773" s="210"/>
      <c r="P773" s="210"/>
      <c r="Q773" s="210"/>
      <c r="R773" s="210"/>
      <c r="S773" s="210"/>
      <c r="T773" s="210"/>
      <c r="U773" s="210"/>
      <c r="V773" s="210"/>
      <c r="W773" s="210"/>
      <c r="X773" s="210"/>
      <c r="Y773" s="210"/>
      <c r="Z773" s="210"/>
      <c r="AA773" s="210"/>
      <c r="AB773" s="210"/>
      <c r="AC773" s="210"/>
      <c r="AI773" s="210"/>
      <c r="AJ773" s="210"/>
    </row>
    <row r="774" ht="12.75" customHeight="1">
      <c r="C774" s="210"/>
      <c r="D774" s="210"/>
      <c r="E774" s="210"/>
      <c r="F774" s="210"/>
      <c r="G774" s="210"/>
      <c r="H774" s="210"/>
      <c r="I774" s="210"/>
      <c r="J774" s="210"/>
      <c r="K774" s="210"/>
      <c r="L774" s="210"/>
      <c r="M774" s="210"/>
      <c r="N774" s="210"/>
      <c r="O774" s="210"/>
      <c r="P774" s="210"/>
      <c r="Q774" s="210"/>
      <c r="R774" s="210"/>
      <c r="S774" s="210"/>
      <c r="T774" s="210"/>
      <c r="U774" s="210"/>
      <c r="V774" s="210"/>
      <c r="W774" s="210"/>
      <c r="X774" s="210"/>
      <c r="Y774" s="210"/>
      <c r="Z774" s="210"/>
      <c r="AA774" s="210"/>
      <c r="AB774" s="210"/>
      <c r="AC774" s="210"/>
      <c r="AI774" s="210"/>
      <c r="AJ774" s="210"/>
    </row>
    <row r="775" ht="12.75" customHeight="1">
      <c r="C775" s="210"/>
      <c r="D775" s="210"/>
      <c r="E775" s="210"/>
      <c r="F775" s="210"/>
      <c r="G775" s="210"/>
      <c r="H775" s="210"/>
      <c r="I775" s="210"/>
      <c r="J775" s="210"/>
      <c r="K775" s="210"/>
      <c r="L775" s="210"/>
      <c r="M775" s="210"/>
      <c r="N775" s="210"/>
      <c r="O775" s="210"/>
      <c r="P775" s="210"/>
      <c r="Q775" s="210"/>
      <c r="R775" s="210"/>
      <c r="S775" s="210"/>
      <c r="T775" s="210"/>
      <c r="U775" s="210"/>
      <c r="V775" s="210"/>
      <c r="W775" s="210"/>
      <c r="X775" s="210"/>
      <c r="Y775" s="210"/>
      <c r="Z775" s="210"/>
      <c r="AA775" s="210"/>
      <c r="AB775" s="210"/>
      <c r="AC775" s="210"/>
      <c r="AI775" s="210"/>
      <c r="AJ775" s="210"/>
    </row>
    <row r="776" ht="12.75" customHeight="1">
      <c r="C776" s="210"/>
      <c r="D776" s="210"/>
      <c r="E776" s="210"/>
      <c r="F776" s="210"/>
      <c r="G776" s="210"/>
      <c r="H776" s="210"/>
      <c r="I776" s="210"/>
      <c r="J776" s="210"/>
      <c r="K776" s="210"/>
      <c r="L776" s="210"/>
      <c r="M776" s="210"/>
      <c r="N776" s="210"/>
      <c r="O776" s="210"/>
      <c r="P776" s="210"/>
      <c r="Q776" s="210"/>
      <c r="R776" s="210"/>
      <c r="S776" s="210"/>
      <c r="T776" s="210"/>
      <c r="U776" s="210"/>
      <c r="V776" s="210"/>
      <c r="W776" s="210"/>
      <c r="X776" s="210"/>
      <c r="Y776" s="210"/>
      <c r="Z776" s="210"/>
      <c r="AA776" s="210"/>
      <c r="AB776" s="210"/>
      <c r="AC776" s="210"/>
      <c r="AI776" s="210"/>
      <c r="AJ776" s="210"/>
    </row>
    <row r="777" ht="12.75" customHeight="1">
      <c r="C777" s="210"/>
      <c r="D777" s="210"/>
      <c r="E777" s="210"/>
      <c r="F777" s="210"/>
      <c r="G777" s="210"/>
      <c r="H777" s="210"/>
      <c r="I777" s="210"/>
      <c r="J777" s="210"/>
      <c r="K777" s="210"/>
      <c r="L777" s="210"/>
      <c r="M777" s="210"/>
      <c r="N777" s="210"/>
      <c r="O777" s="210"/>
      <c r="P777" s="210"/>
      <c r="Q777" s="210"/>
      <c r="R777" s="210"/>
      <c r="S777" s="210"/>
      <c r="T777" s="210"/>
      <c r="U777" s="210"/>
      <c r="V777" s="210"/>
      <c r="W777" s="210"/>
      <c r="X777" s="210"/>
      <c r="Y777" s="210"/>
      <c r="Z777" s="210"/>
      <c r="AA777" s="210"/>
      <c r="AB777" s="210"/>
      <c r="AC777" s="210"/>
      <c r="AI777" s="210"/>
      <c r="AJ777" s="210"/>
    </row>
    <row r="778" ht="12.75" customHeight="1">
      <c r="C778" s="210"/>
      <c r="D778" s="210"/>
      <c r="E778" s="210"/>
      <c r="F778" s="210"/>
      <c r="G778" s="210"/>
      <c r="H778" s="210"/>
      <c r="I778" s="210"/>
      <c r="J778" s="210"/>
      <c r="K778" s="210"/>
      <c r="L778" s="210"/>
      <c r="M778" s="210"/>
      <c r="N778" s="210"/>
      <c r="O778" s="210"/>
      <c r="P778" s="210"/>
      <c r="Q778" s="210"/>
      <c r="R778" s="210"/>
      <c r="S778" s="210"/>
      <c r="T778" s="210"/>
      <c r="U778" s="210"/>
      <c r="V778" s="210"/>
      <c r="W778" s="210"/>
      <c r="X778" s="210"/>
      <c r="Y778" s="210"/>
      <c r="Z778" s="210"/>
      <c r="AA778" s="210"/>
      <c r="AB778" s="210"/>
      <c r="AC778" s="210"/>
      <c r="AI778" s="210"/>
      <c r="AJ778" s="210"/>
    </row>
    <row r="779" ht="12.75" customHeight="1">
      <c r="C779" s="210"/>
      <c r="D779" s="210"/>
      <c r="E779" s="210"/>
      <c r="F779" s="210"/>
      <c r="G779" s="210"/>
      <c r="H779" s="210"/>
      <c r="I779" s="210"/>
      <c r="J779" s="210"/>
      <c r="K779" s="210"/>
      <c r="L779" s="210"/>
      <c r="M779" s="210"/>
      <c r="N779" s="210"/>
      <c r="O779" s="210"/>
      <c r="P779" s="210"/>
      <c r="Q779" s="210"/>
      <c r="R779" s="210"/>
      <c r="S779" s="210"/>
      <c r="T779" s="210"/>
      <c r="U779" s="210"/>
      <c r="V779" s="210"/>
      <c r="W779" s="210"/>
      <c r="X779" s="210"/>
      <c r="Y779" s="210"/>
      <c r="Z779" s="210"/>
      <c r="AA779" s="210"/>
      <c r="AB779" s="210"/>
      <c r="AC779" s="210"/>
      <c r="AI779" s="210"/>
      <c r="AJ779" s="210"/>
    </row>
    <row r="780" ht="12.75" customHeight="1">
      <c r="C780" s="210"/>
      <c r="D780" s="210"/>
      <c r="E780" s="210"/>
      <c r="F780" s="210"/>
      <c r="G780" s="210"/>
      <c r="H780" s="210"/>
      <c r="I780" s="210"/>
      <c r="J780" s="210"/>
      <c r="K780" s="210"/>
      <c r="L780" s="210"/>
      <c r="M780" s="210"/>
      <c r="N780" s="210"/>
      <c r="O780" s="210"/>
      <c r="P780" s="210"/>
      <c r="Q780" s="210"/>
      <c r="R780" s="210"/>
      <c r="S780" s="210"/>
      <c r="T780" s="210"/>
      <c r="U780" s="210"/>
      <c r="V780" s="210"/>
      <c r="W780" s="210"/>
      <c r="X780" s="210"/>
      <c r="Y780" s="210"/>
      <c r="Z780" s="210"/>
      <c r="AA780" s="210"/>
      <c r="AB780" s="210"/>
      <c r="AC780" s="210"/>
      <c r="AI780" s="210"/>
      <c r="AJ780" s="210"/>
    </row>
    <row r="781" ht="12.75" customHeight="1">
      <c r="C781" s="210"/>
      <c r="D781" s="210"/>
      <c r="E781" s="210"/>
      <c r="F781" s="210"/>
      <c r="G781" s="210"/>
      <c r="H781" s="210"/>
      <c r="I781" s="210"/>
      <c r="J781" s="210"/>
      <c r="K781" s="210"/>
      <c r="L781" s="210"/>
      <c r="M781" s="210"/>
      <c r="N781" s="210"/>
      <c r="O781" s="210"/>
      <c r="P781" s="210"/>
      <c r="Q781" s="210"/>
      <c r="R781" s="210"/>
      <c r="S781" s="210"/>
      <c r="T781" s="210"/>
      <c r="U781" s="210"/>
      <c r="V781" s="210"/>
      <c r="W781" s="210"/>
      <c r="X781" s="210"/>
      <c r="Y781" s="210"/>
      <c r="Z781" s="210"/>
      <c r="AA781" s="210"/>
      <c r="AB781" s="210"/>
      <c r="AC781" s="210"/>
      <c r="AI781" s="210"/>
      <c r="AJ781" s="210"/>
    </row>
    <row r="782" ht="12.75" customHeight="1">
      <c r="C782" s="210"/>
      <c r="D782" s="210"/>
      <c r="E782" s="210"/>
      <c r="F782" s="210"/>
      <c r="G782" s="210"/>
      <c r="H782" s="210"/>
      <c r="I782" s="210"/>
      <c r="J782" s="210"/>
      <c r="K782" s="210"/>
      <c r="L782" s="210"/>
      <c r="M782" s="210"/>
      <c r="N782" s="210"/>
      <c r="O782" s="210"/>
      <c r="P782" s="210"/>
      <c r="Q782" s="210"/>
      <c r="R782" s="210"/>
      <c r="S782" s="210"/>
      <c r="T782" s="210"/>
      <c r="U782" s="210"/>
      <c r="V782" s="210"/>
      <c r="W782" s="210"/>
      <c r="X782" s="210"/>
      <c r="Y782" s="210"/>
      <c r="Z782" s="210"/>
      <c r="AA782" s="210"/>
      <c r="AB782" s="210"/>
      <c r="AC782" s="210"/>
      <c r="AI782" s="210"/>
      <c r="AJ782" s="210"/>
    </row>
    <row r="783" ht="12.75" customHeight="1">
      <c r="C783" s="210"/>
      <c r="D783" s="210"/>
      <c r="E783" s="210"/>
      <c r="F783" s="210"/>
      <c r="G783" s="210"/>
      <c r="H783" s="210"/>
      <c r="I783" s="210"/>
      <c r="J783" s="210"/>
      <c r="K783" s="210"/>
      <c r="L783" s="210"/>
      <c r="M783" s="210"/>
      <c r="N783" s="210"/>
      <c r="O783" s="210"/>
      <c r="P783" s="210"/>
      <c r="Q783" s="210"/>
      <c r="R783" s="210"/>
      <c r="S783" s="210"/>
      <c r="T783" s="210"/>
      <c r="U783" s="210"/>
      <c r="V783" s="210"/>
      <c r="W783" s="210"/>
      <c r="X783" s="210"/>
      <c r="Y783" s="210"/>
      <c r="Z783" s="210"/>
      <c r="AA783" s="210"/>
      <c r="AB783" s="210"/>
      <c r="AC783" s="210"/>
      <c r="AI783" s="210"/>
      <c r="AJ783" s="210"/>
    </row>
    <row r="784" ht="12.75" customHeight="1">
      <c r="C784" s="210"/>
      <c r="D784" s="210"/>
      <c r="E784" s="210"/>
      <c r="F784" s="210"/>
      <c r="G784" s="210"/>
      <c r="H784" s="210"/>
      <c r="I784" s="210"/>
      <c r="J784" s="210"/>
      <c r="K784" s="210"/>
      <c r="L784" s="210"/>
      <c r="M784" s="210"/>
      <c r="N784" s="210"/>
      <c r="O784" s="210"/>
      <c r="P784" s="210"/>
      <c r="Q784" s="210"/>
      <c r="R784" s="210"/>
      <c r="S784" s="210"/>
      <c r="T784" s="210"/>
      <c r="U784" s="210"/>
      <c r="V784" s="210"/>
      <c r="W784" s="210"/>
      <c r="X784" s="210"/>
      <c r="Y784" s="210"/>
      <c r="Z784" s="210"/>
      <c r="AA784" s="210"/>
      <c r="AB784" s="210"/>
      <c r="AC784" s="210"/>
      <c r="AI784" s="210"/>
      <c r="AJ784" s="210"/>
    </row>
    <row r="785" ht="12.75" customHeight="1">
      <c r="C785" s="210"/>
      <c r="D785" s="210"/>
      <c r="E785" s="210"/>
      <c r="F785" s="210"/>
      <c r="G785" s="210"/>
      <c r="H785" s="210"/>
      <c r="I785" s="210"/>
      <c r="J785" s="210"/>
      <c r="K785" s="210"/>
      <c r="L785" s="210"/>
      <c r="M785" s="210"/>
      <c r="N785" s="210"/>
      <c r="O785" s="210"/>
      <c r="P785" s="210"/>
      <c r="Q785" s="210"/>
      <c r="R785" s="210"/>
      <c r="S785" s="210"/>
      <c r="T785" s="210"/>
      <c r="U785" s="210"/>
      <c r="V785" s="210"/>
      <c r="W785" s="210"/>
      <c r="X785" s="210"/>
      <c r="Y785" s="210"/>
      <c r="Z785" s="210"/>
      <c r="AA785" s="210"/>
      <c r="AB785" s="210"/>
      <c r="AC785" s="210"/>
      <c r="AI785" s="210"/>
      <c r="AJ785" s="210"/>
    </row>
    <row r="786" ht="12.75" customHeight="1">
      <c r="C786" s="210"/>
      <c r="D786" s="210"/>
      <c r="E786" s="210"/>
      <c r="F786" s="210"/>
      <c r="G786" s="210"/>
      <c r="H786" s="210"/>
      <c r="I786" s="210"/>
      <c r="J786" s="210"/>
      <c r="K786" s="210"/>
      <c r="L786" s="210"/>
      <c r="M786" s="210"/>
      <c r="N786" s="210"/>
      <c r="O786" s="210"/>
      <c r="P786" s="210"/>
      <c r="Q786" s="210"/>
      <c r="R786" s="210"/>
      <c r="S786" s="210"/>
      <c r="T786" s="210"/>
      <c r="U786" s="210"/>
      <c r="V786" s="210"/>
      <c r="W786" s="210"/>
      <c r="X786" s="210"/>
      <c r="Y786" s="210"/>
      <c r="Z786" s="210"/>
      <c r="AA786" s="210"/>
      <c r="AB786" s="210"/>
      <c r="AC786" s="210"/>
      <c r="AI786" s="210"/>
      <c r="AJ786" s="210"/>
    </row>
    <row r="787" ht="12.75" customHeight="1">
      <c r="C787" s="210"/>
      <c r="D787" s="210"/>
      <c r="E787" s="210"/>
      <c r="F787" s="210"/>
      <c r="G787" s="210"/>
      <c r="H787" s="210"/>
      <c r="I787" s="210"/>
      <c r="J787" s="210"/>
      <c r="K787" s="210"/>
      <c r="L787" s="210"/>
      <c r="M787" s="210"/>
      <c r="N787" s="210"/>
      <c r="O787" s="210"/>
      <c r="P787" s="210"/>
      <c r="Q787" s="210"/>
      <c r="R787" s="210"/>
      <c r="S787" s="210"/>
      <c r="T787" s="210"/>
      <c r="U787" s="210"/>
      <c r="V787" s="210"/>
      <c r="W787" s="210"/>
      <c r="X787" s="210"/>
      <c r="Y787" s="210"/>
      <c r="Z787" s="210"/>
      <c r="AA787" s="210"/>
      <c r="AB787" s="210"/>
      <c r="AC787" s="210"/>
      <c r="AI787" s="210"/>
      <c r="AJ787" s="210"/>
    </row>
    <row r="788" ht="12.75" customHeight="1">
      <c r="C788" s="210"/>
      <c r="D788" s="210"/>
      <c r="E788" s="210"/>
      <c r="F788" s="210"/>
      <c r="G788" s="210"/>
      <c r="H788" s="210"/>
      <c r="I788" s="210"/>
      <c r="J788" s="210"/>
      <c r="K788" s="210"/>
      <c r="L788" s="210"/>
      <c r="M788" s="210"/>
      <c r="N788" s="210"/>
      <c r="O788" s="210"/>
      <c r="P788" s="210"/>
      <c r="Q788" s="210"/>
      <c r="R788" s="210"/>
      <c r="S788" s="210"/>
      <c r="T788" s="210"/>
      <c r="U788" s="210"/>
      <c r="V788" s="210"/>
      <c r="W788" s="210"/>
      <c r="X788" s="210"/>
      <c r="Y788" s="210"/>
      <c r="Z788" s="210"/>
      <c r="AA788" s="210"/>
      <c r="AB788" s="210"/>
      <c r="AC788" s="210"/>
      <c r="AI788" s="210"/>
      <c r="AJ788" s="210"/>
    </row>
    <row r="789" ht="12.75" customHeight="1">
      <c r="C789" s="210"/>
      <c r="D789" s="210"/>
      <c r="E789" s="210"/>
      <c r="F789" s="210"/>
      <c r="G789" s="210"/>
      <c r="H789" s="210"/>
      <c r="I789" s="210"/>
      <c r="J789" s="210"/>
      <c r="K789" s="210"/>
      <c r="L789" s="210"/>
      <c r="M789" s="210"/>
      <c r="N789" s="210"/>
      <c r="O789" s="210"/>
      <c r="P789" s="210"/>
      <c r="Q789" s="210"/>
      <c r="R789" s="210"/>
      <c r="S789" s="210"/>
      <c r="T789" s="210"/>
      <c r="U789" s="210"/>
      <c r="V789" s="210"/>
      <c r="W789" s="210"/>
      <c r="X789" s="210"/>
      <c r="Y789" s="210"/>
      <c r="Z789" s="210"/>
      <c r="AA789" s="210"/>
      <c r="AB789" s="210"/>
      <c r="AC789" s="210"/>
      <c r="AI789" s="210"/>
      <c r="AJ789" s="210"/>
    </row>
    <row r="790" ht="12.75" customHeight="1">
      <c r="C790" s="210"/>
      <c r="D790" s="210"/>
      <c r="E790" s="210"/>
      <c r="F790" s="210"/>
      <c r="G790" s="210"/>
      <c r="H790" s="210"/>
      <c r="I790" s="210"/>
      <c r="J790" s="210"/>
      <c r="K790" s="210"/>
      <c r="L790" s="210"/>
      <c r="M790" s="210"/>
      <c r="N790" s="210"/>
      <c r="O790" s="210"/>
      <c r="P790" s="210"/>
      <c r="Q790" s="210"/>
      <c r="R790" s="210"/>
      <c r="S790" s="210"/>
      <c r="T790" s="210"/>
      <c r="U790" s="210"/>
      <c r="V790" s="210"/>
      <c r="W790" s="210"/>
      <c r="X790" s="210"/>
      <c r="Y790" s="210"/>
      <c r="Z790" s="210"/>
      <c r="AA790" s="210"/>
      <c r="AB790" s="210"/>
      <c r="AC790" s="210"/>
      <c r="AI790" s="210"/>
      <c r="AJ790" s="210"/>
    </row>
    <row r="791" ht="12.75" customHeight="1">
      <c r="C791" s="210"/>
      <c r="D791" s="210"/>
      <c r="E791" s="210"/>
      <c r="F791" s="210"/>
      <c r="G791" s="210"/>
      <c r="H791" s="210"/>
      <c r="I791" s="210"/>
      <c r="J791" s="210"/>
      <c r="K791" s="210"/>
      <c r="L791" s="210"/>
      <c r="M791" s="210"/>
      <c r="N791" s="210"/>
      <c r="O791" s="210"/>
      <c r="P791" s="210"/>
      <c r="Q791" s="210"/>
      <c r="R791" s="210"/>
      <c r="S791" s="210"/>
      <c r="T791" s="210"/>
      <c r="U791" s="210"/>
      <c r="V791" s="210"/>
      <c r="W791" s="210"/>
      <c r="X791" s="210"/>
      <c r="Y791" s="210"/>
      <c r="Z791" s="210"/>
      <c r="AA791" s="210"/>
      <c r="AB791" s="210"/>
      <c r="AC791" s="210"/>
      <c r="AI791" s="210"/>
      <c r="AJ791" s="210"/>
    </row>
    <row r="792" ht="12.75" customHeight="1">
      <c r="C792" s="210"/>
      <c r="D792" s="210"/>
      <c r="E792" s="210"/>
      <c r="F792" s="210"/>
      <c r="G792" s="210"/>
      <c r="H792" s="210"/>
      <c r="I792" s="210"/>
      <c r="J792" s="210"/>
      <c r="K792" s="210"/>
      <c r="L792" s="210"/>
      <c r="M792" s="210"/>
      <c r="N792" s="210"/>
      <c r="O792" s="210"/>
      <c r="P792" s="210"/>
      <c r="Q792" s="210"/>
      <c r="R792" s="210"/>
      <c r="S792" s="210"/>
      <c r="T792" s="210"/>
      <c r="U792" s="210"/>
      <c r="V792" s="210"/>
      <c r="W792" s="210"/>
      <c r="X792" s="210"/>
      <c r="Y792" s="210"/>
      <c r="Z792" s="210"/>
      <c r="AA792" s="210"/>
      <c r="AB792" s="210"/>
      <c r="AC792" s="210"/>
      <c r="AI792" s="210"/>
      <c r="AJ792" s="210"/>
    </row>
    <row r="793" ht="12.75" customHeight="1">
      <c r="C793" s="210"/>
      <c r="D793" s="210"/>
      <c r="E793" s="210"/>
      <c r="F793" s="210"/>
      <c r="G793" s="210"/>
      <c r="H793" s="210"/>
      <c r="I793" s="210"/>
      <c r="J793" s="210"/>
      <c r="K793" s="210"/>
      <c r="L793" s="210"/>
      <c r="M793" s="210"/>
      <c r="N793" s="210"/>
      <c r="O793" s="210"/>
      <c r="P793" s="210"/>
      <c r="Q793" s="210"/>
      <c r="R793" s="210"/>
      <c r="S793" s="210"/>
      <c r="T793" s="210"/>
      <c r="U793" s="210"/>
      <c r="V793" s="210"/>
      <c r="W793" s="210"/>
      <c r="X793" s="210"/>
      <c r="Y793" s="210"/>
      <c r="Z793" s="210"/>
      <c r="AA793" s="210"/>
      <c r="AB793" s="210"/>
      <c r="AC793" s="210"/>
      <c r="AI793" s="210"/>
      <c r="AJ793" s="210"/>
    </row>
    <row r="794" ht="12.75" customHeight="1">
      <c r="C794" s="210"/>
      <c r="D794" s="210"/>
      <c r="E794" s="210"/>
      <c r="F794" s="210"/>
      <c r="G794" s="210"/>
      <c r="H794" s="210"/>
      <c r="I794" s="210"/>
      <c r="J794" s="210"/>
      <c r="K794" s="210"/>
      <c r="L794" s="210"/>
      <c r="M794" s="210"/>
      <c r="N794" s="210"/>
      <c r="O794" s="210"/>
      <c r="P794" s="210"/>
      <c r="Q794" s="210"/>
      <c r="R794" s="210"/>
      <c r="S794" s="210"/>
      <c r="T794" s="210"/>
      <c r="U794" s="210"/>
      <c r="V794" s="210"/>
      <c r="W794" s="210"/>
      <c r="X794" s="210"/>
      <c r="Y794" s="210"/>
      <c r="Z794" s="210"/>
      <c r="AA794" s="210"/>
      <c r="AB794" s="210"/>
      <c r="AC794" s="210"/>
      <c r="AI794" s="210"/>
      <c r="AJ794" s="210"/>
    </row>
    <row r="795" ht="12.75" customHeight="1">
      <c r="C795" s="210"/>
      <c r="D795" s="210"/>
      <c r="E795" s="210"/>
      <c r="F795" s="210"/>
      <c r="G795" s="210"/>
      <c r="H795" s="210"/>
      <c r="I795" s="210"/>
      <c r="J795" s="210"/>
      <c r="K795" s="210"/>
      <c r="L795" s="210"/>
      <c r="M795" s="210"/>
      <c r="N795" s="210"/>
      <c r="O795" s="210"/>
      <c r="P795" s="210"/>
      <c r="Q795" s="210"/>
      <c r="R795" s="210"/>
      <c r="S795" s="210"/>
      <c r="T795" s="210"/>
      <c r="U795" s="210"/>
      <c r="V795" s="210"/>
      <c r="W795" s="210"/>
      <c r="X795" s="210"/>
      <c r="Y795" s="210"/>
      <c r="Z795" s="210"/>
      <c r="AA795" s="210"/>
      <c r="AB795" s="210"/>
      <c r="AC795" s="210"/>
      <c r="AI795" s="210"/>
      <c r="AJ795" s="210"/>
    </row>
    <row r="796" ht="12.75" customHeight="1">
      <c r="C796" s="210"/>
      <c r="D796" s="210"/>
      <c r="E796" s="210"/>
      <c r="F796" s="210"/>
      <c r="G796" s="210"/>
      <c r="H796" s="210"/>
      <c r="I796" s="210"/>
      <c r="J796" s="210"/>
      <c r="K796" s="210"/>
      <c r="L796" s="210"/>
      <c r="M796" s="210"/>
      <c r="N796" s="210"/>
      <c r="O796" s="210"/>
      <c r="P796" s="210"/>
      <c r="Q796" s="210"/>
      <c r="R796" s="210"/>
      <c r="S796" s="210"/>
      <c r="T796" s="210"/>
      <c r="U796" s="210"/>
      <c r="V796" s="210"/>
      <c r="W796" s="210"/>
      <c r="X796" s="210"/>
      <c r="Y796" s="210"/>
      <c r="Z796" s="210"/>
      <c r="AA796" s="210"/>
      <c r="AB796" s="210"/>
      <c r="AC796" s="210"/>
      <c r="AI796" s="210"/>
      <c r="AJ796" s="210"/>
    </row>
    <row r="797" ht="12.75" customHeight="1">
      <c r="C797" s="210"/>
      <c r="D797" s="210"/>
      <c r="E797" s="210"/>
      <c r="F797" s="210"/>
      <c r="G797" s="210"/>
      <c r="H797" s="210"/>
      <c r="I797" s="210"/>
      <c r="J797" s="210"/>
      <c r="K797" s="210"/>
      <c r="L797" s="210"/>
      <c r="M797" s="210"/>
      <c r="N797" s="210"/>
      <c r="O797" s="210"/>
      <c r="P797" s="210"/>
      <c r="Q797" s="210"/>
      <c r="R797" s="210"/>
      <c r="S797" s="210"/>
      <c r="T797" s="210"/>
      <c r="U797" s="210"/>
      <c r="V797" s="210"/>
      <c r="W797" s="210"/>
      <c r="X797" s="210"/>
      <c r="Y797" s="210"/>
      <c r="Z797" s="210"/>
      <c r="AA797" s="210"/>
      <c r="AB797" s="210"/>
      <c r="AC797" s="210"/>
      <c r="AI797" s="210"/>
      <c r="AJ797" s="210"/>
    </row>
    <row r="798" ht="12.75" customHeight="1">
      <c r="C798" s="210"/>
      <c r="D798" s="210"/>
      <c r="E798" s="210"/>
      <c r="F798" s="210"/>
      <c r="G798" s="210"/>
      <c r="H798" s="210"/>
      <c r="I798" s="210"/>
      <c r="J798" s="210"/>
      <c r="K798" s="210"/>
      <c r="L798" s="210"/>
      <c r="M798" s="210"/>
      <c r="N798" s="210"/>
      <c r="O798" s="210"/>
      <c r="P798" s="210"/>
      <c r="Q798" s="210"/>
      <c r="R798" s="210"/>
      <c r="S798" s="210"/>
      <c r="T798" s="210"/>
      <c r="U798" s="210"/>
      <c r="V798" s="210"/>
      <c r="W798" s="210"/>
      <c r="X798" s="210"/>
      <c r="Y798" s="210"/>
      <c r="Z798" s="210"/>
      <c r="AA798" s="210"/>
      <c r="AB798" s="210"/>
      <c r="AC798" s="210"/>
      <c r="AI798" s="210"/>
      <c r="AJ798" s="210"/>
    </row>
    <row r="799" ht="12.75" customHeight="1">
      <c r="C799" s="210"/>
      <c r="D799" s="210"/>
      <c r="E799" s="210"/>
      <c r="F799" s="210"/>
      <c r="G799" s="210"/>
      <c r="H799" s="210"/>
      <c r="I799" s="210"/>
      <c r="J799" s="210"/>
      <c r="K799" s="210"/>
      <c r="L799" s="210"/>
      <c r="M799" s="210"/>
      <c r="N799" s="210"/>
      <c r="O799" s="210"/>
      <c r="P799" s="210"/>
      <c r="Q799" s="210"/>
      <c r="R799" s="210"/>
      <c r="S799" s="210"/>
      <c r="T799" s="210"/>
      <c r="U799" s="210"/>
      <c r="V799" s="210"/>
      <c r="W799" s="210"/>
      <c r="X799" s="210"/>
      <c r="Y799" s="210"/>
      <c r="Z799" s="210"/>
      <c r="AA799" s="210"/>
      <c r="AB799" s="210"/>
      <c r="AC799" s="210"/>
      <c r="AI799" s="210"/>
      <c r="AJ799" s="210"/>
    </row>
    <row r="800" ht="12.75" customHeight="1">
      <c r="C800" s="210"/>
      <c r="D800" s="210"/>
      <c r="E800" s="210"/>
      <c r="F800" s="210"/>
      <c r="G800" s="210"/>
      <c r="H800" s="210"/>
      <c r="I800" s="210"/>
      <c r="J800" s="210"/>
      <c r="K800" s="210"/>
      <c r="L800" s="210"/>
      <c r="M800" s="210"/>
      <c r="N800" s="210"/>
      <c r="O800" s="210"/>
      <c r="P800" s="210"/>
      <c r="Q800" s="210"/>
      <c r="R800" s="210"/>
      <c r="S800" s="210"/>
      <c r="T800" s="210"/>
      <c r="U800" s="210"/>
      <c r="V800" s="210"/>
      <c r="W800" s="210"/>
      <c r="X800" s="210"/>
      <c r="Y800" s="210"/>
      <c r="Z800" s="210"/>
      <c r="AA800" s="210"/>
      <c r="AB800" s="210"/>
      <c r="AC800" s="210"/>
      <c r="AI800" s="210"/>
      <c r="AJ800" s="210"/>
    </row>
    <row r="801" ht="12.75" customHeight="1">
      <c r="C801" s="210"/>
      <c r="D801" s="210"/>
      <c r="E801" s="210"/>
      <c r="F801" s="210"/>
      <c r="G801" s="210"/>
      <c r="H801" s="210"/>
      <c r="I801" s="210"/>
      <c r="J801" s="210"/>
      <c r="K801" s="210"/>
      <c r="L801" s="210"/>
      <c r="M801" s="210"/>
      <c r="N801" s="210"/>
      <c r="O801" s="210"/>
      <c r="P801" s="210"/>
      <c r="Q801" s="210"/>
      <c r="R801" s="210"/>
      <c r="S801" s="210"/>
      <c r="T801" s="210"/>
      <c r="U801" s="210"/>
      <c r="V801" s="210"/>
      <c r="W801" s="210"/>
      <c r="X801" s="210"/>
      <c r="Y801" s="210"/>
      <c r="Z801" s="210"/>
      <c r="AA801" s="210"/>
      <c r="AB801" s="210"/>
      <c r="AC801" s="210"/>
      <c r="AI801" s="210"/>
      <c r="AJ801" s="210"/>
    </row>
    <row r="802" ht="12.75" customHeight="1">
      <c r="C802" s="210"/>
      <c r="D802" s="210"/>
      <c r="E802" s="210"/>
      <c r="F802" s="210"/>
      <c r="G802" s="210"/>
      <c r="H802" s="210"/>
      <c r="I802" s="210"/>
      <c r="J802" s="210"/>
      <c r="K802" s="210"/>
      <c r="L802" s="210"/>
      <c r="M802" s="210"/>
      <c r="N802" s="210"/>
      <c r="O802" s="210"/>
      <c r="P802" s="210"/>
      <c r="Q802" s="210"/>
      <c r="R802" s="210"/>
      <c r="S802" s="210"/>
      <c r="T802" s="210"/>
      <c r="U802" s="210"/>
      <c r="V802" s="210"/>
      <c r="W802" s="210"/>
      <c r="X802" s="210"/>
      <c r="Y802" s="210"/>
      <c r="Z802" s="210"/>
      <c r="AA802" s="210"/>
      <c r="AB802" s="210"/>
      <c r="AC802" s="210"/>
      <c r="AI802" s="210"/>
      <c r="AJ802" s="210"/>
    </row>
    <row r="803" ht="12.75" customHeight="1">
      <c r="C803" s="210"/>
      <c r="D803" s="210"/>
      <c r="E803" s="210"/>
      <c r="F803" s="210"/>
      <c r="G803" s="210"/>
      <c r="H803" s="210"/>
      <c r="I803" s="210"/>
      <c r="J803" s="210"/>
      <c r="K803" s="210"/>
      <c r="L803" s="210"/>
      <c r="M803" s="210"/>
      <c r="N803" s="210"/>
      <c r="O803" s="210"/>
      <c r="P803" s="210"/>
      <c r="Q803" s="210"/>
      <c r="R803" s="210"/>
      <c r="S803" s="210"/>
      <c r="T803" s="210"/>
      <c r="U803" s="210"/>
      <c r="V803" s="210"/>
      <c r="W803" s="210"/>
      <c r="X803" s="210"/>
      <c r="Y803" s="210"/>
      <c r="Z803" s="210"/>
      <c r="AA803" s="210"/>
      <c r="AB803" s="210"/>
      <c r="AC803" s="210"/>
      <c r="AI803" s="210"/>
      <c r="AJ803" s="210"/>
    </row>
    <row r="804" ht="12.75" customHeight="1">
      <c r="C804" s="210"/>
      <c r="D804" s="210"/>
      <c r="E804" s="210"/>
      <c r="F804" s="210"/>
      <c r="G804" s="210"/>
      <c r="H804" s="210"/>
      <c r="I804" s="210"/>
      <c r="J804" s="210"/>
      <c r="K804" s="210"/>
      <c r="L804" s="210"/>
      <c r="M804" s="210"/>
      <c r="N804" s="210"/>
      <c r="O804" s="210"/>
      <c r="P804" s="210"/>
      <c r="Q804" s="210"/>
      <c r="R804" s="210"/>
      <c r="S804" s="210"/>
      <c r="T804" s="210"/>
      <c r="U804" s="210"/>
      <c r="V804" s="210"/>
      <c r="W804" s="210"/>
      <c r="X804" s="210"/>
      <c r="Y804" s="210"/>
      <c r="Z804" s="210"/>
      <c r="AA804" s="210"/>
      <c r="AB804" s="210"/>
      <c r="AC804" s="210"/>
      <c r="AI804" s="210"/>
      <c r="AJ804" s="210"/>
    </row>
    <row r="805" ht="12.75" customHeight="1">
      <c r="C805" s="210"/>
      <c r="D805" s="210"/>
      <c r="E805" s="210"/>
      <c r="F805" s="210"/>
      <c r="G805" s="210"/>
      <c r="H805" s="210"/>
      <c r="I805" s="210"/>
      <c r="J805" s="210"/>
      <c r="K805" s="210"/>
      <c r="L805" s="210"/>
      <c r="M805" s="210"/>
      <c r="N805" s="210"/>
      <c r="O805" s="210"/>
      <c r="P805" s="210"/>
      <c r="Q805" s="210"/>
      <c r="R805" s="210"/>
      <c r="S805" s="210"/>
      <c r="T805" s="210"/>
      <c r="U805" s="210"/>
      <c r="V805" s="210"/>
      <c r="W805" s="210"/>
      <c r="X805" s="210"/>
      <c r="Y805" s="210"/>
      <c r="Z805" s="210"/>
      <c r="AA805" s="210"/>
      <c r="AB805" s="210"/>
      <c r="AC805" s="210"/>
      <c r="AI805" s="210"/>
      <c r="AJ805" s="210"/>
    </row>
    <row r="806" ht="12.75" customHeight="1">
      <c r="C806" s="210"/>
      <c r="D806" s="210"/>
      <c r="E806" s="210"/>
      <c r="F806" s="210"/>
      <c r="G806" s="210"/>
      <c r="H806" s="210"/>
      <c r="I806" s="210"/>
      <c r="J806" s="210"/>
      <c r="K806" s="210"/>
      <c r="L806" s="210"/>
      <c r="M806" s="210"/>
      <c r="N806" s="210"/>
      <c r="O806" s="210"/>
      <c r="P806" s="210"/>
      <c r="Q806" s="210"/>
      <c r="R806" s="210"/>
      <c r="S806" s="210"/>
      <c r="T806" s="210"/>
      <c r="U806" s="210"/>
      <c r="V806" s="210"/>
      <c r="W806" s="210"/>
      <c r="X806" s="210"/>
      <c r="Y806" s="210"/>
      <c r="Z806" s="210"/>
      <c r="AA806" s="210"/>
      <c r="AB806" s="210"/>
      <c r="AC806" s="210"/>
      <c r="AI806" s="210"/>
      <c r="AJ806" s="210"/>
    </row>
    <row r="807" ht="12.75" customHeight="1">
      <c r="C807" s="210"/>
      <c r="D807" s="210"/>
      <c r="E807" s="210"/>
      <c r="F807" s="210"/>
      <c r="G807" s="210"/>
      <c r="H807" s="210"/>
      <c r="I807" s="210"/>
      <c r="J807" s="210"/>
      <c r="K807" s="210"/>
      <c r="L807" s="210"/>
      <c r="M807" s="210"/>
      <c r="N807" s="210"/>
      <c r="O807" s="210"/>
      <c r="P807" s="210"/>
      <c r="Q807" s="210"/>
      <c r="R807" s="210"/>
      <c r="S807" s="210"/>
      <c r="T807" s="210"/>
      <c r="U807" s="210"/>
      <c r="V807" s="210"/>
      <c r="W807" s="210"/>
      <c r="X807" s="210"/>
      <c r="Y807" s="210"/>
      <c r="Z807" s="210"/>
      <c r="AA807" s="210"/>
      <c r="AB807" s="210"/>
      <c r="AC807" s="210"/>
      <c r="AI807" s="210"/>
      <c r="AJ807" s="210"/>
    </row>
    <row r="808" ht="12.75" customHeight="1">
      <c r="C808" s="210"/>
      <c r="D808" s="210"/>
      <c r="E808" s="210"/>
      <c r="F808" s="210"/>
      <c r="G808" s="210"/>
      <c r="H808" s="210"/>
      <c r="I808" s="210"/>
      <c r="J808" s="210"/>
      <c r="K808" s="210"/>
      <c r="L808" s="210"/>
      <c r="M808" s="210"/>
      <c r="N808" s="210"/>
      <c r="O808" s="210"/>
      <c r="P808" s="210"/>
      <c r="Q808" s="210"/>
      <c r="R808" s="210"/>
      <c r="S808" s="210"/>
      <c r="T808" s="210"/>
      <c r="U808" s="210"/>
      <c r="V808" s="210"/>
      <c r="W808" s="210"/>
      <c r="X808" s="210"/>
      <c r="Y808" s="210"/>
      <c r="Z808" s="210"/>
      <c r="AA808" s="210"/>
      <c r="AB808" s="210"/>
      <c r="AC808" s="210"/>
      <c r="AI808" s="210"/>
      <c r="AJ808" s="210"/>
    </row>
    <row r="809" ht="12.75" customHeight="1">
      <c r="C809" s="210"/>
      <c r="D809" s="210"/>
      <c r="E809" s="210"/>
      <c r="F809" s="210"/>
      <c r="G809" s="210"/>
      <c r="H809" s="210"/>
      <c r="I809" s="210"/>
      <c r="J809" s="210"/>
      <c r="K809" s="210"/>
      <c r="L809" s="210"/>
      <c r="M809" s="210"/>
      <c r="N809" s="210"/>
      <c r="O809" s="210"/>
      <c r="P809" s="210"/>
      <c r="Q809" s="210"/>
      <c r="R809" s="210"/>
      <c r="S809" s="210"/>
      <c r="T809" s="210"/>
      <c r="U809" s="210"/>
      <c r="V809" s="210"/>
      <c r="W809" s="210"/>
      <c r="X809" s="210"/>
      <c r="Y809" s="210"/>
      <c r="Z809" s="210"/>
      <c r="AA809" s="210"/>
      <c r="AB809" s="210"/>
      <c r="AC809" s="210"/>
      <c r="AI809" s="210"/>
      <c r="AJ809" s="210"/>
    </row>
    <row r="810" ht="12.75" customHeight="1">
      <c r="C810" s="210"/>
      <c r="D810" s="210"/>
      <c r="E810" s="210"/>
      <c r="F810" s="210"/>
      <c r="G810" s="210"/>
      <c r="H810" s="210"/>
      <c r="I810" s="210"/>
      <c r="J810" s="210"/>
      <c r="K810" s="210"/>
      <c r="L810" s="210"/>
      <c r="M810" s="210"/>
      <c r="N810" s="210"/>
      <c r="O810" s="210"/>
      <c r="P810" s="210"/>
      <c r="Q810" s="210"/>
      <c r="R810" s="210"/>
      <c r="S810" s="210"/>
      <c r="T810" s="210"/>
      <c r="U810" s="210"/>
      <c r="V810" s="210"/>
      <c r="W810" s="210"/>
      <c r="X810" s="210"/>
      <c r="Y810" s="210"/>
      <c r="Z810" s="210"/>
      <c r="AA810" s="210"/>
      <c r="AB810" s="210"/>
      <c r="AC810" s="210"/>
      <c r="AI810" s="210"/>
      <c r="AJ810" s="210"/>
    </row>
    <row r="811" ht="12.75" customHeight="1">
      <c r="C811" s="210"/>
      <c r="D811" s="210"/>
      <c r="E811" s="210"/>
      <c r="F811" s="210"/>
      <c r="G811" s="210"/>
      <c r="H811" s="210"/>
      <c r="I811" s="210"/>
      <c r="J811" s="210"/>
      <c r="K811" s="210"/>
      <c r="L811" s="210"/>
      <c r="M811" s="210"/>
      <c r="N811" s="210"/>
      <c r="O811" s="210"/>
      <c r="P811" s="210"/>
      <c r="Q811" s="210"/>
      <c r="R811" s="210"/>
      <c r="S811" s="210"/>
      <c r="T811" s="210"/>
      <c r="U811" s="210"/>
      <c r="V811" s="210"/>
      <c r="W811" s="210"/>
      <c r="X811" s="210"/>
      <c r="Y811" s="210"/>
      <c r="Z811" s="210"/>
      <c r="AA811" s="210"/>
      <c r="AB811" s="210"/>
      <c r="AC811" s="210"/>
      <c r="AI811" s="210"/>
      <c r="AJ811" s="210"/>
    </row>
    <row r="812" ht="12.75" customHeight="1">
      <c r="C812" s="210"/>
      <c r="D812" s="210"/>
      <c r="E812" s="210"/>
      <c r="F812" s="210"/>
      <c r="G812" s="210"/>
      <c r="H812" s="210"/>
      <c r="I812" s="210"/>
      <c r="J812" s="210"/>
      <c r="K812" s="210"/>
      <c r="L812" s="210"/>
      <c r="M812" s="210"/>
      <c r="N812" s="210"/>
      <c r="O812" s="210"/>
      <c r="P812" s="210"/>
      <c r="Q812" s="210"/>
      <c r="R812" s="210"/>
      <c r="S812" s="210"/>
      <c r="T812" s="210"/>
      <c r="U812" s="210"/>
      <c r="V812" s="210"/>
      <c r="W812" s="210"/>
      <c r="X812" s="210"/>
      <c r="Y812" s="210"/>
      <c r="Z812" s="210"/>
      <c r="AA812" s="210"/>
      <c r="AB812" s="210"/>
      <c r="AC812" s="210"/>
      <c r="AI812" s="210"/>
      <c r="AJ812" s="210"/>
    </row>
    <row r="813" ht="12.75" customHeight="1">
      <c r="C813" s="210"/>
      <c r="D813" s="210"/>
      <c r="E813" s="210"/>
      <c r="F813" s="210"/>
      <c r="G813" s="210"/>
      <c r="H813" s="210"/>
      <c r="I813" s="210"/>
      <c r="J813" s="210"/>
      <c r="K813" s="210"/>
      <c r="L813" s="210"/>
      <c r="M813" s="210"/>
      <c r="N813" s="210"/>
      <c r="O813" s="210"/>
      <c r="P813" s="210"/>
      <c r="Q813" s="210"/>
      <c r="R813" s="210"/>
      <c r="S813" s="210"/>
      <c r="T813" s="210"/>
      <c r="U813" s="210"/>
      <c r="V813" s="210"/>
      <c r="W813" s="210"/>
      <c r="X813" s="210"/>
      <c r="Y813" s="210"/>
      <c r="Z813" s="210"/>
      <c r="AA813" s="210"/>
      <c r="AB813" s="210"/>
      <c r="AC813" s="210"/>
      <c r="AI813" s="210"/>
      <c r="AJ813" s="210"/>
    </row>
    <row r="814" ht="12.75" customHeight="1">
      <c r="C814" s="210"/>
      <c r="D814" s="210"/>
      <c r="E814" s="210"/>
      <c r="F814" s="210"/>
      <c r="G814" s="210"/>
      <c r="H814" s="210"/>
      <c r="I814" s="210"/>
      <c r="J814" s="210"/>
      <c r="K814" s="210"/>
      <c r="L814" s="210"/>
      <c r="M814" s="210"/>
      <c r="N814" s="210"/>
      <c r="O814" s="210"/>
      <c r="P814" s="210"/>
      <c r="Q814" s="210"/>
      <c r="R814" s="210"/>
      <c r="S814" s="210"/>
      <c r="T814" s="210"/>
      <c r="U814" s="210"/>
      <c r="V814" s="210"/>
      <c r="W814" s="210"/>
      <c r="X814" s="210"/>
      <c r="Y814" s="210"/>
      <c r="Z814" s="210"/>
      <c r="AA814" s="210"/>
      <c r="AB814" s="210"/>
      <c r="AC814" s="210"/>
      <c r="AI814" s="210"/>
      <c r="AJ814" s="210"/>
    </row>
    <row r="815" ht="12.75" customHeight="1">
      <c r="C815" s="210"/>
      <c r="D815" s="210"/>
      <c r="E815" s="210"/>
      <c r="F815" s="210"/>
      <c r="G815" s="210"/>
      <c r="H815" s="210"/>
      <c r="I815" s="210"/>
      <c r="J815" s="210"/>
      <c r="K815" s="210"/>
      <c r="L815" s="210"/>
      <c r="M815" s="210"/>
      <c r="N815" s="210"/>
      <c r="O815" s="210"/>
      <c r="P815" s="210"/>
      <c r="Q815" s="210"/>
      <c r="R815" s="210"/>
      <c r="S815" s="210"/>
      <c r="T815" s="210"/>
      <c r="U815" s="210"/>
      <c r="V815" s="210"/>
      <c r="W815" s="210"/>
      <c r="X815" s="210"/>
      <c r="Y815" s="210"/>
      <c r="Z815" s="210"/>
      <c r="AA815" s="210"/>
      <c r="AB815" s="210"/>
      <c r="AC815" s="210"/>
      <c r="AI815" s="210"/>
      <c r="AJ815" s="210"/>
    </row>
    <row r="816" ht="12.75" customHeight="1">
      <c r="C816" s="210"/>
      <c r="D816" s="210"/>
      <c r="E816" s="210"/>
      <c r="F816" s="210"/>
      <c r="G816" s="210"/>
      <c r="H816" s="210"/>
      <c r="I816" s="210"/>
      <c r="J816" s="210"/>
      <c r="K816" s="210"/>
      <c r="L816" s="210"/>
      <c r="M816" s="210"/>
      <c r="N816" s="210"/>
      <c r="O816" s="210"/>
      <c r="P816" s="210"/>
      <c r="Q816" s="210"/>
      <c r="R816" s="210"/>
      <c r="S816" s="210"/>
      <c r="T816" s="210"/>
      <c r="U816" s="210"/>
      <c r="V816" s="210"/>
      <c r="W816" s="210"/>
      <c r="X816" s="210"/>
      <c r="Y816" s="210"/>
      <c r="Z816" s="210"/>
      <c r="AA816" s="210"/>
      <c r="AB816" s="210"/>
      <c r="AC816" s="210"/>
      <c r="AI816" s="210"/>
      <c r="AJ816" s="210"/>
    </row>
    <row r="817" ht="12.75" customHeight="1">
      <c r="C817" s="210"/>
      <c r="D817" s="210"/>
      <c r="E817" s="210"/>
      <c r="F817" s="210"/>
      <c r="G817" s="210"/>
      <c r="H817" s="210"/>
      <c r="I817" s="210"/>
      <c r="J817" s="210"/>
      <c r="K817" s="210"/>
      <c r="L817" s="210"/>
      <c r="M817" s="210"/>
      <c r="N817" s="210"/>
      <c r="O817" s="210"/>
      <c r="P817" s="210"/>
      <c r="Q817" s="210"/>
      <c r="R817" s="210"/>
      <c r="S817" s="210"/>
      <c r="T817" s="210"/>
      <c r="U817" s="210"/>
      <c r="V817" s="210"/>
      <c r="W817" s="210"/>
      <c r="X817" s="210"/>
      <c r="Y817" s="210"/>
      <c r="Z817" s="210"/>
      <c r="AA817" s="210"/>
      <c r="AB817" s="210"/>
      <c r="AC817" s="210"/>
      <c r="AI817" s="210"/>
      <c r="AJ817" s="210"/>
    </row>
    <row r="818" ht="12.75" customHeight="1">
      <c r="C818" s="210"/>
      <c r="D818" s="210"/>
      <c r="E818" s="210"/>
      <c r="F818" s="210"/>
      <c r="G818" s="210"/>
      <c r="H818" s="210"/>
      <c r="I818" s="210"/>
      <c r="J818" s="210"/>
      <c r="K818" s="210"/>
      <c r="L818" s="210"/>
      <c r="M818" s="210"/>
      <c r="N818" s="210"/>
      <c r="O818" s="210"/>
      <c r="P818" s="210"/>
      <c r="Q818" s="210"/>
      <c r="R818" s="210"/>
      <c r="S818" s="210"/>
      <c r="T818" s="210"/>
      <c r="U818" s="210"/>
      <c r="V818" s="210"/>
      <c r="W818" s="210"/>
      <c r="X818" s="210"/>
      <c r="Y818" s="210"/>
      <c r="Z818" s="210"/>
      <c r="AA818" s="210"/>
      <c r="AB818" s="210"/>
      <c r="AC818" s="210"/>
      <c r="AI818" s="210"/>
      <c r="AJ818" s="210"/>
    </row>
    <row r="819" ht="12.75" customHeight="1">
      <c r="C819" s="210"/>
      <c r="D819" s="210"/>
      <c r="E819" s="210"/>
      <c r="F819" s="210"/>
      <c r="G819" s="210"/>
      <c r="H819" s="210"/>
      <c r="I819" s="210"/>
      <c r="J819" s="210"/>
      <c r="K819" s="210"/>
      <c r="L819" s="210"/>
      <c r="M819" s="210"/>
      <c r="N819" s="210"/>
      <c r="O819" s="210"/>
      <c r="P819" s="210"/>
      <c r="Q819" s="210"/>
      <c r="R819" s="210"/>
      <c r="S819" s="210"/>
      <c r="T819" s="210"/>
      <c r="U819" s="210"/>
      <c r="V819" s="210"/>
      <c r="W819" s="210"/>
      <c r="X819" s="210"/>
      <c r="Y819" s="210"/>
      <c r="Z819" s="210"/>
      <c r="AA819" s="210"/>
      <c r="AB819" s="210"/>
      <c r="AC819" s="210"/>
      <c r="AI819" s="210"/>
      <c r="AJ819" s="210"/>
    </row>
    <row r="820" ht="12.75" customHeight="1">
      <c r="C820" s="210"/>
      <c r="D820" s="210"/>
      <c r="E820" s="210"/>
      <c r="F820" s="210"/>
      <c r="G820" s="210"/>
      <c r="H820" s="210"/>
      <c r="I820" s="210"/>
      <c r="J820" s="210"/>
      <c r="K820" s="210"/>
      <c r="L820" s="210"/>
      <c r="M820" s="210"/>
      <c r="N820" s="210"/>
      <c r="O820" s="210"/>
      <c r="P820" s="210"/>
      <c r="Q820" s="210"/>
      <c r="R820" s="210"/>
      <c r="S820" s="210"/>
      <c r="T820" s="210"/>
      <c r="U820" s="210"/>
      <c r="V820" s="210"/>
      <c r="W820" s="210"/>
      <c r="X820" s="210"/>
      <c r="Y820" s="210"/>
      <c r="Z820" s="210"/>
      <c r="AA820" s="210"/>
      <c r="AB820" s="210"/>
      <c r="AC820" s="210"/>
      <c r="AI820" s="210"/>
      <c r="AJ820" s="210"/>
    </row>
    <row r="821" ht="12.75" customHeight="1">
      <c r="C821" s="210"/>
      <c r="D821" s="210"/>
      <c r="E821" s="210"/>
      <c r="F821" s="210"/>
      <c r="G821" s="210"/>
      <c r="H821" s="210"/>
      <c r="I821" s="210"/>
      <c r="J821" s="210"/>
      <c r="K821" s="210"/>
      <c r="L821" s="210"/>
      <c r="M821" s="210"/>
      <c r="N821" s="210"/>
      <c r="O821" s="210"/>
      <c r="P821" s="210"/>
      <c r="Q821" s="210"/>
      <c r="R821" s="210"/>
      <c r="S821" s="210"/>
      <c r="T821" s="210"/>
      <c r="U821" s="210"/>
      <c r="V821" s="210"/>
      <c r="W821" s="210"/>
      <c r="X821" s="210"/>
      <c r="Y821" s="210"/>
      <c r="Z821" s="210"/>
      <c r="AA821" s="210"/>
      <c r="AB821" s="210"/>
      <c r="AC821" s="210"/>
      <c r="AI821" s="210"/>
      <c r="AJ821" s="210"/>
    </row>
    <row r="822" ht="12.75" customHeight="1">
      <c r="C822" s="210"/>
      <c r="D822" s="210"/>
      <c r="E822" s="210"/>
      <c r="F822" s="210"/>
      <c r="G822" s="210"/>
      <c r="H822" s="210"/>
      <c r="I822" s="210"/>
      <c r="J822" s="210"/>
      <c r="K822" s="210"/>
      <c r="L822" s="210"/>
      <c r="M822" s="210"/>
      <c r="N822" s="210"/>
      <c r="O822" s="210"/>
      <c r="P822" s="210"/>
      <c r="Q822" s="210"/>
      <c r="R822" s="210"/>
      <c r="S822" s="210"/>
      <c r="T822" s="210"/>
      <c r="U822" s="210"/>
      <c r="V822" s="210"/>
      <c r="W822" s="210"/>
      <c r="X822" s="210"/>
      <c r="Y822" s="210"/>
      <c r="Z822" s="210"/>
      <c r="AA822" s="210"/>
      <c r="AB822" s="210"/>
      <c r="AC822" s="210"/>
      <c r="AI822" s="210"/>
      <c r="AJ822" s="210"/>
    </row>
    <row r="823" ht="12.75" customHeight="1">
      <c r="C823" s="210"/>
      <c r="D823" s="210"/>
      <c r="E823" s="210"/>
      <c r="F823" s="210"/>
      <c r="G823" s="210"/>
      <c r="H823" s="210"/>
      <c r="I823" s="210"/>
      <c r="J823" s="210"/>
      <c r="K823" s="210"/>
      <c r="L823" s="210"/>
      <c r="M823" s="210"/>
      <c r="N823" s="210"/>
      <c r="O823" s="210"/>
      <c r="P823" s="210"/>
      <c r="Q823" s="210"/>
      <c r="R823" s="210"/>
      <c r="S823" s="210"/>
      <c r="T823" s="210"/>
      <c r="U823" s="210"/>
      <c r="V823" s="210"/>
      <c r="W823" s="210"/>
      <c r="X823" s="210"/>
      <c r="Y823" s="210"/>
      <c r="Z823" s="210"/>
      <c r="AA823" s="210"/>
      <c r="AB823" s="210"/>
      <c r="AC823" s="210"/>
      <c r="AI823" s="210"/>
      <c r="AJ823" s="210"/>
    </row>
    <row r="824" ht="12.75" customHeight="1">
      <c r="C824" s="210"/>
      <c r="D824" s="210"/>
      <c r="E824" s="210"/>
      <c r="F824" s="210"/>
      <c r="G824" s="210"/>
      <c r="H824" s="210"/>
      <c r="I824" s="210"/>
      <c r="J824" s="210"/>
      <c r="K824" s="210"/>
      <c r="L824" s="210"/>
      <c r="M824" s="210"/>
      <c r="N824" s="210"/>
      <c r="O824" s="210"/>
      <c r="P824" s="210"/>
      <c r="Q824" s="210"/>
      <c r="R824" s="210"/>
      <c r="S824" s="210"/>
      <c r="T824" s="210"/>
      <c r="U824" s="210"/>
      <c r="V824" s="210"/>
      <c r="W824" s="210"/>
      <c r="X824" s="210"/>
      <c r="Y824" s="210"/>
      <c r="Z824" s="210"/>
      <c r="AA824" s="210"/>
      <c r="AB824" s="210"/>
      <c r="AC824" s="210"/>
      <c r="AI824" s="210"/>
      <c r="AJ824" s="210"/>
    </row>
    <row r="825" ht="12.75" customHeight="1">
      <c r="C825" s="210"/>
      <c r="D825" s="210"/>
      <c r="E825" s="210"/>
      <c r="F825" s="210"/>
      <c r="G825" s="210"/>
      <c r="H825" s="210"/>
      <c r="I825" s="210"/>
      <c r="J825" s="210"/>
      <c r="K825" s="210"/>
      <c r="L825" s="210"/>
      <c r="M825" s="210"/>
      <c r="N825" s="210"/>
      <c r="O825" s="210"/>
      <c r="P825" s="210"/>
      <c r="Q825" s="210"/>
      <c r="R825" s="210"/>
      <c r="S825" s="210"/>
      <c r="T825" s="210"/>
      <c r="U825" s="210"/>
      <c r="V825" s="210"/>
      <c r="W825" s="210"/>
      <c r="X825" s="210"/>
      <c r="Y825" s="210"/>
      <c r="Z825" s="210"/>
      <c r="AA825" s="210"/>
      <c r="AB825" s="210"/>
      <c r="AC825" s="210"/>
      <c r="AI825" s="210"/>
      <c r="AJ825" s="210"/>
    </row>
    <row r="826" ht="12.75" customHeight="1">
      <c r="C826" s="210"/>
      <c r="D826" s="210"/>
      <c r="E826" s="210"/>
      <c r="F826" s="210"/>
      <c r="G826" s="210"/>
      <c r="H826" s="210"/>
      <c r="I826" s="210"/>
      <c r="J826" s="210"/>
      <c r="K826" s="210"/>
      <c r="L826" s="210"/>
      <c r="M826" s="210"/>
      <c r="N826" s="210"/>
      <c r="O826" s="210"/>
      <c r="P826" s="210"/>
      <c r="Q826" s="210"/>
      <c r="R826" s="210"/>
      <c r="S826" s="210"/>
      <c r="T826" s="210"/>
      <c r="U826" s="210"/>
      <c r="V826" s="210"/>
      <c r="W826" s="210"/>
      <c r="X826" s="210"/>
      <c r="Y826" s="210"/>
      <c r="Z826" s="210"/>
      <c r="AA826" s="210"/>
      <c r="AB826" s="210"/>
      <c r="AC826" s="210"/>
      <c r="AI826" s="210"/>
      <c r="AJ826" s="210"/>
    </row>
    <row r="827" ht="12.75" customHeight="1">
      <c r="C827" s="210"/>
      <c r="D827" s="210"/>
      <c r="E827" s="210"/>
      <c r="F827" s="210"/>
      <c r="G827" s="210"/>
      <c r="H827" s="210"/>
      <c r="I827" s="210"/>
      <c r="J827" s="210"/>
      <c r="K827" s="210"/>
      <c r="L827" s="210"/>
      <c r="M827" s="210"/>
      <c r="N827" s="210"/>
      <c r="O827" s="210"/>
      <c r="P827" s="210"/>
      <c r="Q827" s="210"/>
      <c r="R827" s="210"/>
      <c r="S827" s="210"/>
      <c r="T827" s="210"/>
      <c r="U827" s="210"/>
      <c r="V827" s="210"/>
      <c r="W827" s="210"/>
      <c r="X827" s="210"/>
      <c r="Y827" s="210"/>
      <c r="Z827" s="210"/>
      <c r="AA827" s="210"/>
      <c r="AB827" s="210"/>
      <c r="AC827" s="210"/>
      <c r="AI827" s="210"/>
      <c r="AJ827" s="210"/>
    </row>
    <row r="828" ht="12.75" customHeight="1">
      <c r="C828" s="210"/>
      <c r="D828" s="210"/>
      <c r="E828" s="210"/>
      <c r="F828" s="210"/>
      <c r="G828" s="210"/>
      <c r="H828" s="210"/>
      <c r="I828" s="210"/>
      <c r="J828" s="210"/>
      <c r="K828" s="210"/>
      <c r="L828" s="210"/>
      <c r="M828" s="210"/>
      <c r="N828" s="210"/>
      <c r="O828" s="210"/>
      <c r="P828" s="210"/>
      <c r="Q828" s="210"/>
      <c r="R828" s="210"/>
      <c r="S828" s="210"/>
      <c r="T828" s="210"/>
      <c r="U828" s="210"/>
      <c r="V828" s="210"/>
      <c r="W828" s="210"/>
      <c r="X828" s="210"/>
      <c r="Y828" s="210"/>
      <c r="Z828" s="210"/>
      <c r="AA828" s="210"/>
      <c r="AB828" s="210"/>
      <c r="AC828" s="210"/>
      <c r="AI828" s="210"/>
      <c r="AJ828" s="210"/>
    </row>
    <row r="829" ht="12.75" customHeight="1">
      <c r="C829" s="210"/>
      <c r="D829" s="210"/>
      <c r="E829" s="210"/>
      <c r="F829" s="210"/>
      <c r="G829" s="210"/>
      <c r="H829" s="210"/>
      <c r="I829" s="210"/>
      <c r="J829" s="210"/>
      <c r="K829" s="210"/>
      <c r="L829" s="210"/>
      <c r="M829" s="210"/>
      <c r="N829" s="210"/>
      <c r="O829" s="210"/>
      <c r="P829" s="210"/>
      <c r="Q829" s="210"/>
      <c r="R829" s="210"/>
      <c r="S829" s="210"/>
      <c r="T829" s="210"/>
      <c r="U829" s="210"/>
      <c r="V829" s="210"/>
      <c r="W829" s="210"/>
      <c r="X829" s="210"/>
      <c r="Y829" s="210"/>
      <c r="Z829" s="210"/>
      <c r="AA829" s="210"/>
      <c r="AB829" s="210"/>
      <c r="AC829" s="210"/>
      <c r="AI829" s="210"/>
      <c r="AJ829" s="210"/>
    </row>
    <row r="830" ht="12.75" customHeight="1">
      <c r="C830" s="210"/>
      <c r="D830" s="210"/>
      <c r="E830" s="210"/>
      <c r="F830" s="210"/>
      <c r="G830" s="210"/>
      <c r="H830" s="210"/>
      <c r="I830" s="210"/>
      <c r="J830" s="210"/>
      <c r="K830" s="210"/>
      <c r="L830" s="210"/>
      <c r="M830" s="210"/>
      <c r="N830" s="210"/>
      <c r="O830" s="210"/>
      <c r="P830" s="210"/>
      <c r="Q830" s="210"/>
      <c r="R830" s="210"/>
      <c r="S830" s="210"/>
      <c r="T830" s="210"/>
      <c r="U830" s="210"/>
      <c r="V830" s="210"/>
      <c r="W830" s="210"/>
      <c r="X830" s="210"/>
      <c r="Y830" s="210"/>
      <c r="Z830" s="210"/>
      <c r="AA830" s="210"/>
      <c r="AB830" s="210"/>
      <c r="AC830" s="210"/>
      <c r="AI830" s="210"/>
      <c r="AJ830" s="210"/>
    </row>
    <row r="831" ht="12.75" customHeight="1">
      <c r="C831" s="210"/>
      <c r="D831" s="210"/>
      <c r="E831" s="210"/>
      <c r="F831" s="210"/>
      <c r="G831" s="210"/>
      <c r="H831" s="210"/>
      <c r="I831" s="210"/>
      <c r="J831" s="210"/>
      <c r="K831" s="210"/>
      <c r="L831" s="210"/>
      <c r="M831" s="210"/>
      <c r="N831" s="210"/>
      <c r="O831" s="210"/>
      <c r="P831" s="210"/>
      <c r="Q831" s="210"/>
      <c r="R831" s="210"/>
      <c r="S831" s="210"/>
      <c r="T831" s="210"/>
      <c r="U831" s="210"/>
      <c r="V831" s="210"/>
      <c r="W831" s="210"/>
      <c r="X831" s="210"/>
      <c r="Y831" s="210"/>
      <c r="Z831" s="210"/>
      <c r="AA831" s="210"/>
      <c r="AB831" s="210"/>
      <c r="AC831" s="210"/>
      <c r="AI831" s="210"/>
      <c r="AJ831" s="210"/>
    </row>
    <row r="832" ht="12.75" customHeight="1">
      <c r="C832" s="210"/>
      <c r="D832" s="210"/>
      <c r="E832" s="210"/>
      <c r="F832" s="210"/>
      <c r="G832" s="210"/>
      <c r="H832" s="210"/>
      <c r="I832" s="210"/>
      <c r="J832" s="210"/>
      <c r="K832" s="210"/>
      <c r="L832" s="210"/>
      <c r="M832" s="210"/>
      <c r="N832" s="210"/>
      <c r="O832" s="210"/>
      <c r="P832" s="210"/>
      <c r="Q832" s="210"/>
      <c r="R832" s="210"/>
      <c r="S832" s="210"/>
      <c r="T832" s="210"/>
      <c r="U832" s="210"/>
      <c r="V832" s="210"/>
      <c r="W832" s="210"/>
      <c r="X832" s="210"/>
      <c r="Y832" s="210"/>
      <c r="Z832" s="210"/>
      <c r="AA832" s="210"/>
      <c r="AB832" s="210"/>
      <c r="AC832" s="210"/>
      <c r="AI832" s="210"/>
      <c r="AJ832" s="210"/>
    </row>
    <row r="833" ht="12.75" customHeight="1">
      <c r="C833" s="210"/>
      <c r="D833" s="210"/>
      <c r="E833" s="210"/>
      <c r="F833" s="210"/>
      <c r="G833" s="210"/>
      <c r="H833" s="210"/>
      <c r="I833" s="210"/>
      <c r="J833" s="210"/>
      <c r="K833" s="210"/>
      <c r="L833" s="210"/>
      <c r="M833" s="210"/>
      <c r="N833" s="210"/>
      <c r="O833" s="210"/>
      <c r="P833" s="210"/>
      <c r="Q833" s="210"/>
      <c r="R833" s="210"/>
      <c r="S833" s="210"/>
      <c r="T833" s="210"/>
      <c r="U833" s="210"/>
      <c r="V833" s="210"/>
      <c r="W833" s="210"/>
      <c r="X833" s="210"/>
      <c r="Y833" s="210"/>
      <c r="Z833" s="210"/>
      <c r="AA833" s="210"/>
      <c r="AB833" s="210"/>
      <c r="AC833" s="210"/>
      <c r="AI833" s="210"/>
      <c r="AJ833" s="210"/>
    </row>
    <row r="834" ht="12.75" customHeight="1">
      <c r="C834" s="210"/>
      <c r="D834" s="210"/>
      <c r="E834" s="210"/>
      <c r="F834" s="210"/>
      <c r="G834" s="210"/>
      <c r="H834" s="210"/>
      <c r="I834" s="210"/>
      <c r="J834" s="210"/>
      <c r="K834" s="210"/>
      <c r="L834" s="210"/>
      <c r="M834" s="210"/>
      <c r="N834" s="210"/>
      <c r="O834" s="210"/>
      <c r="P834" s="210"/>
      <c r="Q834" s="210"/>
      <c r="R834" s="210"/>
      <c r="S834" s="210"/>
      <c r="T834" s="210"/>
      <c r="U834" s="210"/>
      <c r="V834" s="210"/>
      <c r="W834" s="210"/>
      <c r="X834" s="210"/>
      <c r="Y834" s="210"/>
      <c r="Z834" s="210"/>
      <c r="AA834" s="210"/>
      <c r="AB834" s="210"/>
      <c r="AC834" s="210"/>
      <c r="AI834" s="210"/>
      <c r="AJ834" s="210"/>
    </row>
    <row r="835" ht="12.75" customHeight="1">
      <c r="C835" s="210"/>
      <c r="D835" s="210"/>
      <c r="E835" s="210"/>
      <c r="F835" s="210"/>
      <c r="G835" s="210"/>
      <c r="H835" s="210"/>
      <c r="I835" s="210"/>
      <c r="J835" s="210"/>
      <c r="K835" s="210"/>
      <c r="L835" s="210"/>
      <c r="M835" s="210"/>
      <c r="N835" s="210"/>
      <c r="O835" s="210"/>
      <c r="P835" s="210"/>
      <c r="Q835" s="210"/>
      <c r="R835" s="210"/>
      <c r="S835" s="210"/>
      <c r="T835" s="210"/>
      <c r="U835" s="210"/>
      <c r="V835" s="210"/>
      <c r="W835" s="210"/>
      <c r="X835" s="210"/>
      <c r="Y835" s="210"/>
      <c r="Z835" s="210"/>
      <c r="AA835" s="210"/>
      <c r="AB835" s="210"/>
      <c r="AC835" s="210"/>
      <c r="AI835" s="210"/>
      <c r="AJ835" s="210"/>
    </row>
    <row r="836" ht="12.75" customHeight="1">
      <c r="C836" s="210"/>
      <c r="D836" s="210"/>
      <c r="E836" s="210"/>
      <c r="F836" s="210"/>
      <c r="G836" s="210"/>
      <c r="H836" s="210"/>
      <c r="I836" s="210"/>
      <c r="J836" s="210"/>
      <c r="K836" s="210"/>
      <c r="L836" s="210"/>
      <c r="M836" s="210"/>
      <c r="N836" s="210"/>
      <c r="O836" s="210"/>
      <c r="P836" s="210"/>
      <c r="Q836" s="210"/>
      <c r="R836" s="210"/>
      <c r="S836" s="210"/>
      <c r="T836" s="210"/>
      <c r="U836" s="210"/>
      <c r="V836" s="210"/>
      <c r="W836" s="210"/>
      <c r="X836" s="210"/>
      <c r="Y836" s="210"/>
      <c r="Z836" s="210"/>
      <c r="AA836" s="210"/>
      <c r="AB836" s="210"/>
      <c r="AC836" s="210"/>
      <c r="AI836" s="210"/>
      <c r="AJ836" s="210"/>
    </row>
    <row r="837" ht="12.75" customHeight="1">
      <c r="C837" s="210"/>
      <c r="D837" s="210"/>
      <c r="E837" s="210"/>
      <c r="F837" s="210"/>
      <c r="G837" s="210"/>
      <c r="H837" s="210"/>
      <c r="I837" s="210"/>
      <c r="J837" s="210"/>
      <c r="K837" s="210"/>
      <c r="L837" s="210"/>
      <c r="M837" s="210"/>
      <c r="N837" s="210"/>
      <c r="O837" s="210"/>
      <c r="P837" s="210"/>
      <c r="Q837" s="210"/>
      <c r="R837" s="210"/>
      <c r="S837" s="210"/>
      <c r="T837" s="210"/>
      <c r="U837" s="210"/>
      <c r="V837" s="210"/>
      <c r="W837" s="210"/>
      <c r="X837" s="210"/>
      <c r="Y837" s="210"/>
      <c r="Z837" s="210"/>
      <c r="AA837" s="210"/>
      <c r="AB837" s="210"/>
      <c r="AC837" s="210"/>
      <c r="AI837" s="210"/>
      <c r="AJ837" s="210"/>
    </row>
    <row r="838" ht="12.75" customHeight="1">
      <c r="C838" s="210"/>
      <c r="D838" s="210"/>
      <c r="E838" s="210"/>
      <c r="F838" s="210"/>
      <c r="G838" s="210"/>
      <c r="H838" s="210"/>
      <c r="I838" s="210"/>
      <c r="J838" s="210"/>
      <c r="K838" s="210"/>
      <c r="L838" s="210"/>
      <c r="M838" s="210"/>
      <c r="N838" s="210"/>
      <c r="O838" s="210"/>
      <c r="P838" s="210"/>
      <c r="Q838" s="210"/>
      <c r="R838" s="210"/>
      <c r="S838" s="210"/>
      <c r="T838" s="210"/>
      <c r="U838" s="210"/>
      <c r="V838" s="210"/>
      <c r="W838" s="210"/>
      <c r="X838" s="210"/>
      <c r="Y838" s="210"/>
      <c r="Z838" s="210"/>
      <c r="AA838" s="210"/>
      <c r="AB838" s="210"/>
      <c r="AC838" s="210"/>
      <c r="AI838" s="210"/>
      <c r="AJ838" s="210"/>
    </row>
    <row r="839" ht="12.75" customHeight="1">
      <c r="C839" s="210"/>
      <c r="D839" s="210"/>
      <c r="E839" s="210"/>
      <c r="F839" s="210"/>
      <c r="G839" s="210"/>
      <c r="H839" s="210"/>
      <c r="I839" s="210"/>
      <c r="J839" s="210"/>
      <c r="K839" s="210"/>
      <c r="L839" s="210"/>
      <c r="M839" s="210"/>
      <c r="N839" s="210"/>
      <c r="O839" s="210"/>
      <c r="P839" s="210"/>
      <c r="Q839" s="210"/>
      <c r="R839" s="210"/>
      <c r="S839" s="210"/>
      <c r="T839" s="210"/>
      <c r="U839" s="210"/>
      <c r="V839" s="210"/>
      <c r="W839" s="210"/>
      <c r="X839" s="210"/>
      <c r="Y839" s="210"/>
      <c r="Z839" s="210"/>
      <c r="AA839" s="210"/>
      <c r="AB839" s="210"/>
      <c r="AC839" s="210"/>
      <c r="AI839" s="210"/>
      <c r="AJ839" s="210"/>
    </row>
    <row r="840" ht="12.75" customHeight="1">
      <c r="C840" s="210"/>
      <c r="D840" s="210"/>
      <c r="E840" s="210"/>
      <c r="F840" s="210"/>
      <c r="G840" s="210"/>
      <c r="H840" s="210"/>
      <c r="I840" s="210"/>
      <c r="J840" s="210"/>
      <c r="K840" s="210"/>
      <c r="L840" s="210"/>
      <c r="M840" s="210"/>
      <c r="N840" s="210"/>
      <c r="O840" s="210"/>
      <c r="P840" s="210"/>
      <c r="Q840" s="210"/>
      <c r="R840" s="210"/>
      <c r="S840" s="210"/>
      <c r="T840" s="210"/>
      <c r="U840" s="210"/>
      <c r="V840" s="210"/>
      <c r="W840" s="210"/>
      <c r="X840" s="210"/>
      <c r="Y840" s="210"/>
      <c r="Z840" s="210"/>
      <c r="AA840" s="210"/>
      <c r="AB840" s="210"/>
      <c r="AC840" s="210"/>
      <c r="AI840" s="210"/>
      <c r="AJ840" s="210"/>
    </row>
    <row r="841" ht="12.75" customHeight="1">
      <c r="C841" s="210"/>
      <c r="D841" s="210"/>
      <c r="E841" s="210"/>
      <c r="F841" s="210"/>
      <c r="G841" s="210"/>
      <c r="H841" s="210"/>
      <c r="I841" s="210"/>
      <c r="J841" s="210"/>
      <c r="K841" s="210"/>
      <c r="L841" s="210"/>
      <c r="M841" s="210"/>
      <c r="N841" s="210"/>
      <c r="O841" s="210"/>
      <c r="P841" s="210"/>
      <c r="Q841" s="210"/>
      <c r="R841" s="210"/>
      <c r="S841" s="210"/>
      <c r="T841" s="210"/>
      <c r="U841" s="210"/>
      <c r="V841" s="210"/>
      <c r="W841" s="210"/>
      <c r="X841" s="210"/>
      <c r="Y841" s="210"/>
      <c r="Z841" s="210"/>
      <c r="AA841" s="210"/>
      <c r="AB841" s="210"/>
      <c r="AC841" s="210"/>
      <c r="AI841" s="210"/>
      <c r="AJ841" s="210"/>
    </row>
    <row r="842" ht="12.75" customHeight="1">
      <c r="C842" s="210"/>
      <c r="D842" s="210"/>
      <c r="E842" s="210"/>
      <c r="F842" s="210"/>
      <c r="G842" s="210"/>
      <c r="H842" s="210"/>
      <c r="I842" s="210"/>
      <c r="J842" s="210"/>
      <c r="K842" s="210"/>
      <c r="L842" s="210"/>
      <c r="M842" s="210"/>
      <c r="N842" s="210"/>
      <c r="O842" s="210"/>
      <c r="P842" s="210"/>
      <c r="Q842" s="210"/>
      <c r="R842" s="210"/>
      <c r="S842" s="210"/>
      <c r="T842" s="210"/>
      <c r="U842" s="210"/>
      <c r="V842" s="210"/>
      <c r="W842" s="210"/>
      <c r="X842" s="210"/>
      <c r="Y842" s="210"/>
      <c r="Z842" s="210"/>
      <c r="AA842" s="210"/>
      <c r="AB842" s="210"/>
      <c r="AC842" s="210"/>
      <c r="AI842" s="210"/>
      <c r="AJ842" s="210"/>
    </row>
    <row r="843" ht="12.75" customHeight="1">
      <c r="C843" s="210"/>
      <c r="D843" s="210"/>
      <c r="E843" s="210"/>
      <c r="F843" s="210"/>
      <c r="G843" s="210"/>
      <c r="H843" s="210"/>
      <c r="I843" s="210"/>
      <c r="J843" s="210"/>
      <c r="K843" s="210"/>
      <c r="L843" s="210"/>
      <c r="M843" s="210"/>
      <c r="N843" s="210"/>
      <c r="O843" s="210"/>
      <c r="P843" s="210"/>
      <c r="Q843" s="210"/>
      <c r="R843" s="210"/>
      <c r="S843" s="210"/>
      <c r="T843" s="210"/>
      <c r="U843" s="210"/>
      <c r="V843" s="210"/>
      <c r="W843" s="210"/>
      <c r="X843" s="210"/>
      <c r="Y843" s="210"/>
      <c r="Z843" s="210"/>
      <c r="AA843" s="210"/>
      <c r="AB843" s="210"/>
      <c r="AC843" s="210"/>
      <c r="AI843" s="210"/>
      <c r="AJ843" s="210"/>
    </row>
    <row r="844" ht="12.75" customHeight="1">
      <c r="C844" s="210"/>
      <c r="D844" s="210"/>
      <c r="E844" s="210"/>
      <c r="F844" s="210"/>
      <c r="G844" s="210"/>
      <c r="H844" s="210"/>
      <c r="I844" s="210"/>
      <c r="J844" s="210"/>
      <c r="K844" s="210"/>
      <c r="L844" s="210"/>
      <c r="M844" s="210"/>
      <c r="N844" s="210"/>
      <c r="O844" s="210"/>
      <c r="P844" s="210"/>
      <c r="Q844" s="210"/>
      <c r="R844" s="210"/>
      <c r="S844" s="210"/>
      <c r="T844" s="210"/>
      <c r="U844" s="210"/>
      <c r="V844" s="210"/>
      <c r="W844" s="210"/>
      <c r="X844" s="210"/>
      <c r="Y844" s="210"/>
      <c r="Z844" s="210"/>
      <c r="AA844" s="210"/>
      <c r="AB844" s="210"/>
      <c r="AC844" s="210"/>
      <c r="AI844" s="210"/>
      <c r="AJ844" s="210"/>
    </row>
    <row r="845" ht="12.75" customHeight="1">
      <c r="C845" s="210"/>
      <c r="D845" s="210"/>
      <c r="E845" s="210"/>
      <c r="F845" s="210"/>
      <c r="G845" s="210"/>
      <c r="H845" s="210"/>
      <c r="I845" s="210"/>
      <c r="J845" s="210"/>
      <c r="K845" s="210"/>
      <c r="L845" s="210"/>
      <c r="M845" s="210"/>
      <c r="N845" s="210"/>
      <c r="O845" s="210"/>
      <c r="P845" s="210"/>
      <c r="Q845" s="210"/>
      <c r="R845" s="210"/>
      <c r="S845" s="210"/>
      <c r="T845" s="210"/>
      <c r="U845" s="210"/>
      <c r="V845" s="210"/>
      <c r="W845" s="210"/>
      <c r="X845" s="210"/>
      <c r="Y845" s="210"/>
      <c r="Z845" s="210"/>
      <c r="AA845" s="210"/>
      <c r="AB845" s="210"/>
      <c r="AC845" s="210"/>
      <c r="AI845" s="210"/>
      <c r="AJ845" s="210"/>
    </row>
    <row r="846" ht="12.75" customHeight="1">
      <c r="C846" s="210"/>
      <c r="D846" s="210"/>
      <c r="E846" s="210"/>
      <c r="F846" s="210"/>
      <c r="G846" s="210"/>
      <c r="H846" s="210"/>
      <c r="I846" s="210"/>
      <c r="J846" s="210"/>
      <c r="K846" s="210"/>
      <c r="L846" s="210"/>
      <c r="M846" s="210"/>
      <c r="N846" s="210"/>
      <c r="O846" s="210"/>
      <c r="P846" s="210"/>
      <c r="Q846" s="210"/>
      <c r="R846" s="210"/>
      <c r="S846" s="210"/>
      <c r="T846" s="210"/>
      <c r="U846" s="210"/>
      <c r="V846" s="210"/>
      <c r="W846" s="210"/>
      <c r="X846" s="210"/>
      <c r="Y846" s="210"/>
      <c r="Z846" s="210"/>
      <c r="AA846" s="210"/>
      <c r="AB846" s="210"/>
      <c r="AC846" s="210"/>
      <c r="AI846" s="210"/>
      <c r="AJ846" s="210"/>
    </row>
    <row r="847" ht="12.75" customHeight="1">
      <c r="C847" s="210"/>
      <c r="D847" s="210"/>
      <c r="E847" s="210"/>
      <c r="F847" s="210"/>
      <c r="G847" s="210"/>
      <c r="H847" s="210"/>
      <c r="I847" s="210"/>
      <c r="J847" s="210"/>
      <c r="K847" s="210"/>
      <c r="L847" s="210"/>
      <c r="M847" s="210"/>
      <c r="N847" s="210"/>
      <c r="O847" s="210"/>
      <c r="P847" s="210"/>
      <c r="Q847" s="210"/>
      <c r="R847" s="210"/>
      <c r="S847" s="210"/>
      <c r="T847" s="210"/>
      <c r="U847" s="210"/>
      <c r="V847" s="210"/>
      <c r="W847" s="210"/>
      <c r="X847" s="210"/>
      <c r="Y847" s="210"/>
      <c r="Z847" s="210"/>
      <c r="AA847" s="210"/>
      <c r="AB847" s="210"/>
      <c r="AC847" s="210"/>
      <c r="AI847" s="210"/>
      <c r="AJ847" s="210"/>
    </row>
    <row r="848" ht="12.75" customHeight="1">
      <c r="C848" s="210"/>
      <c r="D848" s="210"/>
      <c r="E848" s="210"/>
      <c r="F848" s="210"/>
      <c r="G848" s="210"/>
      <c r="H848" s="210"/>
      <c r="I848" s="210"/>
      <c r="J848" s="210"/>
      <c r="K848" s="210"/>
      <c r="L848" s="210"/>
      <c r="M848" s="210"/>
      <c r="N848" s="210"/>
      <c r="O848" s="210"/>
      <c r="P848" s="210"/>
      <c r="Q848" s="210"/>
      <c r="R848" s="210"/>
      <c r="S848" s="210"/>
      <c r="T848" s="210"/>
      <c r="U848" s="210"/>
      <c r="V848" s="210"/>
      <c r="W848" s="210"/>
      <c r="X848" s="210"/>
      <c r="Y848" s="210"/>
      <c r="Z848" s="210"/>
      <c r="AA848" s="210"/>
      <c r="AB848" s="210"/>
      <c r="AC848" s="210"/>
      <c r="AI848" s="210"/>
      <c r="AJ848" s="210"/>
    </row>
    <row r="849" ht="12.75" customHeight="1">
      <c r="C849" s="210"/>
      <c r="D849" s="210"/>
      <c r="E849" s="210"/>
      <c r="F849" s="210"/>
      <c r="G849" s="210"/>
      <c r="H849" s="210"/>
      <c r="I849" s="210"/>
      <c r="J849" s="210"/>
      <c r="K849" s="210"/>
      <c r="L849" s="210"/>
      <c r="M849" s="210"/>
      <c r="N849" s="210"/>
      <c r="O849" s="210"/>
      <c r="P849" s="210"/>
      <c r="Q849" s="210"/>
      <c r="R849" s="210"/>
      <c r="S849" s="210"/>
      <c r="T849" s="210"/>
      <c r="U849" s="210"/>
      <c r="V849" s="210"/>
      <c r="W849" s="210"/>
      <c r="X849" s="210"/>
      <c r="Y849" s="210"/>
      <c r="Z849" s="210"/>
      <c r="AA849" s="210"/>
      <c r="AB849" s="210"/>
      <c r="AC849" s="210"/>
      <c r="AI849" s="210"/>
      <c r="AJ849" s="210"/>
    </row>
    <row r="850" ht="12.75" customHeight="1">
      <c r="C850" s="210"/>
      <c r="D850" s="210"/>
      <c r="E850" s="210"/>
      <c r="F850" s="210"/>
      <c r="G850" s="210"/>
      <c r="H850" s="210"/>
      <c r="I850" s="210"/>
      <c r="J850" s="210"/>
      <c r="K850" s="210"/>
      <c r="L850" s="210"/>
      <c r="M850" s="210"/>
      <c r="N850" s="210"/>
      <c r="O850" s="210"/>
      <c r="P850" s="210"/>
      <c r="Q850" s="210"/>
      <c r="R850" s="210"/>
      <c r="S850" s="210"/>
      <c r="T850" s="210"/>
      <c r="U850" s="210"/>
      <c r="V850" s="210"/>
      <c r="W850" s="210"/>
      <c r="X850" s="210"/>
      <c r="Y850" s="210"/>
      <c r="Z850" s="210"/>
      <c r="AA850" s="210"/>
      <c r="AB850" s="210"/>
      <c r="AC850" s="210"/>
      <c r="AI850" s="210"/>
      <c r="AJ850" s="210"/>
    </row>
    <row r="851" ht="12.75" customHeight="1">
      <c r="C851" s="210"/>
      <c r="D851" s="210"/>
      <c r="E851" s="210"/>
      <c r="F851" s="210"/>
      <c r="G851" s="210"/>
      <c r="H851" s="210"/>
      <c r="I851" s="210"/>
      <c r="J851" s="210"/>
      <c r="K851" s="210"/>
      <c r="L851" s="210"/>
      <c r="M851" s="210"/>
      <c r="N851" s="210"/>
      <c r="O851" s="210"/>
      <c r="P851" s="210"/>
      <c r="Q851" s="210"/>
      <c r="R851" s="210"/>
      <c r="S851" s="210"/>
      <c r="T851" s="210"/>
      <c r="U851" s="210"/>
      <c r="V851" s="210"/>
      <c r="W851" s="210"/>
      <c r="X851" s="210"/>
      <c r="Y851" s="210"/>
      <c r="Z851" s="210"/>
      <c r="AA851" s="210"/>
      <c r="AB851" s="210"/>
      <c r="AC851" s="210"/>
      <c r="AI851" s="210"/>
      <c r="AJ851" s="210"/>
    </row>
    <row r="852" ht="12.75" customHeight="1">
      <c r="C852" s="210"/>
      <c r="D852" s="210"/>
      <c r="E852" s="210"/>
      <c r="F852" s="210"/>
      <c r="G852" s="210"/>
      <c r="H852" s="210"/>
      <c r="I852" s="210"/>
      <c r="J852" s="210"/>
      <c r="K852" s="210"/>
      <c r="L852" s="210"/>
      <c r="M852" s="210"/>
      <c r="N852" s="210"/>
      <c r="O852" s="210"/>
      <c r="P852" s="210"/>
      <c r="Q852" s="210"/>
      <c r="R852" s="210"/>
      <c r="S852" s="210"/>
      <c r="T852" s="210"/>
      <c r="U852" s="210"/>
      <c r="V852" s="210"/>
      <c r="W852" s="210"/>
      <c r="X852" s="210"/>
      <c r="Y852" s="210"/>
      <c r="Z852" s="210"/>
      <c r="AA852" s="210"/>
      <c r="AB852" s="210"/>
      <c r="AC852" s="210"/>
      <c r="AI852" s="210"/>
      <c r="AJ852" s="210"/>
    </row>
    <row r="853" ht="12.75" customHeight="1">
      <c r="C853" s="210"/>
      <c r="D853" s="210"/>
      <c r="E853" s="210"/>
      <c r="F853" s="210"/>
      <c r="G853" s="210"/>
      <c r="H853" s="210"/>
      <c r="I853" s="210"/>
      <c r="J853" s="210"/>
      <c r="K853" s="210"/>
      <c r="L853" s="210"/>
      <c r="M853" s="210"/>
      <c r="N853" s="210"/>
      <c r="O853" s="210"/>
      <c r="P853" s="210"/>
      <c r="Q853" s="210"/>
      <c r="R853" s="210"/>
      <c r="S853" s="210"/>
      <c r="T853" s="210"/>
      <c r="U853" s="210"/>
      <c r="V853" s="210"/>
      <c r="W853" s="210"/>
      <c r="X853" s="210"/>
      <c r="Y853" s="210"/>
      <c r="Z853" s="210"/>
      <c r="AA853" s="210"/>
      <c r="AB853" s="210"/>
      <c r="AC853" s="210"/>
      <c r="AI853" s="210"/>
      <c r="AJ853" s="210"/>
    </row>
    <row r="854" ht="12.75" customHeight="1">
      <c r="C854" s="210"/>
      <c r="D854" s="210"/>
      <c r="E854" s="210"/>
      <c r="F854" s="210"/>
      <c r="G854" s="210"/>
      <c r="H854" s="210"/>
      <c r="I854" s="210"/>
      <c r="J854" s="210"/>
      <c r="K854" s="210"/>
      <c r="L854" s="210"/>
      <c r="M854" s="210"/>
      <c r="N854" s="210"/>
      <c r="O854" s="210"/>
      <c r="P854" s="210"/>
      <c r="Q854" s="210"/>
      <c r="R854" s="210"/>
      <c r="S854" s="210"/>
      <c r="T854" s="210"/>
      <c r="U854" s="210"/>
      <c r="V854" s="210"/>
      <c r="W854" s="210"/>
      <c r="X854" s="210"/>
      <c r="Y854" s="210"/>
      <c r="Z854" s="210"/>
      <c r="AA854" s="210"/>
      <c r="AB854" s="210"/>
      <c r="AC854" s="210"/>
      <c r="AI854" s="210"/>
      <c r="AJ854" s="210"/>
    </row>
    <row r="855" ht="12.75" customHeight="1">
      <c r="C855" s="210"/>
      <c r="D855" s="210"/>
      <c r="E855" s="210"/>
      <c r="F855" s="210"/>
      <c r="G855" s="210"/>
      <c r="H855" s="210"/>
      <c r="I855" s="210"/>
      <c r="J855" s="210"/>
      <c r="K855" s="210"/>
      <c r="L855" s="210"/>
      <c r="M855" s="210"/>
      <c r="N855" s="210"/>
      <c r="O855" s="210"/>
      <c r="P855" s="210"/>
      <c r="Q855" s="210"/>
      <c r="R855" s="210"/>
      <c r="S855" s="210"/>
      <c r="T855" s="210"/>
      <c r="U855" s="210"/>
      <c r="V855" s="210"/>
      <c r="W855" s="210"/>
      <c r="X855" s="210"/>
      <c r="Y855" s="210"/>
      <c r="Z855" s="210"/>
      <c r="AA855" s="210"/>
      <c r="AB855" s="210"/>
      <c r="AC855" s="210"/>
      <c r="AI855" s="210"/>
      <c r="AJ855" s="210"/>
    </row>
    <row r="856" ht="12.75" customHeight="1">
      <c r="C856" s="210"/>
      <c r="D856" s="210"/>
      <c r="E856" s="210"/>
      <c r="F856" s="210"/>
      <c r="G856" s="210"/>
      <c r="H856" s="210"/>
      <c r="I856" s="210"/>
      <c r="J856" s="210"/>
      <c r="K856" s="210"/>
      <c r="L856" s="210"/>
      <c r="M856" s="210"/>
      <c r="N856" s="210"/>
      <c r="O856" s="210"/>
      <c r="P856" s="210"/>
      <c r="Q856" s="210"/>
      <c r="R856" s="210"/>
      <c r="S856" s="210"/>
      <c r="T856" s="210"/>
      <c r="U856" s="210"/>
      <c r="V856" s="210"/>
      <c r="W856" s="210"/>
      <c r="X856" s="210"/>
      <c r="Y856" s="210"/>
      <c r="Z856" s="210"/>
      <c r="AA856" s="210"/>
      <c r="AB856" s="210"/>
      <c r="AC856" s="210"/>
      <c r="AI856" s="210"/>
      <c r="AJ856" s="210"/>
    </row>
    <row r="857" ht="12.75" customHeight="1">
      <c r="C857" s="210"/>
      <c r="D857" s="210"/>
      <c r="E857" s="210"/>
      <c r="F857" s="210"/>
      <c r="G857" s="210"/>
      <c r="H857" s="210"/>
      <c r="I857" s="210"/>
      <c r="J857" s="210"/>
      <c r="K857" s="210"/>
      <c r="L857" s="210"/>
      <c r="M857" s="210"/>
      <c r="N857" s="210"/>
      <c r="O857" s="210"/>
      <c r="P857" s="210"/>
      <c r="Q857" s="210"/>
      <c r="R857" s="210"/>
      <c r="S857" s="210"/>
      <c r="T857" s="210"/>
      <c r="U857" s="210"/>
      <c r="V857" s="210"/>
      <c r="W857" s="210"/>
      <c r="X857" s="210"/>
      <c r="Y857" s="210"/>
      <c r="Z857" s="210"/>
      <c r="AA857" s="210"/>
      <c r="AB857" s="210"/>
      <c r="AC857" s="210"/>
      <c r="AI857" s="210"/>
      <c r="AJ857" s="210"/>
    </row>
    <row r="858" ht="12.75" customHeight="1">
      <c r="C858" s="210"/>
      <c r="D858" s="210"/>
      <c r="E858" s="210"/>
      <c r="F858" s="210"/>
      <c r="G858" s="210"/>
      <c r="H858" s="210"/>
      <c r="I858" s="210"/>
      <c r="J858" s="210"/>
      <c r="K858" s="210"/>
      <c r="L858" s="210"/>
      <c r="M858" s="210"/>
      <c r="N858" s="210"/>
      <c r="O858" s="210"/>
      <c r="P858" s="210"/>
      <c r="Q858" s="210"/>
      <c r="R858" s="210"/>
      <c r="S858" s="210"/>
      <c r="T858" s="210"/>
      <c r="U858" s="210"/>
      <c r="V858" s="210"/>
      <c r="W858" s="210"/>
      <c r="X858" s="210"/>
      <c r="Y858" s="210"/>
      <c r="Z858" s="210"/>
      <c r="AA858" s="210"/>
      <c r="AB858" s="210"/>
      <c r="AC858" s="210"/>
      <c r="AI858" s="210"/>
      <c r="AJ858" s="210"/>
    </row>
    <row r="859" ht="12.75" customHeight="1">
      <c r="C859" s="210"/>
      <c r="D859" s="210"/>
      <c r="E859" s="210"/>
      <c r="F859" s="210"/>
      <c r="G859" s="210"/>
      <c r="H859" s="210"/>
      <c r="I859" s="210"/>
      <c r="J859" s="210"/>
      <c r="K859" s="210"/>
      <c r="L859" s="210"/>
      <c r="M859" s="210"/>
      <c r="N859" s="210"/>
      <c r="O859" s="210"/>
      <c r="P859" s="210"/>
      <c r="Q859" s="210"/>
      <c r="R859" s="210"/>
      <c r="S859" s="210"/>
      <c r="T859" s="210"/>
      <c r="U859" s="210"/>
      <c r="V859" s="210"/>
      <c r="W859" s="210"/>
      <c r="X859" s="210"/>
      <c r="Y859" s="210"/>
      <c r="Z859" s="210"/>
      <c r="AA859" s="210"/>
      <c r="AB859" s="210"/>
      <c r="AC859" s="210"/>
      <c r="AI859" s="210"/>
      <c r="AJ859" s="210"/>
    </row>
    <row r="860" ht="12.75" customHeight="1">
      <c r="C860" s="210"/>
      <c r="D860" s="210"/>
      <c r="E860" s="210"/>
      <c r="F860" s="210"/>
      <c r="G860" s="210"/>
      <c r="H860" s="210"/>
      <c r="I860" s="210"/>
      <c r="J860" s="210"/>
      <c r="K860" s="210"/>
      <c r="L860" s="210"/>
      <c r="M860" s="210"/>
      <c r="N860" s="210"/>
      <c r="O860" s="210"/>
      <c r="P860" s="210"/>
      <c r="Q860" s="210"/>
      <c r="R860" s="210"/>
      <c r="S860" s="210"/>
      <c r="T860" s="210"/>
      <c r="U860" s="210"/>
      <c r="V860" s="210"/>
      <c r="W860" s="210"/>
      <c r="X860" s="210"/>
      <c r="Y860" s="210"/>
      <c r="Z860" s="210"/>
      <c r="AA860" s="210"/>
      <c r="AB860" s="210"/>
      <c r="AC860" s="210"/>
      <c r="AI860" s="210"/>
      <c r="AJ860" s="210"/>
    </row>
    <row r="861" ht="12.75" customHeight="1">
      <c r="C861" s="210"/>
      <c r="D861" s="210"/>
      <c r="E861" s="210"/>
      <c r="F861" s="210"/>
      <c r="G861" s="210"/>
      <c r="H861" s="210"/>
      <c r="I861" s="210"/>
      <c r="J861" s="210"/>
      <c r="K861" s="210"/>
      <c r="L861" s="210"/>
      <c r="M861" s="210"/>
      <c r="N861" s="210"/>
      <c r="O861" s="210"/>
      <c r="P861" s="210"/>
      <c r="Q861" s="210"/>
      <c r="R861" s="210"/>
      <c r="S861" s="210"/>
      <c r="T861" s="210"/>
      <c r="U861" s="210"/>
      <c r="V861" s="210"/>
      <c r="W861" s="210"/>
      <c r="X861" s="210"/>
      <c r="Y861" s="210"/>
      <c r="Z861" s="210"/>
      <c r="AA861" s="210"/>
      <c r="AB861" s="210"/>
      <c r="AC861" s="210"/>
      <c r="AI861" s="210"/>
      <c r="AJ861" s="210"/>
    </row>
    <row r="862" ht="12.75" customHeight="1">
      <c r="C862" s="210"/>
      <c r="D862" s="210"/>
      <c r="E862" s="210"/>
      <c r="F862" s="210"/>
      <c r="G862" s="210"/>
      <c r="H862" s="210"/>
      <c r="I862" s="210"/>
      <c r="J862" s="210"/>
      <c r="K862" s="210"/>
      <c r="L862" s="210"/>
      <c r="M862" s="210"/>
      <c r="N862" s="210"/>
      <c r="O862" s="210"/>
      <c r="P862" s="210"/>
      <c r="Q862" s="210"/>
      <c r="R862" s="210"/>
      <c r="S862" s="210"/>
      <c r="T862" s="210"/>
      <c r="U862" s="210"/>
      <c r="V862" s="210"/>
      <c r="W862" s="210"/>
      <c r="X862" s="210"/>
      <c r="Y862" s="210"/>
      <c r="Z862" s="210"/>
      <c r="AA862" s="210"/>
      <c r="AB862" s="210"/>
      <c r="AC862" s="210"/>
      <c r="AI862" s="210"/>
      <c r="AJ862" s="210"/>
    </row>
    <row r="863" ht="12.75" customHeight="1">
      <c r="C863" s="210"/>
      <c r="D863" s="210"/>
      <c r="E863" s="210"/>
      <c r="F863" s="210"/>
      <c r="G863" s="210"/>
      <c r="H863" s="210"/>
      <c r="I863" s="210"/>
      <c r="J863" s="210"/>
      <c r="K863" s="210"/>
      <c r="L863" s="210"/>
      <c r="M863" s="210"/>
      <c r="N863" s="210"/>
      <c r="O863" s="210"/>
      <c r="P863" s="210"/>
      <c r="Q863" s="210"/>
      <c r="R863" s="210"/>
      <c r="S863" s="210"/>
      <c r="T863" s="210"/>
      <c r="U863" s="210"/>
      <c r="V863" s="210"/>
      <c r="W863" s="210"/>
      <c r="X863" s="210"/>
      <c r="Y863" s="210"/>
      <c r="Z863" s="210"/>
      <c r="AA863" s="210"/>
      <c r="AB863" s="210"/>
      <c r="AC863" s="210"/>
      <c r="AI863" s="210"/>
      <c r="AJ863" s="210"/>
    </row>
    <row r="864" ht="12.75" customHeight="1">
      <c r="C864" s="210"/>
      <c r="D864" s="210"/>
      <c r="E864" s="210"/>
      <c r="F864" s="210"/>
      <c r="G864" s="210"/>
      <c r="H864" s="210"/>
      <c r="I864" s="210"/>
      <c r="J864" s="210"/>
      <c r="K864" s="210"/>
      <c r="L864" s="210"/>
      <c r="M864" s="210"/>
      <c r="N864" s="210"/>
      <c r="O864" s="210"/>
      <c r="P864" s="210"/>
      <c r="Q864" s="210"/>
      <c r="R864" s="210"/>
      <c r="S864" s="210"/>
      <c r="T864" s="210"/>
      <c r="U864" s="210"/>
      <c r="V864" s="210"/>
      <c r="W864" s="210"/>
      <c r="X864" s="210"/>
      <c r="Y864" s="210"/>
      <c r="Z864" s="210"/>
      <c r="AA864" s="210"/>
      <c r="AB864" s="210"/>
      <c r="AC864" s="210"/>
      <c r="AI864" s="210"/>
      <c r="AJ864" s="210"/>
    </row>
    <row r="865" ht="12.75" customHeight="1">
      <c r="C865" s="210"/>
      <c r="D865" s="210"/>
      <c r="E865" s="210"/>
      <c r="F865" s="210"/>
      <c r="G865" s="210"/>
      <c r="H865" s="210"/>
      <c r="I865" s="210"/>
      <c r="J865" s="210"/>
      <c r="K865" s="210"/>
      <c r="L865" s="210"/>
      <c r="M865" s="210"/>
      <c r="N865" s="210"/>
      <c r="O865" s="210"/>
      <c r="P865" s="210"/>
      <c r="Q865" s="210"/>
      <c r="R865" s="210"/>
      <c r="S865" s="210"/>
      <c r="T865" s="210"/>
      <c r="U865" s="210"/>
      <c r="V865" s="210"/>
      <c r="W865" s="210"/>
      <c r="X865" s="210"/>
      <c r="Y865" s="210"/>
      <c r="Z865" s="210"/>
      <c r="AA865" s="210"/>
      <c r="AB865" s="210"/>
      <c r="AC865" s="210"/>
      <c r="AI865" s="210"/>
      <c r="AJ865" s="210"/>
    </row>
    <row r="866" ht="12.75" customHeight="1">
      <c r="C866" s="210"/>
      <c r="D866" s="210"/>
      <c r="E866" s="210"/>
      <c r="F866" s="210"/>
      <c r="G866" s="210"/>
      <c r="H866" s="210"/>
      <c r="I866" s="210"/>
      <c r="J866" s="210"/>
      <c r="K866" s="210"/>
      <c r="L866" s="210"/>
      <c r="M866" s="210"/>
      <c r="N866" s="210"/>
      <c r="O866" s="210"/>
      <c r="P866" s="210"/>
      <c r="Q866" s="210"/>
      <c r="R866" s="210"/>
      <c r="S866" s="210"/>
      <c r="T866" s="210"/>
      <c r="U866" s="210"/>
      <c r="V866" s="210"/>
      <c r="W866" s="210"/>
      <c r="X866" s="210"/>
      <c r="Y866" s="210"/>
      <c r="Z866" s="210"/>
      <c r="AA866" s="210"/>
      <c r="AB866" s="210"/>
      <c r="AC866" s="210"/>
      <c r="AI866" s="210"/>
      <c r="AJ866" s="210"/>
    </row>
    <row r="867" ht="12.75" customHeight="1">
      <c r="C867" s="210"/>
      <c r="D867" s="210"/>
      <c r="E867" s="210"/>
      <c r="F867" s="210"/>
      <c r="G867" s="210"/>
      <c r="H867" s="210"/>
      <c r="I867" s="210"/>
      <c r="J867" s="210"/>
      <c r="K867" s="210"/>
      <c r="L867" s="210"/>
      <c r="M867" s="210"/>
      <c r="N867" s="210"/>
      <c r="O867" s="210"/>
      <c r="P867" s="210"/>
      <c r="Q867" s="210"/>
      <c r="R867" s="210"/>
      <c r="S867" s="210"/>
      <c r="T867" s="210"/>
      <c r="U867" s="210"/>
      <c r="V867" s="210"/>
      <c r="W867" s="210"/>
      <c r="X867" s="210"/>
      <c r="Y867" s="210"/>
      <c r="Z867" s="210"/>
      <c r="AA867" s="210"/>
      <c r="AB867" s="210"/>
      <c r="AC867" s="210"/>
      <c r="AI867" s="210"/>
      <c r="AJ867" s="210"/>
    </row>
    <row r="868" ht="12.75" customHeight="1">
      <c r="C868" s="210"/>
      <c r="D868" s="210"/>
      <c r="E868" s="210"/>
      <c r="F868" s="210"/>
      <c r="G868" s="210"/>
      <c r="H868" s="210"/>
      <c r="I868" s="210"/>
      <c r="J868" s="210"/>
      <c r="K868" s="210"/>
      <c r="L868" s="210"/>
      <c r="M868" s="210"/>
      <c r="N868" s="210"/>
      <c r="O868" s="210"/>
      <c r="P868" s="210"/>
      <c r="Q868" s="210"/>
      <c r="R868" s="210"/>
      <c r="S868" s="210"/>
      <c r="T868" s="210"/>
      <c r="U868" s="210"/>
      <c r="V868" s="210"/>
      <c r="W868" s="210"/>
      <c r="X868" s="210"/>
      <c r="Y868" s="210"/>
      <c r="Z868" s="210"/>
      <c r="AA868" s="210"/>
      <c r="AB868" s="210"/>
      <c r="AC868" s="210"/>
      <c r="AI868" s="210"/>
      <c r="AJ868" s="210"/>
    </row>
    <row r="869" ht="12.75" customHeight="1">
      <c r="C869" s="210"/>
      <c r="D869" s="210"/>
      <c r="E869" s="210"/>
      <c r="F869" s="210"/>
      <c r="G869" s="210"/>
      <c r="H869" s="210"/>
      <c r="I869" s="210"/>
      <c r="J869" s="210"/>
      <c r="K869" s="210"/>
      <c r="L869" s="210"/>
      <c r="M869" s="210"/>
      <c r="N869" s="210"/>
      <c r="O869" s="210"/>
      <c r="P869" s="210"/>
      <c r="Q869" s="210"/>
      <c r="R869" s="210"/>
      <c r="S869" s="210"/>
      <c r="T869" s="210"/>
      <c r="U869" s="210"/>
      <c r="V869" s="210"/>
      <c r="W869" s="210"/>
      <c r="X869" s="210"/>
      <c r="Y869" s="210"/>
      <c r="Z869" s="210"/>
      <c r="AA869" s="210"/>
      <c r="AB869" s="210"/>
      <c r="AC869" s="210"/>
      <c r="AI869" s="210"/>
      <c r="AJ869" s="210"/>
    </row>
    <row r="870" ht="12.75" customHeight="1">
      <c r="C870" s="210"/>
      <c r="D870" s="210"/>
      <c r="E870" s="210"/>
      <c r="F870" s="210"/>
      <c r="G870" s="210"/>
      <c r="H870" s="210"/>
      <c r="I870" s="210"/>
      <c r="J870" s="210"/>
      <c r="K870" s="210"/>
      <c r="L870" s="210"/>
      <c r="M870" s="210"/>
      <c r="N870" s="210"/>
      <c r="O870" s="210"/>
      <c r="P870" s="210"/>
      <c r="Q870" s="210"/>
      <c r="R870" s="210"/>
      <c r="S870" s="210"/>
      <c r="T870" s="210"/>
      <c r="U870" s="210"/>
      <c r="V870" s="210"/>
      <c r="W870" s="210"/>
      <c r="X870" s="210"/>
      <c r="Y870" s="210"/>
      <c r="Z870" s="210"/>
      <c r="AA870" s="210"/>
      <c r="AB870" s="210"/>
      <c r="AC870" s="210"/>
      <c r="AI870" s="210"/>
      <c r="AJ870" s="210"/>
    </row>
    <row r="871" ht="12.75" customHeight="1">
      <c r="C871" s="210"/>
      <c r="D871" s="210"/>
      <c r="E871" s="210"/>
      <c r="F871" s="210"/>
      <c r="G871" s="210"/>
      <c r="H871" s="210"/>
      <c r="I871" s="210"/>
      <c r="J871" s="210"/>
      <c r="K871" s="210"/>
      <c r="L871" s="210"/>
      <c r="M871" s="210"/>
      <c r="N871" s="210"/>
      <c r="O871" s="210"/>
      <c r="P871" s="210"/>
      <c r="Q871" s="210"/>
      <c r="R871" s="210"/>
      <c r="S871" s="210"/>
      <c r="T871" s="210"/>
      <c r="U871" s="210"/>
      <c r="V871" s="210"/>
      <c r="W871" s="210"/>
      <c r="X871" s="210"/>
      <c r="Y871" s="210"/>
      <c r="Z871" s="210"/>
      <c r="AA871" s="210"/>
      <c r="AB871" s="210"/>
      <c r="AC871" s="210"/>
      <c r="AI871" s="210"/>
      <c r="AJ871" s="210"/>
    </row>
    <row r="872" ht="12.75" customHeight="1">
      <c r="C872" s="210"/>
      <c r="D872" s="210"/>
      <c r="E872" s="210"/>
      <c r="F872" s="210"/>
      <c r="G872" s="210"/>
      <c r="H872" s="210"/>
      <c r="I872" s="210"/>
      <c r="J872" s="210"/>
      <c r="K872" s="210"/>
      <c r="L872" s="210"/>
      <c r="M872" s="210"/>
      <c r="N872" s="210"/>
      <c r="O872" s="210"/>
      <c r="P872" s="210"/>
      <c r="Q872" s="210"/>
      <c r="R872" s="210"/>
      <c r="S872" s="210"/>
      <c r="T872" s="210"/>
      <c r="U872" s="210"/>
      <c r="V872" s="210"/>
      <c r="W872" s="210"/>
      <c r="X872" s="210"/>
      <c r="Y872" s="210"/>
      <c r="Z872" s="210"/>
      <c r="AA872" s="210"/>
      <c r="AB872" s="210"/>
      <c r="AC872" s="210"/>
      <c r="AI872" s="210"/>
      <c r="AJ872" s="210"/>
    </row>
    <row r="873" ht="12.75" customHeight="1">
      <c r="C873" s="210"/>
      <c r="D873" s="210"/>
      <c r="E873" s="210"/>
      <c r="F873" s="210"/>
      <c r="G873" s="210"/>
      <c r="H873" s="210"/>
      <c r="I873" s="210"/>
      <c r="J873" s="210"/>
      <c r="K873" s="210"/>
      <c r="L873" s="210"/>
      <c r="M873" s="210"/>
      <c r="N873" s="210"/>
      <c r="O873" s="210"/>
      <c r="P873" s="210"/>
      <c r="Q873" s="210"/>
      <c r="R873" s="210"/>
      <c r="S873" s="210"/>
      <c r="T873" s="210"/>
      <c r="U873" s="210"/>
      <c r="V873" s="210"/>
      <c r="W873" s="210"/>
      <c r="X873" s="210"/>
      <c r="Y873" s="210"/>
      <c r="Z873" s="210"/>
      <c r="AA873" s="210"/>
      <c r="AB873" s="210"/>
      <c r="AC873" s="210"/>
      <c r="AI873" s="210"/>
      <c r="AJ873" s="210"/>
    </row>
    <row r="874" ht="12.75" customHeight="1">
      <c r="C874" s="210"/>
      <c r="D874" s="210"/>
      <c r="E874" s="210"/>
      <c r="F874" s="210"/>
      <c r="G874" s="210"/>
      <c r="H874" s="210"/>
      <c r="I874" s="210"/>
      <c r="J874" s="210"/>
      <c r="K874" s="210"/>
      <c r="L874" s="210"/>
      <c r="M874" s="210"/>
      <c r="N874" s="210"/>
      <c r="O874" s="210"/>
      <c r="P874" s="210"/>
      <c r="Q874" s="210"/>
      <c r="R874" s="210"/>
      <c r="S874" s="210"/>
      <c r="T874" s="210"/>
      <c r="U874" s="210"/>
      <c r="V874" s="210"/>
      <c r="W874" s="210"/>
      <c r="X874" s="210"/>
      <c r="Y874" s="210"/>
      <c r="Z874" s="210"/>
      <c r="AA874" s="210"/>
      <c r="AB874" s="210"/>
      <c r="AC874" s="210"/>
      <c r="AI874" s="210"/>
      <c r="AJ874" s="210"/>
    </row>
    <row r="875" ht="12.75" customHeight="1">
      <c r="C875" s="210"/>
      <c r="D875" s="210"/>
      <c r="E875" s="210"/>
      <c r="F875" s="210"/>
      <c r="G875" s="210"/>
      <c r="H875" s="210"/>
      <c r="I875" s="210"/>
      <c r="J875" s="210"/>
      <c r="K875" s="210"/>
      <c r="L875" s="210"/>
      <c r="M875" s="210"/>
      <c r="N875" s="210"/>
      <c r="O875" s="210"/>
      <c r="P875" s="210"/>
      <c r="Q875" s="210"/>
      <c r="R875" s="210"/>
      <c r="S875" s="210"/>
      <c r="T875" s="210"/>
      <c r="U875" s="210"/>
      <c r="V875" s="210"/>
      <c r="W875" s="210"/>
      <c r="X875" s="210"/>
      <c r="Y875" s="210"/>
      <c r="Z875" s="210"/>
      <c r="AA875" s="210"/>
      <c r="AB875" s="210"/>
      <c r="AC875" s="210"/>
      <c r="AI875" s="210"/>
      <c r="AJ875" s="210"/>
    </row>
    <row r="876" ht="12.75" customHeight="1">
      <c r="C876" s="210"/>
      <c r="D876" s="210"/>
      <c r="E876" s="210"/>
      <c r="F876" s="210"/>
      <c r="G876" s="210"/>
      <c r="H876" s="210"/>
      <c r="I876" s="210"/>
      <c r="J876" s="210"/>
      <c r="K876" s="210"/>
      <c r="L876" s="210"/>
      <c r="M876" s="210"/>
      <c r="N876" s="210"/>
      <c r="O876" s="210"/>
      <c r="P876" s="210"/>
      <c r="Q876" s="210"/>
      <c r="R876" s="210"/>
      <c r="S876" s="210"/>
      <c r="T876" s="210"/>
      <c r="U876" s="210"/>
      <c r="V876" s="210"/>
      <c r="W876" s="210"/>
      <c r="X876" s="210"/>
      <c r="Y876" s="210"/>
      <c r="Z876" s="210"/>
      <c r="AA876" s="210"/>
      <c r="AB876" s="210"/>
      <c r="AC876" s="210"/>
      <c r="AI876" s="210"/>
      <c r="AJ876" s="210"/>
    </row>
    <row r="877" ht="12.75" customHeight="1">
      <c r="C877" s="210"/>
      <c r="D877" s="210"/>
      <c r="E877" s="210"/>
      <c r="F877" s="210"/>
      <c r="G877" s="210"/>
      <c r="H877" s="210"/>
      <c r="I877" s="210"/>
      <c r="J877" s="210"/>
      <c r="K877" s="210"/>
      <c r="L877" s="210"/>
      <c r="M877" s="210"/>
      <c r="N877" s="210"/>
      <c r="O877" s="210"/>
      <c r="P877" s="210"/>
      <c r="Q877" s="210"/>
      <c r="R877" s="210"/>
      <c r="S877" s="210"/>
      <c r="T877" s="210"/>
      <c r="U877" s="210"/>
      <c r="V877" s="210"/>
      <c r="W877" s="210"/>
      <c r="X877" s="210"/>
      <c r="Y877" s="210"/>
      <c r="Z877" s="210"/>
      <c r="AA877" s="210"/>
      <c r="AB877" s="210"/>
      <c r="AC877" s="210"/>
      <c r="AI877" s="210"/>
      <c r="AJ877" s="210"/>
    </row>
    <row r="878" ht="12.75" customHeight="1">
      <c r="C878" s="210"/>
      <c r="D878" s="210"/>
      <c r="E878" s="210"/>
      <c r="F878" s="210"/>
      <c r="G878" s="210"/>
      <c r="H878" s="210"/>
      <c r="I878" s="210"/>
      <c r="J878" s="210"/>
      <c r="K878" s="210"/>
      <c r="L878" s="210"/>
      <c r="M878" s="210"/>
      <c r="N878" s="210"/>
      <c r="O878" s="210"/>
      <c r="P878" s="210"/>
      <c r="Q878" s="210"/>
      <c r="R878" s="210"/>
      <c r="S878" s="210"/>
      <c r="T878" s="210"/>
      <c r="U878" s="210"/>
      <c r="V878" s="210"/>
      <c r="W878" s="210"/>
      <c r="X878" s="210"/>
      <c r="Y878" s="210"/>
      <c r="Z878" s="210"/>
      <c r="AA878" s="210"/>
      <c r="AB878" s="210"/>
      <c r="AC878" s="210"/>
      <c r="AI878" s="210"/>
      <c r="AJ878" s="210"/>
    </row>
    <row r="879" ht="12.75" customHeight="1">
      <c r="C879" s="210"/>
      <c r="D879" s="210"/>
      <c r="E879" s="210"/>
      <c r="F879" s="210"/>
      <c r="G879" s="210"/>
      <c r="H879" s="210"/>
      <c r="I879" s="210"/>
      <c r="J879" s="210"/>
      <c r="K879" s="210"/>
      <c r="L879" s="210"/>
      <c r="M879" s="210"/>
      <c r="N879" s="210"/>
      <c r="O879" s="210"/>
      <c r="P879" s="210"/>
      <c r="Q879" s="210"/>
      <c r="R879" s="210"/>
      <c r="S879" s="210"/>
      <c r="T879" s="210"/>
      <c r="U879" s="210"/>
      <c r="V879" s="210"/>
      <c r="W879" s="210"/>
      <c r="X879" s="210"/>
      <c r="Y879" s="210"/>
      <c r="Z879" s="210"/>
      <c r="AA879" s="210"/>
      <c r="AB879" s="210"/>
      <c r="AC879" s="210"/>
      <c r="AI879" s="210"/>
      <c r="AJ879" s="210"/>
    </row>
    <row r="880" ht="12.75" customHeight="1">
      <c r="C880" s="210"/>
      <c r="D880" s="210"/>
      <c r="E880" s="210"/>
      <c r="F880" s="210"/>
      <c r="G880" s="210"/>
      <c r="H880" s="210"/>
      <c r="I880" s="210"/>
      <c r="J880" s="210"/>
      <c r="K880" s="210"/>
      <c r="L880" s="210"/>
      <c r="M880" s="210"/>
      <c r="N880" s="210"/>
      <c r="O880" s="210"/>
      <c r="P880" s="210"/>
      <c r="Q880" s="210"/>
      <c r="R880" s="210"/>
      <c r="S880" s="210"/>
      <c r="T880" s="210"/>
      <c r="U880" s="210"/>
      <c r="V880" s="210"/>
      <c r="W880" s="210"/>
      <c r="X880" s="210"/>
      <c r="Y880" s="210"/>
      <c r="Z880" s="210"/>
      <c r="AA880" s="210"/>
      <c r="AB880" s="210"/>
      <c r="AC880" s="210"/>
      <c r="AI880" s="210"/>
      <c r="AJ880" s="210"/>
    </row>
    <row r="881" ht="12.75" customHeight="1">
      <c r="C881" s="210"/>
      <c r="D881" s="210"/>
      <c r="E881" s="210"/>
      <c r="F881" s="210"/>
      <c r="G881" s="210"/>
      <c r="H881" s="210"/>
      <c r="I881" s="210"/>
      <c r="J881" s="210"/>
      <c r="K881" s="210"/>
      <c r="L881" s="210"/>
      <c r="M881" s="210"/>
      <c r="N881" s="210"/>
      <c r="O881" s="210"/>
      <c r="P881" s="210"/>
      <c r="Q881" s="210"/>
      <c r="R881" s="210"/>
      <c r="S881" s="210"/>
      <c r="T881" s="210"/>
      <c r="U881" s="210"/>
      <c r="V881" s="210"/>
      <c r="W881" s="210"/>
      <c r="X881" s="210"/>
      <c r="Y881" s="210"/>
      <c r="Z881" s="210"/>
      <c r="AA881" s="210"/>
      <c r="AB881" s="210"/>
      <c r="AC881" s="210"/>
      <c r="AI881" s="210"/>
      <c r="AJ881" s="210"/>
    </row>
    <row r="882" ht="12.75" customHeight="1">
      <c r="C882" s="210"/>
      <c r="D882" s="210"/>
      <c r="E882" s="210"/>
      <c r="F882" s="210"/>
      <c r="G882" s="210"/>
      <c r="H882" s="210"/>
      <c r="I882" s="210"/>
      <c r="J882" s="210"/>
      <c r="K882" s="210"/>
      <c r="L882" s="210"/>
      <c r="M882" s="210"/>
      <c r="N882" s="210"/>
      <c r="O882" s="210"/>
      <c r="P882" s="210"/>
      <c r="Q882" s="210"/>
      <c r="R882" s="210"/>
      <c r="S882" s="210"/>
      <c r="T882" s="210"/>
      <c r="U882" s="210"/>
      <c r="V882" s="210"/>
      <c r="W882" s="210"/>
      <c r="X882" s="210"/>
      <c r="Y882" s="210"/>
      <c r="Z882" s="210"/>
      <c r="AA882" s="210"/>
      <c r="AB882" s="210"/>
      <c r="AC882" s="210"/>
      <c r="AI882" s="210"/>
      <c r="AJ882" s="210"/>
    </row>
    <row r="883" ht="12.75" customHeight="1">
      <c r="C883" s="210"/>
      <c r="D883" s="210"/>
      <c r="E883" s="210"/>
      <c r="F883" s="210"/>
      <c r="G883" s="210"/>
      <c r="H883" s="210"/>
      <c r="I883" s="210"/>
      <c r="J883" s="210"/>
      <c r="K883" s="210"/>
      <c r="L883" s="210"/>
      <c r="M883" s="210"/>
      <c r="N883" s="210"/>
      <c r="O883" s="210"/>
      <c r="P883" s="210"/>
      <c r="Q883" s="210"/>
      <c r="R883" s="210"/>
      <c r="S883" s="210"/>
      <c r="T883" s="210"/>
      <c r="U883" s="210"/>
      <c r="V883" s="210"/>
      <c r="W883" s="210"/>
      <c r="X883" s="210"/>
      <c r="Y883" s="210"/>
      <c r="Z883" s="210"/>
      <c r="AA883" s="210"/>
      <c r="AB883" s="210"/>
      <c r="AC883" s="210"/>
      <c r="AI883" s="210"/>
      <c r="AJ883" s="210"/>
    </row>
    <row r="884" ht="12.75" customHeight="1">
      <c r="C884" s="210"/>
      <c r="D884" s="210"/>
      <c r="E884" s="210"/>
      <c r="F884" s="210"/>
      <c r="G884" s="210"/>
      <c r="H884" s="210"/>
      <c r="I884" s="210"/>
      <c r="J884" s="210"/>
      <c r="K884" s="210"/>
      <c r="L884" s="210"/>
      <c r="M884" s="210"/>
      <c r="N884" s="210"/>
      <c r="O884" s="210"/>
      <c r="P884" s="210"/>
      <c r="Q884" s="210"/>
      <c r="R884" s="210"/>
      <c r="S884" s="210"/>
      <c r="T884" s="210"/>
      <c r="U884" s="210"/>
      <c r="V884" s="210"/>
      <c r="W884" s="210"/>
      <c r="X884" s="210"/>
      <c r="Y884" s="210"/>
      <c r="Z884" s="210"/>
      <c r="AA884" s="210"/>
      <c r="AB884" s="210"/>
      <c r="AC884" s="210"/>
      <c r="AI884" s="210"/>
      <c r="AJ884" s="210"/>
    </row>
    <row r="885" ht="12.75" customHeight="1">
      <c r="C885" s="210"/>
      <c r="D885" s="210"/>
      <c r="E885" s="210"/>
      <c r="F885" s="210"/>
      <c r="G885" s="210"/>
      <c r="H885" s="210"/>
      <c r="I885" s="210"/>
      <c r="J885" s="210"/>
      <c r="K885" s="210"/>
      <c r="L885" s="210"/>
      <c r="M885" s="210"/>
      <c r="N885" s="210"/>
      <c r="O885" s="210"/>
      <c r="P885" s="210"/>
      <c r="Q885" s="210"/>
      <c r="R885" s="210"/>
      <c r="S885" s="210"/>
      <c r="T885" s="210"/>
      <c r="U885" s="210"/>
      <c r="V885" s="210"/>
      <c r="W885" s="210"/>
      <c r="X885" s="210"/>
      <c r="Y885" s="210"/>
      <c r="Z885" s="210"/>
      <c r="AA885" s="210"/>
      <c r="AB885" s="210"/>
      <c r="AC885" s="210"/>
      <c r="AI885" s="210"/>
      <c r="AJ885" s="210"/>
    </row>
    <row r="886" ht="12.75" customHeight="1">
      <c r="C886" s="210"/>
      <c r="D886" s="210"/>
      <c r="E886" s="210"/>
      <c r="F886" s="210"/>
      <c r="G886" s="210"/>
      <c r="H886" s="210"/>
      <c r="I886" s="210"/>
      <c r="J886" s="210"/>
      <c r="K886" s="210"/>
      <c r="L886" s="210"/>
      <c r="M886" s="210"/>
      <c r="N886" s="210"/>
      <c r="O886" s="210"/>
      <c r="P886" s="210"/>
      <c r="Q886" s="210"/>
      <c r="R886" s="210"/>
      <c r="S886" s="210"/>
      <c r="T886" s="210"/>
      <c r="U886" s="210"/>
      <c r="V886" s="210"/>
      <c r="W886" s="210"/>
      <c r="X886" s="210"/>
      <c r="Y886" s="210"/>
      <c r="Z886" s="210"/>
      <c r="AA886" s="210"/>
      <c r="AB886" s="210"/>
      <c r="AC886" s="210"/>
      <c r="AI886" s="210"/>
      <c r="AJ886" s="210"/>
    </row>
    <row r="887" ht="12.75" customHeight="1">
      <c r="C887" s="210"/>
      <c r="D887" s="210"/>
      <c r="E887" s="210"/>
      <c r="F887" s="210"/>
      <c r="G887" s="210"/>
      <c r="H887" s="210"/>
      <c r="I887" s="210"/>
      <c r="J887" s="210"/>
      <c r="K887" s="210"/>
      <c r="L887" s="210"/>
      <c r="M887" s="210"/>
      <c r="N887" s="210"/>
      <c r="O887" s="210"/>
      <c r="P887" s="210"/>
      <c r="Q887" s="210"/>
      <c r="R887" s="210"/>
      <c r="S887" s="210"/>
      <c r="T887" s="210"/>
      <c r="U887" s="210"/>
      <c r="V887" s="210"/>
      <c r="W887" s="210"/>
      <c r="X887" s="210"/>
      <c r="Y887" s="210"/>
      <c r="Z887" s="210"/>
      <c r="AA887" s="210"/>
      <c r="AB887" s="210"/>
      <c r="AC887" s="210"/>
      <c r="AI887" s="210"/>
      <c r="AJ887" s="210"/>
    </row>
    <row r="888" ht="12.75" customHeight="1">
      <c r="C888" s="210"/>
      <c r="D888" s="210"/>
      <c r="E888" s="210"/>
      <c r="F888" s="210"/>
      <c r="G888" s="210"/>
      <c r="H888" s="210"/>
      <c r="I888" s="210"/>
      <c r="J888" s="210"/>
      <c r="K888" s="210"/>
      <c r="L888" s="210"/>
      <c r="M888" s="210"/>
      <c r="N888" s="210"/>
      <c r="O888" s="210"/>
      <c r="P888" s="210"/>
      <c r="Q888" s="210"/>
      <c r="R888" s="210"/>
      <c r="S888" s="210"/>
      <c r="T888" s="210"/>
      <c r="U888" s="210"/>
      <c r="V888" s="210"/>
      <c r="W888" s="210"/>
      <c r="X888" s="210"/>
      <c r="Y888" s="210"/>
      <c r="Z888" s="210"/>
      <c r="AA888" s="210"/>
      <c r="AB888" s="210"/>
      <c r="AC888" s="210"/>
      <c r="AI888" s="210"/>
      <c r="AJ888" s="210"/>
    </row>
    <row r="889" ht="12.75" customHeight="1">
      <c r="C889" s="210"/>
      <c r="D889" s="210"/>
      <c r="E889" s="210"/>
      <c r="F889" s="210"/>
      <c r="G889" s="210"/>
      <c r="H889" s="210"/>
      <c r="I889" s="210"/>
      <c r="J889" s="210"/>
      <c r="K889" s="210"/>
      <c r="L889" s="210"/>
      <c r="M889" s="210"/>
      <c r="N889" s="210"/>
      <c r="O889" s="210"/>
      <c r="P889" s="210"/>
      <c r="Q889" s="210"/>
      <c r="R889" s="210"/>
      <c r="S889" s="210"/>
      <c r="T889" s="210"/>
      <c r="U889" s="210"/>
      <c r="V889" s="210"/>
      <c r="W889" s="210"/>
      <c r="X889" s="210"/>
      <c r="Y889" s="210"/>
      <c r="Z889" s="210"/>
      <c r="AA889" s="210"/>
      <c r="AB889" s="210"/>
      <c r="AC889" s="210"/>
      <c r="AI889" s="210"/>
      <c r="AJ889" s="210"/>
    </row>
    <row r="890" ht="12.75" customHeight="1">
      <c r="C890" s="210"/>
      <c r="D890" s="210"/>
      <c r="E890" s="210"/>
      <c r="F890" s="210"/>
      <c r="G890" s="210"/>
      <c r="H890" s="210"/>
      <c r="I890" s="210"/>
      <c r="J890" s="210"/>
      <c r="K890" s="210"/>
      <c r="L890" s="210"/>
      <c r="M890" s="210"/>
      <c r="N890" s="210"/>
      <c r="O890" s="210"/>
      <c r="P890" s="210"/>
      <c r="Q890" s="210"/>
      <c r="R890" s="210"/>
      <c r="S890" s="210"/>
      <c r="T890" s="210"/>
      <c r="U890" s="210"/>
      <c r="V890" s="210"/>
      <c r="W890" s="210"/>
      <c r="X890" s="210"/>
      <c r="Y890" s="210"/>
      <c r="Z890" s="210"/>
      <c r="AA890" s="210"/>
      <c r="AB890" s="210"/>
      <c r="AC890" s="210"/>
      <c r="AI890" s="210"/>
      <c r="AJ890" s="210"/>
    </row>
    <row r="891" ht="12.75" customHeight="1">
      <c r="C891" s="210"/>
      <c r="D891" s="210"/>
      <c r="E891" s="210"/>
      <c r="F891" s="210"/>
      <c r="G891" s="210"/>
      <c r="H891" s="210"/>
      <c r="I891" s="210"/>
      <c r="J891" s="210"/>
      <c r="K891" s="210"/>
      <c r="L891" s="210"/>
      <c r="M891" s="210"/>
      <c r="N891" s="210"/>
      <c r="O891" s="210"/>
      <c r="P891" s="210"/>
      <c r="Q891" s="210"/>
      <c r="R891" s="210"/>
      <c r="S891" s="210"/>
      <c r="T891" s="210"/>
      <c r="U891" s="210"/>
      <c r="V891" s="210"/>
      <c r="W891" s="210"/>
      <c r="X891" s="210"/>
      <c r="Y891" s="210"/>
      <c r="Z891" s="210"/>
      <c r="AA891" s="210"/>
      <c r="AB891" s="210"/>
      <c r="AC891" s="210"/>
      <c r="AI891" s="210"/>
      <c r="AJ891" s="210"/>
    </row>
    <row r="892" ht="12.75" customHeight="1">
      <c r="C892" s="210"/>
      <c r="D892" s="210"/>
      <c r="E892" s="210"/>
      <c r="F892" s="210"/>
      <c r="G892" s="210"/>
      <c r="H892" s="210"/>
      <c r="I892" s="210"/>
      <c r="J892" s="210"/>
      <c r="K892" s="210"/>
      <c r="L892" s="210"/>
      <c r="M892" s="210"/>
      <c r="N892" s="210"/>
      <c r="O892" s="210"/>
      <c r="P892" s="210"/>
      <c r="Q892" s="210"/>
      <c r="R892" s="210"/>
      <c r="S892" s="210"/>
      <c r="T892" s="210"/>
      <c r="U892" s="210"/>
      <c r="V892" s="210"/>
      <c r="W892" s="210"/>
      <c r="X892" s="210"/>
      <c r="Y892" s="210"/>
      <c r="Z892" s="210"/>
      <c r="AA892" s="210"/>
      <c r="AB892" s="210"/>
      <c r="AC892" s="210"/>
      <c r="AI892" s="210"/>
      <c r="AJ892" s="210"/>
    </row>
    <row r="893" ht="12.75" customHeight="1">
      <c r="C893" s="210"/>
      <c r="D893" s="210"/>
      <c r="E893" s="210"/>
      <c r="F893" s="210"/>
      <c r="G893" s="210"/>
      <c r="H893" s="210"/>
      <c r="I893" s="210"/>
      <c r="J893" s="210"/>
      <c r="K893" s="210"/>
      <c r="L893" s="210"/>
      <c r="M893" s="210"/>
      <c r="N893" s="210"/>
      <c r="O893" s="210"/>
      <c r="P893" s="210"/>
      <c r="Q893" s="210"/>
      <c r="R893" s="210"/>
      <c r="S893" s="210"/>
      <c r="T893" s="210"/>
      <c r="U893" s="210"/>
      <c r="V893" s="210"/>
      <c r="W893" s="210"/>
      <c r="X893" s="210"/>
      <c r="Y893" s="210"/>
      <c r="Z893" s="210"/>
      <c r="AA893" s="210"/>
      <c r="AB893" s="210"/>
      <c r="AC893" s="210"/>
      <c r="AI893" s="210"/>
      <c r="AJ893" s="210"/>
    </row>
    <row r="894" ht="12.75" customHeight="1">
      <c r="C894" s="210"/>
      <c r="D894" s="210"/>
      <c r="E894" s="210"/>
      <c r="F894" s="210"/>
      <c r="G894" s="210"/>
      <c r="H894" s="210"/>
      <c r="I894" s="210"/>
      <c r="J894" s="210"/>
      <c r="K894" s="210"/>
      <c r="L894" s="210"/>
      <c r="M894" s="210"/>
      <c r="N894" s="210"/>
      <c r="O894" s="210"/>
      <c r="P894" s="210"/>
      <c r="Q894" s="210"/>
      <c r="R894" s="210"/>
      <c r="S894" s="210"/>
      <c r="T894" s="210"/>
      <c r="U894" s="210"/>
      <c r="V894" s="210"/>
      <c r="W894" s="210"/>
      <c r="X894" s="210"/>
      <c r="Y894" s="210"/>
      <c r="Z894" s="210"/>
      <c r="AA894" s="210"/>
      <c r="AB894" s="210"/>
      <c r="AC894" s="210"/>
      <c r="AI894" s="210"/>
      <c r="AJ894" s="210"/>
    </row>
    <row r="895" ht="12.75" customHeight="1">
      <c r="C895" s="210"/>
      <c r="D895" s="210"/>
      <c r="E895" s="210"/>
      <c r="F895" s="210"/>
      <c r="G895" s="210"/>
      <c r="H895" s="210"/>
      <c r="I895" s="210"/>
      <c r="J895" s="210"/>
      <c r="K895" s="210"/>
      <c r="L895" s="210"/>
      <c r="M895" s="210"/>
      <c r="N895" s="210"/>
      <c r="O895" s="210"/>
      <c r="P895" s="210"/>
      <c r="Q895" s="210"/>
      <c r="R895" s="210"/>
      <c r="S895" s="210"/>
      <c r="T895" s="210"/>
      <c r="U895" s="210"/>
      <c r="V895" s="210"/>
      <c r="W895" s="210"/>
      <c r="X895" s="210"/>
      <c r="Y895" s="210"/>
      <c r="Z895" s="210"/>
      <c r="AA895" s="210"/>
      <c r="AB895" s="210"/>
      <c r="AC895" s="210"/>
      <c r="AI895" s="210"/>
      <c r="AJ895" s="210"/>
    </row>
    <row r="896" ht="12.75" customHeight="1">
      <c r="C896" s="210"/>
      <c r="D896" s="210"/>
      <c r="E896" s="210"/>
      <c r="F896" s="210"/>
      <c r="G896" s="210"/>
      <c r="H896" s="210"/>
      <c r="I896" s="210"/>
      <c r="J896" s="210"/>
      <c r="K896" s="210"/>
      <c r="L896" s="210"/>
      <c r="M896" s="210"/>
      <c r="N896" s="210"/>
      <c r="O896" s="210"/>
      <c r="P896" s="210"/>
      <c r="Q896" s="210"/>
      <c r="R896" s="210"/>
      <c r="S896" s="210"/>
      <c r="T896" s="210"/>
      <c r="U896" s="210"/>
      <c r="V896" s="210"/>
      <c r="W896" s="210"/>
      <c r="X896" s="210"/>
      <c r="Y896" s="210"/>
      <c r="Z896" s="210"/>
      <c r="AA896" s="210"/>
      <c r="AB896" s="210"/>
      <c r="AC896" s="210"/>
      <c r="AI896" s="210"/>
      <c r="AJ896" s="210"/>
    </row>
    <row r="897" ht="12.75" customHeight="1">
      <c r="C897" s="210"/>
      <c r="D897" s="210"/>
      <c r="E897" s="210"/>
      <c r="F897" s="210"/>
      <c r="G897" s="210"/>
      <c r="H897" s="210"/>
      <c r="I897" s="210"/>
      <c r="J897" s="210"/>
      <c r="K897" s="210"/>
      <c r="L897" s="210"/>
      <c r="M897" s="210"/>
      <c r="N897" s="210"/>
      <c r="O897" s="210"/>
      <c r="P897" s="210"/>
      <c r="Q897" s="210"/>
      <c r="R897" s="210"/>
      <c r="S897" s="210"/>
      <c r="T897" s="210"/>
      <c r="U897" s="210"/>
      <c r="V897" s="210"/>
      <c r="W897" s="210"/>
      <c r="X897" s="210"/>
      <c r="Y897" s="210"/>
      <c r="Z897" s="210"/>
      <c r="AA897" s="210"/>
      <c r="AB897" s="210"/>
      <c r="AC897" s="210"/>
      <c r="AI897" s="210"/>
      <c r="AJ897" s="210"/>
    </row>
    <row r="898" ht="12.75" customHeight="1">
      <c r="C898" s="210"/>
      <c r="D898" s="210"/>
      <c r="E898" s="210"/>
      <c r="F898" s="210"/>
      <c r="G898" s="210"/>
      <c r="H898" s="210"/>
      <c r="I898" s="210"/>
      <c r="J898" s="210"/>
      <c r="K898" s="210"/>
      <c r="L898" s="210"/>
      <c r="M898" s="210"/>
      <c r="N898" s="210"/>
      <c r="O898" s="210"/>
      <c r="P898" s="210"/>
      <c r="Q898" s="210"/>
      <c r="R898" s="210"/>
      <c r="S898" s="210"/>
      <c r="T898" s="210"/>
      <c r="U898" s="210"/>
      <c r="V898" s="210"/>
      <c r="W898" s="210"/>
      <c r="X898" s="210"/>
      <c r="Y898" s="210"/>
      <c r="Z898" s="210"/>
      <c r="AA898" s="210"/>
      <c r="AB898" s="210"/>
      <c r="AC898" s="210"/>
      <c r="AI898" s="210"/>
      <c r="AJ898" s="210"/>
    </row>
    <row r="899" ht="12.75" customHeight="1">
      <c r="C899" s="210"/>
      <c r="D899" s="210"/>
      <c r="E899" s="210"/>
      <c r="F899" s="210"/>
      <c r="G899" s="210"/>
      <c r="H899" s="210"/>
      <c r="I899" s="210"/>
      <c r="J899" s="210"/>
      <c r="K899" s="210"/>
      <c r="L899" s="210"/>
      <c r="M899" s="210"/>
      <c r="N899" s="210"/>
      <c r="O899" s="210"/>
      <c r="P899" s="210"/>
      <c r="Q899" s="210"/>
      <c r="R899" s="210"/>
      <c r="S899" s="210"/>
      <c r="T899" s="210"/>
      <c r="U899" s="210"/>
      <c r="V899" s="210"/>
      <c r="W899" s="210"/>
      <c r="X899" s="210"/>
      <c r="Y899" s="210"/>
      <c r="Z899" s="210"/>
      <c r="AA899" s="210"/>
      <c r="AB899" s="210"/>
      <c r="AC899" s="210"/>
      <c r="AI899" s="210"/>
      <c r="AJ899" s="210"/>
    </row>
    <row r="900" ht="12.75" customHeight="1">
      <c r="C900" s="210"/>
      <c r="D900" s="210"/>
      <c r="E900" s="210"/>
      <c r="F900" s="210"/>
      <c r="G900" s="210"/>
      <c r="H900" s="210"/>
      <c r="I900" s="210"/>
      <c r="J900" s="210"/>
      <c r="K900" s="210"/>
      <c r="L900" s="210"/>
      <c r="M900" s="210"/>
      <c r="N900" s="210"/>
      <c r="O900" s="210"/>
      <c r="P900" s="210"/>
      <c r="Q900" s="210"/>
      <c r="R900" s="210"/>
      <c r="S900" s="210"/>
      <c r="T900" s="210"/>
      <c r="U900" s="210"/>
      <c r="V900" s="210"/>
      <c r="W900" s="210"/>
      <c r="X900" s="210"/>
      <c r="Y900" s="210"/>
      <c r="Z900" s="210"/>
      <c r="AA900" s="210"/>
      <c r="AB900" s="210"/>
      <c r="AC900" s="210"/>
      <c r="AI900" s="210"/>
      <c r="AJ900" s="210"/>
    </row>
    <row r="901" ht="12.75" customHeight="1">
      <c r="C901" s="210"/>
      <c r="D901" s="210"/>
      <c r="E901" s="210"/>
      <c r="F901" s="210"/>
      <c r="G901" s="210"/>
      <c r="H901" s="210"/>
      <c r="I901" s="210"/>
      <c r="J901" s="210"/>
      <c r="K901" s="210"/>
      <c r="L901" s="210"/>
      <c r="M901" s="210"/>
      <c r="N901" s="210"/>
      <c r="O901" s="210"/>
      <c r="P901" s="210"/>
      <c r="Q901" s="210"/>
      <c r="R901" s="210"/>
      <c r="S901" s="210"/>
      <c r="T901" s="210"/>
      <c r="U901" s="210"/>
      <c r="V901" s="210"/>
      <c r="W901" s="210"/>
      <c r="X901" s="210"/>
      <c r="Y901" s="210"/>
      <c r="Z901" s="210"/>
      <c r="AA901" s="210"/>
      <c r="AB901" s="210"/>
      <c r="AC901" s="210"/>
      <c r="AI901" s="210"/>
      <c r="AJ901" s="210"/>
    </row>
    <row r="902" ht="12.75" customHeight="1">
      <c r="C902" s="210"/>
      <c r="D902" s="210"/>
      <c r="E902" s="210"/>
      <c r="F902" s="210"/>
      <c r="G902" s="210"/>
      <c r="H902" s="210"/>
      <c r="I902" s="210"/>
      <c r="J902" s="210"/>
      <c r="K902" s="210"/>
      <c r="L902" s="210"/>
      <c r="M902" s="210"/>
      <c r="N902" s="210"/>
      <c r="O902" s="210"/>
      <c r="P902" s="210"/>
      <c r="Q902" s="210"/>
      <c r="R902" s="210"/>
      <c r="S902" s="210"/>
      <c r="T902" s="210"/>
      <c r="U902" s="210"/>
      <c r="V902" s="210"/>
      <c r="W902" s="210"/>
      <c r="X902" s="210"/>
      <c r="Y902" s="210"/>
      <c r="Z902" s="210"/>
      <c r="AA902" s="210"/>
      <c r="AB902" s="210"/>
      <c r="AC902" s="210"/>
      <c r="AI902" s="210"/>
      <c r="AJ902" s="210"/>
    </row>
    <row r="903" ht="12.75" customHeight="1">
      <c r="C903" s="210"/>
      <c r="D903" s="210"/>
      <c r="E903" s="210"/>
      <c r="F903" s="210"/>
      <c r="G903" s="210"/>
      <c r="H903" s="210"/>
      <c r="I903" s="210"/>
      <c r="J903" s="210"/>
      <c r="K903" s="210"/>
      <c r="L903" s="210"/>
      <c r="M903" s="210"/>
      <c r="N903" s="210"/>
      <c r="O903" s="210"/>
      <c r="P903" s="210"/>
      <c r="Q903" s="210"/>
      <c r="R903" s="210"/>
      <c r="S903" s="210"/>
      <c r="T903" s="210"/>
      <c r="U903" s="210"/>
      <c r="V903" s="210"/>
      <c r="W903" s="210"/>
      <c r="X903" s="210"/>
      <c r="Y903" s="210"/>
      <c r="Z903" s="210"/>
      <c r="AA903" s="210"/>
      <c r="AB903" s="210"/>
      <c r="AC903" s="210"/>
      <c r="AI903" s="210"/>
      <c r="AJ903" s="210"/>
    </row>
    <row r="904" ht="12.75" customHeight="1">
      <c r="C904" s="210"/>
      <c r="D904" s="210"/>
      <c r="E904" s="210"/>
      <c r="F904" s="210"/>
      <c r="G904" s="210"/>
      <c r="H904" s="210"/>
      <c r="I904" s="210"/>
      <c r="J904" s="210"/>
      <c r="K904" s="210"/>
      <c r="L904" s="210"/>
      <c r="M904" s="210"/>
      <c r="N904" s="210"/>
      <c r="O904" s="210"/>
      <c r="P904" s="210"/>
      <c r="Q904" s="210"/>
      <c r="R904" s="210"/>
      <c r="S904" s="210"/>
      <c r="T904" s="210"/>
      <c r="U904" s="210"/>
      <c r="V904" s="210"/>
      <c r="W904" s="210"/>
      <c r="X904" s="210"/>
      <c r="Y904" s="210"/>
      <c r="Z904" s="210"/>
      <c r="AA904" s="210"/>
      <c r="AB904" s="210"/>
      <c r="AC904" s="210"/>
      <c r="AI904" s="210"/>
      <c r="AJ904" s="210"/>
    </row>
    <row r="905" ht="12.75" customHeight="1">
      <c r="C905" s="210"/>
      <c r="D905" s="210"/>
      <c r="E905" s="210"/>
      <c r="F905" s="210"/>
      <c r="G905" s="210"/>
      <c r="H905" s="210"/>
      <c r="I905" s="210"/>
      <c r="J905" s="210"/>
      <c r="K905" s="210"/>
      <c r="L905" s="210"/>
      <c r="M905" s="210"/>
      <c r="N905" s="210"/>
      <c r="O905" s="210"/>
      <c r="P905" s="210"/>
      <c r="Q905" s="210"/>
      <c r="R905" s="210"/>
      <c r="S905" s="210"/>
      <c r="T905" s="210"/>
      <c r="U905" s="210"/>
      <c r="V905" s="210"/>
      <c r="W905" s="210"/>
      <c r="X905" s="210"/>
      <c r="Y905" s="210"/>
      <c r="Z905" s="210"/>
      <c r="AA905" s="210"/>
      <c r="AB905" s="210"/>
      <c r="AC905" s="210"/>
      <c r="AI905" s="210"/>
      <c r="AJ905" s="210"/>
    </row>
    <row r="906" ht="12.75" customHeight="1">
      <c r="C906" s="210"/>
      <c r="D906" s="210"/>
      <c r="E906" s="210"/>
      <c r="F906" s="210"/>
      <c r="G906" s="210"/>
      <c r="H906" s="210"/>
      <c r="I906" s="210"/>
      <c r="J906" s="210"/>
      <c r="K906" s="210"/>
      <c r="L906" s="210"/>
      <c r="M906" s="210"/>
      <c r="N906" s="210"/>
      <c r="O906" s="210"/>
      <c r="P906" s="210"/>
      <c r="Q906" s="210"/>
      <c r="R906" s="210"/>
      <c r="S906" s="210"/>
      <c r="T906" s="210"/>
      <c r="U906" s="210"/>
      <c r="V906" s="210"/>
      <c r="W906" s="210"/>
      <c r="X906" s="210"/>
      <c r="Y906" s="210"/>
      <c r="Z906" s="210"/>
      <c r="AA906" s="210"/>
      <c r="AB906" s="210"/>
      <c r="AC906" s="210"/>
      <c r="AI906" s="210"/>
      <c r="AJ906" s="210"/>
    </row>
    <row r="907" ht="12.75" customHeight="1">
      <c r="C907" s="210"/>
      <c r="D907" s="210"/>
      <c r="E907" s="210"/>
      <c r="F907" s="210"/>
      <c r="G907" s="210"/>
      <c r="H907" s="210"/>
      <c r="I907" s="210"/>
      <c r="J907" s="210"/>
      <c r="K907" s="210"/>
      <c r="L907" s="210"/>
      <c r="M907" s="210"/>
      <c r="N907" s="210"/>
      <c r="O907" s="210"/>
      <c r="P907" s="210"/>
      <c r="Q907" s="210"/>
      <c r="R907" s="210"/>
      <c r="S907" s="210"/>
      <c r="T907" s="210"/>
      <c r="U907" s="210"/>
      <c r="V907" s="210"/>
      <c r="W907" s="210"/>
      <c r="X907" s="210"/>
      <c r="Y907" s="210"/>
      <c r="Z907" s="210"/>
      <c r="AA907" s="210"/>
      <c r="AB907" s="210"/>
      <c r="AC907" s="210"/>
      <c r="AI907" s="210"/>
      <c r="AJ907" s="210"/>
    </row>
    <row r="908" ht="12.75" customHeight="1">
      <c r="C908" s="210"/>
      <c r="D908" s="210"/>
      <c r="E908" s="210"/>
      <c r="F908" s="210"/>
      <c r="G908" s="210"/>
      <c r="H908" s="210"/>
      <c r="I908" s="210"/>
      <c r="J908" s="210"/>
      <c r="K908" s="210"/>
      <c r="L908" s="210"/>
      <c r="M908" s="210"/>
      <c r="N908" s="210"/>
      <c r="O908" s="210"/>
      <c r="P908" s="210"/>
      <c r="Q908" s="210"/>
      <c r="R908" s="210"/>
      <c r="S908" s="210"/>
      <c r="T908" s="210"/>
      <c r="U908" s="210"/>
      <c r="V908" s="210"/>
      <c r="W908" s="210"/>
      <c r="X908" s="210"/>
      <c r="Y908" s="210"/>
      <c r="Z908" s="210"/>
      <c r="AA908" s="210"/>
      <c r="AB908" s="210"/>
      <c r="AC908" s="210"/>
      <c r="AI908" s="210"/>
      <c r="AJ908" s="210"/>
    </row>
    <row r="909" ht="12.75" customHeight="1">
      <c r="C909" s="210"/>
      <c r="D909" s="210"/>
      <c r="E909" s="210"/>
      <c r="F909" s="210"/>
      <c r="G909" s="210"/>
      <c r="H909" s="210"/>
      <c r="I909" s="210"/>
      <c r="J909" s="210"/>
      <c r="K909" s="210"/>
      <c r="L909" s="210"/>
      <c r="M909" s="210"/>
      <c r="N909" s="210"/>
      <c r="O909" s="210"/>
      <c r="P909" s="210"/>
      <c r="Q909" s="210"/>
      <c r="R909" s="210"/>
      <c r="S909" s="210"/>
      <c r="T909" s="210"/>
      <c r="U909" s="210"/>
      <c r="V909" s="210"/>
      <c r="W909" s="210"/>
      <c r="X909" s="210"/>
      <c r="Y909" s="210"/>
      <c r="Z909" s="210"/>
      <c r="AA909" s="210"/>
      <c r="AB909" s="210"/>
      <c r="AC909" s="210"/>
      <c r="AI909" s="210"/>
      <c r="AJ909" s="210"/>
    </row>
    <row r="910" ht="12.75" customHeight="1">
      <c r="C910" s="210"/>
      <c r="D910" s="210"/>
      <c r="E910" s="210"/>
      <c r="F910" s="210"/>
      <c r="G910" s="210"/>
      <c r="H910" s="210"/>
      <c r="I910" s="210"/>
      <c r="J910" s="210"/>
      <c r="K910" s="210"/>
      <c r="L910" s="210"/>
      <c r="M910" s="210"/>
      <c r="N910" s="210"/>
      <c r="O910" s="210"/>
      <c r="P910" s="210"/>
      <c r="Q910" s="210"/>
      <c r="R910" s="210"/>
      <c r="S910" s="210"/>
      <c r="T910" s="210"/>
      <c r="U910" s="210"/>
      <c r="V910" s="210"/>
      <c r="W910" s="210"/>
      <c r="X910" s="210"/>
      <c r="Y910" s="210"/>
      <c r="Z910" s="210"/>
      <c r="AA910" s="210"/>
      <c r="AB910" s="210"/>
      <c r="AC910" s="210"/>
      <c r="AI910" s="210"/>
      <c r="AJ910" s="210"/>
    </row>
    <row r="911" ht="12.75" customHeight="1">
      <c r="C911" s="210"/>
      <c r="D911" s="210"/>
      <c r="E911" s="210"/>
      <c r="F911" s="210"/>
      <c r="G911" s="210"/>
      <c r="H911" s="210"/>
      <c r="I911" s="210"/>
      <c r="J911" s="210"/>
      <c r="K911" s="210"/>
      <c r="L911" s="210"/>
      <c r="M911" s="210"/>
      <c r="N911" s="210"/>
      <c r="O911" s="210"/>
      <c r="P911" s="210"/>
      <c r="Q911" s="210"/>
      <c r="R911" s="210"/>
      <c r="S911" s="210"/>
      <c r="T911" s="210"/>
      <c r="U911" s="210"/>
      <c r="V911" s="210"/>
      <c r="W911" s="210"/>
      <c r="X911" s="210"/>
      <c r="Y911" s="210"/>
      <c r="Z911" s="210"/>
      <c r="AA911" s="210"/>
      <c r="AB911" s="210"/>
      <c r="AC911" s="210"/>
      <c r="AI911" s="210"/>
      <c r="AJ911" s="210"/>
    </row>
    <row r="912" ht="12.75" customHeight="1">
      <c r="C912" s="210"/>
      <c r="D912" s="210"/>
      <c r="E912" s="210"/>
      <c r="F912" s="210"/>
      <c r="G912" s="210"/>
      <c r="H912" s="210"/>
      <c r="I912" s="210"/>
      <c r="J912" s="210"/>
      <c r="K912" s="210"/>
      <c r="L912" s="210"/>
      <c r="M912" s="210"/>
      <c r="N912" s="210"/>
      <c r="O912" s="210"/>
      <c r="P912" s="210"/>
      <c r="Q912" s="210"/>
      <c r="R912" s="210"/>
      <c r="S912" s="210"/>
      <c r="T912" s="210"/>
      <c r="U912" s="210"/>
      <c r="V912" s="210"/>
      <c r="W912" s="210"/>
      <c r="X912" s="210"/>
      <c r="Y912" s="210"/>
      <c r="Z912" s="210"/>
      <c r="AA912" s="210"/>
      <c r="AB912" s="210"/>
      <c r="AC912" s="210"/>
      <c r="AI912" s="210"/>
      <c r="AJ912" s="210"/>
    </row>
    <row r="913" ht="12.75" customHeight="1">
      <c r="C913" s="210"/>
      <c r="D913" s="210"/>
      <c r="E913" s="210"/>
      <c r="F913" s="210"/>
      <c r="G913" s="210"/>
      <c r="H913" s="210"/>
      <c r="I913" s="210"/>
      <c r="J913" s="210"/>
      <c r="K913" s="210"/>
      <c r="L913" s="210"/>
      <c r="M913" s="210"/>
      <c r="N913" s="210"/>
      <c r="O913" s="210"/>
      <c r="P913" s="210"/>
      <c r="Q913" s="210"/>
      <c r="R913" s="210"/>
      <c r="S913" s="210"/>
      <c r="T913" s="210"/>
      <c r="U913" s="210"/>
      <c r="V913" s="210"/>
      <c r="W913" s="210"/>
      <c r="X913" s="210"/>
      <c r="Y913" s="210"/>
      <c r="Z913" s="210"/>
      <c r="AA913" s="210"/>
      <c r="AB913" s="210"/>
      <c r="AC913" s="210"/>
      <c r="AI913" s="210"/>
      <c r="AJ913" s="210"/>
    </row>
    <row r="914" ht="12.75" customHeight="1">
      <c r="C914" s="210"/>
      <c r="D914" s="210"/>
      <c r="E914" s="210"/>
      <c r="F914" s="210"/>
      <c r="G914" s="210"/>
      <c r="H914" s="210"/>
      <c r="I914" s="210"/>
      <c r="J914" s="210"/>
      <c r="K914" s="210"/>
      <c r="L914" s="210"/>
      <c r="M914" s="210"/>
      <c r="N914" s="210"/>
      <c r="O914" s="210"/>
      <c r="P914" s="210"/>
      <c r="Q914" s="210"/>
      <c r="R914" s="210"/>
      <c r="S914" s="210"/>
      <c r="T914" s="210"/>
      <c r="U914" s="210"/>
      <c r="V914" s="210"/>
      <c r="W914" s="210"/>
      <c r="X914" s="210"/>
      <c r="Y914" s="210"/>
      <c r="Z914" s="210"/>
      <c r="AA914" s="210"/>
      <c r="AB914" s="210"/>
      <c r="AC914" s="210"/>
      <c r="AI914" s="210"/>
      <c r="AJ914" s="210"/>
    </row>
    <row r="915" ht="12.75" customHeight="1">
      <c r="C915" s="210"/>
      <c r="D915" s="210"/>
      <c r="E915" s="210"/>
      <c r="F915" s="210"/>
      <c r="G915" s="210"/>
      <c r="H915" s="210"/>
      <c r="I915" s="210"/>
      <c r="J915" s="210"/>
      <c r="K915" s="210"/>
      <c r="L915" s="210"/>
      <c r="M915" s="210"/>
      <c r="N915" s="210"/>
      <c r="O915" s="210"/>
      <c r="P915" s="210"/>
      <c r="Q915" s="210"/>
      <c r="R915" s="210"/>
      <c r="S915" s="210"/>
      <c r="T915" s="210"/>
      <c r="U915" s="210"/>
      <c r="V915" s="210"/>
      <c r="W915" s="210"/>
      <c r="X915" s="210"/>
      <c r="Y915" s="210"/>
      <c r="Z915" s="210"/>
      <c r="AA915" s="210"/>
      <c r="AB915" s="210"/>
      <c r="AC915" s="210"/>
      <c r="AI915" s="210"/>
      <c r="AJ915" s="210"/>
    </row>
    <row r="916" ht="12.75" customHeight="1">
      <c r="C916" s="210"/>
      <c r="D916" s="210"/>
      <c r="E916" s="210"/>
      <c r="F916" s="210"/>
      <c r="G916" s="210"/>
      <c r="H916" s="210"/>
      <c r="I916" s="210"/>
      <c r="J916" s="210"/>
      <c r="K916" s="210"/>
      <c r="L916" s="210"/>
      <c r="M916" s="210"/>
      <c r="N916" s="210"/>
      <c r="O916" s="210"/>
      <c r="P916" s="210"/>
      <c r="Q916" s="210"/>
      <c r="R916" s="210"/>
      <c r="S916" s="210"/>
      <c r="T916" s="210"/>
      <c r="U916" s="210"/>
      <c r="V916" s="210"/>
      <c r="W916" s="210"/>
      <c r="X916" s="210"/>
      <c r="Y916" s="210"/>
      <c r="Z916" s="210"/>
      <c r="AA916" s="210"/>
      <c r="AB916" s="210"/>
      <c r="AC916" s="210"/>
      <c r="AI916" s="210"/>
      <c r="AJ916" s="210"/>
    </row>
    <row r="917" ht="12.75" customHeight="1">
      <c r="C917" s="210"/>
      <c r="D917" s="210"/>
      <c r="E917" s="210"/>
      <c r="F917" s="210"/>
      <c r="G917" s="210"/>
      <c r="H917" s="210"/>
      <c r="I917" s="210"/>
      <c r="J917" s="210"/>
      <c r="K917" s="210"/>
      <c r="L917" s="210"/>
      <c r="M917" s="210"/>
      <c r="N917" s="210"/>
      <c r="O917" s="210"/>
      <c r="P917" s="210"/>
      <c r="Q917" s="210"/>
      <c r="R917" s="210"/>
      <c r="S917" s="210"/>
      <c r="T917" s="210"/>
      <c r="U917" s="210"/>
      <c r="V917" s="210"/>
      <c r="W917" s="210"/>
      <c r="X917" s="210"/>
      <c r="Y917" s="210"/>
      <c r="Z917" s="210"/>
      <c r="AA917" s="210"/>
      <c r="AB917" s="210"/>
      <c r="AC917" s="210"/>
      <c r="AI917" s="210"/>
      <c r="AJ917" s="210"/>
    </row>
    <row r="918" ht="12.75" customHeight="1">
      <c r="C918" s="210"/>
      <c r="D918" s="210"/>
      <c r="E918" s="210"/>
      <c r="F918" s="210"/>
      <c r="G918" s="210"/>
      <c r="H918" s="210"/>
      <c r="I918" s="210"/>
      <c r="J918" s="210"/>
      <c r="K918" s="210"/>
      <c r="L918" s="210"/>
      <c r="M918" s="210"/>
      <c r="N918" s="210"/>
      <c r="O918" s="210"/>
      <c r="P918" s="210"/>
      <c r="Q918" s="210"/>
      <c r="R918" s="210"/>
      <c r="S918" s="210"/>
      <c r="T918" s="210"/>
      <c r="U918" s="210"/>
      <c r="V918" s="210"/>
      <c r="W918" s="210"/>
      <c r="X918" s="210"/>
      <c r="Y918" s="210"/>
      <c r="Z918" s="210"/>
      <c r="AA918" s="210"/>
      <c r="AB918" s="210"/>
      <c r="AC918" s="210"/>
      <c r="AI918" s="210"/>
      <c r="AJ918" s="210"/>
    </row>
    <row r="919" ht="12.75" customHeight="1">
      <c r="C919" s="210"/>
      <c r="D919" s="210"/>
      <c r="E919" s="210"/>
      <c r="F919" s="210"/>
      <c r="G919" s="210"/>
      <c r="H919" s="210"/>
      <c r="I919" s="210"/>
      <c r="J919" s="210"/>
      <c r="K919" s="210"/>
      <c r="L919" s="210"/>
      <c r="M919" s="210"/>
      <c r="N919" s="210"/>
      <c r="O919" s="210"/>
      <c r="P919" s="210"/>
      <c r="Q919" s="210"/>
      <c r="R919" s="210"/>
      <c r="S919" s="210"/>
      <c r="T919" s="210"/>
      <c r="U919" s="210"/>
      <c r="V919" s="210"/>
      <c r="W919" s="210"/>
      <c r="X919" s="210"/>
      <c r="Y919" s="210"/>
      <c r="Z919" s="210"/>
      <c r="AA919" s="210"/>
      <c r="AB919" s="210"/>
      <c r="AC919" s="210"/>
      <c r="AI919" s="210"/>
      <c r="AJ919" s="210"/>
    </row>
    <row r="920" ht="12.75" customHeight="1">
      <c r="C920" s="210"/>
      <c r="D920" s="210"/>
      <c r="E920" s="210"/>
      <c r="F920" s="210"/>
      <c r="G920" s="210"/>
      <c r="H920" s="210"/>
      <c r="I920" s="210"/>
      <c r="J920" s="210"/>
      <c r="K920" s="210"/>
      <c r="L920" s="210"/>
      <c r="M920" s="210"/>
      <c r="N920" s="210"/>
      <c r="O920" s="210"/>
      <c r="P920" s="210"/>
      <c r="Q920" s="210"/>
      <c r="R920" s="210"/>
      <c r="S920" s="210"/>
      <c r="T920" s="210"/>
      <c r="U920" s="210"/>
      <c r="V920" s="210"/>
      <c r="W920" s="210"/>
      <c r="X920" s="210"/>
      <c r="Y920" s="210"/>
      <c r="Z920" s="210"/>
      <c r="AA920" s="210"/>
      <c r="AB920" s="210"/>
      <c r="AC920" s="210"/>
      <c r="AI920" s="210"/>
      <c r="AJ920" s="210"/>
    </row>
    <row r="921" ht="12.75" customHeight="1">
      <c r="C921" s="210"/>
      <c r="D921" s="210"/>
      <c r="E921" s="210"/>
      <c r="F921" s="210"/>
      <c r="G921" s="210"/>
      <c r="H921" s="210"/>
      <c r="I921" s="210"/>
      <c r="J921" s="210"/>
      <c r="K921" s="210"/>
      <c r="L921" s="210"/>
      <c r="M921" s="210"/>
      <c r="N921" s="210"/>
      <c r="O921" s="210"/>
      <c r="P921" s="210"/>
      <c r="Q921" s="210"/>
      <c r="R921" s="210"/>
      <c r="S921" s="210"/>
      <c r="T921" s="210"/>
      <c r="U921" s="210"/>
      <c r="V921" s="210"/>
      <c r="W921" s="210"/>
      <c r="X921" s="210"/>
      <c r="Y921" s="210"/>
      <c r="Z921" s="210"/>
      <c r="AA921" s="210"/>
      <c r="AB921" s="210"/>
      <c r="AC921" s="210"/>
      <c r="AI921" s="210"/>
      <c r="AJ921" s="210"/>
    </row>
    <row r="922" ht="12.75" customHeight="1">
      <c r="C922" s="210"/>
      <c r="D922" s="210"/>
      <c r="E922" s="210"/>
      <c r="F922" s="210"/>
      <c r="G922" s="210"/>
      <c r="H922" s="210"/>
      <c r="I922" s="210"/>
      <c r="J922" s="210"/>
      <c r="K922" s="210"/>
      <c r="L922" s="210"/>
      <c r="M922" s="210"/>
      <c r="N922" s="210"/>
      <c r="O922" s="210"/>
      <c r="P922" s="210"/>
      <c r="Q922" s="210"/>
      <c r="R922" s="210"/>
      <c r="S922" s="210"/>
      <c r="T922" s="210"/>
      <c r="U922" s="210"/>
      <c r="V922" s="210"/>
      <c r="W922" s="210"/>
      <c r="X922" s="210"/>
      <c r="Y922" s="210"/>
      <c r="Z922" s="210"/>
      <c r="AA922" s="210"/>
      <c r="AB922" s="210"/>
      <c r="AC922" s="210"/>
      <c r="AI922" s="210"/>
      <c r="AJ922" s="210"/>
    </row>
    <row r="923" ht="12.75" customHeight="1">
      <c r="C923" s="210"/>
      <c r="D923" s="210"/>
      <c r="E923" s="210"/>
      <c r="F923" s="210"/>
      <c r="G923" s="210"/>
      <c r="H923" s="210"/>
      <c r="I923" s="210"/>
      <c r="J923" s="210"/>
      <c r="K923" s="210"/>
      <c r="L923" s="210"/>
      <c r="M923" s="210"/>
      <c r="N923" s="210"/>
      <c r="O923" s="210"/>
      <c r="P923" s="210"/>
      <c r="Q923" s="210"/>
      <c r="R923" s="210"/>
      <c r="S923" s="210"/>
      <c r="T923" s="210"/>
      <c r="U923" s="210"/>
      <c r="V923" s="210"/>
      <c r="W923" s="210"/>
      <c r="X923" s="210"/>
      <c r="Y923" s="210"/>
      <c r="Z923" s="210"/>
      <c r="AA923" s="210"/>
      <c r="AB923" s="210"/>
      <c r="AC923" s="210"/>
      <c r="AI923" s="210"/>
      <c r="AJ923" s="210"/>
    </row>
    <row r="924" ht="12.75" customHeight="1">
      <c r="C924" s="210"/>
      <c r="D924" s="210"/>
      <c r="E924" s="210"/>
      <c r="F924" s="210"/>
      <c r="G924" s="210"/>
      <c r="H924" s="210"/>
      <c r="I924" s="210"/>
      <c r="J924" s="210"/>
      <c r="K924" s="210"/>
      <c r="L924" s="210"/>
      <c r="M924" s="210"/>
      <c r="N924" s="210"/>
      <c r="O924" s="210"/>
      <c r="P924" s="210"/>
      <c r="Q924" s="210"/>
      <c r="R924" s="210"/>
      <c r="S924" s="210"/>
      <c r="T924" s="210"/>
      <c r="U924" s="210"/>
      <c r="V924" s="210"/>
      <c r="W924" s="210"/>
      <c r="X924" s="210"/>
      <c r="Y924" s="210"/>
      <c r="Z924" s="210"/>
      <c r="AA924" s="210"/>
      <c r="AB924" s="210"/>
      <c r="AC924" s="210"/>
      <c r="AI924" s="210"/>
      <c r="AJ924" s="210"/>
    </row>
    <row r="925" ht="12.75" customHeight="1">
      <c r="C925" s="210"/>
      <c r="D925" s="210"/>
      <c r="E925" s="210"/>
      <c r="F925" s="210"/>
      <c r="G925" s="210"/>
      <c r="H925" s="210"/>
      <c r="I925" s="210"/>
      <c r="J925" s="210"/>
      <c r="K925" s="210"/>
      <c r="L925" s="210"/>
      <c r="M925" s="210"/>
      <c r="N925" s="210"/>
      <c r="O925" s="210"/>
      <c r="P925" s="210"/>
      <c r="Q925" s="210"/>
      <c r="R925" s="210"/>
      <c r="S925" s="210"/>
      <c r="T925" s="210"/>
      <c r="U925" s="210"/>
      <c r="V925" s="210"/>
      <c r="W925" s="210"/>
      <c r="X925" s="210"/>
      <c r="Y925" s="210"/>
      <c r="Z925" s="210"/>
      <c r="AA925" s="210"/>
      <c r="AB925" s="210"/>
      <c r="AC925" s="210"/>
      <c r="AI925" s="210"/>
      <c r="AJ925" s="210"/>
    </row>
    <row r="926" ht="12.75" customHeight="1">
      <c r="C926" s="210"/>
      <c r="D926" s="210"/>
      <c r="E926" s="210"/>
      <c r="F926" s="210"/>
      <c r="G926" s="210"/>
      <c r="H926" s="210"/>
      <c r="I926" s="210"/>
      <c r="J926" s="210"/>
      <c r="K926" s="210"/>
      <c r="L926" s="210"/>
      <c r="M926" s="210"/>
      <c r="N926" s="210"/>
      <c r="O926" s="210"/>
      <c r="P926" s="210"/>
      <c r="Q926" s="210"/>
      <c r="R926" s="210"/>
      <c r="S926" s="210"/>
      <c r="T926" s="210"/>
      <c r="U926" s="210"/>
      <c r="V926" s="210"/>
      <c r="W926" s="210"/>
      <c r="X926" s="210"/>
      <c r="Y926" s="210"/>
      <c r="Z926" s="210"/>
      <c r="AA926" s="210"/>
      <c r="AB926" s="210"/>
      <c r="AC926" s="210"/>
      <c r="AI926" s="210"/>
      <c r="AJ926" s="210"/>
    </row>
    <row r="927" ht="12.75" customHeight="1">
      <c r="C927" s="210"/>
      <c r="D927" s="210"/>
      <c r="E927" s="210"/>
      <c r="F927" s="210"/>
      <c r="G927" s="210"/>
      <c r="H927" s="210"/>
      <c r="I927" s="210"/>
      <c r="J927" s="210"/>
      <c r="K927" s="210"/>
      <c r="L927" s="210"/>
      <c r="M927" s="210"/>
      <c r="N927" s="210"/>
      <c r="O927" s="210"/>
      <c r="P927" s="210"/>
      <c r="Q927" s="210"/>
      <c r="R927" s="210"/>
      <c r="S927" s="210"/>
      <c r="T927" s="210"/>
      <c r="U927" s="210"/>
      <c r="V927" s="210"/>
      <c r="W927" s="210"/>
      <c r="X927" s="210"/>
      <c r="Y927" s="210"/>
      <c r="Z927" s="210"/>
      <c r="AA927" s="210"/>
      <c r="AB927" s="210"/>
      <c r="AC927" s="210"/>
      <c r="AI927" s="210"/>
      <c r="AJ927" s="210"/>
    </row>
    <row r="928" ht="12.75" customHeight="1">
      <c r="C928" s="210"/>
      <c r="D928" s="210"/>
      <c r="E928" s="210"/>
      <c r="F928" s="210"/>
      <c r="G928" s="210"/>
      <c r="H928" s="210"/>
      <c r="I928" s="210"/>
      <c r="J928" s="210"/>
      <c r="K928" s="210"/>
      <c r="L928" s="210"/>
      <c r="M928" s="210"/>
      <c r="N928" s="210"/>
      <c r="O928" s="210"/>
      <c r="P928" s="210"/>
      <c r="Q928" s="210"/>
      <c r="R928" s="210"/>
      <c r="S928" s="210"/>
      <c r="T928" s="210"/>
      <c r="U928" s="210"/>
      <c r="V928" s="210"/>
      <c r="W928" s="210"/>
      <c r="X928" s="210"/>
      <c r="Y928" s="210"/>
      <c r="Z928" s="210"/>
      <c r="AA928" s="210"/>
      <c r="AB928" s="210"/>
      <c r="AC928" s="210"/>
      <c r="AI928" s="210"/>
      <c r="AJ928" s="210"/>
    </row>
    <row r="929" ht="12.75" customHeight="1">
      <c r="C929" s="210"/>
      <c r="D929" s="210"/>
      <c r="E929" s="210"/>
      <c r="F929" s="210"/>
      <c r="G929" s="210"/>
      <c r="H929" s="210"/>
      <c r="I929" s="210"/>
      <c r="J929" s="210"/>
      <c r="K929" s="210"/>
      <c r="L929" s="210"/>
      <c r="M929" s="210"/>
      <c r="N929" s="210"/>
      <c r="O929" s="210"/>
      <c r="P929" s="210"/>
      <c r="Q929" s="210"/>
      <c r="R929" s="210"/>
      <c r="S929" s="210"/>
      <c r="T929" s="210"/>
      <c r="U929" s="210"/>
      <c r="V929" s="210"/>
      <c r="W929" s="210"/>
      <c r="X929" s="210"/>
      <c r="Y929" s="210"/>
      <c r="Z929" s="210"/>
      <c r="AA929" s="210"/>
      <c r="AB929" s="210"/>
      <c r="AC929" s="210"/>
      <c r="AI929" s="210"/>
      <c r="AJ929" s="210"/>
    </row>
    <row r="930" ht="12.75" customHeight="1">
      <c r="C930" s="210"/>
      <c r="D930" s="210"/>
      <c r="E930" s="210"/>
      <c r="F930" s="210"/>
      <c r="G930" s="210"/>
      <c r="H930" s="210"/>
      <c r="I930" s="210"/>
      <c r="J930" s="210"/>
      <c r="K930" s="210"/>
      <c r="L930" s="210"/>
      <c r="M930" s="210"/>
      <c r="N930" s="210"/>
      <c r="O930" s="210"/>
      <c r="P930" s="210"/>
      <c r="Q930" s="210"/>
      <c r="R930" s="210"/>
      <c r="S930" s="210"/>
      <c r="T930" s="210"/>
      <c r="U930" s="210"/>
      <c r="V930" s="210"/>
      <c r="W930" s="210"/>
      <c r="X930" s="210"/>
      <c r="Y930" s="210"/>
      <c r="Z930" s="210"/>
      <c r="AA930" s="210"/>
      <c r="AB930" s="210"/>
      <c r="AC930" s="210"/>
      <c r="AI930" s="210"/>
      <c r="AJ930" s="210"/>
    </row>
    <row r="931" ht="12.75" customHeight="1">
      <c r="C931" s="210"/>
      <c r="D931" s="210"/>
      <c r="E931" s="210"/>
      <c r="F931" s="210"/>
      <c r="G931" s="210"/>
      <c r="H931" s="210"/>
      <c r="I931" s="210"/>
      <c r="J931" s="210"/>
      <c r="K931" s="210"/>
      <c r="L931" s="210"/>
      <c r="M931" s="210"/>
      <c r="N931" s="210"/>
      <c r="O931" s="210"/>
      <c r="P931" s="210"/>
      <c r="Q931" s="210"/>
      <c r="R931" s="210"/>
      <c r="S931" s="210"/>
      <c r="T931" s="210"/>
      <c r="U931" s="210"/>
      <c r="V931" s="210"/>
      <c r="W931" s="210"/>
      <c r="X931" s="210"/>
      <c r="Y931" s="210"/>
      <c r="Z931" s="210"/>
      <c r="AA931" s="210"/>
      <c r="AB931" s="210"/>
      <c r="AC931" s="210"/>
      <c r="AI931" s="210"/>
      <c r="AJ931" s="210"/>
    </row>
    <row r="932" ht="12.75" customHeight="1">
      <c r="C932" s="210"/>
      <c r="D932" s="210"/>
      <c r="E932" s="210"/>
      <c r="F932" s="210"/>
      <c r="G932" s="210"/>
      <c r="H932" s="210"/>
      <c r="I932" s="210"/>
      <c r="J932" s="210"/>
      <c r="K932" s="210"/>
      <c r="L932" s="210"/>
      <c r="M932" s="210"/>
      <c r="N932" s="210"/>
      <c r="O932" s="210"/>
      <c r="P932" s="210"/>
      <c r="Q932" s="210"/>
      <c r="R932" s="210"/>
      <c r="S932" s="210"/>
      <c r="T932" s="210"/>
      <c r="U932" s="210"/>
      <c r="V932" s="210"/>
      <c r="W932" s="210"/>
      <c r="X932" s="210"/>
      <c r="Y932" s="210"/>
      <c r="Z932" s="210"/>
      <c r="AA932" s="210"/>
      <c r="AB932" s="210"/>
      <c r="AC932" s="210"/>
      <c r="AI932" s="210"/>
      <c r="AJ932" s="210"/>
    </row>
    <row r="933" ht="12.75" customHeight="1">
      <c r="C933" s="210"/>
      <c r="D933" s="210"/>
      <c r="E933" s="210"/>
      <c r="F933" s="210"/>
      <c r="G933" s="210"/>
      <c r="H933" s="210"/>
      <c r="I933" s="210"/>
      <c r="J933" s="210"/>
      <c r="K933" s="210"/>
      <c r="L933" s="210"/>
      <c r="M933" s="210"/>
      <c r="N933" s="210"/>
      <c r="O933" s="210"/>
      <c r="P933" s="210"/>
      <c r="Q933" s="210"/>
      <c r="R933" s="210"/>
      <c r="S933" s="210"/>
      <c r="T933" s="210"/>
      <c r="U933" s="210"/>
      <c r="V933" s="210"/>
      <c r="W933" s="210"/>
      <c r="X933" s="210"/>
      <c r="Y933" s="210"/>
      <c r="Z933" s="210"/>
      <c r="AA933" s="210"/>
      <c r="AB933" s="210"/>
      <c r="AC933" s="210"/>
      <c r="AI933" s="210"/>
      <c r="AJ933" s="210"/>
    </row>
    <row r="934" ht="12.75" customHeight="1">
      <c r="C934" s="210"/>
      <c r="D934" s="210"/>
      <c r="E934" s="210"/>
      <c r="F934" s="210"/>
      <c r="G934" s="210"/>
      <c r="H934" s="210"/>
      <c r="I934" s="210"/>
      <c r="J934" s="210"/>
      <c r="K934" s="210"/>
      <c r="L934" s="210"/>
      <c r="M934" s="210"/>
      <c r="N934" s="210"/>
      <c r="O934" s="210"/>
      <c r="P934" s="210"/>
      <c r="Q934" s="210"/>
      <c r="R934" s="210"/>
      <c r="S934" s="210"/>
      <c r="T934" s="210"/>
      <c r="U934" s="210"/>
      <c r="V934" s="210"/>
      <c r="W934" s="210"/>
      <c r="X934" s="210"/>
      <c r="Y934" s="210"/>
      <c r="Z934" s="210"/>
      <c r="AA934" s="210"/>
      <c r="AB934" s="210"/>
      <c r="AC934" s="210"/>
      <c r="AI934" s="210"/>
      <c r="AJ934" s="210"/>
    </row>
    <row r="935" ht="12.75" customHeight="1">
      <c r="C935" s="210"/>
      <c r="D935" s="210"/>
      <c r="E935" s="210"/>
      <c r="F935" s="210"/>
      <c r="G935" s="210"/>
      <c r="H935" s="210"/>
      <c r="I935" s="210"/>
      <c r="J935" s="210"/>
      <c r="K935" s="210"/>
      <c r="L935" s="210"/>
      <c r="M935" s="210"/>
      <c r="N935" s="210"/>
      <c r="O935" s="210"/>
      <c r="P935" s="210"/>
      <c r="Q935" s="210"/>
      <c r="R935" s="210"/>
      <c r="S935" s="210"/>
      <c r="T935" s="210"/>
      <c r="U935" s="210"/>
      <c r="V935" s="210"/>
      <c r="W935" s="210"/>
      <c r="X935" s="210"/>
      <c r="Y935" s="210"/>
      <c r="Z935" s="210"/>
      <c r="AA935" s="210"/>
      <c r="AB935" s="210"/>
      <c r="AC935" s="210"/>
      <c r="AI935" s="210"/>
      <c r="AJ935" s="210"/>
    </row>
    <row r="936" ht="12.75" customHeight="1">
      <c r="C936" s="210"/>
      <c r="D936" s="210"/>
      <c r="E936" s="210"/>
      <c r="F936" s="210"/>
      <c r="G936" s="210"/>
      <c r="H936" s="210"/>
      <c r="I936" s="210"/>
      <c r="J936" s="210"/>
      <c r="K936" s="210"/>
      <c r="L936" s="210"/>
      <c r="M936" s="210"/>
      <c r="N936" s="210"/>
      <c r="O936" s="210"/>
      <c r="P936" s="210"/>
      <c r="Q936" s="210"/>
      <c r="R936" s="210"/>
      <c r="S936" s="210"/>
      <c r="T936" s="210"/>
      <c r="U936" s="210"/>
      <c r="V936" s="210"/>
      <c r="W936" s="210"/>
      <c r="X936" s="210"/>
      <c r="Y936" s="210"/>
      <c r="Z936" s="210"/>
      <c r="AA936" s="210"/>
      <c r="AB936" s="210"/>
      <c r="AC936" s="210"/>
      <c r="AI936" s="210"/>
      <c r="AJ936" s="210"/>
    </row>
    <row r="937" ht="12.75" customHeight="1">
      <c r="C937" s="210"/>
      <c r="D937" s="210"/>
      <c r="E937" s="210"/>
      <c r="F937" s="210"/>
      <c r="G937" s="210"/>
      <c r="H937" s="210"/>
      <c r="I937" s="210"/>
      <c r="J937" s="210"/>
      <c r="K937" s="210"/>
      <c r="L937" s="210"/>
      <c r="M937" s="210"/>
      <c r="N937" s="210"/>
      <c r="O937" s="210"/>
      <c r="P937" s="210"/>
      <c r="Q937" s="210"/>
      <c r="R937" s="210"/>
      <c r="S937" s="210"/>
      <c r="T937" s="210"/>
      <c r="U937" s="210"/>
      <c r="V937" s="210"/>
      <c r="W937" s="210"/>
      <c r="X937" s="210"/>
      <c r="Y937" s="210"/>
      <c r="Z937" s="210"/>
      <c r="AA937" s="210"/>
      <c r="AB937" s="210"/>
      <c r="AC937" s="210"/>
      <c r="AI937" s="210"/>
      <c r="AJ937" s="210"/>
    </row>
    <row r="938" ht="12.75" customHeight="1">
      <c r="C938" s="210"/>
      <c r="D938" s="210"/>
      <c r="E938" s="210"/>
      <c r="F938" s="210"/>
      <c r="G938" s="210"/>
      <c r="H938" s="210"/>
      <c r="I938" s="210"/>
      <c r="J938" s="210"/>
      <c r="K938" s="210"/>
      <c r="L938" s="210"/>
      <c r="M938" s="210"/>
      <c r="N938" s="210"/>
      <c r="O938" s="210"/>
      <c r="P938" s="210"/>
      <c r="Q938" s="210"/>
      <c r="R938" s="210"/>
      <c r="S938" s="210"/>
      <c r="T938" s="210"/>
      <c r="U938" s="210"/>
      <c r="V938" s="210"/>
      <c r="W938" s="210"/>
      <c r="X938" s="210"/>
      <c r="Y938" s="210"/>
      <c r="Z938" s="210"/>
      <c r="AA938" s="210"/>
      <c r="AB938" s="210"/>
      <c r="AC938" s="210"/>
      <c r="AI938" s="210"/>
      <c r="AJ938" s="210"/>
    </row>
    <row r="939" ht="12.75" customHeight="1">
      <c r="C939" s="210"/>
      <c r="D939" s="210"/>
      <c r="E939" s="210"/>
      <c r="F939" s="210"/>
      <c r="G939" s="210"/>
      <c r="H939" s="210"/>
      <c r="I939" s="210"/>
      <c r="J939" s="210"/>
      <c r="K939" s="210"/>
      <c r="L939" s="210"/>
      <c r="M939" s="210"/>
      <c r="N939" s="210"/>
      <c r="O939" s="210"/>
      <c r="P939" s="210"/>
      <c r="Q939" s="210"/>
      <c r="R939" s="210"/>
      <c r="S939" s="210"/>
      <c r="T939" s="210"/>
      <c r="U939" s="210"/>
      <c r="V939" s="210"/>
      <c r="W939" s="210"/>
      <c r="X939" s="210"/>
      <c r="Y939" s="210"/>
      <c r="Z939" s="210"/>
      <c r="AA939" s="210"/>
      <c r="AB939" s="210"/>
      <c r="AC939" s="210"/>
      <c r="AI939" s="210"/>
      <c r="AJ939" s="210"/>
    </row>
    <row r="940" ht="12.75" customHeight="1">
      <c r="C940" s="210"/>
      <c r="D940" s="210"/>
      <c r="E940" s="210"/>
      <c r="F940" s="210"/>
      <c r="G940" s="210"/>
      <c r="H940" s="210"/>
      <c r="I940" s="210"/>
      <c r="J940" s="210"/>
      <c r="K940" s="210"/>
      <c r="L940" s="210"/>
      <c r="M940" s="210"/>
      <c r="N940" s="210"/>
      <c r="O940" s="210"/>
      <c r="P940" s="210"/>
      <c r="Q940" s="210"/>
      <c r="R940" s="210"/>
      <c r="S940" s="210"/>
      <c r="T940" s="210"/>
      <c r="U940" s="210"/>
      <c r="V940" s="210"/>
      <c r="W940" s="210"/>
      <c r="X940" s="210"/>
      <c r="Y940" s="210"/>
      <c r="Z940" s="210"/>
      <c r="AA940" s="210"/>
      <c r="AB940" s="210"/>
      <c r="AC940" s="210"/>
      <c r="AI940" s="210"/>
      <c r="AJ940" s="210"/>
    </row>
    <row r="941" ht="12.75" customHeight="1">
      <c r="C941" s="210"/>
      <c r="D941" s="210"/>
      <c r="E941" s="210"/>
      <c r="F941" s="210"/>
      <c r="G941" s="210"/>
      <c r="H941" s="210"/>
      <c r="I941" s="210"/>
      <c r="J941" s="210"/>
      <c r="K941" s="210"/>
      <c r="L941" s="210"/>
      <c r="M941" s="210"/>
      <c r="N941" s="210"/>
      <c r="O941" s="210"/>
      <c r="P941" s="210"/>
      <c r="Q941" s="210"/>
      <c r="R941" s="210"/>
      <c r="S941" s="210"/>
      <c r="T941" s="210"/>
      <c r="U941" s="210"/>
      <c r="V941" s="210"/>
      <c r="W941" s="210"/>
      <c r="X941" s="210"/>
      <c r="Y941" s="210"/>
      <c r="Z941" s="210"/>
      <c r="AA941" s="210"/>
      <c r="AB941" s="210"/>
      <c r="AC941" s="210"/>
      <c r="AI941" s="210"/>
      <c r="AJ941" s="210"/>
    </row>
    <row r="942" ht="12.75" customHeight="1">
      <c r="C942" s="210"/>
      <c r="D942" s="210"/>
      <c r="E942" s="210"/>
      <c r="F942" s="210"/>
      <c r="G942" s="210"/>
      <c r="H942" s="210"/>
      <c r="I942" s="210"/>
      <c r="J942" s="210"/>
      <c r="K942" s="210"/>
      <c r="L942" s="210"/>
      <c r="M942" s="210"/>
      <c r="N942" s="210"/>
      <c r="O942" s="210"/>
      <c r="P942" s="210"/>
      <c r="Q942" s="210"/>
      <c r="R942" s="210"/>
      <c r="S942" s="210"/>
      <c r="T942" s="210"/>
      <c r="U942" s="210"/>
      <c r="V942" s="210"/>
      <c r="W942" s="210"/>
      <c r="X942" s="210"/>
      <c r="Y942" s="210"/>
      <c r="Z942" s="210"/>
      <c r="AA942" s="210"/>
      <c r="AB942" s="210"/>
      <c r="AC942" s="210"/>
      <c r="AI942" s="210"/>
      <c r="AJ942" s="210"/>
    </row>
    <row r="943" ht="12.75" customHeight="1">
      <c r="C943" s="210"/>
      <c r="D943" s="210"/>
      <c r="E943" s="210"/>
      <c r="F943" s="210"/>
      <c r="G943" s="210"/>
      <c r="H943" s="210"/>
      <c r="I943" s="210"/>
      <c r="J943" s="210"/>
      <c r="K943" s="210"/>
      <c r="L943" s="210"/>
      <c r="M943" s="210"/>
      <c r="N943" s="210"/>
      <c r="O943" s="210"/>
      <c r="P943" s="210"/>
      <c r="Q943" s="210"/>
      <c r="R943" s="210"/>
      <c r="S943" s="210"/>
      <c r="T943" s="210"/>
      <c r="U943" s="210"/>
      <c r="V943" s="210"/>
      <c r="W943" s="210"/>
      <c r="X943" s="210"/>
      <c r="Y943" s="210"/>
      <c r="Z943" s="210"/>
      <c r="AA943" s="210"/>
      <c r="AB943" s="210"/>
      <c r="AC943" s="210"/>
      <c r="AI943" s="210"/>
      <c r="AJ943" s="210"/>
    </row>
    <row r="944" ht="12.75" customHeight="1">
      <c r="C944" s="210"/>
      <c r="D944" s="210"/>
      <c r="E944" s="210"/>
      <c r="F944" s="210"/>
      <c r="G944" s="210"/>
      <c r="H944" s="210"/>
      <c r="I944" s="210"/>
      <c r="J944" s="210"/>
      <c r="K944" s="210"/>
      <c r="L944" s="210"/>
      <c r="M944" s="210"/>
      <c r="N944" s="210"/>
      <c r="O944" s="210"/>
      <c r="P944" s="210"/>
      <c r="Q944" s="210"/>
      <c r="R944" s="210"/>
      <c r="S944" s="210"/>
      <c r="T944" s="210"/>
      <c r="U944" s="210"/>
      <c r="V944" s="210"/>
      <c r="W944" s="210"/>
      <c r="X944" s="210"/>
      <c r="Y944" s="210"/>
      <c r="Z944" s="210"/>
      <c r="AA944" s="210"/>
      <c r="AB944" s="210"/>
      <c r="AC944" s="210"/>
      <c r="AI944" s="210"/>
      <c r="AJ944" s="210"/>
    </row>
    <row r="945" ht="12.75" customHeight="1">
      <c r="C945" s="210"/>
      <c r="D945" s="210"/>
      <c r="E945" s="210"/>
      <c r="F945" s="210"/>
      <c r="G945" s="210"/>
      <c r="H945" s="210"/>
      <c r="I945" s="210"/>
      <c r="J945" s="210"/>
      <c r="K945" s="210"/>
      <c r="L945" s="210"/>
      <c r="M945" s="210"/>
      <c r="N945" s="210"/>
      <c r="O945" s="210"/>
      <c r="P945" s="210"/>
      <c r="Q945" s="210"/>
      <c r="R945" s="210"/>
      <c r="S945" s="210"/>
      <c r="T945" s="210"/>
      <c r="U945" s="210"/>
      <c r="V945" s="210"/>
      <c r="W945" s="210"/>
      <c r="X945" s="210"/>
      <c r="Y945" s="210"/>
      <c r="Z945" s="210"/>
      <c r="AA945" s="210"/>
      <c r="AB945" s="210"/>
      <c r="AC945" s="210"/>
      <c r="AI945" s="210"/>
      <c r="AJ945" s="210"/>
    </row>
    <row r="946" ht="12.75" customHeight="1">
      <c r="C946" s="210"/>
      <c r="D946" s="210"/>
      <c r="E946" s="210"/>
      <c r="F946" s="210"/>
      <c r="G946" s="210"/>
      <c r="H946" s="210"/>
      <c r="I946" s="210"/>
      <c r="J946" s="210"/>
      <c r="K946" s="210"/>
      <c r="L946" s="210"/>
      <c r="M946" s="210"/>
      <c r="N946" s="210"/>
      <c r="O946" s="210"/>
      <c r="P946" s="210"/>
      <c r="Q946" s="210"/>
      <c r="R946" s="210"/>
      <c r="S946" s="210"/>
      <c r="T946" s="210"/>
      <c r="U946" s="210"/>
      <c r="V946" s="210"/>
      <c r="W946" s="210"/>
      <c r="X946" s="210"/>
      <c r="Y946" s="210"/>
      <c r="Z946" s="210"/>
      <c r="AA946" s="210"/>
      <c r="AB946" s="210"/>
      <c r="AC946" s="210"/>
      <c r="AI946" s="210"/>
      <c r="AJ946" s="210"/>
    </row>
    <row r="947" ht="12.75" customHeight="1">
      <c r="C947" s="210"/>
      <c r="D947" s="210"/>
      <c r="E947" s="210"/>
      <c r="F947" s="210"/>
      <c r="G947" s="210"/>
      <c r="H947" s="210"/>
      <c r="I947" s="210"/>
      <c r="J947" s="210"/>
      <c r="K947" s="210"/>
      <c r="L947" s="210"/>
      <c r="M947" s="210"/>
      <c r="N947" s="210"/>
      <c r="O947" s="210"/>
      <c r="P947" s="210"/>
      <c r="Q947" s="210"/>
      <c r="R947" s="210"/>
      <c r="S947" s="210"/>
      <c r="T947" s="210"/>
      <c r="U947" s="210"/>
      <c r="V947" s="210"/>
      <c r="W947" s="210"/>
      <c r="X947" s="210"/>
      <c r="Y947" s="210"/>
      <c r="Z947" s="210"/>
      <c r="AA947" s="210"/>
      <c r="AB947" s="210"/>
      <c r="AC947" s="210"/>
      <c r="AI947" s="210"/>
      <c r="AJ947" s="210"/>
    </row>
    <row r="948" ht="12.75" customHeight="1">
      <c r="C948" s="210"/>
      <c r="D948" s="210"/>
      <c r="E948" s="210"/>
      <c r="F948" s="210"/>
      <c r="G948" s="210"/>
      <c r="H948" s="210"/>
      <c r="I948" s="210"/>
      <c r="J948" s="210"/>
      <c r="K948" s="210"/>
      <c r="L948" s="210"/>
      <c r="M948" s="210"/>
      <c r="N948" s="210"/>
      <c r="O948" s="210"/>
      <c r="P948" s="210"/>
      <c r="Q948" s="210"/>
      <c r="R948" s="210"/>
      <c r="S948" s="210"/>
      <c r="T948" s="210"/>
      <c r="U948" s="210"/>
      <c r="V948" s="210"/>
      <c r="W948" s="210"/>
      <c r="X948" s="210"/>
      <c r="Y948" s="210"/>
      <c r="Z948" s="210"/>
      <c r="AA948" s="210"/>
      <c r="AB948" s="210"/>
      <c r="AC948" s="210"/>
      <c r="AI948" s="210"/>
      <c r="AJ948" s="210"/>
    </row>
    <row r="949" ht="12.75" customHeight="1">
      <c r="C949" s="210"/>
      <c r="D949" s="210"/>
      <c r="E949" s="210"/>
      <c r="F949" s="210"/>
      <c r="G949" s="210"/>
      <c r="H949" s="210"/>
      <c r="I949" s="210"/>
      <c r="J949" s="210"/>
      <c r="K949" s="210"/>
      <c r="L949" s="210"/>
      <c r="M949" s="210"/>
      <c r="N949" s="210"/>
      <c r="O949" s="210"/>
      <c r="P949" s="210"/>
      <c r="Q949" s="210"/>
      <c r="R949" s="210"/>
      <c r="S949" s="210"/>
      <c r="T949" s="210"/>
      <c r="U949" s="210"/>
      <c r="V949" s="210"/>
      <c r="W949" s="210"/>
      <c r="X949" s="210"/>
      <c r="Y949" s="210"/>
      <c r="Z949" s="210"/>
      <c r="AA949" s="210"/>
      <c r="AB949" s="210"/>
      <c r="AC949" s="210"/>
      <c r="AI949" s="210"/>
      <c r="AJ949" s="210"/>
    </row>
    <row r="950" ht="12.75" customHeight="1">
      <c r="C950" s="210"/>
      <c r="D950" s="210"/>
      <c r="E950" s="210"/>
      <c r="F950" s="210"/>
      <c r="G950" s="210"/>
      <c r="H950" s="210"/>
      <c r="I950" s="210"/>
      <c r="J950" s="210"/>
      <c r="K950" s="210"/>
      <c r="L950" s="210"/>
      <c r="M950" s="210"/>
      <c r="N950" s="210"/>
      <c r="O950" s="210"/>
      <c r="P950" s="210"/>
      <c r="Q950" s="210"/>
      <c r="R950" s="210"/>
      <c r="S950" s="210"/>
      <c r="T950" s="210"/>
      <c r="U950" s="210"/>
      <c r="V950" s="210"/>
      <c r="W950" s="210"/>
      <c r="X950" s="210"/>
      <c r="Y950" s="210"/>
      <c r="Z950" s="210"/>
      <c r="AA950" s="210"/>
      <c r="AB950" s="210"/>
      <c r="AC950" s="210"/>
      <c r="AI950" s="210"/>
      <c r="AJ950" s="210"/>
    </row>
    <row r="951" ht="12.75" customHeight="1">
      <c r="C951" s="210"/>
      <c r="D951" s="210"/>
      <c r="E951" s="210"/>
      <c r="F951" s="210"/>
      <c r="G951" s="210"/>
      <c r="H951" s="210"/>
      <c r="I951" s="210"/>
      <c r="J951" s="210"/>
      <c r="K951" s="210"/>
      <c r="L951" s="210"/>
      <c r="M951" s="210"/>
      <c r="N951" s="210"/>
      <c r="O951" s="210"/>
      <c r="P951" s="210"/>
      <c r="Q951" s="210"/>
      <c r="R951" s="210"/>
      <c r="S951" s="210"/>
      <c r="T951" s="210"/>
      <c r="U951" s="210"/>
      <c r="V951" s="210"/>
      <c r="W951" s="210"/>
      <c r="X951" s="210"/>
      <c r="Y951" s="210"/>
      <c r="Z951" s="210"/>
      <c r="AA951" s="210"/>
      <c r="AB951" s="210"/>
      <c r="AC951" s="210"/>
      <c r="AI951" s="210"/>
      <c r="AJ951" s="210"/>
    </row>
    <row r="952" ht="12.75" customHeight="1">
      <c r="C952" s="210"/>
      <c r="D952" s="210"/>
      <c r="E952" s="210"/>
      <c r="F952" s="210"/>
      <c r="G952" s="210"/>
      <c r="H952" s="210"/>
      <c r="I952" s="210"/>
      <c r="J952" s="210"/>
      <c r="K952" s="210"/>
      <c r="L952" s="210"/>
      <c r="M952" s="210"/>
      <c r="N952" s="210"/>
      <c r="O952" s="210"/>
      <c r="P952" s="210"/>
      <c r="Q952" s="210"/>
      <c r="R952" s="210"/>
      <c r="S952" s="210"/>
      <c r="T952" s="210"/>
      <c r="U952" s="210"/>
      <c r="V952" s="210"/>
      <c r="W952" s="210"/>
      <c r="X952" s="210"/>
      <c r="Y952" s="210"/>
      <c r="Z952" s="210"/>
      <c r="AA952" s="210"/>
      <c r="AB952" s="210"/>
      <c r="AC952" s="210"/>
      <c r="AI952" s="210"/>
      <c r="AJ952" s="210"/>
    </row>
    <row r="953" ht="12.75" customHeight="1">
      <c r="C953" s="210"/>
      <c r="D953" s="210"/>
      <c r="E953" s="210"/>
      <c r="F953" s="210"/>
      <c r="G953" s="210"/>
      <c r="H953" s="210"/>
      <c r="I953" s="210"/>
      <c r="J953" s="210"/>
      <c r="K953" s="210"/>
      <c r="L953" s="210"/>
      <c r="M953" s="210"/>
      <c r="N953" s="210"/>
      <c r="O953" s="210"/>
      <c r="P953" s="210"/>
      <c r="Q953" s="210"/>
      <c r="R953" s="210"/>
      <c r="S953" s="210"/>
      <c r="T953" s="210"/>
      <c r="U953" s="210"/>
      <c r="V953" s="210"/>
      <c r="W953" s="210"/>
      <c r="X953" s="210"/>
      <c r="Y953" s="210"/>
      <c r="Z953" s="210"/>
      <c r="AA953" s="210"/>
      <c r="AB953" s="210"/>
      <c r="AC953" s="210"/>
      <c r="AI953" s="210"/>
      <c r="AJ953" s="210"/>
    </row>
    <row r="954" ht="12.75" customHeight="1">
      <c r="C954" s="210"/>
      <c r="D954" s="210"/>
      <c r="E954" s="210"/>
      <c r="F954" s="210"/>
      <c r="G954" s="210"/>
      <c r="H954" s="210"/>
      <c r="I954" s="210"/>
      <c r="J954" s="210"/>
      <c r="K954" s="210"/>
      <c r="L954" s="210"/>
      <c r="M954" s="210"/>
      <c r="N954" s="210"/>
      <c r="O954" s="210"/>
      <c r="P954" s="210"/>
      <c r="Q954" s="210"/>
      <c r="R954" s="210"/>
      <c r="S954" s="210"/>
      <c r="T954" s="210"/>
      <c r="U954" s="210"/>
      <c r="V954" s="210"/>
      <c r="W954" s="210"/>
      <c r="X954" s="210"/>
      <c r="Y954" s="210"/>
      <c r="Z954" s="210"/>
      <c r="AA954" s="210"/>
      <c r="AB954" s="210"/>
      <c r="AC954" s="210"/>
      <c r="AI954" s="210"/>
      <c r="AJ954" s="210"/>
    </row>
    <row r="955" ht="12.75" customHeight="1">
      <c r="C955" s="210"/>
      <c r="D955" s="210"/>
      <c r="E955" s="210"/>
      <c r="F955" s="210"/>
      <c r="G955" s="210"/>
      <c r="H955" s="210"/>
      <c r="I955" s="210"/>
      <c r="J955" s="210"/>
      <c r="K955" s="210"/>
      <c r="L955" s="210"/>
      <c r="M955" s="210"/>
      <c r="N955" s="210"/>
      <c r="O955" s="210"/>
      <c r="P955" s="210"/>
      <c r="Q955" s="210"/>
      <c r="R955" s="210"/>
      <c r="S955" s="210"/>
      <c r="T955" s="210"/>
      <c r="U955" s="210"/>
      <c r="V955" s="210"/>
      <c r="W955" s="210"/>
      <c r="X955" s="210"/>
      <c r="Y955" s="210"/>
      <c r="Z955" s="210"/>
      <c r="AA955" s="210"/>
      <c r="AB955" s="210"/>
      <c r="AC955" s="210"/>
      <c r="AI955" s="210"/>
      <c r="AJ955" s="210"/>
    </row>
    <row r="956" ht="12.75" customHeight="1">
      <c r="C956" s="210"/>
      <c r="D956" s="210"/>
      <c r="E956" s="210"/>
      <c r="F956" s="210"/>
      <c r="G956" s="210"/>
      <c r="H956" s="210"/>
      <c r="I956" s="210"/>
      <c r="J956" s="210"/>
      <c r="K956" s="210"/>
      <c r="L956" s="210"/>
      <c r="M956" s="210"/>
      <c r="N956" s="210"/>
      <c r="O956" s="210"/>
      <c r="P956" s="210"/>
      <c r="Q956" s="210"/>
      <c r="R956" s="210"/>
      <c r="S956" s="210"/>
      <c r="T956" s="210"/>
      <c r="U956" s="210"/>
      <c r="V956" s="210"/>
      <c r="W956" s="210"/>
      <c r="X956" s="210"/>
      <c r="Y956" s="210"/>
      <c r="Z956" s="210"/>
      <c r="AA956" s="210"/>
      <c r="AB956" s="210"/>
      <c r="AC956" s="210"/>
      <c r="AI956" s="210"/>
      <c r="AJ956" s="210"/>
    </row>
    <row r="957" ht="12.75" customHeight="1">
      <c r="C957" s="210"/>
      <c r="D957" s="210"/>
      <c r="E957" s="210"/>
      <c r="F957" s="210"/>
      <c r="G957" s="210"/>
      <c r="H957" s="210"/>
      <c r="I957" s="210"/>
      <c r="J957" s="210"/>
      <c r="K957" s="210"/>
      <c r="L957" s="210"/>
      <c r="M957" s="210"/>
      <c r="N957" s="210"/>
      <c r="O957" s="210"/>
      <c r="P957" s="210"/>
      <c r="Q957" s="210"/>
      <c r="R957" s="210"/>
      <c r="S957" s="210"/>
      <c r="T957" s="210"/>
      <c r="U957" s="210"/>
      <c r="V957" s="210"/>
      <c r="W957" s="210"/>
      <c r="X957" s="210"/>
      <c r="Y957" s="210"/>
      <c r="Z957" s="210"/>
      <c r="AA957" s="210"/>
      <c r="AB957" s="210"/>
      <c r="AC957" s="210"/>
      <c r="AI957" s="210"/>
      <c r="AJ957" s="210"/>
    </row>
    <row r="958" ht="12.75" customHeight="1">
      <c r="C958" s="210"/>
      <c r="D958" s="210"/>
      <c r="E958" s="210"/>
      <c r="F958" s="210"/>
      <c r="G958" s="210"/>
      <c r="H958" s="210"/>
      <c r="I958" s="210"/>
      <c r="J958" s="210"/>
      <c r="K958" s="210"/>
      <c r="L958" s="210"/>
      <c r="M958" s="210"/>
      <c r="N958" s="210"/>
      <c r="O958" s="210"/>
      <c r="P958" s="210"/>
      <c r="Q958" s="210"/>
      <c r="R958" s="210"/>
      <c r="S958" s="210"/>
      <c r="T958" s="210"/>
      <c r="U958" s="210"/>
      <c r="V958" s="210"/>
      <c r="W958" s="210"/>
      <c r="X958" s="210"/>
      <c r="Y958" s="210"/>
      <c r="Z958" s="210"/>
      <c r="AA958" s="210"/>
      <c r="AB958" s="210"/>
      <c r="AC958" s="210"/>
      <c r="AI958" s="210"/>
      <c r="AJ958" s="210"/>
    </row>
    <row r="959" ht="12.75" customHeight="1">
      <c r="C959" s="210"/>
      <c r="D959" s="210"/>
      <c r="E959" s="210"/>
      <c r="F959" s="210"/>
      <c r="G959" s="210"/>
      <c r="H959" s="210"/>
      <c r="I959" s="210"/>
      <c r="J959" s="210"/>
      <c r="K959" s="210"/>
      <c r="L959" s="210"/>
      <c r="M959" s="210"/>
      <c r="N959" s="210"/>
      <c r="O959" s="210"/>
      <c r="P959" s="210"/>
      <c r="Q959" s="210"/>
      <c r="R959" s="210"/>
      <c r="S959" s="210"/>
      <c r="T959" s="210"/>
      <c r="U959" s="210"/>
      <c r="V959" s="210"/>
      <c r="W959" s="210"/>
      <c r="X959" s="210"/>
      <c r="Y959" s="210"/>
      <c r="Z959" s="210"/>
      <c r="AA959" s="210"/>
      <c r="AB959" s="210"/>
      <c r="AC959" s="210"/>
      <c r="AI959" s="210"/>
      <c r="AJ959" s="210"/>
    </row>
    <row r="960" ht="12.75" customHeight="1">
      <c r="C960" s="210"/>
      <c r="D960" s="210"/>
      <c r="E960" s="210"/>
      <c r="F960" s="210"/>
      <c r="G960" s="210"/>
      <c r="H960" s="210"/>
      <c r="I960" s="210"/>
      <c r="J960" s="210"/>
      <c r="K960" s="210"/>
      <c r="L960" s="210"/>
      <c r="M960" s="210"/>
      <c r="N960" s="210"/>
      <c r="O960" s="210"/>
      <c r="P960" s="210"/>
      <c r="Q960" s="210"/>
      <c r="R960" s="210"/>
      <c r="S960" s="210"/>
      <c r="T960" s="210"/>
      <c r="U960" s="210"/>
      <c r="V960" s="210"/>
      <c r="W960" s="210"/>
      <c r="X960" s="210"/>
      <c r="Y960" s="210"/>
      <c r="Z960" s="210"/>
      <c r="AA960" s="210"/>
      <c r="AB960" s="210"/>
      <c r="AC960" s="210"/>
      <c r="AI960" s="210"/>
      <c r="AJ960" s="210"/>
    </row>
    <row r="961" ht="12.75" customHeight="1">
      <c r="C961" s="210"/>
      <c r="D961" s="210"/>
      <c r="E961" s="210"/>
      <c r="F961" s="210"/>
      <c r="G961" s="210"/>
      <c r="H961" s="210"/>
      <c r="I961" s="210"/>
      <c r="J961" s="210"/>
      <c r="K961" s="210"/>
      <c r="L961" s="210"/>
      <c r="M961" s="210"/>
      <c r="N961" s="210"/>
      <c r="O961" s="210"/>
      <c r="P961" s="210"/>
      <c r="Q961" s="210"/>
      <c r="R961" s="210"/>
      <c r="S961" s="210"/>
      <c r="T961" s="210"/>
      <c r="U961" s="210"/>
      <c r="V961" s="210"/>
      <c r="W961" s="210"/>
      <c r="X961" s="210"/>
      <c r="Y961" s="210"/>
      <c r="Z961" s="210"/>
      <c r="AA961" s="210"/>
      <c r="AB961" s="210"/>
      <c r="AC961" s="210"/>
      <c r="AI961" s="210"/>
      <c r="AJ961" s="210"/>
    </row>
    <row r="962" ht="12.75" customHeight="1">
      <c r="C962" s="210"/>
      <c r="D962" s="210"/>
      <c r="E962" s="210"/>
      <c r="F962" s="210"/>
      <c r="G962" s="210"/>
      <c r="H962" s="210"/>
      <c r="I962" s="210"/>
      <c r="J962" s="210"/>
      <c r="K962" s="210"/>
      <c r="L962" s="210"/>
      <c r="M962" s="210"/>
      <c r="N962" s="210"/>
      <c r="O962" s="210"/>
      <c r="P962" s="210"/>
      <c r="Q962" s="210"/>
      <c r="R962" s="210"/>
      <c r="S962" s="210"/>
      <c r="T962" s="210"/>
      <c r="U962" s="210"/>
      <c r="V962" s="210"/>
      <c r="W962" s="210"/>
      <c r="X962" s="210"/>
      <c r="Y962" s="210"/>
      <c r="Z962" s="210"/>
      <c r="AA962" s="210"/>
      <c r="AB962" s="210"/>
      <c r="AC962" s="210"/>
      <c r="AI962" s="210"/>
      <c r="AJ962" s="210"/>
    </row>
    <row r="963" ht="12.75" customHeight="1">
      <c r="C963" s="210"/>
      <c r="D963" s="210"/>
      <c r="E963" s="210"/>
      <c r="F963" s="210"/>
      <c r="G963" s="210"/>
      <c r="H963" s="210"/>
      <c r="I963" s="210"/>
      <c r="J963" s="210"/>
      <c r="K963" s="210"/>
      <c r="L963" s="210"/>
      <c r="M963" s="210"/>
      <c r="N963" s="210"/>
      <c r="O963" s="210"/>
      <c r="P963" s="210"/>
      <c r="Q963" s="210"/>
      <c r="R963" s="210"/>
      <c r="S963" s="210"/>
      <c r="T963" s="210"/>
      <c r="U963" s="210"/>
      <c r="V963" s="210"/>
      <c r="W963" s="210"/>
      <c r="X963" s="210"/>
      <c r="Y963" s="210"/>
      <c r="Z963" s="210"/>
      <c r="AA963" s="210"/>
      <c r="AB963" s="210"/>
      <c r="AC963" s="210"/>
      <c r="AI963" s="210"/>
      <c r="AJ963" s="210"/>
    </row>
    <row r="964" ht="12.75" customHeight="1">
      <c r="C964" s="210"/>
      <c r="D964" s="210"/>
      <c r="E964" s="210"/>
      <c r="F964" s="210"/>
      <c r="G964" s="210"/>
      <c r="H964" s="210"/>
      <c r="I964" s="210"/>
      <c r="J964" s="210"/>
      <c r="K964" s="210"/>
      <c r="L964" s="210"/>
      <c r="M964" s="210"/>
      <c r="N964" s="210"/>
      <c r="O964" s="210"/>
      <c r="P964" s="210"/>
      <c r="Q964" s="210"/>
      <c r="R964" s="210"/>
      <c r="S964" s="210"/>
      <c r="T964" s="210"/>
      <c r="U964" s="210"/>
      <c r="V964" s="210"/>
      <c r="W964" s="210"/>
      <c r="X964" s="210"/>
      <c r="Y964" s="210"/>
      <c r="Z964" s="210"/>
      <c r="AA964" s="210"/>
      <c r="AB964" s="210"/>
      <c r="AC964" s="210"/>
      <c r="AI964" s="210"/>
      <c r="AJ964" s="210"/>
    </row>
    <row r="965" ht="12.75" customHeight="1">
      <c r="C965" s="210"/>
      <c r="D965" s="210"/>
      <c r="E965" s="210"/>
      <c r="F965" s="210"/>
      <c r="G965" s="210"/>
      <c r="H965" s="210"/>
      <c r="I965" s="210"/>
      <c r="J965" s="210"/>
      <c r="K965" s="210"/>
      <c r="L965" s="210"/>
      <c r="M965" s="210"/>
      <c r="N965" s="210"/>
      <c r="O965" s="210"/>
      <c r="P965" s="210"/>
      <c r="Q965" s="210"/>
      <c r="R965" s="210"/>
      <c r="S965" s="210"/>
      <c r="T965" s="210"/>
      <c r="U965" s="210"/>
      <c r="V965" s="210"/>
      <c r="W965" s="210"/>
      <c r="X965" s="210"/>
      <c r="Y965" s="210"/>
      <c r="Z965" s="210"/>
      <c r="AA965" s="210"/>
      <c r="AB965" s="210"/>
      <c r="AC965" s="210"/>
      <c r="AI965" s="210"/>
      <c r="AJ965" s="210"/>
    </row>
    <row r="966" ht="12.75" customHeight="1">
      <c r="C966" s="210"/>
      <c r="D966" s="210"/>
      <c r="E966" s="210"/>
      <c r="F966" s="210"/>
      <c r="G966" s="210"/>
      <c r="H966" s="210"/>
      <c r="I966" s="210"/>
      <c r="J966" s="210"/>
      <c r="K966" s="210"/>
      <c r="L966" s="210"/>
      <c r="M966" s="210"/>
      <c r="N966" s="210"/>
      <c r="O966" s="210"/>
      <c r="P966" s="210"/>
      <c r="Q966" s="210"/>
      <c r="R966" s="210"/>
      <c r="S966" s="210"/>
      <c r="T966" s="210"/>
      <c r="U966" s="210"/>
      <c r="V966" s="210"/>
      <c r="W966" s="210"/>
      <c r="X966" s="210"/>
      <c r="Y966" s="210"/>
      <c r="Z966" s="210"/>
      <c r="AA966" s="210"/>
      <c r="AB966" s="210"/>
      <c r="AC966" s="210"/>
      <c r="AI966" s="210"/>
      <c r="AJ966" s="210"/>
    </row>
    <row r="967" ht="12.75" customHeight="1">
      <c r="C967" s="210"/>
      <c r="D967" s="210"/>
      <c r="E967" s="210"/>
      <c r="F967" s="210"/>
      <c r="G967" s="210"/>
      <c r="H967" s="210"/>
      <c r="I967" s="210"/>
      <c r="J967" s="210"/>
      <c r="K967" s="210"/>
      <c r="L967" s="210"/>
      <c r="M967" s="210"/>
      <c r="N967" s="210"/>
      <c r="O967" s="210"/>
      <c r="P967" s="210"/>
      <c r="Q967" s="210"/>
      <c r="R967" s="210"/>
      <c r="S967" s="210"/>
      <c r="T967" s="210"/>
      <c r="U967" s="210"/>
      <c r="V967" s="210"/>
      <c r="W967" s="210"/>
      <c r="X967" s="210"/>
      <c r="Y967" s="210"/>
      <c r="Z967" s="210"/>
      <c r="AA967" s="210"/>
      <c r="AB967" s="210"/>
      <c r="AC967" s="210"/>
      <c r="AI967" s="210"/>
      <c r="AJ967" s="210"/>
    </row>
    <row r="968" ht="12.75" customHeight="1">
      <c r="C968" s="210"/>
      <c r="D968" s="210"/>
      <c r="E968" s="210"/>
      <c r="F968" s="210"/>
      <c r="G968" s="210"/>
      <c r="H968" s="210"/>
      <c r="I968" s="210"/>
      <c r="J968" s="210"/>
      <c r="K968" s="210"/>
      <c r="L968" s="210"/>
      <c r="M968" s="210"/>
      <c r="N968" s="210"/>
      <c r="O968" s="210"/>
      <c r="P968" s="210"/>
      <c r="Q968" s="210"/>
      <c r="R968" s="210"/>
      <c r="S968" s="210"/>
      <c r="T968" s="210"/>
      <c r="U968" s="210"/>
      <c r="V968" s="210"/>
      <c r="W968" s="210"/>
      <c r="X968" s="210"/>
      <c r="Y968" s="210"/>
      <c r="Z968" s="210"/>
      <c r="AA968" s="210"/>
      <c r="AB968" s="210"/>
      <c r="AC968" s="210"/>
      <c r="AI968" s="210"/>
      <c r="AJ968" s="210"/>
    </row>
    <row r="969" ht="12.75" customHeight="1">
      <c r="C969" s="210"/>
      <c r="D969" s="210"/>
      <c r="E969" s="210"/>
      <c r="F969" s="210"/>
      <c r="G969" s="210"/>
      <c r="H969" s="210"/>
      <c r="I969" s="210"/>
      <c r="J969" s="210"/>
      <c r="K969" s="210"/>
      <c r="L969" s="210"/>
      <c r="M969" s="210"/>
      <c r="N969" s="210"/>
      <c r="O969" s="210"/>
      <c r="P969" s="210"/>
      <c r="Q969" s="210"/>
      <c r="R969" s="210"/>
      <c r="S969" s="210"/>
      <c r="T969" s="210"/>
      <c r="U969" s="210"/>
      <c r="V969" s="210"/>
      <c r="W969" s="210"/>
      <c r="X969" s="210"/>
      <c r="Y969" s="210"/>
      <c r="Z969" s="210"/>
      <c r="AA969" s="210"/>
      <c r="AB969" s="210"/>
      <c r="AC969" s="210"/>
      <c r="AI969" s="210"/>
      <c r="AJ969" s="210"/>
    </row>
    <row r="970" ht="12.75" customHeight="1">
      <c r="C970" s="210"/>
      <c r="D970" s="210"/>
      <c r="E970" s="210"/>
      <c r="F970" s="210"/>
      <c r="G970" s="210"/>
      <c r="H970" s="210"/>
      <c r="I970" s="210"/>
      <c r="J970" s="210"/>
      <c r="K970" s="210"/>
      <c r="L970" s="210"/>
      <c r="M970" s="210"/>
      <c r="N970" s="210"/>
      <c r="O970" s="210"/>
      <c r="P970" s="210"/>
      <c r="Q970" s="210"/>
      <c r="R970" s="210"/>
      <c r="S970" s="210"/>
      <c r="T970" s="210"/>
      <c r="U970" s="210"/>
      <c r="V970" s="210"/>
      <c r="W970" s="210"/>
      <c r="X970" s="210"/>
      <c r="Y970" s="210"/>
      <c r="Z970" s="210"/>
      <c r="AA970" s="210"/>
      <c r="AB970" s="210"/>
      <c r="AC970" s="210"/>
      <c r="AI970" s="210"/>
      <c r="AJ970" s="210"/>
    </row>
    <row r="971" ht="12.75" customHeight="1">
      <c r="C971" s="210"/>
      <c r="D971" s="210"/>
      <c r="E971" s="210"/>
      <c r="F971" s="210"/>
      <c r="G971" s="210"/>
      <c r="H971" s="210"/>
      <c r="I971" s="210"/>
      <c r="J971" s="210"/>
      <c r="K971" s="210"/>
      <c r="L971" s="210"/>
      <c r="M971" s="210"/>
      <c r="N971" s="210"/>
      <c r="O971" s="210"/>
      <c r="P971" s="210"/>
      <c r="Q971" s="210"/>
      <c r="R971" s="210"/>
      <c r="S971" s="210"/>
      <c r="T971" s="210"/>
      <c r="U971" s="210"/>
      <c r="V971" s="210"/>
      <c r="W971" s="210"/>
      <c r="X971" s="210"/>
      <c r="Y971" s="210"/>
      <c r="Z971" s="210"/>
      <c r="AA971" s="210"/>
      <c r="AB971" s="210"/>
      <c r="AC971" s="210"/>
      <c r="AI971" s="210"/>
      <c r="AJ971" s="210"/>
    </row>
    <row r="972" ht="12.75" customHeight="1">
      <c r="C972" s="210"/>
      <c r="D972" s="210"/>
      <c r="E972" s="210"/>
      <c r="F972" s="210"/>
      <c r="G972" s="210"/>
      <c r="H972" s="210"/>
      <c r="I972" s="210"/>
      <c r="J972" s="210"/>
      <c r="K972" s="210"/>
      <c r="L972" s="210"/>
      <c r="M972" s="210"/>
      <c r="N972" s="210"/>
      <c r="O972" s="210"/>
      <c r="P972" s="210"/>
      <c r="Q972" s="210"/>
      <c r="R972" s="210"/>
      <c r="S972" s="210"/>
      <c r="T972" s="210"/>
      <c r="U972" s="210"/>
      <c r="V972" s="210"/>
      <c r="W972" s="210"/>
      <c r="X972" s="210"/>
      <c r="Y972" s="210"/>
      <c r="Z972" s="210"/>
      <c r="AA972" s="210"/>
      <c r="AB972" s="210"/>
      <c r="AC972" s="210"/>
      <c r="AI972" s="210"/>
      <c r="AJ972" s="210"/>
    </row>
    <row r="973" ht="12.75" customHeight="1">
      <c r="C973" s="210"/>
      <c r="D973" s="210"/>
      <c r="E973" s="210"/>
      <c r="F973" s="210"/>
      <c r="G973" s="210"/>
      <c r="H973" s="210"/>
      <c r="I973" s="210"/>
      <c r="J973" s="210"/>
      <c r="K973" s="210"/>
      <c r="L973" s="210"/>
      <c r="M973" s="210"/>
      <c r="N973" s="210"/>
      <c r="O973" s="210"/>
      <c r="P973" s="210"/>
      <c r="Q973" s="210"/>
      <c r="R973" s="210"/>
      <c r="S973" s="210"/>
      <c r="T973" s="210"/>
      <c r="U973" s="210"/>
      <c r="V973" s="210"/>
      <c r="W973" s="210"/>
      <c r="X973" s="210"/>
      <c r="Y973" s="210"/>
      <c r="Z973" s="210"/>
      <c r="AA973" s="210"/>
      <c r="AB973" s="210"/>
      <c r="AC973" s="210"/>
      <c r="AI973" s="210"/>
      <c r="AJ973" s="210"/>
    </row>
    <row r="974" ht="12.75" customHeight="1">
      <c r="C974" s="210"/>
      <c r="D974" s="210"/>
      <c r="E974" s="210"/>
      <c r="F974" s="210"/>
      <c r="G974" s="210"/>
      <c r="H974" s="210"/>
      <c r="I974" s="210"/>
      <c r="J974" s="210"/>
      <c r="K974" s="210"/>
      <c r="L974" s="210"/>
      <c r="M974" s="210"/>
      <c r="N974" s="210"/>
      <c r="O974" s="210"/>
      <c r="P974" s="210"/>
      <c r="Q974" s="210"/>
      <c r="R974" s="210"/>
      <c r="S974" s="210"/>
      <c r="T974" s="210"/>
      <c r="U974" s="210"/>
      <c r="V974" s="210"/>
      <c r="W974" s="210"/>
      <c r="X974" s="210"/>
      <c r="Y974" s="210"/>
      <c r="Z974" s="210"/>
      <c r="AA974" s="210"/>
      <c r="AB974" s="210"/>
      <c r="AC974" s="210"/>
      <c r="AI974" s="210"/>
      <c r="AJ974" s="210"/>
    </row>
    <row r="975" ht="12.75" customHeight="1">
      <c r="C975" s="210"/>
      <c r="D975" s="210"/>
      <c r="E975" s="210"/>
      <c r="F975" s="210"/>
      <c r="G975" s="210"/>
      <c r="H975" s="210"/>
      <c r="I975" s="210"/>
      <c r="J975" s="210"/>
      <c r="K975" s="210"/>
      <c r="L975" s="210"/>
      <c r="M975" s="210"/>
      <c r="N975" s="210"/>
      <c r="O975" s="210"/>
      <c r="P975" s="210"/>
      <c r="Q975" s="210"/>
      <c r="R975" s="210"/>
      <c r="S975" s="210"/>
      <c r="T975" s="210"/>
      <c r="U975" s="210"/>
      <c r="V975" s="210"/>
      <c r="W975" s="210"/>
      <c r="X975" s="210"/>
      <c r="Y975" s="210"/>
      <c r="Z975" s="210"/>
      <c r="AA975" s="210"/>
      <c r="AB975" s="210"/>
      <c r="AC975" s="210"/>
      <c r="AI975" s="210"/>
      <c r="AJ975" s="210"/>
    </row>
    <row r="976" ht="12.75" customHeight="1">
      <c r="C976" s="210"/>
      <c r="D976" s="210"/>
      <c r="E976" s="210"/>
      <c r="F976" s="210"/>
      <c r="G976" s="210"/>
      <c r="H976" s="210"/>
      <c r="I976" s="210"/>
      <c r="J976" s="210"/>
      <c r="K976" s="210"/>
      <c r="L976" s="210"/>
      <c r="M976" s="210"/>
      <c r="N976" s="210"/>
      <c r="O976" s="210"/>
      <c r="P976" s="210"/>
      <c r="Q976" s="210"/>
      <c r="R976" s="210"/>
      <c r="S976" s="210"/>
      <c r="T976" s="210"/>
      <c r="U976" s="210"/>
      <c r="V976" s="210"/>
      <c r="W976" s="210"/>
      <c r="X976" s="210"/>
      <c r="Y976" s="210"/>
      <c r="Z976" s="210"/>
      <c r="AA976" s="210"/>
      <c r="AB976" s="210"/>
      <c r="AC976" s="210"/>
      <c r="AI976" s="210"/>
      <c r="AJ976" s="210"/>
    </row>
    <row r="977" ht="12.75" customHeight="1">
      <c r="C977" s="210"/>
      <c r="D977" s="210"/>
      <c r="E977" s="210"/>
      <c r="F977" s="210"/>
      <c r="G977" s="210"/>
      <c r="H977" s="210"/>
      <c r="I977" s="210"/>
      <c r="J977" s="210"/>
      <c r="K977" s="210"/>
      <c r="L977" s="210"/>
      <c r="M977" s="210"/>
      <c r="N977" s="210"/>
      <c r="O977" s="210"/>
      <c r="P977" s="210"/>
      <c r="Q977" s="210"/>
      <c r="R977" s="210"/>
      <c r="S977" s="210"/>
      <c r="T977" s="210"/>
      <c r="U977" s="210"/>
      <c r="V977" s="210"/>
      <c r="W977" s="210"/>
      <c r="X977" s="210"/>
      <c r="Y977" s="210"/>
      <c r="Z977" s="210"/>
      <c r="AA977" s="210"/>
      <c r="AB977" s="210"/>
      <c r="AC977" s="210"/>
      <c r="AI977" s="210"/>
      <c r="AJ977" s="210"/>
    </row>
    <row r="978" ht="12.75" customHeight="1">
      <c r="C978" s="210"/>
      <c r="D978" s="210"/>
      <c r="E978" s="210"/>
      <c r="F978" s="210"/>
      <c r="G978" s="210"/>
      <c r="H978" s="210"/>
      <c r="I978" s="210"/>
      <c r="J978" s="210"/>
      <c r="K978" s="210"/>
      <c r="L978" s="210"/>
      <c r="M978" s="210"/>
      <c r="N978" s="210"/>
      <c r="O978" s="210"/>
      <c r="P978" s="210"/>
      <c r="Q978" s="210"/>
      <c r="R978" s="210"/>
      <c r="S978" s="210"/>
      <c r="T978" s="210"/>
      <c r="U978" s="210"/>
      <c r="V978" s="210"/>
      <c r="W978" s="210"/>
      <c r="X978" s="210"/>
      <c r="Y978" s="210"/>
      <c r="Z978" s="210"/>
      <c r="AA978" s="210"/>
      <c r="AB978" s="210"/>
      <c r="AC978" s="210"/>
      <c r="AI978" s="210"/>
      <c r="AJ978" s="210"/>
    </row>
    <row r="979" ht="12.75" customHeight="1">
      <c r="C979" s="210"/>
      <c r="D979" s="210"/>
      <c r="E979" s="210"/>
      <c r="F979" s="210"/>
      <c r="G979" s="210"/>
      <c r="H979" s="210"/>
      <c r="I979" s="210"/>
      <c r="J979" s="210"/>
      <c r="K979" s="210"/>
      <c r="L979" s="210"/>
      <c r="M979" s="210"/>
      <c r="N979" s="210"/>
      <c r="O979" s="210"/>
      <c r="P979" s="210"/>
      <c r="Q979" s="210"/>
      <c r="R979" s="210"/>
      <c r="S979" s="210"/>
      <c r="T979" s="210"/>
      <c r="U979" s="210"/>
      <c r="V979" s="210"/>
      <c r="W979" s="210"/>
      <c r="X979" s="210"/>
      <c r="Y979" s="210"/>
      <c r="Z979" s="210"/>
      <c r="AA979" s="210"/>
      <c r="AB979" s="210"/>
      <c r="AC979" s="210"/>
      <c r="AI979" s="210"/>
      <c r="AJ979" s="210"/>
    </row>
    <row r="980" ht="12.75" customHeight="1">
      <c r="C980" s="210"/>
      <c r="D980" s="210"/>
      <c r="E980" s="210"/>
      <c r="F980" s="210"/>
      <c r="G980" s="210"/>
      <c r="H980" s="210"/>
      <c r="I980" s="210"/>
      <c r="J980" s="210"/>
      <c r="K980" s="210"/>
      <c r="L980" s="210"/>
      <c r="M980" s="210"/>
      <c r="N980" s="210"/>
      <c r="O980" s="210"/>
      <c r="P980" s="210"/>
      <c r="Q980" s="210"/>
      <c r="R980" s="210"/>
      <c r="S980" s="210"/>
      <c r="T980" s="210"/>
      <c r="U980" s="210"/>
      <c r="V980" s="210"/>
      <c r="W980" s="210"/>
      <c r="X980" s="210"/>
      <c r="Y980" s="210"/>
      <c r="Z980" s="210"/>
      <c r="AA980" s="210"/>
      <c r="AB980" s="210"/>
      <c r="AC980" s="210"/>
      <c r="AI980" s="210"/>
      <c r="AJ980" s="210"/>
    </row>
    <row r="981" ht="12.75" customHeight="1">
      <c r="C981" s="210"/>
      <c r="D981" s="210"/>
      <c r="E981" s="210"/>
      <c r="F981" s="210"/>
      <c r="G981" s="210"/>
      <c r="H981" s="210"/>
      <c r="I981" s="210"/>
      <c r="J981" s="210"/>
      <c r="K981" s="210"/>
      <c r="L981" s="210"/>
      <c r="M981" s="210"/>
      <c r="N981" s="210"/>
      <c r="O981" s="210"/>
      <c r="P981" s="210"/>
      <c r="Q981" s="210"/>
      <c r="R981" s="210"/>
      <c r="S981" s="210"/>
      <c r="T981" s="210"/>
      <c r="U981" s="210"/>
      <c r="V981" s="210"/>
      <c r="W981" s="210"/>
      <c r="X981" s="210"/>
      <c r="Y981" s="210"/>
      <c r="Z981" s="210"/>
      <c r="AA981" s="210"/>
      <c r="AB981" s="210"/>
      <c r="AC981" s="210"/>
      <c r="AI981" s="210"/>
      <c r="AJ981" s="210"/>
    </row>
    <row r="982" ht="12.75" customHeight="1">
      <c r="C982" s="210"/>
      <c r="D982" s="210"/>
      <c r="E982" s="210"/>
      <c r="F982" s="210"/>
      <c r="G982" s="210"/>
      <c r="H982" s="210"/>
      <c r="I982" s="210"/>
      <c r="J982" s="210"/>
      <c r="K982" s="210"/>
      <c r="L982" s="210"/>
      <c r="M982" s="210"/>
      <c r="N982" s="210"/>
      <c r="O982" s="210"/>
      <c r="P982" s="210"/>
      <c r="Q982" s="210"/>
      <c r="R982" s="210"/>
      <c r="S982" s="210"/>
      <c r="T982" s="210"/>
      <c r="U982" s="210"/>
      <c r="V982" s="210"/>
      <c r="W982" s="210"/>
      <c r="X982" s="210"/>
      <c r="Y982" s="210"/>
      <c r="Z982" s="210"/>
      <c r="AA982" s="210"/>
      <c r="AB982" s="210"/>
      <c r="AC982" s="210"/>
      <c r="AI982" s="210"/>
      <c r="AJ982" s="210"/>
    </row>
    <row r="983" ht="12.75" customHeight="1">
      <c r="C983" s="210"/>
      <c r="D983" s="210"/>
      <c r="E983" s="210"/>
      <c r="F983" s="210"/>
      <c r="G983" s="210"/>
      <c r="H983" s="210"/>
      <c r="I983" s="210"/>
      <c r="J983" s="210"/>
      <c r="K983" s="210"/>
      <c r="L983" s="210"/>
      <c r="M983" s="210"/>
      <c r="N983" s="210"/>
      <c r="O983" s="210"/>
      <c r="P983" s="210"/>
      <c r="Q983" s="210"/>
      <c r="R983" s="210"/>
      <c r="S983" s="210"/>
      <c r="T983" s="210"/>
      <c r="U983" s="210"/>
      <c r="V983" s="210"/>
      <c r="W983" s="210"/>
      <c r="X983" s="210"/>
      <c r="Y983" s="210"/>
      <c r="Z983" s="210"/>
      <c r="AA983" s="210"/>
      <c r="AB983" s="210"/>
      <c r="AC983" s="210"/>
      <c r="AI983" s="210"/>
      <c r="AJ983" s="210"/>
    </row>
    <row r="984" ht="12.75" customHeight="1">
      <c r="C984" s="210"/>
      <c r="D984" s="210"/>
      <c r="E984" s="210"/>
      <c r="F984" s="210"/>
      <c r="G984" s="210"/>
      <c r="H984" s="210"/>
      <c r="I984" s="210"/>
      <c r="J984" s="210"/>
      <c r="K984" s="210"/>
      <c r="L984" s="210"/>
      <c r="M984" s="210"/>
      <c r="N984" s="210"/>
      <c r="O984" s="210"/>
      <c r="P984" s="210"/>
      <c r="Q984" s="210"/>
      <c r="R984" s="210"/>
      <c r="S984" s="210"/>
      <c r="T984" s="210"/>
      <c r="U984" s="210"/>
      <c r="V984" s="210"/>
      <c r="W984" s="210"/>
      <c r="X984" s="210"/>
      <c r="Y984" s="210"/>
      <c r="Z984" s="210"/>
      <c r="AA984" s="210"/>
      <c r="AB984" s="210"/>
      <c r="AC984" s="210"/>
      <c r="AI984" s="210"/>
      <c r="AJ984" s="210"/>
    </row>
    <row r="985" ht="12.75" customHeight="1">
      <c r="C985" s="210"/>
      <c r="D985" s="210"/>
      <c r="E985" s="210"/>
      <c r="F985" s="210"/>
      <c r="G985" s="210"/>
      <c r="H985" s="210"/>
      <c r="I985" s="210"/>
      <c r="J985" s="210"/>
      <c r="K985" s="210"/>
      <c r="L985" s="210"/>
      <c r="M985" s="210"/>
      <c r="N985" s="210"/>
      <c r="O985" s="210"/>
      <c r="P985" s="210"/>
      <c r="Q985" s="210"/>
      <c r="R985" s="210"/>
      <c r="S985" s="210"/>
      <c r="T985" s="210"/>
      <c r="U985" s="210"/>
      <c r="V985" s="210"/>
      <c r="W985" s="210"/>
      <c r="X985" s="210"/>
      <c r="Y985" s="210"/>
      <c r="Z985" s="210"/>
      <c r="AA985" s="210"/>
      <c r="AB985" s="210"/>
      <c r="AC985" s="210"/>
      <c r="AI985" s="210"/>
      <c r="AJ985" s="210"/>
    </row>
    <row r="986" ht="12.75" customHeight="1">
      <c r="C986" s="210"/>
      <c r="D986" s="210"/>
      <c r="E986" s="210"/>
      <c r="F986" s="210"/>
      <c r="G986" s="210"/>
      <c r="H986" s="210"/>
      <c r="I986" s="210"/>
      <c r="J986" s="210"/>
      <c r="K986" s="210"/>
      <c r="L986" s="210"/>
      <c r="M986" s="210"/>
      <c r="N986" s="210"/>
      <c r="O986" s="210"/>
      <c r="P986" s="210"/>
      <c r="Q986" s="210"/>
      <c r="R986" s="210"/>
      <c r="S986" s="210"/>
      <c r="T986" s="210"/>
      <c r="U986" s="210"/>
      <c r="V986" s="210"/>
      <c r="W986" s="210"/>
      <c r="X986" s="210"/>
      <c r="Y986" s="210"/>
      <c r="Z986" s="210"/>
      <c r="AA986" s="210"/>
      <c r="AB986" s="210"/>
      <c r="AC986" s="210"/>
      <c r="AI986" s="210"/>
      <c r="AJ986" s="210"/>
    </row>
    <row r="987" ht="12.75" customHeight="1">
      <c r="C987" s="210"/>
      <c r="D987" s="210"/>
      <c r="E987" s="210"/>
      <c r="F987" s="210"/>
      <c r="G987" s="210"/>
      <c r="H987" s="210"/>
      <c r="I987" s="210"/>
      <c r="J987" s="210"/>
      <c r="K987" s="210"/>
      <c r="L987" s="210"/>
      <c r="M987" s="210"/>
      <c r="N987" s="210"/>
      <c r="O987" s="210"/>
      <c r="P987" s="210"/>
      <c r="Q987" s="210"/>
      <c r="R987" s="210"/>
      <c r="S987" s="210"/>
      <c r="T987" s="210"/>
      <c r="U987" s="210"/>
      <c r="V987" s="210"/>
      <c r="W987" s="210"/>
      <c r="X987" s="210"/>
      <c r="Y987" s="210"/>
      <c r="Z987" s="210"/>
      <c r="AA987" s="210"/>
      <c r="AB987" s="210"/>
      <c r="AC987" s="210"/>
      <c r="AI987" s="210"/>
      <c r="AJ987" s="210"/>
    </row>
    <row r="988" ht="12.75" customHeight="1">
      <c r="C988" s="210"/>
      <c r="D988" s="210"/>
      <c r="E988" s="210"/>
      <c r="F988" s="210"/>
      <c r="G988" s="210"/>
      <c r="H988" s="210"/>
      <c r="I988" s="210"/>
      <c r="J988" s="210"/>
      <c r="K988" s="210"/>
      <c r="L988" s="210"/>
      <c r="M988" s="210"/>
      <c r="N988" s="210"/>
      <c r="O988" s="210"/>
      <c r="P988" s="210"/>
      <c r="Q988" s="210"/>
      <c r="R988" s="210"/>
      <c r="S988" s="210"/>
      <c r="T988" s="210"/>
      <c r="U988" s="210"/>
      <c r="V988" s="210"/>
      <c r="W988" s="210"/>
      <c r="X988" s="210"/>
      <c r="Y988" s="210"/>
      <c r="Z988" s="210"/>
      <c r="AA988" s="210"/>
      <c r="AB988" s="210"/>
      <c r="AC988" s="210"/>
      <c r="AI988" s="210"/>
      <c r="AJ988" s="210"/>
    </row>
    <row r="989" ht="12.75" customHeight="1">
      <c r="C989" s="210"/>
      <c r="D989" s="210"/>
      <c r="E989" s="210"/>
      <c r="F989" s="210"/>
      <c r="G989" s="210"/>
      <c r="H989" s="210"/>
      <c r="I989" s="210"/>
      <c r="J989" s="210"/>
      <c r="K989" s="210"/>
      <c r="L989" s="210"/>
      <c r="M989" s="210"/>
      <c r="N989" s="210"/>
      <c r="O989" s="210"/>
      <c r="P989" s="210"/>
      <c r="Q989" s="210"/>
      <c r="R989" s="210"/>
      <c r="S989" s="210"/>
      <c r="T989" s="210"/>
      <c r="U989" s="210"/>
      <c r="V989" s="210"/>
      <c r="W989" s="210"/>
      <c r="X989" s="210"/>
      <c r="Y989" s="210"/>
      <c r="Z989" s="210"/>
      <c r="AA989" s="210"/>
      <c r="AB989" s="210"/>
      <c r="AC989" s="210"/>
      <c r="AI989" s="210"/>
      <c r="AJ989" s="210"/>
    </row>
    <row r="990" ht="12.75" customHeight="1">
      <c r="C990" s="210"/>
      <c r="D990" s="210"/>
      <c r="E990" s="210"/>
      <c r="F990" s="210"/>
      <c r="G990" s="210"/>
      <c r="H990" s="210"/>
      <c r="I990" s="210"/>
      <c r="J990" s="210"/>
      <c r="K990" s="210"/>
      <c r="L990" s="210"/>
      <c r="M990" s="210"/>
      <c r="N990" s="210"/>
      <c r="O990" s="210"/>
      <c r="P990" s="210"/>
      <c r="Q990" s="210"/>
      <c r="R990" s="210"/>
      <c r="S990" s="210"/>
      <c r="T990" s="210"/>
      <c r="U990" s="210"/>
      <c r="V990" s="210"/>
      <c r="W990" s="210"/>
      <c r="X990" s="210"/>
      <c r="Y990" s="210"/>
      <c r="Z990" s="210"/>
      <c r="AA990" s="210"/>
      <c r="AB990" s="210"/>
      <c r="AC990" s="210"/>
      <c r="AI990" s="210"/>
      <c r="AJ990" s="210"/>
    </row>
    <row r="991" ht="12.75" customHeight="1">
      <c r="C991" s="210"/>
      <c r="D991" s="210"/>
      <c r="E991" s="210"/>
      <c r="F991" s="210"/>
      <c r="G991" s="210"/>
      <c r="H991" s="210"/>
      <c r="I991" s="210"/>
      <c r="J991" s="210"/>
      <c r="K991" s="210"/>
      <c r="L991" s="210"/>
      <c r="M991" s="210"/>
      <c r="N991" s="210"/>
      <c r="O991" s="210"/>
      <c r="P991" s="210"/>
      <c r="Q991" s="210"/>
      <c r="R991" s="210"/>
      <c r="S991" s="210"/>
      <c r="T991" s="210"/>
      <c r="U991" s="210"/>
      <c r="V991" s="210"/>
      <c r="W991" s="210"/>
      <c r="X991" s="210"/>
      <c r="Y991" s="210"/>
      <c r="Z991" s="210"/>
      <c r="AA991" s="210"/>
      <c r="AB991" s="210"/>
      <c r="AC991" s="210"/>
      <c r="AI991" s="210"/>
      <c r="AJ991" s="210"/>
    </row>
    <row r="992" ht="12.75" customHeight="1">
      <c r="C992" s="210"/>
      <c r="D992" s="210"/>
      <c r="E992" s="210"/>
      <c r="F992" s="210"/>
      <c r="G992" s="210"/>
      <c r="H992" s="210"/>
      <c r="I992" s="210"/>
      <c r="J992" s="210"/>
      <c r="K992" s="210"/>
      <c r="L992" s="210"/>
      <c r="M992" s="210"/>
      <c r="N992" s="210"/>
      <c r="O992" s="210"/>
      <c r="P992" s="210"/>
      <c r="Q992" s="210"/>
      <c r="R992" s="210"/>
      <c r="S992" s="210"/>
      <c r="T992" s="210"/>
      <c r="U992" s="210"/>
      <c r="V992" s="210"/>
      <c r="W992" s="210"/>
      <c r="X992" s="210"/>
      <c r="Y992" s="210"/>
      <c r="Z992" s="210"/>
      <c r="AA992" s="210"/>
      <c r="AB992" s="210"/>
      <c r="AC992" s="210"/>
      <c r="AI992" s="210"/>
      <c r="AJ992" s="210"/>
    </row>
    <row r="993" ht="12.75" customHeight="1">
      <c r="C993" s="210"/>
      <c r="D993" s="210"/>
      <c r="E993" s="210"/>
      <c r="F993" s="210"/>
      <c r="G993" s="210"/>
      <c r="H993" s="210"/>
      <c r="I993" s="210"/>
      <c r="J993" s="210"/>
      <c r="K993" s="210"/>
      <c r="L993" s="210"/>
      <c r="M993" s="210"/>
      <c r="N993" s="210"/>
      <c r="O993" s="210"/>
      <c r="P993" s="210"/>
      <c r="Q993" s="210"/>
      <c r="R993" s="210"/>
      <c r="S993" s="210"/>
      <c r="T993" s="210"/>
      <c r="U993" s="210"/>
      <c r="V993" s="210"/>
      <c r="W993" s="210"/>
      <c r="X993" s="210"/>
      <c r="Y993" s="210"/>
      <c r="Z993" s="210"/>
      <c r="AA993" s="210"/>
      <c r="AB993" s="210"/>
      <c r="AC993" s="210"/>
      <c r="AI993" s="210"/>
      <c r="AJ993" s="210"/>
    </row>
    <row r="994" ht="12.75" customHeight="1">
      <c r="C994" s="210"/>
      <c r="D994" s="210"/>
      <c r="E994" s="210"/>
      <c r="F994" s="210"/>
      <c r="G994" s="210"/>
      <c r="H994" s="210"/>
      <c r="I994" s="210"/>
      <c r="J994" s="210"/>
      <c r="K994" s="210"/>
      <c r="L994" s="210"/>
      <c r="M994" s="210"/>
      <c r="N994" s="210"/>
      <c r="O994" s="210"/>
      <c r="P994" s="210"/>
      <c r="Q994" s="210"/>
      <c r="R994" s="210"/>
      <c r="S994" s="210"/>
      <c r="T994" s="210"/>
      <c r="U994" s="210"/>
      <c r="V994" s="210"/>
      <c r="W994" s="210"/>
      <c r="X994" s="210"/>
      <c r="Y994" s="210"/>
      <c r="Z994" s="210"/>
      <c r="AA994" s="210"/>
      <c r="AB994" s="210"/>
      <c r="AC994" s="210"/>
      <c r="AI994" s="210"/>
      <c r="AJ994" s="210"/>
    </row>
    <row r="995" ht="12.75" customHeight="1">
      <c r="C995" s="210"/>
      <c r="D995" s="210"/>
      <c r="E995" s="210"/>
      <c r="F995" s="210"/>
      <c r="G995" s="210"/>
      <c r="H995" s="210"/>
      <c r="I995" s="210"/>
      <c r="J995" s="210"/>
      <c r="K995" s="210"/>
      <c r="L995" s="210"/>
      <c r="M995" s="210"/>
      <c r="N995" s="210"/>
      <c r="O995" s="210"/>
      <c r="P995" s="210"/>
      <c r="Q995" s="210"/>
      <c r="R995" s="210"/>
      <c r="S995" s="210"/>
      <c r="T995" s="210"/>
      <c r="U995" s="210"/>
      <c r="V995" s="210"/>
      <c r="W995" s="210"/>
      <c r="X995" s="210"/>
      <c r="Y995" s="210"/>
      <c r="Z995" s="210"/>
      <c r="AA995" s="210"/>
      <c r="AB995" s="210"/>
      <c r="AC995" s="210"/>
      <c r="AI995" s="210"/>
      <c r="AJ995" s="210"/>
    </row>
    <row r="996" ht="12.75" customHeight="1">
      <c r="C996" s="210"/>
      <c r="D996" s="210"/>
      <c r="E996" s="210"/>
      <c r="F996" s="210"/>
      <c r="G996" s="210"/>
      <c r="H996" s="210"/>
      <c r="I996" s="210"/>
      <c r="J996" s="210"/>
      <c r="K996" s="210"/>
      <c r="L996" s="210"/>
      <c r="M996" s="210"/>
      <c r="N996" s="210"/>
      <c r="O996" s="210"/>
      <c r="P996" s="210"/>
      <c r="Q996" s="210"/>
      <c r="R996" s="210"/>
      <c r="S996" s="210"/>
      <c r="T996" s="210"/>
      <c r="U996" s="210"/>
      <c r="V996" s="210"/>
      <c r="W996" s="210"/>
      <c r="X996" s="210"/>
      <c r="Y996" s="210"/>
      <c r="Z996" s="210"/>
      <c r="AA996" s="210"/>
      <c r="AB996" s="210"/>
      <c r="AC996" s="210"/>
      <c r="AI996" s="210"/>
      <c r="AJ996" s="210"/>
    </row>
    <row r="997" ht="12.75" customHeight="1">
      <c r="C997" s="210"/>
      <c r="D997" s="210"/>
      <c r="E997" s="210"/>
      <c r="F997" s="210"/>
      <c r="G997" s="210"/>
      <c r="H997" s="210"/>
      <c r="I997" s="210"/>
      <c r="J997" s="210"/>
      <c r="K997" s="210"/>
      <c r="L997" s="210"/>
      <c r="M997" s="210"/>
      <c r="N997" s="210"/>
      <c r="O997" s="210"/>
      <c r="P997" s="210"/>
      <c r="Q997" s="210"/>
      <c r="R997" s="210"/>
      <c r="S997" s="210"/>
      <c r="T997" s="210"/>
      <c r="U997" s="210"/>
      <c r="V997" s="210"/>
      <c r="W997" s="210"/>
      <c r="X997" s="210"/>
      <c r="Y997" s="210"/>
      <c r="Z997" s="210"/>
      <c r="AA997" s="210"/>
      <c r="AB997" s="210"/>
      <c r="AC997" s="210"/>
      <c r="AI997" s="210"/>
      <c r="AJ997" s="210"/>
    </row>
    <row r="998" ht="12.75" customHeight="1">
      <c r="C998" s="210"/>
      <c r="D998" s="210"/>
      <c r="E998" s="210"/>
      <c r="F998" s="210"/>
      <c r="G998" s="210"/>
      <c r="H998" s="210"/>
      <c r="I998" s="210"/>
      <c r="J998" s="210"/>
      <c r="K998" s="210"/>
      <c r="L998" s="210"/>
      <c r="M998" s="210"/>
      <c r="N998" s="210"/>
      <c r="O998" s="210"/>
      <c r="P998" s="210"/>
      <c r="Q998" s="210"/>
      <c r="R998" s="210"/>
      <c r="S998" s="210"/>
      <c r="T998" s="210"/>
      <c r="U998" s="210"/>
      <c r="V998" s="210"/>
      <c r="W998" s="210"/>
      <c r="X998" s="210"/>
      <c r="Y998" s="210"/>
      <c r="Z998" s="210"/>
      <c r="AA998" s="210"/>
      <c r="AB998" s="210"/>
      <c r="AC998" s="210"/>
      <c r="AI998" s="210"/>
      <c r="AJ998" s="210"/>
    </row>
    <row r="999" ht="12.75" customHeight="1">
      <c r="C999" s="210"/>
      <c r="D999" s="210"/>
      <c r="E999" s="210"/>
      <c r="F999" s="210"/>
      <c r="G999" s="210"/>
      <c r="H999" s="210"/>
      <c r="I999" s="210"/>
      <c r="J999" s="210"/>
      <c r="K999" s="210"/>
      <c r="L999" s="210"/>
      <c r="M999" s="210"/>
      <c r="N999" s="210"/>
      <c r="O999" s="210"/>
      <c r="P999" s="210"/>
      <c r="Q999" s="210"/>
      <c r="R999" s="210"/>
      <c r="S999" s="210"/>
      <c r="T999" s="210"/>
      <c r="U999" s="210"/>
      <c r="V999" s="210"/>
      <c r="W999" s="210"/>
      <c r="X999" s="210"/>
      <c r="Y999" s="210"/>
      <c r="Z999" s="210"/>
      <c r="AA999" s="210"/>
      <c r="AB999" s="210"/>
      <c r="AC999" s="210"/>
      <c r="AI999" s="210"/>
      <c r="AJ999" s="210"/>
    </row>
    <row r="1000" ht="12.75" customHeight="1">
      <c r="C1000" s="210"/>
      <c r="D1000" s="210"/>
      <c r="E1000" s="210"/>
      <c r="F1000" s="210"/>
      <c r="G1000" s="210"/>
      <c r="H1000" s="210"/>
      <c r="I1000" s="210"/>
      <c r="J1000" s="210"/>
      <c r="K1000" s="210"/>
      <c r="L1000" s="210"/>
      <c r="M1000" s="210"/>
      <c r="N1000" s="210"/>
      <c r="O1000" s="210"/>
      <c r="P1000" s="210"/>
      <c r="Q1000" s="210"/>
      <c r="R1000" s="210"/>
      <c r="S1000" s="210"/>
      <c r="T1000" s="210"/>
      <c r="U1000" s="210"/>
      <c r="V1000" s="210"/>
      <c r="W1000" s="210"/>
      <c r="X1000" s="210"/>
      <c r="Y1000" s="210"/>
      <c r="Z1000" s="210"/>
      <c r="AA1000" s="210"/>
      <c r="AB1000" s="210"/>
      <c r="AC1000" s="210"/>
      <c r="AI1000" s="210"/>
      <c r="AJ1000" s="210"/>
    </row>
  </sheetData>
  <autoFilter ref="$A$1:$Y$101">
    <filterColumn colId="0">
      <filters>
        <filter val="82"/>
      </filters>
    </filterColumn>
  </autoFilter>
  <printOptions/>
  <pageMargins bottom="0.75" footer="0.0" header="0.0" left="0.7" right="0.7" top="0.75"/>
  <pageSetup orientation="portrait"/>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71"/>
    <col customWidth="1" min="2" max="2" width="29.86"/>
    <col customWidth="1" min="3" max="26" width="8.71"/>
  </cols>
  <sheetData>
    <row r="1" ht="12.75" customHeight="1">
      <c r="A1" s="3" t="s">
        <v>2</v>
      </c>
      <c r="B1" s="199" t="s">
        <v>1263</v>
      </c>
    </row>
    <row r="2" ht="12.75" customHeight="1">
      <c r="A2" s="5">
        <v>1.0</v>
      </c>
    </row>
    <row r="3" ht="12.75" customHeight="1">
      <c r="A3" s="5">
        <f t="shared" ref="A3:A101" si="1">A2+1</f>
        <v>2</v>
      </c>
    </row>
    <row r="4" ht="12.75" customHeight="1">
      <c r="A4" s="5">
        <f t="shared" si="1"/>
        <v>3</v>
      </c>
    </row>
    <row r="5" ht="12.75" customHeight="1">
      <c r="A5" s="5">
        <f t="shared" si="1"/>
        <v>4</v>
      </c>
    </row>
    <row r="6" ht="12.75" customHeight="1">
      <c r="A6" s="5">
        <f t="shared" si="1"/>
        <v>5</v>
      </c>
    </row>
    <row r="7" ht="12.75" customHeight="1">
      <c r="A7" s="5">
        <f t="shared" si="1"/>
        <v>6</v>
      </c>
    </row>
    <row r="8" ht="12.75" customHeight="1">
      <c r="A8" s="5">
        <f t="shared" si="1"/>
        <v>7</v>
      </c>
    </row>
    <row r="9" ht="12.75" customHeight="1">
      <c r="A9" s="5">
        <f t="shared" si="1"/>
        <v>8</v>
      </c>
    </row>
    <row r="10" ht="12.75" customHeight="1">
      <c r="A10" s="5">
        <f t="shared" si="1"/>
        <v>9</v>
      </c>
    </row>
    <row r="11" ht="12.75" customHeight="1">
      <c r="A11" s="5">
        <f t="shared" si="1"/>
        <v>10</v>
      </c>
    </row>
    <row r="12" ht="12.75" customHeight="1">
      <c r="A12" s="5">
        <f t="shared" si="1"/>
        <v>11</v>
      </c>
    </row>
    <row r="13" ht="12.75" customHeight="1">
      <c r="A13" s="5">
        <f t="shared" si="1"/>
        <v>12</v>
      </c>
    </row>
    <row r="14" ht="12.75" customHeight="1">
      <c r="A14" s="5">
        <f t="shared" si="1"/>
        <v>13</v>
      </c>
    </row>
    <row r="15" ht="12.75" customHeight="1">
      <c r="A15" s="5">
        <f t="shared" si="1"/>
        <v>14</v>
      </c>
    </row>
    <row r="16" ht="12.75" customHeight="1">
      <c r="A16" s="5">
        <f t="shared" si="1"/>
        <v>15</v>
      </c>
    </row>
    <row r="17" ht="12.75" customHeight="1">
      <c r="A17" s="5">
        <f t="shared" si="1"/>
        <v>16</v>
      </c>
    </row>
    <row r="18" ht="12.75" customHeight="1">
      <c r="A18" s="5">
        <f t="shared" si="1"/>
        <v>17</v>
      </c>
    </row>
    <row r="19" ht="12.75" customHeight="1">
      <c r="A19" s="5">
        <f t="shared" si="1"/>
        <v>18</v>
      </c>
    </row>
    <row r="20" ht="12.75" customHeight="1">
      <c r="A20" s="5">
        <f t="shared" si="1"/>
        <v>19</v>
      </c>
    </row>
    <row r="21" ht="12.75" customHeight="1">
      <c r="A21" s="5">
        <f t="shared" si="1"/>
        <v>20</v>
      </c>
    </row>
    <row r="22" ht="12.75" customHeight="1">
      <c r="A22" s="5">
        <f t="shared" si="1"/>
        <v>21</v>
      </c>
    </row>
    <row r="23" ht="12.75" customHeight="1">
      <c r="A23" s="5">
        <f t="shared" si="1"/>
        <v>22</v>
      </c>
      <c r="B23" s="1" t="s">
        <v>1264</v>
      </c>
      <c r="C23" s="1" t="s">
        <v>1265</v>
      </c>
    </row>
    <row r="24" ht="12.75" customHeight="1">
      <c r="A24" s="5">
        <f t="shared" si="1"/>
        <v>23</v>
      </c>
    </row>
    <row r="25" ht="12.75" customHeight="1">
      <c r="A25" s="5">
        <f t="shared" si="1"/>
        <v>24</v>
      </c>
    </row>
    <row r="26" ht="12.75" customHeight="1">
      <c r="A26" s="5">
        <f t="shared" si="1"/>
        <v>25</v>
      </c>
    </row>
    <row r="27" ht="12.75" customHeight="1">
      <c r="A27" s="5">
        <f t="shared" si="1"/>
        <v>26</v>
      </c>
    </row>
    <row r="28" ht="12.75" customHeight="1">
      <c r="A28" s="5">
        <f t="shared" si="1"/>
        <v>27</v>
      </c>
    </row>
    <row r="29" ht="12.75" customHeight="1">
      <c r="A29" s="5">
        <f t="shared" si="1"/>
        <v>28</v>
      </c>
    </row>
    <row r="30" ht="12.75" customHeight="1">
      <c r="A30" s="5">
        <f t="shared" si="1"/>
        <v>29</v>
      </c>
    </row>
    <row r="31" ht="12.75" customHeight="1">
      <c r="A31" s="5">
        <f t="shared" si="1"/>
        <v>30</v>
      </c>
    </row>
    <row r="32" ht="12.75" customHeight="1">
      <c r="A32" s="5">
        <f t="shared" si="1"/>
        <v>31</v>
      </c>
    </row>
    <row r="33" ht="12.75" customHeight="1">
      <c r="A33" s="5">
        <f t="shared" si="1"/>
        <v>32</v>
      </c>
    </row>
    <row r="34" ht="12.75" customHeight="1">
      <c r="A34" s="5">
        <f t="shared" si="1"/>
        <v>33</v>
      </c>
    </row>
    <row r="35" ht="12.75" customHeight="1">
      <c r="A35" s="5">
        <f t="shared" si="1"/>
        <v>34</v>
      </c>
    </row>
    <row r="36" ht="12.75" customHeight="1">
      <c r="A36" s="5">
        <f t="shared" si="1"/>
        <v>35</v>
      </c>
    </row>
    <row r="37" ht="12.75" customHeight="1">
      <c r="A37" s="5">
        <f t="shared" si="1"/>
        <v>36</v>
      </c>
    </row>
    <row r="38" ht="12.75" customHeight="1">
      <c r="A38" s="5">
        <f t="shared" si="1"/>
        <v>37</v>
      </c>
    </row>
    <row r="39" ht="12.75" customHeight="1">
      <c r="A39" s="5">
        <f t="shared" si="1"/>
        <v>38</v>
      </c>
    </row>
    <row r="40" ht="12.75" customHeight="1">
      <c r="A40" s="5">
        <f t="shared" si="1"/>
        <v>39</v>
      </c>
    </row>
    <row r="41" ht="12.75" customHeight="1">
      <c r="A41" s="5">
        <f t="shared" si="1"/>
        <v>40</v>
      </c>
    </row>
    <row r="42" ht="12.75" customHeight="1">
      <c r="A42" s="5">
        <f t="shared" si="1"/>
        <v>41</v>
      </c>
    </row>
    <row r="43" ht="12.75" customHeight="1">
      <c r="A43" s="5">
        <f t="shared" si="1"/>
        <v>42</v>
      </c>
    </row>
    <row r="44" ht="12.75" customHeight="1">
      <c r="A44" s="5">
        <f t="shared" si="1"/>
        <v>43</v>
      </c>
    </row>
    <row r="45" ht="12.75" customHeight="1">
      <c r="A45" s="5">
        <f t="shared" si="1"/>
        <v>44</v>
      </c>
    </row>
    <row r="46" ht="12.75" customHeight="1">
      <c r="A46" s="5">
        <f t="shared" si="1"/>
        <v>45</v>
      </c>
    </row>
    <row r="47" ht="12.75" customHeight="1">
      <c r="A47" s="5">
        <f t="shared" si="1"/>
        <v>46</v>
      </c>
    </row>
    <row r="48" ht="12.75" customHeight="1">
      <c r="A48" s="5">
        <f t="shared" si="1"/>
        <v>47</v>
      </c>
    </row>
    <row r="49" ht="12.75" customHeight="1">
      <c r="A49" s="5">
        <f t="shared" si="1"/>
        <v>48</v>
      </c>
    </row>
    <row r="50" ht="12.75" customHeight="1">
      <c r="A50" s="5">
        <f t="shared" si="1"/>
        <v>49</v>
      </c>
    </row>
    <row r="51" ht="12.75" customHeight="1">
      <c r="A51" s="5">
        <f t="shared" si="1"/>
        <v>50</v>
      </c>
    </row>
    <row r="52" ht="12.75" customHeight="1">
      <c r="A52" s="5">
        <f t="shared" si="1"/>
        <v>51</v>
      </c>
    </row>
    <row r="53" ht="12.75" customHeight="1">
      <c r="A53" s="5">
        <f t="shared" si="1"/>
        <v>52</v>
      </c>
    </row>
    <row r="54" ht="12.75" customHeight="1">
      <c r="A54" s="5">
        <f t="shared" si="1"/>
        <v>53</v>
      </c>
    </row>
    <row r="55" ht="12.75" customHeight="1">
      <c r="A55" s="5">
        <f t="shared" si="1"/>
        <v>54</v>
      </c>
    </row>
    <row r="56" ht="12.75" customHeight="1">
      <c r="A56" s="5">
        <f t="shared" si="1"/>
        <v>55</v>
      </c>
    </row>
    <row r="57" ht="12.75" customHeight="1">
      <c r="A57" s="5">
        <f t="shared" si="1"/>
        <v>56</v>
      </c>
    </row>
    <row r="58" ht="12.75" customHeight="1">
      <c r="A58" s="5">
        <f t="shared" si="1"/>
        <v>57</v>
      </c>
    </row>
    <row r="59" ht="12.75" customHeight="1">
      <c r="A59" s="5">
        <f t="shared" si="1"/>
        <v>58</v>
      </c>
    </row>
    <row r="60" ht="12.75" customHeight="1">
      <c r="A60" s="5">
        <f t="shared" si="1"/>
        <v>59</v>
      </c>
    </row>
    <row r="61" ht="12.75" customHeight="1">
      <c r="A61" s="5">
        <f t="shared" si="1"/>
        <v>60</v>
      </c>
    </row>
    <row r="62" ht="12.75" customHeight="1">
      <c r="A62" s="5">
        <f t="shared" si="1"/>
        <v>61</v>
      </c>
    </row>
    <row r="63" ht="12.75" customHeight="1">
      <c r="A63" s="5">
        <f t="shared" si="1"/>
        <v>62</v>
      </c>
    </row>
    <row r="64" ht="12.75" customHeight="1">
      <c r="A64" s="5">
        <f t="shared" si="1"/>
        <v>63</v>
      </c>
    </row>
    <row r="65" ht="12.75" customHeight="1">
      <c r="A65" s="5">
        <f t="shared" si="1"/>
        <v>64</v>
      </c>
    </row>
    <row r="66" ht="12.75" customHeight="1">
      <c r="A66" s="5">
        <f t="shared" si="1"/>
        <v>65</v>
      </c>
    </row>
    <row r="67" ht="12.75" customHeight="1">
      <c r="A67" s="5">
        <f t="shared" si="1"/>
        <v>66</v>
      </c>
    </row>
    <row r="68" ht="12.75" customHeight="1">
      <c r="A68" s="5">
        <f t="shared" si="1"/>
        <v>67</v>
      </c>
    </row>
    <row r="69" ht="12.75" customHeight="1">
      <c r="A69" s="5">
        <f t="shared" si="1"/>
        <v>68</v>
      </c>
    </row>
    <row r="70" ht="12.75" customHeight="1">
      <c r="A70" s="5">
        <f t="shared" si="1"/>
        <v>69</v>
      </c>
    </row>
    <row r="71" ht="12.75" customHeight="1">
      <c r="A71" s="5">
        <f t="shared" si="1"/>
        <v>70</v>
      </c>
    </row>
    <row r="72" ht="12.75" customHeight="1">
      <c r="A72" s="5">
        <f t="shared" si="1"/>
        <v>71</v>
      </c>
    </row>
    <row r="73" ht="12.75" customHeight="1">
      <c r="A73" s="5">
        <f t="shared" si="1"/>
        <v>72</v>
      </c>
    </row>
    <row r="74" ht="12.75" customHeight="1">
      <c r="A74" s="5">
        <f t="shared" si="1"/>
        <v>73</v>
      </c>
    </row>
    <row r="75" ht="12.75" customHeight="1">
      <c r="A75" s="5">
        <f t="shared" si="1"/>
        <v>74</v>
      </c>
    </row>
    <row r="76" ht="12.75" customHeight="1">
      <c r="A76" s="5">
        <f t="shared" si="1"/>
        <v>75</v>
      </c>
    </row>
    <row r="77" ht="12.75" customHeight="1">
      <c r="A77" s="5">
        <f t="shared" si="1"/>
        <v>76</v>
      </c>
    </row>
    <row r="78" ht="12.75" customHeight="1">
      <c r="A78" s="5">
        <f t="shared" si="1"/>
        <v>77</v>
      </c>
    </row>
    <row r="79" ht="12.75" customHeight="1">
      <c r="A79" s="5">
        <f t="shared" si="1"/>
        <v>78</v>
      </c>
    </row>
    <row r="80" ht="12.75" customHeight="1">
      <c r="A80" s="5">
        <f t="shared" si="1"/>
        <v>79</v>
      </c>
    </row>
    <row r="81" ht="12.75" customHeight="1">
      <c r="A81" s="5">
        <f t="shared" si="1"/>
        <v>80</v>
      </c>
    </row>
    <row r="82" ht="12.75" customHeight="1">
      <c r="A82" s="5">
        <f t="shared" si="1"/>
        <v>81</v>
      </c>
    </row>
    <row r="83" ht="12.75" customHeight="1">
      <c r="A83" s="5">
        <f t="shared" si="1"/>
        <v>82</v>
      </c>
    </row>
    <row r="84" ht="12.75" customHeight="1">
      <c r="A84" s="5">
        <f t="shared" si="1"/>
        <v>83</v>
      </c>
    </row>
    <row r="85" ht="12.75" customHeight="1">
      <c r="A85" s="5">
        <f t="shared" si="1"/>
        <v>84</v>
      </c>
    </row>
    <row r="86" ht="12.75" customHeight="1">
      <c r="A86" s="5">
        <f t="shared" si="1"/>
        <v>85</v>
      </c>
    </row>
    <row r="87" ht="12.75" customHeight="1">
      <c r="A87" s="5">
        <f t="shared" si="1"/>
        <v>86</v>
      </c>
    </row>
    <row r="88" ht="12.75" customHeight="1">
      <c r="A88" s="5">
        <f t="shared" si="1"/>
        <v>87</v>
      </c>
    </row>
    <row r="89" ht="12.75" customHeight="1">
      <c r="A89" s="5">
        <f t="shared" si="1"/>
        <v>88</v>
      </c>
    </row>
    <row r="90" ht="12.75" customHeight="1">
      <c r="A90" s="5">
        <f t="shared" si="1"/>
        <v>89</v>
      </c>
    </row>
    <row r="91" ht="12.75" customHeight="1">
      <c r="A91" s="5">
        <f t="shared" si="1"/>
        <v>90</v>
      </c>
    </row>
    <row r="92" ht="12.75" customHeight="1">
      <c r="A92" s="5">
        <f t="shared" si="1"/>
        <v>91</v>
      </c>
    </row>
    <row r="93" ht="12.75" customHeight="1">
      <c r="A93" s="5">
        <f t="shared" si="1"/>
        <v>92</v>
      </c>
    </row>
    <row r="94" ht="12.75" customHeight="1">
      <c r="A94" s="5">
        <f t="shared" si="1"/>
        <v>93</v>
      </c>
    </row>
    <row r="95" ht="12.75" customHeight="1">
      <c r="A95" s="5">
        <f t="shared" si="1"/>
        <v>94</v>
      </c>
    </row>
    <row r="96" ht="12.75" customHeight="1">
      <c r="A96" s="5">
        <f t="shared" si="1"/>
        <v>95</v>
      </c>
    </row>
    <row r="97" ht="12.75" customHeight="1">
      <c r="A97" s="5">
        <f t="shared" si="1"/>
        <v>96</v>
      </c>
    </row>
    <row r="98" ht="12.75" customHeight="1">
      <c r="A98" s="5">
        <f t="shared" si="1"/>
        <v>97</v>
      </c>
    </row>
    <row r="99" ht="12.75" customHeight="1">
      <c r="A99" s="5">
        <f t="shared" si="1"/>
        <v>98</v>
      </c>
    </row>
    <row r="100" ht="12.75" customHeight="1">
      <c r="A100" s="5">
        <f t="shared" si="1"/>
        <v>99</v>
      </c>
    </row>
    <row r="101" ht="12.75" customHeight="1">
      <c r="A101" s="5">
        <f t="shared" si="1"/>
        <v>100</v>
      </c>
    </row>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0.43"/>
    <col customWidth="1" min="2" max="12" width="13.86"/>
    <col customWidth="1" min="13" max="26" width="8.71"/>
  </cols>
  <sheetData>
    <row r="1" ht="12.75" customHeight="1">
      <c r="A1" s="3" t="s">
        <v>2</v>
      </c>
      <c r="B1" s="3" t="s">
        <v>1266</v>
      </c>
      <c r="C1" s="3" t="s">
        <v>1267</v>
      </c>
      <c r="D1" s="3" t="s">
        <v>1268</v>
      </c>
      <c r="E1" s="3" t="s">
        <v>1269</v>
      </c>
      <c r="F1" s="3" t="s">
        <v>1270</v>
      </c>
      <c r="G1" s="3" t="s">
        <v>1271</v>
      </c>
      <c r="H1" s="3" t="s">
        <v>1272</v>
      </c>
      <c r="I1" s="3" t="s">
        <v>1273</v>
      </c>
      <c r="J1" s="3" t="s">
        <v>1274</v>
      </c>
      <c r="K1" s="3" t="s">
        <v>1275</v>
      </c>
      <c r="L1" s="3" t="s">
        <v>1253</v>
      </c>
    </row>
    <row r="2" ht="12.75" customHeight="1">
      <c r="A2" s="5">
        <v>1.0</v>
      </c>
      <c r="B2" s="4" t="s">
        <v>1276</v>
      </c>
      <c r="C2" s="4" t="s">
        <v>1276</v>
      </c>
      <c r="D2" s="4" t="s">
        <v>1277</v>
      </c>
      <c r="E2" s="4" t="s">
        <v>1278</v>
      </c>
      <c r="F2" s="4" t="s">
        <v>1279</v>
      </c>
      <c r="G2" s="4" t="s">
        <v>1280</v>
      </c>
      <c r="H2" s="4" t="s">
        <v>1281</v>
      </c>
      <c r="I2" s="4" t="s">
        <v>940</v>
      </c>
      <c r="J2" s="4" t="s">
        <v>939</v>
      </c>
      <c r="K2" s="4" t="s">
        <v>1282</v>
      </c>
      <c r="L2" s="1">
        <v>285.0</v>
      </c>
    </row>
    <row r="3" ht="12.75" customHeight="1">
      <c r="A3" s="5">
        <v>2.0</v>
      </c>
      <c r="B3" s="4" t="s">
        <v>1283</v>
      </c>
      <c r="C3" s="4" t="s">
        <v>1283</v>
      </c>
      <c r="D3" s="4" t="s">
        <v>1277</v>
      </c>
      <c r="E3" s="4" t="s">
        <v>1284</v>
      </c>
      <c r="F3" s="4" t="s">
        <v>1285</v>
      </c>
      <c r="G3" s="4" t="s">
        <v>1285</v>
      </c>
      <c r="H3" s="4" t="s">
        <v>1286</v>
      </c>
      <c r="I3" s="4" t="s">
        <v>942</v>
      </c>
      <c r="J3" s="4" t="s">
        <v>941</v>
      </c>
      <c r="K3" s="4" t="s">
        <v>1287</v>
      </c>
      <c r="L3" s="1">
        <v>64.0</v>
      </c>
    </row>
    <row r="4" ht="12.75" customHeight="1">
      <c r="A4" s="5">
        <v>3.0</v>
      </c>
      <c r="B4" s="4" t="s">
        <v>1283</v>
      </c>
      <c r="C4" s="4" t="s">
        <v>1283</v>
      </c>
      <c r="D4" s="4" t="s">
        <v>1277</v>
      </c>
      <c r="E4" s="4" t="s">
        <v>1288</v>
      </c>
      <c r="F4" s="4" t="s">
        <v>1289</v>
      </c>
      <c r="G4" s="4" t="s">
        <v>1289</v>
      </c>
      <c r="H4" s="4" t="s">
        <v>1290</v>
      </c>
      <c r="I4" s="4" t="s">
        <v>943</v>
      </c>
      <c r="J4" s="4" t="s">
        <v>941</v>
      </c>
      <c r="K4" s="4" t="s">
        <v>1287</v>
      </c>
      <c r="L4" s="1">
        <v>45103.0</v>
      </c>
    </row>
    <row r="5" ht="12.75" customHeight="1">
      <c r="A5" s="5">
        <v>4.0</v>
      </c>
      <c r="B5" s="4" t="s">
        <v>1291</v>
      </c>
      <c r="C5" s="4" t="s">
        <v>1291</v>
      </c>
      <c r="D5" s="4" t="s">
        <v>944</v>
      </c>
      <c r="E5" s="4" t="s">
        <v>1292</v>
      </c>
      <c r="F5" s="4" t="s">
        <v>1293</v>
      </c>
      <c r="G5" s="4" t="s">
        <v>1293</v>
      </c>
      <c r="H5" s="4" t="s">
        <v>1294</v>
      </c>
      <c r="I5" s="4" t="s">
        <v>947</v>
      </c>
      <c r="J5" s="4" t="s">
        <v>946</v>
      </c>
      <c r="K5" s="4" t="s">
        <v>1287</v>
      </c>
      <c r="L5" s="1">
        <v>21318.0</v>
      </c>
    </row>
    <row r="6" ht="12.75" customHeight="1">
      <c r="A6" s="5">
        <v>5.0</v>
      </c>
      <c r="B6" s="4" t="s">
        <v>1291</v>
      </c>
      <c r="C6" s="4" t="s">
        <v>1291</v>
      </c>
      <c r="D6" s="4" t="s">
        <v>1277</v>
      </c>
      <c r="E6" s="4" t="s">
        <v>1295</v>
      </c>
      <c r="F6" s="4" t="s">
        <v>1296</v>
      </c>
      <c r="G6" s="4" t="s">
        <v>1296</v>
      </c>
      <c r="H6" s="4" t="s">
        <v>1297</v>
      </c>
      <c r="I6" s="4" t="s">
        <v>947</v>
      </c>
      <c r="J6" s="4" t="s">
        <v>946</v>
      </c>
      <c r="K6" s="4" t="s">
        <v>1287</v>
      </c>
      <c r="L6" s="1">
        <v>333.0</v>
      </c>
    </row>
    <row r="7" ht="12.75" customHeight="1">
      <c r="A7" s="5">
        <v>6.0</v>
      </c>
      <c r="B7" s="4" t="s">
        <v>1298</v>
      </c>
      <c r="C7" s="4" t="s">
        <v>1298</v>
      </c>
      <c r="D7" s="4" t="s">
        <v>1277</v>
      </c>
      <c r="E7" s="4" t="s">
        <v>1299</v>
      </c>
      <c r="F7" s="4" t="s">
        <v>1300</v>
      </c>
      <c r="G7" s="4" t="s">
        <v>1300</v>
      </c>
      <c r="H7" s="4" t="s">
        <v>1301</v>
      </c>
      <c r="I7" s="4" t="s">
        <v>948</v>
      </c>
      <c r="J7" s="4" t="s">
        <v>946</v>
      </c>
      <c r="K7" s="4" t="s">
        <v>1287</v>
      </c>
      <c r="L7" s="1">
        <v>582.0</v>
      </c>
    </row>
    <row r="8" ht="12.75" customHeight="1">
      <c r="A8" s="5">
        <v>7.0</v>
      </c>
      <c r="B8" s="4" t="s">
        <v>1302</v>
      </c>
      <c r="C8" s="4" t="s">
        <v>1302</v>
      </c>
      <c r="D8" s="4" t="s">
        <v>1277</v>
      </c>
      <c r="E8" s="4" t="s">
        <v>1303</v>
      </c>
      <c r="F8" s="4" t="s">
        <v>1304</v>
      </c>
      <c r="G8" s="4" t="s">
        <v>1304</v>
      </c>
      <c r="H8" s="4" t="s">
        <v>1305</v>
      </c>
      <c r="I8" s="4" t="s">
        <v>949</v>
      </c>
      <c r="J8" s="4" t="s">
        <v>946</v>
      </c>
      <c r="K8" s="4" t="s">
        <v>1287</v>
      </c>
      <c r="L8" s="1">
        <v>7616.0</v>
      </c>
    </row>
    <row r="9" ht="12.75" customHeight="1">
      <c r="A9" s="5">
        <v>8.0</v>
      </c>
      <c r="B9" s="4" t="s">
        <v>1306</v>
      </c>
      <c r="C9" s="4" t="s">
        <v>1306</v>
      </c>
      <c r="D9" s="4" t="s">
        <v>1277</v>
      </c>
      <c r="E9" s="4" t="s">
        <v>1307</v>
      </c>
      <c r="F9" s="4" t="s">
        <v>1308</v>
      </c>
      <c r="G9" s="4" t="s">
        <v>1308</v>
      </c>
      <c r="H9" s="4" t="s">
        <v>1309</v>
      </c>
      <c r="I9" s="4" t="s">
        <v>951</v>
      </c>
      <c r="J9" s="4" t="s">
        <v>950</v>
      </c>
      <c r="K9" s="4" t="s">
        <v>1282</v>
      </c>
      <c r="L9" s="1">
        <v>628.0</v>
      </c>
    </row>
    <row r="10" ht="12.75" customHeight="1">
      <c r="A10" s="5">
        <v>9.0</v>
      </c>
      <c r="B10" s="4" t="str">
        <f>company!C10</f>
        <v>Consumer Discretionary</v>
      </c>
      <c r="C10" s="4" t="str">
        <f>company!D10</f>
        <v>Retail</v>
      </c>
      <c r="D10" s="4" t="s">
        <v>1277</v>
      </c>
      <c r="E10" s="4" t="s">
        <v>1262</v>
      </c>
      <c r="F10" s="4" t="s">
        <v>1262</v>
      </c>
      <c r="G10" s="4" t="s">
        <v>1262</v>
      </c>
      <c r="H10" s="4" t="s">
        <v>1262</v>
      </c>
      <c r="I10" s="4" t="s">
        <v>1262</v>
      </c>
      <c r="J10" s="4" t="s">
        <v>1262</v>
      </c>
      <c r="K10" s="4" t="s">
        <v>1262</v>
      </c>
      <c r="L10" s="1">
        <v>0.0</v>
      </c>
    </row>
    <row r="11" ht="12.75" customHeight="1">
      <c r="A11" s="5">
        <v>10.0</v>
      </c>
      <c r="B11" s="4" t="s">
        <v>1298</v>
      </c>
      <c r="C11" s="4" t="s">
        <v>1298</v>
      </c>
      <c r="D11" s="4" t="s">
        <v>1277</v>
      </c>
      <c r="E11" s="4" t="s">
        <v>1310</v>
      </c>
      <c r="F11" s="4" t="s">
        <v>1311</v>
      </c>
      <c r="G11" s="4" t="s">
        <v>1300</v>
      </c>
      <c r="H11" s="4" t="s">
        <v>1312</v>
      </c>
      <c r="I11" s="4" t="s">
        <v>948</v>
      </c>
      <c r="J11" s="4" t="s">
        <v>946</v>
      </c>
      <c r="K11" s="4" t="s">
        <v>1287</v>
      </c>
      <c r="L11" s="1">
        <v>692.0</v>
      </c>
    </row>
    <row r="12" ht="12.75" customHeight="1">
      <c r="A12" s="5">
        <v>11.0</v>
      </c>
      <c r="B12" s="4" t="s">
        <v>1298</v>
      </c>
      <c r="C12" s="4" t="s">
        <v>1298</v>
      </c>
      <c r="D12" s="4" t="s">
        <v>1277</v>
      </c>
      <c r="E12" s="4" t="s">
        <v>1299</v>
      </c>
      <c r="F12" s="4" t="s">
        <v>1300</v>
      </c>
      <c r="G12" s="4" t="s">
        <v>1313</v>
      </c>
      <c r="H12" s="4" t="s">
        <v>1301</v>
      </c>
      <c r="I12" s="4" t="s">
        <v>948</v>
      </c>
      <c r="J12" s="4" t="s">
        <v>946</v>
      </c>
      <c r="K12" s="4" t="s">
        <v>1287</v>
      </c>
      <c r="L12" s="1">
        <v>699.0</v>
      </c>
    </row>
    <row r="13" ht="12.75" customHeight="1">
      <c r="A13" s="5">
        <v>12.0</v>
      </c>
      <c r="B13" s="4" t="s">
        <v>1314</v>
      </c>
      <c r="C13" s="4" t="s">
        <v>1314</v>
      </c>
      <c r="D13" s="4" t="s">
        <v>1277</v>
      </c>
      <c r="E13" s="4" t="s">
        <v>1315</v>
      </c>
      <c r="F13" s="4" t="s">
        <v>1313</v>
      </c>
      <c r="G13" s="4" t="s">
        <v>1289</v>
      </c>
      <c r="H13" s="4" t="s">
        <v>1316</v>
      </c>
      <c r="I13" s="4" t="s">
        <v>953</v>
      </c>
      <c r="J13" s="4" t="s">
        <v>952</v>
      </c>
      <c r="K13" s="4" t="s">
        <v>1317</v>
      </c>
      <c r="L13" s="1">
        <v>706.0</v>
      </c>
    </row>
    <row r="14" ht="12.75" customHeight="1">
      <c r="A14" s="5">
        <v>13.0</v>
      </c>
      <c r="B14" s="4" t="s">
        <v>1283</v>
      </c>
      <c r="C14" s="4" t="s">
        <v>1283</v>
      </c>
      <c r="D14" s="4" t="s">
        <v>1277</v>
      </c>
      <c r="E14" s="4" t="s">
        <v>1318</v>
      </c>
      <c r="F14" s="4" t="s">
        <v>1289</v>
      </c>
      <c r="G14" s="4" t="s">
        <v>1319</v>
      </c>
      <c r="H14" s="4" t="s">
        <v>1320</v>
      </c>
      <c r="I14" s="4" t="s">
        <v>943</v>
      </c>
      <c r="J14" s="4" t="s">
        <v>941</v>
      </c>
      <c r="K14" s="4" t="s">
        <v>1287</v>
      </c>
      <c r="L14" s="1">
        <v>716.0</v>
      </c>
    </row>
    <row r="15" ht="12.75" customHeight="1">
      <c r="A15" s="5">
        <v>14.0</v>
      </c>
      <c r="B15" s="4" t="s">
        <v>1291</v>
      </c>
      <c r="C15" s="4" t="s">
        <v>1291</v>
      </c>
      <c r="D15" s="4" t="s">
        <v>1277</v>
      </c>
      <c r="E15" s="4" t="s">
        <v>1321</v>
      </c>
      <c r="F15" s="4" t="s">
        <v>1319</v>
      </c>
      <c r="G15" s="4" t="s">
        <v>1322</v>
      </c>
      <c r="H15" s="4" t="s">
        <v>1323</v>
      </c>
      <c r="I15" s="4" t="s">
        <v>955</v>
      </c>
      <c r="J15" s="4" t="s">
        <v>954</v>
      </c>
      <c r="K15" s="4" t="s">
        <v>1282</v>
      </c>
      <c r="L15" s="1">
        <v>865.0</v>
      </c>
    </row>
    <row r="16" ht="12.75" customHeight="1">
      <c r="A16" s="5">
        <v>15.0</v>
      </c>
      <c r="B16" s="4" t="s">
        <v>1302</v>
      </c>
      <c r="C16" s="4" t="s">
        <v>1302</v>
      </c>
      <c r="D16" s="4" t="s">
        <v>1277</v>
      </c>
      <c r="E16" s="4" t="s">
        <v>1324</v>
      </c>
      <c r="F16" s="4" t="s">
        <v>1322</v>
      </c>
      <c r="G16" s="4" t="s">
        <v>1300</v>
      </c>
      <c r="H16" s="4" t="s">
        <v>1325</v>
      </c>
      <c r="I16" s="4" t="s">
        <v>956</v>
      </c>
      <c r="J16" s="4" t="s">
        <v>946</v>
      </c>
      <c r="K16" s="4" t="s">
        <v>1282</v>
      </c>
      <c r="L16" s="1">
        <v>1113.0</v>
      </c>
    </row>
    <row r="17" ht="12.75" customHeight="1">
      <c r="A17" s="5">
        <v>16.0</v>
      </c>
      <c r="B17" s="4" t="s">
        <v>1298</v>
      </c>
      <c r="C17" s="4" t="s">
        <v>1298</v>
      </c>
      <c r="D17" s="4" t="s">
        <v>1277</v>
      </c>
      <c r="E17" s="4" t="s">
        <v>1326</v>
      </c>
      <c r="F17" s="4" t="s">
        <v>1300</v>
      </c>
      <c r="G17" s="4" t="s">
        <v>1289</v>
      </c>
      <c r="H17" s="4" t="s">
        <v>1312</v>
      </c>
      <c r="I17" s="4" t="s">
        <v>948</v>
      </c>
      <c r="J17" s="4" t="s">
        <v>946</v>
      </c>
      <c r="K17" s="4" t="s">
        <v>1327</v>
      </c>
      <c r="L17" s="1">
        <v>1452.0</v>
      </c>
    </row>
    <row r="18" ht="12.75" customHeight="1">
      <c r="A18" s="5">
        <v>17.0</v>
      </c>
      <c r="B18" s="4" t="str">
        <f>company!C18</f>
        <v>Financial Services</v>
      </c>
      <c r="C18" s="4" t="str">
        <f>company!D18</f>
        <v>Insurance</v>
      </c>
      <c r="D18" s="4" t="s">
        <v>1277</v>
      </c>
      <c r="E18" s="4" t="s">
        <v>1262</v>
      </c>
      <c r="F18" s="4" t="s">
        <v>1262</v>
      </c>
      <c r="G18" s="4" t="s">
        <v>1262</v>
      </c>
      <c r="H18" s="4" t="s">
        <v>1262</v>
      </c>
      <c r="I18" s="4" t="s">
        <v>1262</v>
      </c>
      <c r="J18" s="4" t="s">
        <v>1262</v>
      </c>
      <c r="K18" s="4" t="s">
        <v>1262</v>
      </c>
      <c r="L18" s="1">
        <v>0.0</v>
      </c>
    </row>
    <row r="19" ht="12.75" customHeight="1">
      <c r="A19" s="5">
        <v>18.0</v>
      </c>
      <c r="B19" s="4" t="s">
        <v>1283</v>
      </c>
      <c r="C19" s="4" t="s">
        <v>1283</v>
      </c>
      <c r="D19" s="4" t="s">
        <v>1277</v>
      </c>
      <c r="E19" s="4" t="s">
        <v>1318</v>
      </c>
      <c r="F19" s="4" t="s">
        <v>1289</v>
      </c>
      <c r="G19" s="4" t="s">
        <v>1328</v>
      </c>
      <c r="H19" s="4" t="s">
        <v>1320</v>
      </c>
      <c r="I19" s="4" t="s">
        <v>943</v>
      </c>
      <c r="J19" s="4" t="s">
        <v>941</v>
      </c>
      <c r="K19" s="4" t="s">
        <v>1287</v>
      </c>
      <c r="L19" s="1">
        <v>1857.0</v>
      </c>
    </row>
    <row r="20" ht="12.75" customHeight="1">
      <c r="A20" s="5">
        <v>19.0</v>
      </c>
      <c r="B20" s="4" t="s">
        <v>1298</v>
      </c>
      <c r="C20" s="4" t="s">
        <v>1298</v>
      </c>
      <c r="D20" s="4" t="s">
        <v>1277</v>
      </c>
      <c r="E20" s="4" t="s">
        <v>1329</v>
      </c>
      <c r="F20" s="4" t="s">
        <v>1300</v>
      </c>
      <c r="G20" s="4" t="s">
        <v>1289</v>
      </c>
      <c r="H20" s="4" t="s">
        <v>1330</v>
      </c>
      <c r="I20" s="4" t="s">
        <v>948</v>
      </c>
      <c r="J20" s="4" t="s">
        <v>946</v>
      </c>
      <c r="K20" s="4" t="s">
        <v>1287</v>
      </c>
      <c r="L20" s="1">
        <v>1875.0</v>
      </c>
    </row>
    <row r="21" ht="12.75" customHeight="1">
      <c r="A21" s="5">
        <v>20.0</v>
      </c>
      <c r="B21" s="4" t="s">
        <v>1276</v>
      </c>
      <c r="C21" s="4" t="s">
        <v>1276</v>
      </c>
      <c r="D21" s="4" t="s">
        <v>1277</v>
      </c>
      <c r="E21" s="4" t="s">
        <v>1331</v>
      </c>
      <c r="F21" s="4" t="s">
        <v>1328</v>
      </c>
      <c r="G21" s="4" t="s">
        <v>1300</v>
      </c>
      <c r="H21" s="4" t="s">
        <v>1332</v>
      </c>
      <c r="I21" s="4" t="s">
        <v>958</v>
      </c>
      <c r="J21" s="4" t="s">
        <v>954</v>
      </c>
      <c r="K21" s="4" t="s">
        <v>1282</v>
      </c>
      <c r="L21" s="1">
        <v>2017.0</v>
      </c>
    </row>
    <row r="22" ht="12.75" customHeight="1">
      <c r="A22" s="5">
        <v>21.0</v>
      </c>
      <c r="B22" s="4" t="str">
        <f>company!C22</f>
        <v>Consumer Discretionary</v>
      </c>
      <c r="C22" s="4" t="str">
        <f>company!D22</f>
        <v>Hospitality</v>
      </c>
      <c r="D22" s="4" t="s">
        <v>1277</v>
      </c>
      <c r="E22" s="4" t="s">
        <v>1262</v>
      </c>
      <c r="F22" s="4" t="s">
        <v>1262</v>
      </c>
      <c r="G22" s="4" t="s">
        <v>1262</v>
      </c>
      <c r="H22" s="4" t="s">
        <v>1262</v>
      </c>
      <c r="I22" s="4" t="s">
        <v>1262</v>
      </c>
      <c r="J22" s="4" t="s">
        <v>1262</v>
      </c>
      <c r="K22" s="4" t="s">
        <v>1262</v>
      </c>
      <c r="L22" s="1">
        <v>0.0</v>
      </c>
    </row>
    <row r="23" ht="12.75" customHeight="1">
      <c r="A23" s="5">
        <v>22.0</v>
      </c>
      <c r="B23" s="4" t="s">
        <v>1283</v>
      </c>
      <c r="C23" s="4" t="s">
        <v>1283</v>
      </c>
      <c r="D23" s="4" t="s">
        <v>1277</v>
      </c>
      <c r="E23" s="4" t="s">
        <v>1288</v>
      </c>
      <c r="F23" s="4" t="s">
        <v>1289</v>
      </c>
      <c r="G23" s="4" t="s">
        <v>1300</v>
      </c>
      <c r="H23" s="4" t="s">
        <v>1290</v>
      </c>
      <c r="I23" s="4" t="s">
        <v>943</v>
      </c>
      <c r="J23" s="4" t="s">
        <v>941</v>
      </c>
      <c r="K23" s="4" t="s">
        <v>1287</v>
      </c>
      <c r="L23" s="1">
        <v>2191.0</v>
      </c>
    </row>
    <row r="24" ht="12.75" customHeight="1">
      <c r="A24" s="5">
        <v>23.0</v>
      </c>
      <c r="B24" s="4" t="s">
        <v>1298</v>
      </c>
      <c r="C24" s="4" t="s">
        <v>1298</v>
      </c>
      <c r="D24" s="4" t="s">
        <v>1277</v>
      </c>
      <c r="E24" s="4" t="s">
        <v>1333</v>
      </c>
      <c r="F24" s="4" t="s">
        <v>1300</v>
      </c>
      <c r="G24" s="4" t="s">
        <v>1334</v>
      </c>
      <c r="H24" s="4" t="s">
        <v>1312</v>
      </c>
      <c r="I24" s="4" t="s">
        <v>948</v>
      </c>
      <c r="J24" s="4" t="s">
        <v>946</v>
      </c>
      <c r="K24" s="4" t="s">
        <v>1287</v>
      </c>
      <c r="L24" s="1">
        <v>2695.0</v>
      </c>
    </row>
    <row r="25" ht="12.75" customHeight="1">
      <c r="A25" s="5">
        <v>24.0</v>
      </c>
      <c r="B25" s="4" t="str">
        <f>company!C25</f>
        <v>Industrials</v>
      </c>
      <c r="C25" s="4" t="str">
        <f>company!D25</f>
        <v>Machinery</v>
      </c>
      <c r="D25" s="4" t="s">
        <v>1277</v>
      </c>
      <c r="E25" s="4" t="s">
        <v>1262</v>
      </c>
      <c r="F25" s="4" t="s">
        <v>1262</v>
      </c>
      <c r="G25" s="4" t="s">
        <v>1262</v>
      </c>
      <c r="H25" s="4" t="s">
        <v>1262</v>
      </c>
      <c r="I25" s="4" t="s">
        <v>1262</v>
      </c>
      <c r="J25" s="4" t="s">
        <v>1262</v>
      </c>
      <c r="K25" s="4" t="s">
        <v>1262</v>
      </c>
      <c r="L25" s="1">
        <v>0.0</v>
      </c>
    </row>
    <row r="26" ht="12.75" customHeight="1">
      <c r="A26" s="5">
        <v>25.0</v>
      </c>
      <c r="B26" s="4" t="str">
        <f>company!C26</f>
        <v>Communication Services</v>
      </c>
      <c r="C26" s="4" t="str">
        <f>company!D26</f>
        <v>Entertainment</v>
      </c>
      <c r="D26" s="4" t="s">
        <v>1277</v>
      </c>
      <c r="E26" s="4" t="s">
        <v>1262</v>
      </c>
      <c r="F26" s="4" t="s">
        <v>1262</v>
      </c>
      <c r="G26" s="4" t="s">
        <v>1262</v>
      </c>
      <c r="H26" s="4" t="s">
        <v>1262</v>
      </c>
      <c r="I26" s="4" t="s">
        <v>1262</v>
      </c>
      <c r="J26" s="4" t="s">
        <v>1262</v>
      </c>
      <c r="K26" s="4" t="s">
        <v>1262</v>
      </c>
      <c r="L26" s="1">
        <v>0.0</v>
      </c>
    </row>
    <row r="27" ht="12.75" customHeight="1">
      <c r="A27" s="5">
        <v>26.0</v>
      </c>
      <c r="B27" s="4" t="str">
        <f>company!C27</f>
        <v>Energy</v>
      </c>
      <c r="C27" s="4" t="str">
        <f>company!D27</f>
        <v>Oil and Gas</v>
      </c>
      <c r="D27" s="4" t="s">
        <v>1277</v>
      </c>
      <c r="E27" s="4" t="s">
        <v>1262</v>
      </c>
      <c r="F27" s="4" t="s">
        <v>1262</v>
      </c>
      <c r="G27" s="4" t="s">
        <v>1262</v>
      </c>
      <c r="H27" s="4" t="s">
        <v>1262</v>
      </c>
      <c r="I27" s="4" t="s">
        <v>1262</v>
      </c>
      <c r="J27" s="4" t="s">
        <v>1262</v>
      </c>
      <c r="K27" s="4" t="s">
        <v>1262</v>
      </c>
      <c r="L27" s="1">
        <v>0.0</v>
      </c>
    </row>
    <row r="28" ht="12.75" customHeight="1">
      <c r="A28" s="5">
        <v>27.0</v>
      </c>
      <c r="B28" s="4" t="s">
        <v>1291</v>
      </c>
      <c r="C28" s="4" t="s">
        <v>1291</v>
      </c>
      <c r="D28" s="4" t="s">
        <v>1277</v>
      </c>
      <c r="E28" s="4" t="s">
        <v>1335</v>
      </c>
      <c r="F28" s="4" t="s">
        <v>1336</v>
      </c>
      <c r="G28" s="4" t="s">
        <v>1337</v>
      </c>
      <c r="H28" s="4" t="s">
        <v>1297</v>
      </c>
      <c r="I28" s="4" t="s">
        <v>947</v>
      </c>
      <c r="J28" s="4" t="s">
        <v>946</v>
      </c>
      <c r="K28" s="4" t="s">
        <v>1282</v>
      </c>
      <c r="L28" s="1">
        <v>3329.0</v>
      </c>
    </row>
    <row r="29" ht="12.75" customHeight="1">
      <c r="A29" s="5">
        <v>28.0</v>
      </c>
      <c r="B29" s="4" t="s">
        <v>1298</v>
      </c>
      <c r="C29" s="4" t="s">
        <v>1298</v>
      </c>
      <c r="D29" s="4" t="s">
        <v>1277</v>
      </c>
      <c r="E29" s="4" t="s">
        <v>1326</v>
      </c>
      <c r="F29" s="4" t="s">
        <v>1300</v>
      </c>
      <c r="G29" s="4" t="s">
        <v>1338</v>
      </c>
      <c r="H29" s="4" t="s">
        <v>1312</v>
      </c>
      <c r="I29" s="4" t="s">
        <v>948</v>
      </c>
      <c r="J29" s="4" t="s">
        <v>946</v>
      </c>
      <c r="K29" s="4" t="s">
        <v>1282</v>
      </c>
      <c r="L29" s="1">
        <v>3398.0</v>
      </c>
    </row>
    <row r="30" ht="12.75" customHeight="1">
      <c r="A30" s="5">
        <v>29.0</v>
      </c>
      <c r="B30" s="4" t="s">
        <v>1306</v>
      </c>
      <c r="C30" s="4" t="s">
        <v>1306</v>
      </c>
      <c r="D30" s="4" t="s">
        <v>1277</v>
      </c>
      <c r="E30" s="4" t="s">
        <v>1339</v>
      </c>
      <c r="F30" s="4" t="s">
        <v>1334</v>
      </c>
      <c r="G30" s="4" t="s">
        <v>1340</v>
      </c>
      <c r="H30" s="4" t="s">
        <v>1341</v>
      </c>
      <c r="I30" s="4" t="s">
        <v>959</v>
      </c>
      <c r="J30" s="4" t="s">
        <v>950</v>
      </c>
      <c r="K30" s="4" t="s">
        <v>1282</v>
      </c>
      <c r="L30" s="1">
        <v>3564.0</v>
      </c>
    </row>
    <row r="31" ht="12.75" customHeight="1">
      <c r="A31" s="5">
        <v>30.0</v>
      </c>
      <c r="B31" s="4" t="s">
        <v>1306</v>
      </c>
      <c r="C31" s="4" t="s">
        <v>1306</v>
      </c>
      <c r="D31" s="4" t="s">
        <v>1277</v>
      </c>
      <c r="E31" s="4" t="s">
        <v>1342</v>
      </c>
      <c r="F31" s="4" t="s">
        <v>1343</v>
      </c>
      <c r="G31" s="4" t="s">
        <v>1344</v>
      </c>
      <c r="H31" s="4" t="s">
        <v>1345</v>
      </c>
      <c r="I31" s="4" t="s">
        <v>940</v>
      </c>
      <c r="J31" s="4" t="s">
        <v>939</v>
      </c>
      <c r="K31" s="4" t="s">
        <v>1282</v>
      </c>
      <c r="L31" s="1">
        <v>3551.0</v>
      </c>
    </row>
    <row r="32" ht="12.75" customHeight="1">
      <c r="A32" s="5">
        <v>31.0</v>
      </c>
      <c r="B32" s="4" t="s">
        <v>1302</v>
      </c>
      <c r="C32" s="4" t="s">
        <v>1302</v>
      </c>
      <c r="D32" s="4" t="s">
        <v>1277</v>
      </c>
      <c r="E32" s="4" t="s">
        <v>1346</v>
      </c>
      <c r="F32" s="4" t="s">
        <v>1347</v>
      </c>
      <c r="G32" s="4" t="s">
        <v>1348</v>
      </c>
      <c r="H32" s="4" t="s">
        <v>1349</v>
      </c>
      <c r="I32" s="4" t="s">
        <v>956</v>
      </c>
      <c r="J32" s="4" t="s">
        <v>946</v>
      </c>
      <c r="K32" s="4" t="s">
        <v>1287</v>
      </c>
      <c r="L32" s="1">
        <v>3635.0</v>
      </c>
    </row>
    <row r="33" ht="12.75" customHeight="1">
      <c r="A33" s="5">
        <v>32.0</v>
      </c>
      <c r="B33" s="4" t="s">
        <v>1350</v>
      </c>
      <c r="C33" s="4" t="s">
        <v>1350</v>
      </c>
      <c r="D33" s="4" t="s">
        <v>1277</v>
      </c>
      <c r="E33" s="4" t="s">
        <v>1351</v>
      </c>
      <c r="F33" s="4" t="s">
        <v>1352</v>
      </c>
      <c r="G33" s="4" t="s">
        <v>1289</v>
      </c>
      <c r="H33" s="4" t="s">
        <v>1353</v>
      </c>
      <c r="I33" s="4" t="s">
        <v>961</v>
      </c>
      <c r="J33" s="4" t="s">
        <v>960</v>
      </c>
      <c r="K33" s="4" t="s">
        <v>1282</v>
      </c>
      <c r="L33" s="1">
        <v>3751.0</v>
      </c>
    </row>
    <row r="34" ht="12.75" customHeight="1">
      <c r="A34" s="5">
        <v>33.0</v>
      </c>
      <c r="B34" s="4" t="s">
        <v>1306</v>
      </c>
      <c r="C34" s="4" t="s">
        <v>1306</v>
      </c>
      <c r="D34" s="4" t="s">
        <v>1277</v>
      </c>
      <c r="E34" s="4" t="s">
        <v>1354</v>
      </c>
      <c r="F34" s="4" t="s">
        <v>1337</v>
      </c>
      <c r="G34" s="4" t="s">
        <v>1355</v>
      </c>
      <c r="H34" s="4" t="s">
        <v>1356</v>
      </c>
      <c r="I34" s="4" t="s">
        <v>963</v>
      </c>
      <c r="J34" s="4" t="s">
        <v>962</v>
      </c>
      <c r="K34" s="4" t="s">
        <v>1357</v>
      </c>
      <c r="L34" s="1">
        <v>3944.0</v>
      </c>
    </row>
    <row r="35" ht="12.75" customHeight="1">
      <c r="A35" s="5">
        <v>34.0</v>
      </c>
      <c r="B35" s="4" t="s">
        <v>1283</v>
      </c>
      <c r="C35" s="4" t="s">
        <v>1283</v>
      </c>
      <c r="D35" s="4" t="s">
        <v>1277</v>
      </c>
      <c r="E35" s="4" t="s">
        <v>1358</v>
      </c>
      <c r="F35" s="4" t="s">
        <v>1338</v>
      </c>
      <c r="G35" s="4" t="s">
        <v>1359</v>
      </c>
      <c r="H35" s="4" t="s">
        <v>1360</v>
      </c>
      <c r="I35" s="4" t="s">
        <v>942</v>
      </c>
      <c r="J35" s="4" t="s">
        <v>941</v>
      </c>
      <c r="K35" s="4" t="s">
        <v>1317</v>
      </c>
      <c r="L35" s="1">
        <v>4151.0</v>
      </c>
    </row>
    <row r="36" ht="12.75" customHeight="1">
      <c r="A36" s="5">
        <v>35.0</v>
      </c>
      <c r="B36" s="4" t="str">
        <f>company!C36</f>
        <v>Healthcare</v>
      </c>
      <c r="C36" s="4" t="str">
        <f>company!D36</f>
        <v>Diagnostics</v>
      </c>
      <c r="D36" s="4" t="s">
        <v>1277</v>
      </c>
      <c r="E36" s="4" t="s">
        <v>1262</v>
      </c>
      <c r="F36" s="4" t="s">
        <v>1262</v>
      </c>
      <c r="G36" s="4" t="s">
        <v>1262</v>
      </c>
      <c r="H36" s="4" t="s">
        <v>1262</v>
      </c>
      <c r="I36" s="4" t="s">
        <v>1262</v>
      </c>
      <c r="J36" s="4" t="s">
        <v>1262</v>
      </c>
      <c r="K36" s="4" t="s">
        <v>1262</v>
      </c>
      <c r="L36" s="1">
        <v>0.0</v>
      </c>
    </row>
    <row r="37" ht="12.75" customHeight="1">
      <c r="A37" s="5">
        <v>36.0</v>
      </c>
      <c r="B37" s="4" t="s">
        <v>939</v>
      </c>
      <c r="C37" s="4" t="s">
        <v>939</v>
      </c>
      <c r="D37" s="4" t="s">
        <v>1277</v>
      </c>
      <c r="E37" s="4" t="s">
        <v>1361</v>
      </c>
      <c r="F37" s="4" t="s">
        <v>1340</v>
      </c>
      <c r="G37" s="4" t="s">
        <v>1362</v>
      </c>
      <c r="H37" s="4" t="s">
        <v>1363</v>
      </c>
      <c r="I37" s="4" t="s">
        <v>940</v>
      </c>
      <c r="J37" s="4" t="s">
        <v>939</v>
      </c>
      <c r="K37" s="4" t="s">
        <v>1287</v>
      </c>
      <c r="L37" s="1">
        <v>4826.0</v>
      </c>
    </row>
    <row r="38" ht="12.75" customHeight="1">
      <c r="A38" s="5">
        <v>37.0</v>
      </c>
      <c r="B38" s="4" t="s">
        <v>1364</v>
      </c>
      <c r="C38" s="4" t="s">
        <v>1364</v>
      </c>
      <c r="D38" s="4" t="s">
        <v>1277</v>
      </c>
      <c r="E38" s="4" t="s">
        <v>1365</v>
      </c>
      <c r="F38" s="4" t="s">
        <v>1344</v>
      </c>
      <c r="G38" s="4" t="s">
        <v>1366</v>
      </c>
      <c r="H38" s="4" t="s">
        <v>1367</v>
      </c>
      <c r="I38" s="4" t="s">
        <v>965</v>
      </c>
      <c r="J38" s="4" t="s">
        <v>964</v>
      </c>
      <c r="K38" s="4" t="s">
        <v>1327</v>
      </c>
      <c r="L38" s="1">
        <v>5052.0</v>
      </c>
    </row>
    <row r="39" ht="12.75" customHeight="1">
      <c r="A39" s="5">
        <v>38.0</v>
      </c>
      <c r="B39" s="4" t="s">
        <v>939</v>
      </c>
      <c r="C39" s="4" t="s">
        <v>939</v>
      </c>
      <c r="D39" s="4" t="s">
        <v>1277</v>
      </c>
      <c r="E39" s="4" t="s">
        <v>1368</v>
      </c>
      <c r="F39" s="4" t="s">
        <v>1348</v>
      </c>
      <c r="G39" s="4" t="s">
        <v>1369</v>
      </c>
      <c r="H39" s="4" t="s">
        <v>1281</v>
      </c>
      <c r="I39" s="4" t="s">
        <v>940</v>
      </c>
      <c r="J39" s="4" t="s">
        <v>939</v>
      </c>
      <c r="K39" s="4" t="s">
        <v>1282</v>
      </c>
      <c r="L39" s="1">
        <v>73894.0</v>
      </c>
    </row>
    <row r="40" ht="12.75" customHeight="1">
      <c r="A40" s="5">
        <v>39.0</v>
      </c>
      <c r="B40" s="4" t="s">
        <v>1283</v>
      </c>
      <c r="C40" s="4" t="s">
        <v>1283</v>
      </c>
      <c r="D40" s="4" t="s">
        <v>1277</v>
      </c>
      <c r="E40" s="4" t="s">
        <v>1288</v>
      </c>
      <c r="F40" s="4" t="s">
        <v>1289</v>
      </c>
      <c r="G40" s="4" t="s">
        <v>1289</v>
      </c>
      <c r="H40" s="4" t="s">
        <v>1290</v>
      </c>
      <c r="I40" s="4" t="s">
        <v>943</v>
      </c>
      <c r="J40" s="4" t="s">
        <v>941</v>
      </c>
      <c r="K40" s="4" t="s">
        <v>1287</v>
      </c>
      <c r="L40" s="1">
        <v>5377.0</v>
      </c>
    </row>
    <row r="41" ht="12.75" customHeight="1">
      <c r="A41" s="5">
        <v>40.0</v>
      </c>
      <c r="B41" s="4" t="str">
        <f>company!C41</f>
        <v>Industrials</v>
      </c>
      <c r="C41" s="4" t="str">
        <f>company!D41</f>
        <v>Machinery</v>
      </c>
      <c r="D41" s="4" t="s">
        <v>1277</v>
      </c>
      <c r="E41" s="4" t="s">
        <v>1262</v>
      </c>
      <c r="F41" s="4" t="s">
        <v>1262</v>
      </c>
      <c r="G41" s="4" t="s">
        <v>1262</v>
      </c>
      <c r="H41" s="4" t="s">
        <v>1262</v>
      </c>
      <c r="I41" s="4" t="s">
        <v>1262</v>
      </c>
      <c r="J41" s="4" t="s">
        <v>1262</v>
      </c>
      <c r="K41" s="4" t="s">
        <v>1262</v>
      </c>
      <c r="L41" s="1">
        <v>0.0</v>
      </c>
    </row>
    <row r="42" ht="12.75" customHeight="1">
      <c r="A42" s="5">
        <v>41.0</v>
      </c>
      <c r="B42" s="4" t="s">
        <v>1364</v>
      </c>
      <c r="C42" s="4" t="s">
        <v>1364</v>
      </c>
      <c r="D42" s="4" t="s">
        <v>1277</v>
      </c>
      <c r="E42" s="4" t="s">
        <v>1370</v>
      </c>
      <c r="F42" s="4" t="s">
        <v>1355</v>
      </c>
      <c r="G42" s="4" t="s">
        <v>1371</v>
      </c>
      <c r="H42" s="4" t="s">
        <v>1372</v>
      </c>
      <c r="I42" s="4" t="s">
        <v>966</v>
      </c>
      <c r="J42" s="4" t="s">
        <v>964</v>
      </c>
      <c r="K42" s="4" t="s">
        <v>1282</v>
      </c>
      <c r="L42" s="1">
        <v>6113.0</v>
      </c>
    </row>
    <row r="43" ht="12.75" customHeight="1">
      <c r="A43" s="5">
        <v>42.0</v>
      </c>
      <c r="B43" s="4" t="str">
        <f>company!C43</f>
        <v>Energy</v>
      </c>
      <c r="C43" s="4" t="str">
        <f>company!D43</f>
        <v>Oil and Gas</v>
      </c>
      <c r="D43" s="4" t="s">
        <v>1277</v>
      </c>
      <c r="E43" s="4" t="s">
        <v>1262</v>
      </c>
      <c r="F43" s="4" t="s">
        <v>1262</v>
      </c>
      <c r="G43" s="4" t="s">
        <v>1262</v>
      </c>
      <c r="H43" s="4" t="s">
        <v>1262</v>
      </c>
      <c r="I43" s="4" t="s">
        <v>1262</v>
      </c>
      <c r="J43" s="4" t="s">
        <v>1262</v>
      </c>
      <c r="K43" s="4" t="s">
        <v>1262</v>
      </c>
      <c r="L43" s="1">
        <v>0.0</v>
      </c>
    </row>
    <row r="44" ht="12.75" customHeight="1">
      <c r="A44" s="5">
        <v>43.0</v>
      </c>
      <c r="B44" s="4" t="str">
        <f>company!C44</f>
        <v>Communication Services</v>
      </c>
      <c r="C44" s="4" t="str">
        <f>company!D44</f>
        <v>Internet Content</v>
      </c>
      <c r="D44" s="4" t="s">
        <v>1277</v>
      </c>
      <c r="E44" s="4" t="s">
        <v>1262</v>
      </c>
      <c r="F44" s="4" t="s">
        <v>1262</v>
      </c>
      <c r="G44" s="4" t="s">
        <v>1262</v>
      </c>
      <c r="H44" s="4" t="s">
        <v>1262</v>
      </c>
      <c r="I44" s="4" t="s">
        <v>1262</v>
      </c>
      <c r="J44" s="4" t="s">
        <v>1262</v>
      </c>
      <c r="K44" s="4" t="s">
        <v>1262</v>
      </c>
      <c r="L44" s="1">
        <v>0.0</v>
      </c>
    </row>
    <row r="45" ht="12.75" customHeight="1">
      <c r="A45" s="5">
        <v>44.0</v>
      </c>
      <c r="B45" s="4" t="s">
        <v>1276</v>
      </c>
      <c r="C45" s="4" t="s">
        <v>1276</v>
      </c>
      <c r="D45" s="4" t="s">
        <v>1277</v>
      </c>
      <c r="E45" s="4" t="s">
        <v>1373</v>
      </c>
      <c r="F45" s="4" t="s">
        <v>1359</v>
      </c>
      <c r="G45" s="4" t="s">
        <v>1374</v>
      </c>
      <c r="H45" s="4" t="s">
        <v>1375</v>
      </c>
      <c r="I45" s="4" t="s">
        <v>968</v>
      </c>
      <c r="J45" s="4" t="s">
        <v>967</v>
      </c>
      <c r="K45" s="4" t="s">
        <v>1282</v>
      </c>
      <c r="L45" s="1">
        <v>6287.0</v>
      </c>
    </row>
    <row r="46" ht="12.75" customHeight="1">
      <c r="A46" s="5">
        <v>45.0</v>
      </c>
      <c r="B46" s="4" t="s">
        <v>1376</v>
      </c>
      <c r="C46" s="4" t="s">
        <v>1376</v>
      </c>
      <c r="D46" s="4" t="s">
        <v>1277</v>
      </c>
      <c r="E46" s="4" t="s">
        <v>1377</v>
      </c>
      <c r="F46" s="4" t="s">
        <v>1369</v>
      </c>
      <c r="G46" s="4" t="s">
        <v>1378</v>
      </c>
      <c r="H46" s="4" t="s">
        <v>1379</v>
      </c>
      <c r="I46" s="4" t="s">
        <v>958</v>
      </c>
      <c r="J46" s="4" t="s">
        <v>954</v>
      </c>
      <c r="K46" s="4" t="s">
        <v>1282</v>
      </c>
      <c r="L46" s="1">
        <v>6595.0</v>
      </c>
    </row>
    <row r="47" ht="12.75" customHeight="1">
      <c r="A47" s="5">
        <v>46.0</v>
      </c>
      <c r="B47" s="4" t="s">
        <v>1276</v>
      </c>
      <c r="C47" s="4" t="s">
        <v>1276</v>
      </c>
      <c r="D47" s="4" t="s">
        <v>1277</v>
      </c>
      <c r="E47" s="4" t="s">
        <v>1380</v>
      </c>
      <c r="F47" s="4" t="s">
        <v>1362</v>
      </c>
      <c r="G47" s="4" t="s">
        <v>1300</v>
      </c>
      <c r="H47" s="4" t="s">
        <v>1381</v>
      </c>
      <c r="I47" s="4" t="s">
        <v>955</v>
      </c>
      <c r="J47" s="4" t="s">
        <v>954</v>
      </c>
      <c r="K47" s="4" t="s">
        <v>1282</v>
      </c>
      <c r="L47" s="1">
        <v>7147.0</v>
      </c>
    </row>
    <row r="48" ht="12.75" customHeight="1">
      <c r="A48" s="5">
        <v>47.0</v>
      </c>
      <c r="B48" s="4" t="s">
        <v>1276</v>
      </c>
      <c r="C48" s="4" t="s">
        <v>1276</v>
      </c>
      <c r="D48" s="4" t="s">
        <v>1277</v>
      </c>
      <c r="E48" s="4" t="s">
        <v>1382</v>
      </c>
      <c r="F48" s="4" t="s">
        <v>1366</v>
      </c>
      <c r="G48" s="4" t="s">
        <v>1334</v>
      </c>
      <c r="H48" s="4" t="s">
        <v>1383</v>
      </c>
      <c r="I48" s="4" t="s">
        <v>969</v>
      </c>
      <c r="J48" s="4" t="s">
        <v>954</v>
      </c>
      <c r="K48" s="4" t="s">
        <v>1327</v>
      </c>
      <c r="L48" s="1">
        <v>7166.0</v>
      </c>
    </row>
    <row r="49" ht="12.75" customHeight="1">
      <c r="A49" s="5">
        <v>48.0</v>
      </c>
      <c r="B49" s="4" t="s">
        <v>1376</v>
      </c>
      <c r="C49" s="4" t="s">
        <v>1376</v>
      </c>
      <c r="D49" s="4" t="s">
        <v>1277</v>
      </c>
      <c r="E49" s="4" t="s">
        <v>1377</v>
      </c>
      <c r="F49" s="4" t="s">
        <v>1369</v>
      </c>
      <c r="G49" s="4" t="s">
        <v>1384</v>
      </c>
      <c r="H49" s="4" t="s">
        <v>1379</v>
      </c>
      <c r="I49" s="4" t="s">
        <v>958</v>
      </c>
      <c r="J49" s="4" t="s">
        <v>954</v>
      </c>
      <c r="K49" s="4" t="s">
        <v>1282</v>
      </c>
      <c r="L49" s="1">
        <v>7164.0</v>
      </c>
    </row>
    <row r="50" ht="12.75" customHeight="1">
      <c r="A50" s="5">
        <v>49.0</v>
      </c>
      <c r="B50" s="4" t="s">
        <v>1283</v>
      </c>
      <c r="C50" s="4" t="s">
        <v>1283</v>
      </c>
      <c r="D50" s="4" t="s">
        <v>1277</v>
      </c>
      <c r="E50" s="4" t="s">
        <v>1318</v>
      </c>
      <c r="F50" s="4" t="s">
        <v>1289</v>
      </c>
      <c r="G50" s="4" t="s">
        <v>1371</v>
      </c>
      <c r="H50" s="4" t="s">
        <v>1320</v>
      </c>
      <c r="I50" s="4" t="s">
        <v>943</v>
      </c>
      <c r="J50" s="4" t="s">
        <v>941</v>
      </c>
      <c r="K50" s="4" t="s">
        <v>1287</v>
      </c>
      <c r="L50" s="1">
        <v>7345.0</v>
      </c>
    </row>
    <row r="51" ht="12.75" customHeight="1">
      <c r="A51" s="5">
        <v>50.0</v>
      </c>
      <c r="B51" s="4" t="s">
        <v>1298</v>
      </c>
      <c r="C51" s="4" t="s">
        <v>1298</v>
      </c>
      <c r="D51" s="4" t="s">
        <v>1277</v>
      </c>
      <c r="E51" s="4" t="s">
        <v>1326</v>
      </c>
      <c r="F51" s="4" t="s">
        <v>1300</v>
      </c>
      <c r="G51" s="4" t="s">
        <v>1385</v>
      </c>
      <c r="H51" s="4" t="s">
        <v>1312</v>
      </c>
      <c r="I51" s="4" t="s">
        <v>948</v>
      </c>
      <c r="J51" s="4" t="s">
        <v>946</v>
      </c>
      <c r="K51" s="4" t="s">
        <v>1282</v>
      </c>
      <c r="L51" s="1">
        <v>7599.0</v>
      </c>
    </row>
    <row r="52" ht="12.75" customHeight="1">
      <c r="A52" s="5">
        <v>51.0</v>
      </c>
      <c r="B52" s="4" t="s">
        <v>1376</v>
      </c>
      <c r="C52" s="4" t="s">
        <v>1376</v>
      </c>
      <c r="D52" s="4" t="s">
        <v>1277</v>
      </c>
      <c r="E52" s="4" t="s">
        <v>1386</v>
      </c>
      <c r="F52" s="4" t="s">
        <v>1371</v>
      </c>
      <c r="G52" s="4" t="s">
        <v>1387</v>
      </c>
      <c r="H52" s="4" t="s">
        <v>1388</v>
      </c>
      <c r="I52" s="4" t="s">
        <v>970</v>
      </c>
      <c r="J52" s="4" t="s">
        <v>962</v>
      </c>
      <c r="K52" s="4" t="s">
        <v>1282</v>
      </c>
      <c r="L52" s="1">
        <v>8526.0</v>
      </c>
    </row>
    <row r="53" ht="12.75" customHeight="1">
      <c r="A53" s="5">
        <v>52.0</v>
      </c>
      <c r="B53" s="4" t="s">
        <v>1276</v>
      </c>
      <c r="C53" s="4" t="s">
        <v>1276</v>
      </c>
      <c r="D53" s="4" t="s">
        <v>1277</v>
      </c>
      <c r="E53" s="4" t="s">
        <v>1389</v>
      </c>
      <c r="F53" s="4" t="s">
        <v>1390</v>
      </c>
      <c r="G53" s="4" t="s">
        <v>1391</v>
      </c>
      <c r="H53" s="4" t="s">
        <v>1381</v>
      </c>
      <c r="I53" s="4" t="s">
        <v>955</v>
      </c>
      <c r="J53" s="4" t="s">
        <v>954</v>
      </c>
      <c r="K53" s="4" t="s">
        <v>1282</v>
      </c>
      <c r="L53" s="1">
        <v>8553.0</v>
      </c>
    </row>
    <row r="54" ht="12.75" customHeight="1">
      <c r="A54" s="5">
        <v>53.0</v>
      </c>
      <c r="B54" s="4" t="s">
        <v>1291</v>
      </c>
      <c r="C54" s="4" t="s">
        <v>1291</v>
      </c>
      <c r="D54" s="4" t="s">
        <v>1277</v>
      </c>
      <c r="E54" s="4" t="s">
        <v>1392</v>
      </c>
      <c r="F54" s="4" t="s">
        <v>1393</v>
      </c>
      <c r="G54" s="4" t="s">
        <v>1289</v>
      </c>
      <c r="H54" s="4" t="s">
        <v>1294</v>
      </c>
      <c r="I54" s="4" t="s">
        <v>947</v>
      </c>
      <c r="J54" s="4" t="s">
        <v>946</v>
      </c>
      <c r="K54" s="4" t="s">
        <v>1287</v>
      </c>
      <c r="L54" s="1">
        <v>9284.0</v>
      </c>
    </row>
    <row r="55" ht="12.75" customHeight="1">
      <c r="A55" s="5">
        <v>54.0</v>
      </c>
      <c r="B55" s="4" t="s">
        <v>1291</v>
      </c>
      <c r="C55" s="4" t="s">
        <v>1291</v>
      </c>
      <c r="D55" s="4" t="s">
        <v>1277</v>
      </c>
      <c r="E55" s="4" t="s">
        <v>1394</v>
      </c>
      <c r="F55" s="4" t="s">
        <v>1374</v>
      </c>
      <c r="G55" s="4" t="s">
        <v>1300</v>
      </c>
      <c r="H55" s="4" t="s">
        <v>1395</v>
      </c>
      <c r="I55" s="4" t="s">
        <v>955</v>
      </c>
      <c r="J55" s="4" t="s">
        <v>954</v>
      </c>
      <c r="K55" s="4" t="s">
        <v>1287</v>
      </c>
      <c r="L55" s="1">
        <v>9298.0</v>
      </c>
    </row>
    <row r="56" ht="12.75" customHeight="1">
      <c r="A56" s="5">
        <v>55.0</v>
      </c>
      <c r="B56" s="4" t="s">
        <v>1283</v>
      </c>
      <c r="C56" s="4" t="s">
        <v>1283</v>
      </c>
      <c r="D56" s="4" t="s">
        <v>1277</v>
      </c>
      <c r="E56" s="4" t="s">
        <v>1396</v>
      </c>
      <c r="F56" s="4" t="s">
        <v>1378</v>
      </c>
      <c r="G56" s="4" t="s">
        <v>1296</v>
      </c>
      <c r="H56" s="4" t="s">
        <v>1290</v>
      </c>
      <c r="I56" s="4" t="s">
        <v>943</v>
      </c>
      <c r="J56" s="4" t="s">
        <v>941</v>
      </c>
      <c r="K56" s="4" t="s">
        <v>1282</v>
      </c>
      <c r="L56" s="1">
        <v>9829.0</v>
      </c>
    </row>
    <row r="57" ht="12.75" customHeight="1">
      <c r="A57" s="5">
        <v>56.0</v>
      </c>
      <c r="B57" s="4" t="s">
        <v>1298</v>
      </c>
      <c r="C57" s="4" t="s">
        <v>1298</v>
      </c>
      <c r="D57" s="4" t="s">
        <v>1277</v>
      </c>
      <c r="E57" s="4" t="s">
        <v>1326</v>
      </c>
      <c r="F57" s="4" t="s">
        <v>1300</v>
      </c>
      <c r="G57" s="4" t="s">
        <v>1334</v>
      </c>
      <c r="H57" s="4" t="s">
        <v>1312</v>
      </c>
      <c r="I57" s="4" t="s">
        <v>948</v>
      </c>
      <c r="J57" s="4" t="s">
        <v>946</v>
      </c>
      <c r="K57" s="4" t="s">
        <v>1282</v>
      </c>
      <c r="L57" s="1">
        <v>9871.0</v>
      </c>
    </row>
    <row r="58" ht="12.75" customHeight="1">
      <c r="A58" s="5">
        <v>57.0</v>
      </c>
      <c r="B58" s="4" t="str">
        <f>company!C58</f>
        <v>Energy</v>
      </c>
      <c r="C58" s="4" t="str">
        <f>company!D58</f>
        <v>Oil and Gas</v>
      </c>
      <c r="D58" s="4" t="s">
        <v>1277</v>
      </c>
      <c r="E58" s="4" t="s">
        <v>1262</v>
      </c>
      <c r="F58" s="4" t="s">
        <v>1262</v>
      </c>
      <c r="G58" s="4" t="s">
        <v>1262</v>
      </c>
      <c r="H58" s="4" t="s">
        <v>1262</v>
      </c>
      <c r="I58" s="4" t="s">
        <v>1262</v>
      </c>
      <c r="J58" s="4" t="s">
        <v>1262</v>
      </c>
      <c r="K58" s="4" t="s">
        <v>1262</v>
      </c>
      <c r="L58" s="1">
        <v>0.0</v>
      </c>
    </row>
    <row r="59" ht="12.75" customHeight="1">
      <c r="A59" s="5">
        <v>58.0</v>
      </c>
      <c r="B59" s="4" t="s">
        <v>1306</v>
      </c>
      <c r="C59" s="4" t="s">
        <v>1306</v>
      </c>
      <c r="D59" s="4" t="s">
        <v>1277</v>
      </c>
      <c r="E59" s="4" t="s">
        <v>1397</v>
      </c>
      <c r="F59" s="4" t="s">
        <v>1334</v>
      </c>
      <c r="G59" s="4" t="s">
        <v>1398</v>
      </c>
      <c r="H59" s="4" t="s">
        <v>1399</v>
      </c>
      <c r="I59" s="4" t="s">
        <v>959</v>
      </c>
      <c r="J59" s="4" t="s">
        <v>950</v>
      </c>
      <c r="K59" s="4" t="s">
        <v>1357</v>
      </c>
      <c r="L59" s="1">
        <v>58857.0</v>
      </c>
    </row>
    <row r="60" ht="12.75" customHeight="1">
      <c r="A60" s="5">
        <v>59.0</v>
      </c>
      <c r="B60" s="4" t="s">
        <v>1276</v>
      </c>
      <c r="C60" s="4" t="s">
        <v>1276</v>
      </c>
      <c r="D60" s="4" t="s">
        <v>1277</v>
      </c>
      <c r="E60" s="4" t="s">
        <v>1400</v>
      </c>
      <c r="F60" s="4" t="s">
        <v>1384</v>
      </c>
      <c r="G60" s="4" t="s">
        <v>1401</v>
      </c>
      <c r="H60" s="4" t="s">
        <v>1381</v>
      </c>
      <c r="I60" s="4" t="s">
        <v>955</v>
      </c>
      <c r="J60" s="4" t="s">
        <v>954</v>
      </c>
      <c r="K60" s="4" t="s">
        <v>1282</v>
      </c>
      <c r="L60" s="1" t="s">
        <v>1259</v>
      </c>
    </row>
    <row r="61" ht="12.75" customHeight="1">
      <c r="A61" s="5">
        <v>60.0</v>
      </c>
      <c r="B61" s="4" t="s">
        <v>1376</v>
      </c>
      <c r="C61" s="4" t="s">
        <v>1376</v>
      </c>
      <c r="D61" s="4" t="s">
        <v>1277</v>
      </c>
      <c r="E61" s="4" t="s">
        <v>1386</v>
      </c>
      <c r="F61" s="4" t="s">
        <v>1371</v>
      </c>
      <c r="G61" s="4" t="s">
        <v>1402</v>
      </c>
      <c r="H61" s="4" t="s">
        <v>1388</v>
      </c>
      <c r="I61" s="4" t="s">
        <v>970</v>
      </c>
      <c r="J61" s="4" t="s">
        <v>962</v>
      </c>
      <c r="K61" s="4" t="s">
        <v>1282</v>
      </c>
      <c r="L61" s="1">
        <v>11017.0</v>
      </c>
    </row>
    <row r="62" ht="12.75" customHeight="1">
      <c r="A62" s="5">
        <v>61.0</v>
      </c>
      <c r="B62" s="4" t="s">
        <v>1298</v>
      </c>
      <c r="C62" s="4" t="s">
        <v>1298</v>
      </c>
      <c r="D62" s="4" t="s">
        <v>1277</v>
      </c>
      <c r="E62" s="4" t="s">
        <v>1403</v>
      </c>
      <c r="F62" s="4" t="s">
        <v>1385</v>
      </c>
      <c r="G62" s="4" t="s">
        <v>1404</v>
      </c>
      <c r="H62" s="4" t="s">
        <v>1405</v>
      </c>
      <c r="I62" s="4" t="s">
        <v>972</v>
      </c>
      <c r="J62" s="4" t="s">
        <v>946</v>
      </c>
      <c r="K62" s="4" t="s">
        <v>1287</v>
      </c>
      <c r="L62" s="1">
        <v>11421.0</v>
      </c>
    </row>
    <row r="63" ht="12.75" customHeight="1">
      <c r="A63" s="5">
        <v>62.0</v>
      </c>
      <c r="B63" s="4" t="s">
        <v>1376</v>
      </c>
      <c r="C63" s="4" t="s">
        <v>1376</v>
      </c>
      <c r="D63" s="4" t="s">
        <v>1277</v>
      </c>
      <c r="E63" s="4" t="s">
        <v>1406</v>
      </c>
      <c r="F63" s="4" t="s">
        <v>1387</v>
      </c>
      <c r="G63" s="4" t="s">
        <v>1311</v>
      </c>
      <c r="H63" s="4" t="s">
        <v>1407</v>
      </c>
      <c r="I63" s="4" t="s">
        <v>974</v>
      </c>
      <c r="J63" s="4" t="s">
        <v>973</v>
      </c>
      <c r="K63" s="4" t="s">
        <v>1357</v>
      </c>
      <c r="L63" s="1">
        <v>11581.0</v>
      </c>
    </row>
    <row r="64" ht="12.75" customHeight="1">
      <c r="A64" s="5">
        <v>63.0</v>
      </c>
      <c r="B64" s="4" t="s">
        <v>1283</v>
      </c>
      <c r="C64" s="4" t="s">
        <v>1283</v>
      </c>
      <c r="D64" s="4" t="s">
        <v>944</v>
      </c>
      <c r="E64" s="4" t="s">
        <v>1408</v>
      </c>
      <c r="F64" s="4" t="s">
        <v>1391</v>
      </c>
      <c r="G64" s="4" t="s">
        <v>1334</v>
      </c>
      <c r="H64" s="4" t="s">
        <v>1286</v>
      </c>
      <c r="I64" s="4" t="s">
        <v>942</v>
      </c>
      <c r="J64" s="4" t="s">
        <v>941</v>
      </c>
      <c r="K64" s="4" t="s">
        <v>1287</v>
      </c>
      <c r="L64" s="1">
        <v>11651.0</v>
      </c>
    </row>
    <row r="65" ht="12.75" customHeight="1">
      <c r="A65" s="5">
        <v>64.0</v>
      </c>
      <c r="B65" s="4" t="s">
        <v>1283</v>
      </c>
      <c r="C65" s="4" t="s">
        <v>1283</v>
      </c>
      <c r="D65" s="4" t="s">
        <v>1277</v>
      </c>
      <c r="E65" s="4" t="s">
        <v>1288</v>
      </c>
      <c r="F65" s="4" t="s">
        <v>1289</v>
      </c>
      <c r="G65" s="4" t="s">
        <v>1289</v>
      </c>
      <c r="H65" s="4" t="s">
        <v>1290</v>
      </c>
      <c r="I65" s="4" t="s">
        <v>943</v>
      </c>
      <c r="J65" s="4" t="s">
        <v>941</v>
      </c>
      <c r="K65" s="4" t="s">
        <v>1287</v>
      </c>
      <c r="L65" s="1">
        <v>11765.0</v>
      </c>
    </row>
    <row r="66" ht="12.75" customHeight="1">
      <c r="A66" s="5">
        <v>65.0</v>
      </c>
      <c r="B66" s="4" t="s">
        <v>1298</v>
      </c>
      <c r="C66" s="4" t="s">
        <v>1298</v>
      </c>
      <c r="D66" s="4" t="s">
        <v>1277</v>
      </c>
      <c r="E66" s="4" t="s">
        <v>1299</v>
      </c>
      <c r="F66" s="4" t="s">
        <v>1300</v>
      </c>
      <c r="G66" s="4" t="s">
        <v>1409</v>
      </c>
      <c r="H66" s="4" t="s">
        <v>1301</v>
      </c>
      <c r="I66" s="4" t="s">
        <v>948</v>
      </c>
      <c r="J66" s="4" t="s">
        <v>946</v>
      </c>
      <c r="K66" s="4" t="s">
        <v>1287</v>
      </c>
      <c r="L66" s="1">
        <v>11796.0</v>
      </c>
    </row>
    <row r="67" ht="12.75" customHeight="1">
      <c r="A67" s="5">
        <v>66.0</v>
      </c>
      <c r="B67" s="4" t="s">
        <v>1291</v>
      </c>
      <c r="C67" s="4" t="s">
        <v>1291</v>
      </c>
      <c r="D67" s="4" t="s">
        <v>1277</v>
      </c>
      <c r="E67" s="4" t="s">
        <v>1295</v>
      </c>
      <c r="F67" s="4" t="s">
        <v>1296</v>
      </c>
      <c r="G67" s="4" t="s">
        <v>1410</v>
      </c>
      <c r="H67" s="4" t="s">
        <v>1297</v>
      </c>
      <c r="I67" s="4" t="s">
        <v>947</v>
      </c>
      <c r="J67" s="4" t="s">
        <v>946</v>
      </c>
      <c r="K67" s="4" t="s">
        <v>1287</v>
      </c>
      <c r="L67" s="1">
        <v>11930.0</v>
      </c>
    </row>
    <row r="68" ht="12.75" customHeight="1">
      <c r="A68" s="5">
        <v>67.0</v>
      </c>
      <c r="B68" s="4" t="s">
        <v>1306</v>
      </c>
      <c r="C68" s="4" t="s">
        <v>1306</v>
      </c>
      <c r="D68" s="4" t="s">
        <v>1277</v>
      </c>
      <c r="E68" s="4" t="s">
        <v>1411</v>
      </c>
      <c r="F68" s="4" t="s">
        <v>1334</v>
      </c>
      <c r="G68" s="4" t="s">
        <v>1412</v>
      </c>
      <c r="H68" s="4" t="s">
        <v>1399</v>
      </c>
      <c r="I68" s="4" t="s">
        <v>959</v>
      </c>
      <c r="J68" s="4" t="s">
        <v>950</v>
      </c>
      <c r="K68" s="4" t="s">
        <v>1413</v>
      </c>
      <c r="L68" s="1">
        <v>42037.0</v>
      </c>
    </row>
    <row r="69" ht="12.75" customHeight="1">
      <c r="A69" s="5">
        <v>68.0</v>
      </c>
      <c r="B69" s="4" t="s">
        <v>1298</v>
      </c>
      <c r="C69" s="4" t="s">
        <v>1298</v>
      </c>
      <c r="D69" s="4" t="s">
        <v>1277</v>
      </c>
      <c r="E69" s="4" t="s">
        <v>1326</v>
      </c>
      <c r="F69" s="4" t="s">
        <v>1300</v>
      </c>
      <c r="G69" s="4" t="s">
        <v>1293</v>
      </c>
      <c r="H69" s="4" t="s">
        <v>1312</v>
      </c>
      <c r="I69" s="4" t="s">
        <v>948</v>
      </c>
      <c r="J69" s="4" t="s">
        <v>946</v>
      </c>
      <c r="K69" s="4" t="s">
        <v>1282</v>
      </c>
      <c r="L69" s="1">
        <v>12406.0</v>
      </c>
    </row>
    <row r="70" ht="12.75" customHeight="1">
      <c r="A70" s="5">
        <v>69.0</v>
      </c>
      <c r="B70" s="4" t="str">
        <f>company!C70</f>
        <v>Communication Services</v>
      </c>
      <c r="C70" s="4" t="str">
        <f>company!D70</f>
        <v>Entertainment</v>
      </c>
      <c r="D70" s="4" t="s">
        <v>1277</v>
      </c>
      <c r="E70" s="4" t="s">
        <v>1262</v>
      </c>
      <c r="F70" s="4" t="s">
        <v>1262</v>
      </c>
      <c r="G70" s="4" t="s">
        <v>1262</v>
      </c>
      <c r="H70" s="4" t="s">
        <v>1262</v>
      </c>
      <c r="I70" s="4" t="s">
        <v>1262</v>
      </c>
      <c r="J70" s="4" t="s">
        <v>1262</v>
      </c>
      <c r="K70" s="4" t="s">
        <v>1262</v>
      </c>
      <c r="L70" s="1">
        <v>0.0</v>
      </c>
    </row>
    <row r="71" ht="12.75" customHeight="1">
      <c r="A71" s="5">
        <v>70.0</v>
      </c>
      <c r="B71" s="4" t="str">
        <f>company!C71</f>
        <v>Utilities</v>
      </c>
      <c r="C71" s="4" t="str">
        <f>company!D71</f>
        <v>Utilities</v>
      </c>
      <c r="D71" s="4" t="s">
        <v>1277</v>
      </c>
      <c r="E71" s="4" t="s">
        <v>1262</v>
      </c>
      <c r="F71" s="4" t="s">
        <v>1262</v>
      </c>
      <c r="G71" s="4" t="s">
        <v>1262</v>
      </c>
      <c r="H71" s="4" t="s">
        <v>1262</v>
      </c>
      <c r="I71" s="4" t="s">
        <v>1262</v>
      </c>
      <c r="J71" s="4" t="s">
        <v>1262</v>
      </c>
      <c r="K71" s="4" t="s">
        <v>1262</v>
      </c>
      <c r="L71" s="1">
        <v>0.0</v>
      </c>
    </row>
    <row r="72" ht="12.75" customHeight="1">
      <c r="A72" s="5">
        <v>71.0</v>
      </c>
      <c r="B72" s="4" t="s">
        <v>1376</v>
      </c>
      <c r="C72" s="4" t="s">
        <v>1376</v>
      </c>
      <c r="D72" s="4" t="s">
        <v>1277</v>
      </c>
      <c r="E72" s="4" t="s">
        <v>1414</v>
      </c>
      <c r="F72" s="4" t="s">
        <v>1398</v>
      </c>
      <c r="G72" s="4" t="s">
        <v>1415</v>
      </c>
      <c r="H72" s="4" t="s">
        <v>1416</v>
      </c>
      <c r="I72" s="4" t="s">
        <v>978</v>
      </c>
      <c r="J72" s="4" t="s">
        <v>977</v>
      </c>
      <c r="K72" s="4" t="s">
        <v>1282</v>
      </c>
      <c r="L72" s="1">
        <v>13279.0</v>
      </c>
    </row>
    <row r="73" ht="12.75" customHeight="1">
      <c r="A73" s="5">
        <v>72.0</v>
      </c>
      <c r="B73" s="4" t="s">
        <v>1291</v>
      </c>
      <c r="C73" s="4" t="s">
        <v>1291</v>
      </c>
      <c r="D73" s="4" t="s">
        <v>1277</v>
      </c>
      <c r="E73" s="4" t="s">
        <v>1417</v>
      </c>
      <c r="F73" s="4" t="s">
        <v>1401</v>
      </c>
      <c r="G73" s="4" t="s">
        <v>1337</v>
      </c>
      <c r="H73" s="4" t="s">
        <v>1395</v>
      </c>
      <c r="I73" s="4" t="s">
        <v>955</v>
      </c>
      <c r="J73" s="4" t="s">
        <v>954</v>
      </c>
      <c r="K73" s="4" t="s">
        <v>1282</v>
      </c>
      <c r="L73" s="1">
        <v>13604.0</v>
      </c>
    </row>
    <row r="74" ht="12.75" customHeight="1">
      <c r="A74" s="5">
        <v>73.0</v>
      </c>
      <c r="B74" s="4" t="s">
        <v>1350</v>
      </c>
      <c r="C74" s="4" t="s">
        <v>1350</v>
      </c>
      <c r="D74" s="4" t="s">
        <v>1277</v>
      </c>
      <c r="E74" s="4" t="s">
        <v>1418</v>
      </c>
      <c r="F74" s="4" t="s">
        <v>1402</v>
      </c>
      <c r="G74" s="4" t="s">
        <v>1401</v>
      </c>
      <c r="H74" s="4" t="s">
        <v>1353</v>
      </c>
      <c r="I74" s="4" t="s">
        <v>961</v>
      </c>
      <c r="J74" s="4" t="s">
        <v>960</v>
      </c>
      <c r="K74" s="4" t="s">
        <v>1282</v>
      </c>
      <c r="L74" s="1">
        <v>13649.0</v>
      </c>
    </row>
    <row r="75" ht="12.75" customHeight="1">
      <c r="A75" s="5">
        <v>74.0</v>
      </c>
      <c r="B75" s="4" t="s">
        <v>1291</v>
      </c>
      <c r="C75" s="4" t="s">
        <v>1291</v>
      </c>
      <c r="D75" s="4" t="s">
        <v>1277</v>
      </c>
      <c r="E75" s="4" t="s">
        <v>1419</v>
      </c>
      <c r="F75" s="4" t="s">
        <v>1404</v>
      </c>
      <c r="G75" s="4" t="s">
        <v>1300</v>
      </c>
      <c r="H75" s="4" t="s">
        <v>1294</v>
      </c>
      <c r="I75" s="4" t="s">
        <v>947</v>
      </c>
      <c r="J75" s="4" t="s">
        <v>946</v>
      </c>
      <c r="K75" s="4" t="s">
        <v>1287</v>
      </c>
      <c r="L75" s="1">
        <v>14013.0</v>
      </c>
    </row>
    <row r="76" ht="12.75" customHeight="1">
      <c r="A76" s="5">
        <v>75.0</v>
      </c>
      <c r="B76" s="4" t="s">
        <v>1298</v>
      </c>
      <c r="C76" s="4" t="s">
        <v>1298</v>
      </c>
      <c r="D76" s="4" t="s">
        <v>1277</v>
      </c>
      <c r="E76" s="4" t="s">
        <v>1310</v>
      </c>
      <c r="F76" s="4" t="s">
        <v>1311</v>
      </c>
      <c r="G76" s="4" t="s">
        <v>1347</v>
      </c>
      <c r="H76" s="4" t="s">
        <v>1405</v>
      </c>
      <c r="I76" s="4" t="s">
        <v>972</v>
      </c>
      <c r="J76" s="4" t="s">
        <v>946</v>
      </c>
      <c r="K76" s="4" t="s">
        <v>1287</v>
      </c>
      <c r="L76" s="1">
        <v>58304.0</v>
      </c>
    </row>
    <row r="77" ht="12.75" customHeight="1">
      <c r="A77" s="5">
        <v>76.0</v>
      </c>
      <c r="B77" s="4" t="s">
        <v>1306</v>
      </c>
      <c r="C77" s="4" t="s">
        <v>1306</v>
      </c>
      <c r="D77" s="4" t="s">
        <v>1277</v>
      </c>
      <c r="E77" s="4" t="s">
        <v>1420</v>
      </c>
      <c r="F77" s="4" t="s">
        <v>1334</v>
      </c>
      <c r="G77" s="4" t="s">
        <v>1421</v>
      </c>
      <c r="H77" s="4" t="s">
        <v>1399</v>
      </c>
      <c r="I77" s="4" t="s">
        <v>959</v>
      </c>
      <c r="J77" s="4" t="s">
        <v>950</v>
      </c>
      <c r="K77" s="4" t="s">
        <v>1282</v>
      </c>
      <c r="L77" s="1">
        <v>14605.0</v>
      </c>
    </row>
    <row r="78" ht="12.75" customHeight="1">
      <c r="A78" s="5">
        <v>77.0</v>
      </c>
      <c r="B78" s="4" t="s">
        <v>1283</v>
      </c>
      <c r="C78" s="4" t="s">
        <v>1283</v>
      </c>
      <c r="D78" s="4" t="s">
        <v>1277</v>
      </c>
      <c r="E78" s="4" t="s">
        <v>1288</v>
      </c>
      <c r="F78" s="4" t="s">
        <v>1289</v>
      </c>
      <c r="G78" s="4" t="s">
        <v>1422</v>
      </c>
      <c r="H78" s="4" t="s">
        <v>1290</v>
      </c>
      <c r="I78" s="4" t="s">
        <v>943</v>
      </c>
      <c r="J78" s="4" t="s">
        <v>941</v>
      </c>
      <c r="K78" s="4" t="s">
        <v>1287</v>
      </c>
      <c r="L78" s="1">
        <v>14683.0</v>
      </c>
    </row>
    <row r="79" ht="12.75" customHeight="1">
      <c r="A79" s="5">
        <v>78.0</v>
      </c>
      <c r="B79" s="4" t="s">
        <v>1306</v>
      </c>
      <c r="C79" s="4" t="s">
        <v>1306</v>
      </c>
      <c r="D79" s="4" t="s">
        <v>1277</v>
      </c>
      <c r="E79" s="4" t="s">
        <v>1423</v>
      </c>
      <c r="F79" s="4" t="s">
        <v>1409</v>
      </c>
      <c r="G79" s="4" t="s">
        <v>1359</v>
      </c>
      <c r="H79" s="4" t="s">
        <v>1309</v>
      </c>
      <c r="I79" s="4" t="s">
        <v>951</v>
      </c>
      <c r="J79" s="4" t="s">
        <v>950</v>
      </c>
      <c r="K79" s="4" t="s">
        <v>1282</v>
      </c>
      <c r="L79" s="1">
        <v>14712.0</v>
      </c>
    </row>
    <row r="80" ht="12.75" customHeight="1">
      <c r="A80" s="5">
        <v>79.0</v>
      </c>
      <c r="B80" s="4" t="s">
        <v>1306</v>
      </c>
      <c r="C80" s="4" t="s">
        <v>1306</v>
      </c>
      <c r="D80" s="4" t="s">
        <v>1277</v>
      </c>
      <c r="E80" s="4" t="s">
        <v>1424</v>
      </c>
      <c r="F80" s="4" t="s">
        <v>1410</v>
      </c>
      <c r="G80" s="4" t="s">
        <v>1300</v>
      </c>
      <c r="H80" s="4" t="s">
        <v>1345</v>
      </c>
      <c r="I80" s="4" t="s">
        <v>940</v>
      </c>
      <c r="J80" s="4" t="s">
        <v>939</v>
      </c>
      <c r="K80" s="4" t="s">
        <v>1282</v>
      </c>
      <c r="L80" s="1">
        <v>15132.0</v>
      </c>
    </row>
    <row r="81" ht="12.75" customHeight="1">
      <c r="A81" s="5">
        <v>80.0</v>
      </c>
      <c r="B81" s="4" t="s">
        <v>1291</v>
      </c>
      <c r="C81" s="4" t="s">
        <v>1291</v>
      </c>
      <c r="D81" s="4" t="s">
        <v>1277</v>
      </c>
      <c r="E81" s="4" t="s">
        <v>1425</v>
      </c>
      <c r="F81" s="4" t="s">
        <v>1412</v>
      </c>
      <c r="G81" s="4" t="s">
        <v>1426</v>
      </c>
      <c r="H81" s="4" t="s">
        <v>1395</v>
      </c>
      <c r="I81" s="4" t="s">
        <v>955</v>
      </c>
      <c r="J81" s="4" t="s">
        <v>954</v>
      </c>
      <c r="K81" s="4" t="s">
        <v>1282</v>
      </c>
      <c r="L81" s="1">
        <v>15419.0</v>
      </c>
    </row>
    <row r="82" ht="12.75" customHeight="1">
      <c r="A82" s="5">
        <v>81.0</v>
      </c>
      <c r="B82" s="4" t="str">
        <f>company!C82</f>
        <v>Industrials</v>
      </c>
      <c r="C82" s="4" t="str">
        <f>company!D82</f>
        <v>Aerospace </v>
      </c>
      <c r="D82" s="4" t="s">
        <v>1277</v>
      </c>
      <c r="E82" s="4" t="s">
        <v>1262</v>
      </c>
      <c r="F82" s="4" t="s">
        <v>1262</v>
      </c>
      <c r="G82" s="4" t="s">
        <v>1262</v>
      </c>
      <c r="H82" s="4" t="s">
        <v>1262</v>
      </c>
      <c r="I82" s="4" t="s">
        <v>1262</v>
      </c>
      <c r="J82" s="4" t="s">
        <v>1262</v>
      </c>
      <c r="K82" s="4" t="s">
        <v>1262</v>
      </c>
      <c r="L82" s="1">
        <v>0.0</v>
      </c>
    </row>
    <row r="83" ht="12.75" customHeight="1">
      <c r="A83" s="5">
        <v>82.0</v>
      </c>
      <c r="B83" s="4" t="s">
        <v>1291</v>
      </c>
      <c r="C83" s="4" t="s">
        <v>1291</v>
      </c>
      <c r="D83" s="4" t="s">
        <v>1277</v>
      </c>
      <c r="E83" s="4" t="s">
        <v>1427</v>
      </c>
      <c r="F83" s="4" t="s">
        <v>1293</v>
      </c>
      <c r="G83" s="4" t="s">
        <v>1428</v>
      </c>
      <c r="H83" s="4" t="s">
        <v>1297</v>
      </c>
      <c r="I83" s="4" t="s">
        <v>947</v>
      </c>
      <c r="J83" s="4" t="s">
        <v>946</v>
      </c>
      <c r="K83" s="4" t="s">
        <v>1287</v>
      </c>
      <c r="L83" s="1">
        <v>16158.0</v>
      </c>
    </row>
    <row r="84" ht="12.75" customHeight="1">
      <c r="A84" s="5">
        <v>83.0</v>
      </c>
      <c r="B84" s="4" t="str">
        <f>company!C84</f>
        <v>Energy</v>
      </c>
      <c r="C84" s="4" t="str">
        <f>company!D84</f>
        <v>Oil and Gas</v>
      </c>
      <c r="D84" s="4" t="s">
        <v>1277</v>
      </c>
      <c r="E84" s="4" t="s">
        <v>1262</v>
      </c>
      <c r="F84" s="4" t="s">
        <v>1262</v>
      </c>
      <c r="G84" s="4" t="s">
        <v>1262</v>
      </c>
      <c r="H84" s="4" t="s">
        <v>1262</v>
      </c>
      <c r="I84" s="4" t="s">
        <v>1262</v>
      </c>
      <c r="J84" s="4" t="s">
        <v>1262</v>
      </c>
      <c r="K84" s="4" t="s">
        <v>1262</v>
      </c>
      <c r="L84" s="1">
        <v>0.0</v>
      </c>
    </row>
    <row r="85" ht="12.75" customHeight="1">
      <c r="A85" s="5">
        <v>84.0</v>
      </c>
      <c r="B85" s="4" t="s">
        <v>1314</v>
      </c>
      <c r="C85" s="4" t="s">
        <v>1314</v>
      </c>
      <c r="D85" s="4" t="s">
        <v>1277</v>
      </c>
      <c r="E85" s="4" t="s">
        <v>1429</v>
      </c>
      <c r="F85" s="4" t="s">
        <v>1300</v>
      </c>
      <c r="G85" s="4" t="s">
        <v>1300</v>
      </c>
      <c r="H85" s="4" t="s">
        <v>1430</v>
      </c>
      <c r="I85" s="4" t="s">
        <v>948</v>
      </c>
      <c r="J85" s="4" t="s">
        <v>946</v>
      </c>
      <c r="K85" s="4" t="s">
        <v>1287</v>
      </c>
      <c r="L85" s="1">
        <v>17069.0</v>
      </c>
    </row>
    <row r="86" ht="12.75" customHeight="1">
      <c r="A86" s="5">
        <v>85.0</v>
      </c>
      <c r="B86" s="4" t="s">
        <v>1364</v>
      </c>
      <c r="C86" s="4" t="s">
        <v>1364</v>
      </c>
      <c r="D86" s="4" t="s">
        <v>1277</v>
      </c>
      <c r="E86" s="4" t="s">
        <v>1431</v>
      </c>
      <c r="F86" s="4" t="s">
        <v>1432</v>
      </c>
      <c r="G86" s="4"/>
      <c r="H86" s="4" t="s">
        <v>1367</v>
      </c>
      <c r="I86" s="4" t="s">
        <v>965</v>
      </c>
      <c r="J86" s="4" t="s">
        <v>964</v>
      </c>
      <c r="K86" s="4" t="s">
        <v>1282</v>
      </c>
      <c r="L86" s="1">
        <v>18951.0</v>
      </c>
    </row>
    <row r="87" ht="12.75" customHeight="1">
      <c r="A87" s="5">
        <v>86.0</v>
      </c>
      <c r="B87" s="4" t="s">
        <v>1376</v>
      </c>
      <c r="C87" s="4" t="s">
        <v>1376</v>
      </c>
      <c r="D87" s="4" t="s">
        <v>1277</v>
      </c>
      <c r="E87" s="4" t="s">
        <v>1433</v>
      </c>
      <c r="F87" s="4" t="s">
        <v>1415</v>
      </c>
      <c r="G87" s="4"/>
      <c r="H87" s="4" t="s">
        <v>1434</v>
      </c>
      <c r="I87" s="4" t="s">
        <v>974</v>
      </c>
      <c r="J87" s="4" t="s">
        <v>973</v>
      </c>
      <c r="K87" s="4" t="s">
        <v>1282</v>
      </c>
      <c r="L87" s="1">
        <v>17652.0</v>
      </c>
    </row>
    <row r="88" ht="12.75" customHeight="1">
      <c r="A88" s="5">
        <v>87.0</v>
      </c>
      <c r="B88" s="4" t="s">
        <v>1306</v>
      </c>
      <c r="C88" s="4" t="s">
        <v>1306</v>
      </c>
      <c r="D88" s="4" t="s">
        <v>1277</v>
      </c>
      <c r="E88" s="4" t="s">
        <v>1354</v>
      </c>
      <c r="F88" s="4" t="s">
        <v>1337</v>
      </c>
      <c r="G88" s="4"/>
      <c r="H88" s="4" t="s">
        <v>1356</v>
      </c>
      <c r="I88" s="4" t="s">
        <v>963</v>
      </c>
      <c r="J88" s="4" t="s">
        <v>962</v>
      </c>
      <c r="K88" s="4" t="s">
        <v>1282</v>
      </c>
      <c r="L88" s="1">
        <v>18320.0</v>
      </c>
    </row>
    <row r="89" ht="12.75" customHeight="1">
      <c r="A89" s="5">
        <v>88.0</v>
      </c>
      <c r="B89" s="4" t="s">
        <v>1291</v>
      </c>
      <c r="C89" s="4" t="s">
        <v>1291</v>
      </c>
      <c r="D89" s="4" t="s">
        <v>1277</v>
      </c>
      <c r="E89" s="4" t="s">
        <v>1417</v>
      </c>
      <c r="F89" s="4" t="s">
        <v>1401</v>
      </c>
      <c r="G89" s="4"/>
      <c r="H89" s="4" t="s">
        <v>1395</v>
      </c>
      <c r="I89" s="4" t="s">
        <v>955</v>
      </c>
      <c r="J89" s="4" t="s">
        <v>954</v>
      </c>
      <c r="K89" s="4" t="s">
        <v>1282</v>
      </c>
      <c r="L89" s="1">
        <v>18640.0</v>
      </c>
    </row>
    <row r="90" ht="12.75" customHeight="1">
      <c r="A90" s="5">
        <v>89.0</v>
      </c>
      <c r="B90" s="4" t="s">
        <v>1298</v>
      </c>
      <c r="C90" s="4" t="s">
        <v>1298</v>
      </c>
      <c r="D90" s="4" t="s">
        <v>1277</v>
      </c>
      <c r="E90" s="4" t="s">
        <v>1435</v>
      </c>
      <c r="F90" s="4" t="s">
        <v>1300</v>
      </c>
      <c r="G90" s="4"/>
      <c r="H90" s="4" t="s">
        <v>1330</v>
      </c>
      <c r="I90" s="4" t="s">
        <v>948</v>
      </c>
      <c r="J90" s="4" t="s">
        <v>946</v>
      </c>
      <c r="K90" s="4" t="s">
        <v>1287</v>
      </c>
      <c r="L90" s="1">
        <v>1464.0</v>
      </c>
    </row>
    <row r="91" ht="12.75" customHeight="1">
      <c r="A91" s="5">
        <v>90.0</v>
      </c>
      <c r="B91" s="4" t="s">
        <v>1302</v>
      </c>
      <c r="C91" s="4" t="s">
        <v>1302</v>
      </c>
      <c r="D91" s="4" t="s">
        <v>1277</v>
      </c>
      <c r="E91" s="4" t="s">
        <v>1346</v>
      </c>
      <c r="F91" s="4" t="s">
        <v>1347</v>
      </c>
      <c r="G91" s="4"/>
      <c r="H91" s="4" t="s">
        <v>1349</v>
      </c>
      <c r="I91" s="4" t="s">
        <v>956</v>
      </c>
      <c r="J91" s="4" t="s">
        <v>946</v>
      </c>
      <c r="K91" s="4" t="s">
        <v>1287</v>
      </c>
      <c r="L91" s="1">
        <v>20384.0</v>
      </c>
    </row>
    <row r="92" ht="12.75" customHeight="1">
      <c r="A92" s="5">
        <v>91.0</v>
      </c>
      <c r="B92" s="4" t="str">
        <f>company!C92</f>
        <v>Healthcare</v>
      </c>
      <c r="C92" s="4" t="str">
        <f>company!D92</f>
        <v>Diagnostics</v>
      </c>
      <c r="D92" s="4" t="s">
        <v>1277</v>
      </c>
      <c r="E92" s="4" t="s">
        <v>1262</v>
      </c>
      <c r="F92" s="4" t="s">
        <v>1262</v>
      </c>
      <c r="G92" s="4" t="s">
        <v>1262</v>
      </c>
      <c r="H92" s="4" t="s">
        <v>1262</v>
      </c>
      <c r="I92" s="4" t="s">
        <v>1262</v>
      </c>
      <c r="J92" s="4" t="s">
        <v>1262</v>
      </c>
      <c r="K92" s="4" t="s">
        <v>1262</v>
      </c>
      <c r="L92" s="1">
        <v>0.0</v>
      </c>
    </row>
    <row r="93" ht="12.75" customHeight="1">
      <c r="A93" s="5">
        <v>92.0</v>
      </c>
      <c r="B93" s="4" t="s">
        <v>1276</v>
      </c>
      <c r="C93" s="4" t="s">
        <v>1276</v>
      </c>
      <c r="D93" s="4" t="s">
        <v>1277</v>
      </c>
      <c r="E93" s="4" t="s">
        <v>1436</v>
      </c>
      <c r="F93" s="4" t="s">
        <v>1421</v>
      </c>
      <c r="G93" s="4"/>
      <c r="H93" s="4" t="s">
        <v>1437</v>
      </c>
      <c r="I93" s="4" t="s">
        <v>982</v>
      </c>
      <c r="J93" s="4" t="s">
        <v>967</v>
      </c>
      <c r="K93" s="4" t="s">
        <v>1282</v>
      </c>
      <c r="L93" s="1">
        <v>19845.0</v>
      </c>
    </row>
    <row r="94" ht="12.75" customHeight="1">
      <c r="A94" s="5">
        <v>93.0</v>
      </c>
      <c r="B94" s="4" t="s">
        <v>1283</v>
      </c>
      <c r="C94" s="4" t="s">
        <v>1283</v>
      </c>
      <c r="D94" s="4" t="s">
        <v>1277</v>
      </c>
      <c r="E94" s="4" t="s">
        <v>1438</v>
      </c>
      <c r="F94" s="4" t="s">
        <v>1422</v>
      </c>
      <c r="G94" s="4"/>
      <c r="H94" s="4" t="s">
        <v>1439</v>
      </c>
      <c r="I94" s="4" t="s">
        <v>983</v>
      </c>
      <c r="J94" s="4" t="s">
        <v>946</v>
      </c>
      <c r="K94" s="4" t="s">
        <v>1287</v>
      </c>
      <c r="L94" s="1">
        <v>19858.0</v>
      </c>
    </row>
    <row r="95" ht="12.75" customHeight="1">
      <c r="A95" s="5">
        <v>94.0</v>
      </c>
      <c r="B95" s="4" t="s">
        <v>1276</v>
      </c>
      <c r="C95" s="4" t="s">
        <v>1276</v>
      </c>
      <c r="D95" s="4" t="s">
        <v>1277</v>
      </c>
      <c r="E95" s="4" t="s">
        <v>1373</v>
      </c>
      <c r="F95" s="4" t="s">
        <v>1359</v>
      </c>
      <c r="G95" s="4"/>
      <c r="H95" s="4" t="s">
        <v>1375</v>
      </c>
      <c r="I95" s="4" t="s">
        <v>968</v>
      </c>
      <c r="J95" s="4" t="s">
        <v>967</v>
      </c>
      <c r="K95" s="4" t="s">
        <v>1282</v>
      </c>
      <c r="L95" s="1">
        <v>19898.0</v>
      </c>
    </row>
    <row r="96" ht="12.75" customHeight="1">
      <c r="A96" s="5">
        <v>95.0</v>
      </c>
      <c r="B96" s="4" t="s">
        <v>1298</v>
      </c>
      <c r="C96" s="4" t="s">
        <v>1298</v>
      </c>
      <c r="D96" s="4" t="s">
        <v>1277</v>
      </c>
      <c r="E96" s="4" t="s">
        <v>1435</v>
      </c>
      <c r="F96" s="4" t="s">
        <v>1300</v>
      </c>
      <c r="G96" s="4"/>
      <c r="H96" s="4" t="s">
        <v>1312</v>
      </c>
      <c r="I96" s="4" t="s">
        <v>948</v>
      </c>
      <c r="J96" s="4" t="s">
        <v>946</v>
      </c>
      <c r="K96" s="4" t="s">
        <v>1287</v>
      </c>
      <c r="L96" s="1">
        <v>19593.0</v>
      </c>
    </row>
    <row r="97" ht="12.75" customHeight="1">
      <c r="A97" s="5">
        <v>96.0</v>
      </c>
      <c r="B97" s="4" t="s">
        <v>1302</v>
      </c>
      <c r="C97" s="4" t="s">
        <v>1302</v>
      </c>
      <c r="D97" s="4" t="s">
        <v>1277</v>
      </c>
      <c r="E97" s="4" t="s">
        <v>1440</v>
      </c>
      <c r="F97" s="4" t="s">
        <v>1426</v>
      </c>
      <c r="G97" s="4"/>
      <c r="H97" s="4" t="s">
        <v>1325</v>
      </c>
      <c r="I97" s="4" t="s">
        <v>956</v>
      </c>
      <c r="J97" s="4" t="s">
        <v>946</v>
      </c>
      <c r="K97" s="4" t="s">
        <v>1327</v>
      </c>
      <c r="L97" s="1">
        <v>20175.0</v>
      </c>
    </row>
    <row r="98" ht="12.75" customHeight="1">
      <c r="A98" s="5">
        <v>97.0</v>
      </c>
      <c r="B98" s="4" t="s">
        <v>1298</v>
      </c>
      <c r="C98" s="4" t="s">
        <v>1298</v>
      </c>
      <c r="D98" s="4" t="s">
        <v>1277</v>
      </c>
      <c r="E98" s="4" t="s">
        <v>1310</v>
      </c>
      <c r="F98" s="4" t="s">
        <v>1311</v>
      </c>
      <c r="G98" s="4"/>
      <c r="H98" s="4" t="s">
        <v>1405</v>
      </c>
      <c r="I98" s="4" t="s">
        <v>972</v>
      </c>
      <c r="J98" s="4" t="s">
        <v>946</v>
      </c>
      <c r="K98" s="4" t="s">
        <v>1287</v>
      </c>
      <c r="L98" s="1">
        <v>22867.0</v>
      </c>
    </row>
    <row r="99" ht="12.75" customHeight="1">
      <c r="A99" s="5">
        <v>98.0</v>
      </c>
      <c r="B99" s="4" t="s">
        <v>1283</v>
      </c>
      <c r="C99" s="4" t="s">
        <v>1283</v>
      </c>
      <c r="D99" s="4" t="s">
        <v>1277</v>
      </c>
      <c r="E99" s="4" t="s">
        <v>1441</v>
      </c>
      <c r="F99" s="4" t="s">
        <v>1428</v>
      </c>
      <c r="G99" s="4"/>
      <c r="H99" s="4" t="s">
        <v>1442</v>
      </c>
      <c r="I99" s="4" t="s">
        <v>963</v>
      </c>
      <c r="J99" s="4" t="s">
        <v>962</v>
      </c>
      <c r="K99" s="4" t="s">
        <v>1282</v>
      </c>
      <c r="L99" s="1">
        <v>20398.0</v>
      </c>
    </row>
    <row r="100" ht="12.75" customHeight="1">
      <c r="A100" s="5">
        <v>99.0</v>
      </c>
      <c r="B100" s="4" t="s">
        <v>1306</v>
      </c>
      <c r="C100" s="4" t="s">
        <v>1306</v>
      </c>
      <c r="D100" s="4" t="s">
        <v>1277</v>
      </c>
      <c r="E100" s="4" t="s">
        <v>1354</v>
      </c>
      <c r="F100" s="4" t="s">
        <v>1337</v>
      </c>
      <c r="G100" s="4"/>
      <c r="H100" s="4" t="s">
        <v>1356</v>
      </c>
      <c r="I100" s="4" t="s">
        <v>963</v>
      </c>
      <c r="J100" s="4" t="s">
        <v>962</v>
      </c>
      <c r="K100" s="4" t="s">
        <v>1357</v>
      </c>
      <c r="L100" s="1">
        <v>20402.0</v>
      </c>
    </row>
    <row r="101" ht="12.75" customHeight="1">
      <c r="A101" s="5">
        <v>100.0</v>
      </c>
      <c r="B101" s="4" t="s">
        <v>1298</v>
      </c>
      <c r="C101" s="4" t="s">
        <v>1298</v>
      </c>
      <c r="D101" s="4" t="s">
        <v>1277</v>
      </c>
      <c r="E101" s="4" t="s">
        <v>1435</v>
      </c>
      <c r="F101" s="4" t="s">
        <v>1300</v>
      </c>
      <c r="G101" s="4"/>
      <c r="H101" s="4" t="s">
        <v>1312</v>
      </c>
      <c r="I101" s="4" t="s">
        <v>948</v>
      </c>
      <c r="J101" s="4" t="s">
        <v>946</v>
      </c>
      <c r="K101" s="4" t="s">
        <v>1282</v>
      </c>
      <c r="L101" s="1">
        <v>20575.0</v>
      </c>
    </row>
    <row r="102" ht="12.75" customHeight="1">
      <c r="A102" s="4"/>
    </row>
    <row r="103" ht="12.75" customHeight="1">
      <c r="A103" s="4"/>
    </row>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1:$L$101"/>
  <printOptions/>
  <pageMargins bottom="0.75" footer="0.0" header="0.0" left="0.7" right="0.7" top="0.75"/>
  <pageSetup orientation="portrait"/>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24.43"/>
    <col customWidth="1" min="2" max="2" width="12.71"/>
    <col customWidth="1" min="3" max="3" width="20.57"/>
    <col customWidth="1" min="4" max="4" width="15.57"/>
    <col customWidth="1" min="5" max="8" width="20.14"/>
    <col customWidth="1" min="9" max="9" width="25.86"/>
    <col customWidth="1" min="10" max="10" width="10.43"/>
    <col customWidth="1" min="11" max="21" width="10.71"/>
    <col customWidth="1" min="22" max="25" width="11.86"/>
    <col customWidth="1" min="26" max="26" width="12.29"/>
    <col customWidth="1" min="27" max="51" width="11.86"/>
    <col customWidth="1" min="52" max="52" width="10.71"/>
    <col customWidth="1" min="53" max="53" width="114.0"/>
    <col customWidth="1" min="54" max="54" width="50.43"/>
    <col customWidth="1" min="55" max="55" width="78.43"/>
    <col customWidth="1" min="56" max="56" width="35.86"/>
  </cols>
  <sheetData>
    <row r="1" ht="51.0" customHeight="1">
      <c r="A1" s="222" t="s">
        <v>1443</v>
      </c>
      <c r="B1" s="222" t="s">
        <v>1444</v>
      </c>
      <c r="C1" s="222" t="s">
        <v>1445</v>
      </c>
      <c r="D1" s="222" t="s">
        <v>1267</v>
      </c>
      <c r="E1" s="222" t="s">
        <v>1446</v>
      </c>
      <c r="F1" s="222" t="s">
        <v>1447</v>
      </c>
      <c r="G1" s="222" t="s">
        <v>1448</v>
      </c>
      <c r="H1" s="222" t="s">
        <v>1449</v>
      </c>
      <c r="I1" s="222" t="s">
        <v>1450</v>
      </c>
      <c r="J1" s="223" t="s">
        <v>1451</v>
      </c>
      <c r="K1" s="222" t="s">
        <v>1452</v>
      </c>
      <c r="L1" s="222" t="s">
        <v>1453</v>
      </c>
      <c r="M1" s="222" t="s">
        <v>1454</v>
      </c>
      <c r="N1" s="222" t="s">
        <v>1455</v>
      </c>
      <c r="O1" s="222" t="s">
        <v>1456</v>
      </c>
      <c r="P1" s="222" t="s">
        <v>1457</v>
      </c>
      <c r="Q1" s="222" t="s">
        <v>1458</v>
      </c>
      <c r="R1" s="222" t="s">
        <v>1459</v>
      </c>
      <c r="S1" s="222" t="s">
        <v>1460</v>
      </c>
      <c r="T1" s="222" t="s">
        <v>1461</v>
      </c>
      <c r="U1" s="222" t="s">
        <v>882</v>
      </c>
      <c r="V1" s="224" t="s">
        <v>1462</v>
      </c>
      <c r="W1" s="224" t="s">
        <v>1463</v>
      </c>
      <c r="X1" s="224" t="s">
        <v>1464</v>
      </c>
      <c r="Y1" s="224" t="s">
        <v>1465</v>
      </c>
      <c r="Z1" s="224" t="s">
        <v>1466</v>
      </c>
      <c r="AA1" s="224" t="s">
        <v>1467</v>
      </c>
      <c r="AB1" s="225" t="s">
        <v>1468</v>
      </c>
      <c r="AC1" s="225" t="s">
        <v>1469</v>
      </c>
      <c r="AD1" s="225" t="s">
        <v>1470</v>
      </c>
      <c r="AE1" s="225" t="s">
        <v>1471</v>
      </c>
      <c r="AF1" s="225" t="s">
        <v>1472</v>
      </c>
      <c r="AG1" s="225" t="s">
        <v>1473</v>
      </c>
      <c r="AH1" s="226" t="s">
        <v>1474</v>
      </c>
      <c r="AI1" s="226" t="s">
        <v>1475</v>
      </c>
      <c r="AJ1" s="226" t="s">
        <v>1476</v>
      </c>
      <c r="AK1" s="226" t="s">
        <v>1477</v>
      </c>
      <c r="AL1" s="226" t="s">
        <v>1478</v>
      </c>
      <c r="AM1" s="226" t="s">
        <v>1479</v>
      </c>
      <c r="AN1" s="227" t="s">
        <v>1480</v>
      </c>
      <c r="AO1" s="227" t="s">
        <v>1481</v>
      </c>
      <c r="AP1" s="227" t="s">
        <v>1482</v>
      </c>
      <c r="AQ1" s="227" t="s">
        <v>1483</v>
      </c>
      <c r="AR1" s="227" t="s">
        <v>1484</v>
      </c>
      <c r="AS1" s="227" t="s">
        <v>1485</v>
      </c>
      <c r="AT1" s="228" t="s">
        <v>1486</v>
      </c>
      <c r="AU1" s="228" t="s">
        <v>1487</v>
      </c>
      <c r="AV1" s="228" t="s">
        <v>1488</v>
      </c>
      <c r="AW1" s="228" t="s">
        <v>1489</v>
      </c>
      <c r="AX1" s="228" t="s">
        <v>1490</v>
      </c>
      <c r="AY1" s="228" t="s">
        <v>1491</v>
      </c>
      <c r="AZ1" s="229" t="s">
        <v>1492</v>
      </c>
      <c r="BA1" s="222" t="s">
        <v>1493</v>
      </c>
      <c r="BB1" s="222" t="s">
        <v>1494</v>
      </c>
      <c r="BC1" s="222" t="s">
        <v>1495</v>
      </c>
      <c r="BD1" s="230" t="s">
        <v>1496</v>
      </c>
    </row>
    <row r="2" ht="12.75" customHeight="1">
      <c r="A2" s="1" t="s">
        <v>10</v>
      </c>
      <c r="B2" s="1" t="s">
        <v>10</v>
      </c>
      <c r="C2" s="203" t="s">
        <v>1276</v>
      </c>
      <c r="D2" s="203" t="s">
        <v>1497</v>
      </c>
      <c r="E2" s="231">
        <v>3.2136E10</v>
      </c>
      <c r="F2" s="231" t="str">
        <f>IF(ISNUMBER(Table1[[#This Row],[2019 Scope 3 ]]),IF(Table1[[#This Row],[Net Earnings/Income (2019)]]-k_cost*Table1[[#This Row],[2019 Total Scope 1, 2 + 3]]&lt;0,"Y","N"),"NA")</f>
        <v>#ERROR!</v>
      </c>
      <c r="G2" s="63" t="str">
        <f>IF(ISNUMBER(Table1[[#This Row],[2019 Scope 3 ]]),IF(k_cost*Table1[[#This Row],[2019 Total Scope 1, 2 + 3]]/Table1[[#This Row],[Size (2019 Revenue)]]&gt;k_rev_max,"Y","N"),"NA")</f>
        <v>#ERROR!</v>
      </c>
      <c r="H2" s="63" t="str">
        <f>IF(OR(Table1[[#This Row],[Net earnings post carbon price @85/t]]="Y",Table1[[#This Row],[Carbon costs in % revenue]] = "Y"),"Y",IF(OR(Table1[[#This Row],[Net earnings post carbon price @85/t]]="NA",Table1[[#This Row],[Carbon costs in % revenue]]="NA"),"NA","N"))</f>
        <v>#ERROR!</v>
      </c>
      <c r="I2" s="231">
        <v>4.57E9</v>
      </c>
      <c r="J2" s="232">
        <v>1978.0</v>
      </c>
      <c r="K2" s="231" t="s">
        <v>1498</v>
      </c>
      <c r="L2" s="1" t="s">
        <v>1499</v>
      </c>
      <c r="M2" s="203" t="s">
        <v>1499</v>
      </c>
      <c r="P2" s="233">
        <v>9150000.0</v>
      </c>
      <c r="Q2" s="1" t="s">
        <v>1499</v>
      </c>
      <c r="R2" s="1" t="s">
        <v>1498</v>
      </c>
      <c r="S2" s="1">
        <v>2050.0</v>
      </c>
      <c r="T2" s="219" t="str">
        <f>IFERROR((Table1[[#This Row],[2019 Total Scope 1, 2 + 3]])/Table1[[#This Row],[2018 Total Scope 1, 2 + Scope 3]]-1,"NA")</f>
        <v>#ERROR!</v>
      </c>
      <c r="V2" s="234">
        <v>4050000.0</v>
      </c>
      <c r="W2" s="234">
        <v>1320000.0</v>
      </c>
      <c r="X2" s="234"/>
      <c r="Y2" s="234">
        <f t="shared" ref="Y2:Y70" si="1">IFERROR(V2+W2-X2,"")</f>
        <v>5370000</v>
      </c>
      <c r="Z2" s="234">
        <v>8920000.0</v>
      </c>
      <c r="AA2" s="234">
        <f t="shared" ref="AA2:AA101" si="2">IFERROR(Y2+Z2,"")</f>
        <v>14290000</v>
      </c>
      <c r="AB2" s="234">
        <v>4790000.0</v>
      </c>
      <c r="AC2" s="234">
        <v>1480000.0</v>
      </c>
      <c r="AD2" s="234"/>
      <c r="AE2" s="234">
        <f t="shared" ref="AE2:AE70" si="3">IFERROR(AB2+AC2-AD2,"")</f>
        <v>6270000</v>
      </c>
      <c r="AF2" s="234">
        <v>9530000.0</v>
      </c>
      <c r="AG2" s="234">
        <f t="shared" ref="AG2:AG101" si="4">IFERROR(AE2+AF2,"")</f>
        <v>15800000</v>
      </c>
      <c r="AH2" s="234">
        <v>3960000.0</v>
      </c>
      <c r="AI2" s="234">
        <v>1650000.0</v>
      </c>
      <c r="AJ2" s="234"/>
      <c r="AK2" s="234">
        <f t="shared" ref="AK2:AK70" si="5">IFERROR(AH2+AI2-AJ2,"")</f>
        <v>5610000</v>
      </c>
      <c r="AL2" s="234">
        <v>9280000.0</v>
      </c>
      <c r="AM2" s="234">
        <f t="shared" ref="AM2:AM101" si="6">IFERROR(AK2+AL2,"")</f>
        <v>14890000</v>
      </c>
      <c r="AN2" s="234">
        <v>4140000.0</v>
      </c>
      <c r="AO2" s="234">
        <v>1780000.0</v>
      </c>
      <c r="AP2" s="234"/>
      <c r="AQ2" s="234">
        <f t="shared" ref="AQ2:AQ42" si="7">IFERROR(AN2+AO2-AP2,"")</f>
        <v>5920000</v>
      </c>
      <c r="AR2" s="234">
        <v>9420000.0</v>
      </c>
      <c r="AS2" s="234">
        <f t="shared" ref="AS2:AS101" si="8">IFERROR(AQ2+AR2,"")</f>
        <v>15340000</v>
      </c>
      <c r="AT2" s="234">
        <v>3770000.0</v>
      </c>
      <c r="AU2" s="234">
        <v>1930000.0</v>
      </c>
      <c r="AV2" s="234"/>
      <c r="AW2" s="234">
        <f t="shared" ref="AW2:AW42" si="9">IFERROR(AT2+AU2-AV2,"")</f>
        <v>5700000</v>
      </c>
      <c r="AX2" s="234">
        <f>6860000+577000+621000+780000+254000+55800+356000</f>
        <v>9503800</v>
      </c>
      <c r="AY2" s="234">
        <f t="shared" ref="AY2:AY101" si="10">IFERROR(AW2+AX2,"")</f>
        <v>15203800</v>
      </c>
      <c r="AZ2" s="217" t="s">
        <v>1498</v>
      </c>
      <c r="BA2" s="235" t="s">
        <v>1500</v>
      </c>
      <c r="BD2" s="236"/>
    </row>
    <row r="3" ht="12.75" customHeight="1">
      <c r="A3" s="1" t="s">
        <v>15</v>
      </c>
      <c r="B3" s="203" t="s">
        <v>15</v>
      </c>
      <c r="C3" s="203" t="s">
        <v>1283</v>
      </c>
      <c r="D3" s="203" t="s">
        <v>1501</v>
      </c>
      <c r="E3" s="237">
        <v>3.1904E10</v>
      </c>
      <c r="F3" s="231" t="str">
        <f>IF(ISNUMBER(Table1[[#This Row],[2019 Scope 3 ]]),IF(Table1[[#This Row],[Net Earnings/Income (2019)]]-k_cost*Table1[[#This Row],[2019 Total Scope 1, 2 + 3]]&lt;0,"Y","N"),"NA")</f>
        <v>#ERROR!</v>
      </c>
      <c r="G3" s="63" t="str">
        <f>IF(ISNUMBER(Table1[[#This Row],[2019 Scope 3 ]]),IF(k_cost*Table1[[#This Row],[2019 Total Scope 1, 2 + 3]]/Table1[[#This Row],[Size (2019 Revenue)]]&gt;k_rev_max,"Y","N"),"NA")</f>
        <v>#ERROR!</v>
      </c>
      <c r="H3" s="63" t="str">
        <f>IF(OR(Table1[[#This Row],[Net earnings post carbon price @85/t]]="Y",Table1[[#This Row],[Carbon costs in % revenue]] = "Y"),"Y",IF(OR(Table1[[#This Row],[Net earnings post carbon price @85/t]]="NA",Table1[[#This Row],[Carbon costs in % revenue]]="NA"),"NA","N"))</f>
        <v>#ERROR!</v>
      </c>
      <c r="I3" s="237">
        <v>3.687E9</v>
      </c>
      <c r="J3" s="232">
        <v>1929.0</v>
      </c>
      <c r="K3" s="203" t="s">
        <v>1498</v>
      </c>
      <c r="L3" s="203" t="s">
        <v>1499</v>
      </c>
      <c r="M3" s="203" t="s">
        <v>1499</v>
      </c>
      <c r="N3" s="203"/>
      <c r="O3" s="203"/>
      <c r="P3" s="233">
        <v>742000.0</v>
      </c>
      <c r="Q3" s="1" t="s">
        <v>1499</v>
      </c>
      <c r="R3" s="203" t="s">
        <v>1499</v>
      </c>
      <c r="S3" s="203" t="s">
        <v>1499</v>
      </c>
      <c r="T3" s="219" t="str">
        <f>IFERROR((Table1[[#This Row],[2019 Total Scope 1, 2 + 3]])/Table1[[#This Row],[2018 Total Scope 1, 2 + Scope 3]]-1,"NA")</f>
        <v>#ERROR!</v>
      </c>
      <c r="U3" s="203"/>
      <c r="V3" s="234">
        <v>533000.0</v>
      </c>
      <c r="W3" s="234">
        <v>439000.0</v>
      </c>
      <c r="X3" s="234"/>
      <c r="Y3" s="234">
        <f t="shared" si="1"/>
        <v>972000</v>
      </c>
      <c r="Z3" s="234">
        <f>8382000+2860000+290000+1501000+15000+332000+306000+508000+169000</f>
        <v>14363000</v>
      </c>
      <c r="AA3" s="234">
        <f t="shared" si="2"/>
        <v>15335000</v>
      </c>
      <c r="AB3" s="234">
        <v>525000.0</v>
      </c>
      <c r="AC3" s="234">
        <v>506000.0</v>
      </c>
      <c r="AD3" s="234"/>
      <c r="AE3" s="234">
        <f t="shared" si="3"/>
        <v>1031000</v>
      </c>
      <c r="AF3" s="234">
        <v>1.3678E7</v>
      </c>
      <c r="AG3" s="234">
        <f t="shared" si="4"/>
        <v>14709000</v>
      </c>
      <c r="AH3" s="234">
        <v>526000.0</v>
      </c>
      <c r="AI3" s="234">
        <v>506000.0</v>
      </c>
      <c r="AJ3" s="234"/>
      <c r="AK3" s="234">
        <f t="shared" si="5"/>
        <v>1032000</v>
      </c>
      <c r="AL3" s="234">
        <v>1.371E7</v>
      </c>
      <c r="AM3" s="234">
        <f t="shared" si="6"/>
        <v>14742000</v>
      </c>
      <c r="AN3" s="234">
        <v>516000.0</v>
      </c>
      <c r="AO3" s="234">
        <v>544000.0</v>
      </c>
      <c r="AP3" s="234"/>
      <c r="AQ3" s="234">
        <f t="shared" si="7"/>
        <v>1060000</v>
      </c>
      <c r="AR3" s="234">
        <v>1.4082E7</v>
      </c>
      <c r="AS3" s="234">
        <f t="shared" si="8"/>
        <v>15142000</v>
      </c>
      <c r="AT3" s="234" t="s">
        <v>536</v>
      </c>
      <c r="AU3" s="234" t="s">
        <v>536</v>
      </c>
      <c r="AV3" s="234"/>
      <c r="AW3" s="234" t="str">
        <f t="shared" si="9"/>
        <v/>
      </c>
      <c r="AX3" s="234" t="s">
        <v>536</v>
      </c>
      <c r="AY3" s="234" t="str">
        <f t="shared" si="10"/>
        <v/>
      </c>
      <c r="AZ3" s="217" t="s">
        <v>1499</v>
      </c>
      <c r="BA3" s="238" t="s">
        <v>1502</v>
      </c>
      <c r="BD3" s="236"/>
    </row>
    <row r="4" ht="12.75" customHeight="1">
      <c r="A4" s="1" t="s">
        <v>20</v>
      </c>
      <c r="B4" s="203" t="s">
        <v>21</v>
      </c>
      <c r="C4" s="1" t="s">
        <v>1283</v>
      </c>
      <c r="D4" s="203" t="s">
        <v>1503</v>
      </c>
      <c r="E4" s="237">
        <v>3.3266E10</v>
      </c>
      <c r="F4" s="231" t="str">
        <f>IF(ISNUMBER(Table1[[#This Row],[2019 Scope 3 ]]),IF(Table1[[#This Row],[Net Earnings/Income (2019)]]-k_cost*Table1[[#This Row],[2019 Total Scope 1, 2 + 3]]&lt;0,"Y","N"),"NA")</f>
        <v>#ERROR!</v>
      </c>
      <c r="G4" s="63" t="str">
        <f>IF(ISNUMBER(Table1[[#This Row],[2019 Scope 3 ]]),IF(k_cost*Table1[[#This Row],[2019 Total Scope 1, 2 + 3]]/Table1[[#This Row],[Size (2019 Revenue)]]&gt;k_rev_max,"Y","N"),"NA")</f>
        <v>#ERROR!</v>
      </c>
      <c r="H4" s="63" t="str">
        <f>IF(OR(Table1[[#This Row],[Net earnings post carbon price @85/t]]="Y",Table1[[#This Row],[Carbon costs in % revenue]] = "Y"),"Y",IF(OR(Table1[[#This Row],[Net earnings post carbon price @85/t]]="NA",Table1[[#This Row],[Carbon costs in % revenue]]="NA"),"NA","N"))</f>
        <v>#ERROR!</v>
      </c>
      <c r="I4" s="237">
        <v>5.697E9</v>
      </c>
      <c r="J4" s="232">
        <v>2013.0</v>
      </c>
      <c r="K4" s="203" t="s">
        <v>1498</v>
      </c>
      <c r="L4" s="203" t="s">
        <v>1499</v>
      </c>
      <c r="M4" s="203" t="s">
        <v>1499</v>
      </c>
      <c r="N4" s="203"/>
      <c r="O4" s="203"/>
      <c r="P4" s="233">
        <v>334482.0</v>
      </c>
      <c r="Q4" s="1" t="s">
        <v>1499</v>
      </c>
      <c r="R4" s="203" t="s">
        <v>1498</v>
      </c>
      <c r="S4" s="1">
        <v>2035.0</v>
      </c>
      <c r="T4" s="219" t="str">
        <f>IFERROR((Table1[[#This Row],[2019 Total Scope 1, 2 + 3]])/Table1[[#This Row],[2018 Total Scope 1, 2 + Scope 3]]-1,"NA")</f>
        <v>#ERROR!</v>
      </c>
      <c r="V4" s="234">
        <v>314421.0</v>
      </c>
      <c r="W4" s="234">
        <v>249777.0</v>
      </c>
      <c r="X4" s="234"/>
      <c r="Y4" s="234">
        <f t="shared" si="1"/>
        <v>564198</v>
      </c>
      <c r="Z4" s="234">
        <f>990981+20324+77371+5483+56303+183747</f>
        <v>1334209</v>
      </c>
      <c r="AA4" s="234">
        <f t="shared" si="2"/>
        <v>1898407</v>
      </c>
      <c r="AB4" s="234">
        <v>311000.0</v>
      </c>
      <c r="AC4" s="234">
        <v>271000.0</v>
      </c>
      <c r="AD4" s="234"/>
      <c r="AE4" s="234">
        <f t="shared" si="3"/>
        <v>582000</v>
      </c>
      <c r="AF4" s="234">
        <f>711499+17595+70284+5484+65924+177779</f>
        <v>1048565</v>
      </c>
      <c r="AG4" s="234">
        <f t="shared" si="4"/>
        <v>1630565</v>
      </c>
      <c r="AH4" s="234">
        <v>299000.0</v>
      </c>
      <c r="AI4" s="234">
        <v>284000.0</v>
      </c>
      <c r="AJ4" s="234"/>
      <c r="AK4" s="234">
        <f t="shared" si="5"/>
        <v>583000</v>
      </c>
      <c r="AL4" s="234">
        <f>652163+11640+53093+3956+106698+185438</f>
        <v>1012988</v>
      </c>
      <c r="AM4" s="234">
        <f t="shared" si="6"/>
        <v>1595988</v>
      </c>
      <c r="AN4" s="234">
        <v>297395.0</v>
      </c>
      <c r="AO4" s="234">
        <v>319692.0</v>
      </c>
      <c r="AP4" s="234"/>
      <c r="AQ4" s="234">
        <f t="shared" si="7"/>
        <v>617087</v>
      </c>
      <c r="AR4" s="234">
        <f>681914+13229+19813+2052+67536+124527+172</f>
        <v>909243</v>
      </c>
      <c r="AS4" s="234">
        <f t="shared" si="8"/>
        <v>1526330</v>
      </c>
      <c r="AT4" s="234">
        <v>318216.0</v>
      </c>
      <c r="AU4" s="234">
        <v>347250.0</v>
      </c>
      <c r="AV4" s="234"/>
      <c r="AW4" s="234">
        <f t="shared" si="9"/>
        <v>665466</v>
      </c>
      <c r="AX4" s="234">
        <f>619274+8239+20560+42819+9277+41030+102658+172</f>
        <v>844029</v>
      </c>
      <c r="AY4" s="234">
        <f t="shared" si="10"/>
        <v>1509495</v>
      </c>
      <c r="AZ4" s="217" t="s">
        <v>1499</v>
      </c>
      <c r="BA4" s="235" t="s">
        <v>1504</v>
      </c>
      <c r="BD4" s="236"/>
    </row>
    <row r="5" ht="12.75" customHeight="1">
      <c r="A5" s="1" t="s">
        <v>26</v>
      </c>
      <c r="B5" s="203" t="s">
        <v>26</v>
      </c>
      <c r="C5" s="1" t="s">
        <v>1291</v>
      </c>
      <c r="D5" s="1" t="s">
        <v>1505</v>
      </c>
      <c r="E5" s="237">
        <v>4.32E10</v>
      </c>
      <c r="F5" s="231" t="str">
        <f>IF(ISNUMBER(Table1[[#This Row],[2019 Scope 3 ]]),IF(Table1[[#This Row],[Net Earnings/Income (2019)]]-k_cost*Table1[[#This Row],[2019 Total Scope 1, 2 + 3]]&lt;0,"Y","N"),"NA")</f>
        <v>#ERROR!</v>
      </c>
      <c r="G5" s="63" t="str">
        <f>IF(ISNUMBER(Table1[[#This Row],[2019 Scope 3 ]]),IF(k_cost*Table1[[#This Row],[2019 Total Scope 1, 2 + 3]]/Table1[[#This Row],[Size (2019 Revenue)]]&gt;k_rev_max,"Y","N"),"NA")</f>
        <v>#ERROR!</v>
      </c>
      <c r="H5" s="63" t="str">
        <f>IF(OR(Table1[[#This Row],[Net earnings post carbon price @85/t]]="Y",Table1[[#This Row],[Carbon costs in % revenue]] = "Y"),"Y",IF(OR(Table1[[#This Row],[Net earnings post carbon price @85/t]]="NA",Table1[[#This Row],[Carbon costs in % revenue]]="NA"),"NA","N"))</f>
        <v>#ERROR!</v>
      </c>
      <c r="I5" s="237">
        <v>4.78E9</v>
      </c>
      <c r="J5" s="232">
        <v>2001.0</v>
      </c>
      <c r="K5" s="203" t="s">
        <v>1498</v>
      </c>
      <c r="L5" s="203" t="s">
        <v>1499</v>
      </c>
      <c r="M5" s="1" t="s">
        <v>1498</v>
      </c>
      <c r="P5" s="233">
        <v>88000.0</v>
      </c>
      <c r="Q5" s="1" t="s">
        <v>1499</v>
      </c>
      <c r="R5" s="203" t="s">
        <v>1498</v>
      </c>
      <c r="S5" s="1">
        <v>2023.0</v>
      </c>
      <c r="T5" s="219" t="str">
        <f>IFERROR((Table1[[#This Row],[2019 Total Scope 1, 2 + 3]])/Table1[[#This Row],[2018 Total Scope 1, 2 + Scope 3]]-1,"NA")</f>
        <v>#ERROR!</v>
      </c>
      <c r="V5" s="234">
        <v>18923.0</v>
      </c>
      <c r="W5" s="234">
        <v>214680.0</v>
      </c>
      <c r="X5" s="234"/>
      <c r="Y5" s="234">
        <f t="shared" si="1"/>
        <v>233603</v>
      </c>
      <c r="Z5" s="234">
        <v>932653.0</v>
      </c>
      <c r="AA5" s="234">
        <f t="shared" si="2"/>
        <v>1166256</v>
      </c>
      <c r="AB5" s="234">
        <v>22183.0</v>
      </c>
      <c r="AC5" s="234">
        <v>218855.0</v>
      </c>
      <c r="AD5" s="234"/>
      <c r="AE5" s="234">
        <f t="shared" si="3"/>
        <v>241038</v>
      </c>
      <c r="AF5" s="234">
        <v>948756.0</v>
      </c>
      <c r="AG5" s="234">
        <f t="shared" si="4"/>
        <v>1189794</v>
      </c>
      <c r="AH5" s="234">
        <v>24095.0</v>
      </c>
      <c r="AI5" s="234">
        <v>243773.0</v>
      </c>
      <c r="AJ5" s="234"/>
      <c r="AK5" s="234">
        <f t="shared" si="5"/>
        <v>267868</v>
      </c>
      <c r="AL5" s="234">
        <v>974176.0</v>
      </c>
      <c r="AM5" s="234">
        <f t="shared" si="6"/>
        <v>1242044</v>
      </c>
      <c r="AN5" s="234">
        <v>27203.0</v>
      </c>
      <c r="AO5" s="234">
        <v>263050.0</v>
      </c>
      <c r="AP5" s="234"/>
      <c r="AQ5" s="234">
        <f t="shared" si="7"/>
        <v>290253</v>
      </c>
      <c r="AR5" s="234">
        <f>506841</f>
        <v>506841</v>
      </c>
      <c r="AS5" s="234">
        <f t="shared" si="8"/>
        <v>797094</v>
      </c>
      <c r="AT5" s="234">
        <v>26290.0</v>
      </c>
      <c r="AU5" s="234">
        <v>237239.0</v>
      </c>
      <c r="AV5" s="234"/>
      <c r="AW5" s="234">
        <f t="shared" si="9"/>
        <v>263529</v>
      </c>
      <c r="AX5" s="234">
        <v>449240.0</v>
      </c>
      <c r="AY5" s="234">
        <f t="shared" si="10"/>
        <v>712769</v>
      </c>
      <c r="AZ5" s="1" t="s">
        <v>1499</v>
      </c>
      <c r="BA5" s="235" t="s">
        <v>1506</v>
      </c>
      <c r="BB5" s="238" t="s">
        <v>1507</v>
      </c>
      <c r="BD5" s="236"/>
    </row>
    <row r="6" ht="12.75" customHeight="1">
      <c r="A6" s="203" t="s">
        <v>31</v>
      </c>
      <c r="B6" s="203" t="s">
        <v>32</v>
      </c>
      <c r="C6" s="203" t="s">
        <v>1291</v>
      </c>
      <c r="D6" s="1" t="s">
        <v>1297</v>
      </c>
      <c r="E6" s="231">
        <v>1.1171E10</v>
      </c>
      <c r="F6" s="231" t="str">
        <f>IF(ISNUMBER(Table1[[#This Row],[2019 Scope 3 ]]),IF(Table1[[#This Row],[Net Earnings/Income (2019)]]-k_cost*Table1[[#This Row],[2019 Total Scope 1, 2 + 3]]&lt;0,"Y","N"),"NA")</f>
        <v>#ERROR!</v>
      </c>
      <c r="G6" s="63" t="str">
        <f>IF(ISNUMBER(Table1[[#This Row],[2019 Scope 3 ]]),IF(k_cost*Table1[[#This Row],[2019 Total Scope 1, 2 + 3]]/Table1[[#This Row],[Size (2019 Revenue)]]&gt;k_rev_max,"Y","N"),"NA")</f>
        <v>#ERROR!</v>
      </c>
      <c r="H6" s="63" t="str">
        <f>IF(OR(Table1[[#This Row],[Net earnings post carbon price @85/t]]="Y",Table1[[#This Row],[Carbon costs in % revenue]] = "Y"),"Y",IF(OR(Table1[[#This Row],[Net earnings post carbon price @85/t]]="NA",Table1[[#This Row],[Carbon costs in % revenue]]="NA"),"NA","N"))</f>
        <v>#ERROR!</v>
      </c>
      <c r="I6" s="231">
        <v>2.951E9</v>
      </c>
      <c r="J6" s="232">
        <v>1986.0</v>
      </c>
      <c r="K6" s="231" t="s">
        <v>1498</v>
      </c>
      <c r="L6" s="1" t="s">
        <v>1499</v>
      </c>
      <c r="M6" s="203" t="s">
        <v>1498</v>
      </c>
      <c r="P6" s="233"/>
      <c r="Q6" s="1" t="s">
        <v>1499</v>
      </c>
      <c r="R6" s="1" t="s">
        <v>1498</v>
      </c>
      <c r="S6" s="1">
        <v>2035.0</v>
      </c>
      <c r="T6" s="219" t="str">
        <f>IFERROR((Table1[[#This Row],[2019 Total Scope 1, 2 + 3]])/Table1[[#This Row],[2018 Total Scope 1, 2 + Scope 3]]-1,"NA")</f>
        <v>#ERROR!</v>
      </c>
      <c r="V6" s="234">
        <v>11816.0</v>
      </c>
      <c r="W6" s="234">
        <v>43526.0</v>
      </c>
      <c r="X6" s="234"/>
      <c r="Y6" s="234">
        <f t="shared" si="1"/>
        <v>55342</v>
      </c>
      <c r="Z6" s="234">
        <f>358472+39706+14180+57.87+88959+42037</f>
        <v>543411.87</v>
      </c>
      <c r="AA6" s="234">
        <f t="shared" si="2"/>
        <v>598753.87</v>
      </c>
      <c r="AB6" s="234">
        <v>12119.0</v>
      </c>
      <c r="AC6" s="234">
        <v>47871.0</v>
      </c>
      <c r="AD6" s="234"/>
      <c r="AE6" s="234">
        <f t="shared" si="3"/>
        <v>59990</v>
      </c>
      <c r="AF6" s="239">
        <v>574034.0</v>
      </c>
      <c r="AG6" s="234">
        <f t="shared" si="4"/>
        <v>634024</v>
      </c>
      <c r="AH6" s="234">
        <v>12119.0</v>
      </c>
      <c r="AI6" s="234">
        <v>58874.0</v>
      </c>
      <c r="AJ6" s="234"/>
      <c r="AK6" s="234">
        <f t="shared" si="5"/>
        <v>70993</v>
      </c>
      <c r="AL6" s="234">
        <f>35952.82+16872.85+52.85+32512+9988+169+505</f>
        <v>96052.52</v>
      </c>
      <c r="AM6" s="234">
        <f t="shared" si="6"/>
        <v>167045.52</v>
      </c>
      <c r="AN6" s="234">
        <v>11082.0</v>
      </c>
      <c r="AO6" s="234">
        <v>58474.0</v>
      </c>
      <c r="AP6" s="234"/>
      <c r="AQ6" s="234">
        <f t="shared" si="7"/>
        <v>69556</v>
      </c>
      <c r="AR6" s="234"/>
      <c r="AS6" s="234">
        <f t="shared" si="8"/>
        <v>69556</v>
      </c>
      <c r="AT6" s="234" t="s">
        <v>536</v>
      </c>
      <c r="AU6" s="234" t="s">
        <v>536</v>
      </c>
      <c r="AV6" s="234"/>
      <c r="AW6" s="234" t="str">
        <f t="shared" si="9"/>
        <v/>
      </c>
      <c r="AX6" s="234" t="s">
        <v>536</v>
      </c>
      <c r="AY6" s="234" t="str">
        <f t="shared" si="10"/>
        <v/>
      </c>
      <c r="AZ6" s="1" t="s">
        <v>1499</v>
      </c>
      <c r="BD6" s="236" t="s">
        <v>1508</v>
      </c>
    </row>
    <row r="7" ht="12.75" customHeight="1">
      <c r="A7" s="203" t="s">
        <v>38</v>
      </c>
      <c r="B7" s="203" t="s">
        <v>39</v>
      </c>
      <c r="C7" s="203" t="s">
        <v>1298</v>
      </c>
      <c r="D7" s="1" t="s">
        <v>1301</v>
      </c>
      <c r="E7" s="237">
        <v>4.4675E10</v>
      </c>
      <c r="F7" s="231" t="str">
        <f>IF(ISNUMBER(Table1[[#This Row],[2019 Scope 3 ]]),IF(Table1[[#This Row],[Net Earnings/Income (2019)]]-k_cost*Table1[[#This Row],[2019 Total Scope 1, 2 + 3]]&lt;0,"Y","N"),"NA")</f>
        <v>#ERROR!</v>
      </c>
      <c r="G7" s="63" t="str">
        <f>IF(ISNUMBER(Table1[[#This Row],[2019 Scope 3 ]]),IF(k_cost*Table1[[#This Row],[2019 Total Scope 1, 2 + 3]]/Table1[[#This Row],[Size (2019 Revenue)]]&gt;k_rev_max,"Y","N"),"NA")</f>
        <v>#ERROR!</v>
      </c>
      <c r="H7" s="63" t="str">
        <f>IF(OR(Table1[[#This Row],[Net earnings post carbon price @85/t]]="Y",Table1[[#This Row],[Carbon costs in % revenue]] = "Y"),"Y",IF(OR(Table1[[#This Row],[Net earnings post carbon price @85/t]]="NA",Table1[[#This Row],[Carbon costs in % revenue]]="NA"),"NA","N"))</f>
        <v>#ERROR!</v>
      </c>
      <c r="I7" s="237">
        <v>4.847E9</v>
      </c>
      <c r="J7" s="232">
        <v>1993.0</v>
      </c>
      <c r="K7" s="203" t="s">
        <v>1498</v>
      </c>
      <c r="L7" s="203" t="s">
        <v>1499</v>
      </c>
      <c r="M7" s="1" t="s">
        <v>1499</v>
      </c>
      <c r="P7" s="233"/>
      <c r="Q7" s="1" t="s">
        <v>1499</v>
      </c>
      <c r="R7" s="203" t="s">
        <v>1499</v>
      </c>
      <c r="S7" s="203" t="s">
        <v>1499</v>
      </c>
      <c r="T7" s="219" t="str">
        <f>IFERROR((Table1[[#This Row],[2019 Total Scope 1, 2 + 3]])/Table1[[#This Row],[2018 Total Scope 1, 2 + Scope 3]]-1,"NA")</f>
        <v>#ERROR!</v>
      </c>
      <c r="U7" s="203"/>
      <c r="V7" s="240">
        <v>39230.0</v>
      </c>
      <c r="W7" s="240">
        <v>74230.0</v>
      </c>
      <c r="X7" s="234"/>
      <c r="Y7" s="234">
        <f t="shared" si="1"/>
        <v>113460</v>
      </c>
      <c r="Z7" s="234">
        <f>10528+4343+3+446+8857+13412</f>
        <v>37589</v>
      </c>
      <c r="AA7" s="234">
        <f t="shared" si="2"/>
        <v>151049</v>
      </c>
      <c r="AB7" s="234">
        <v>45966.0</v>
      </c>
      <c r="AC7" s="234">
        <v>83887.0</v>
      </c>
      <c r="AD7" s="234"/>
      <c r="AE7" s="234">
        <f t="shared" si="3"/>
        <v>129853</v>
      </c>
      <c r="AF7" s="234">
        <v>13264.0</v>
      </c>
      <c r="AG7" s="234">
        <f t="shared" si="4"/>
        <v>143117</v>
      </c>
      <c r="AH7" s="234">
        <v>53818.0</v>
      </c>
      <c r="AI7" s="234">
        <v>91209.0</v>
      </c>
      <c r="AJ7" s="234"/>
      <c r="AK7" s="234">
        <f t="shared" si="5"/>
        <v>145027</v>
      </c>
      <c r="AL7" s="234">
        <v>20119.0</v>
      </c>
      <c r="AM7" s="234">
        <f t="shared" si="6"/>
        <v>165146</v>
      </c>
      <c r="AN7" s="234">
        <v>56521.0</v>
      </c>
      <c r="AO7" s="234">
        <v>104350.0</v>
      </c>
      <c r="AP7" s="234"/>
      <c r="AQ7" s="234">
        <f t="shared" si="7"/>
        <v>160871</v>
      </c>
      <c r="AR7" s="234">
        <v>19089.0</v>
      </c>
      <c r="AS7" s="234">
        <f t="shared" si="8"/>
        <v>179960</v>
      </c>
      <c r="AT7" s="234">
        <v>55709.0</v>
      </c>
      <c r="AU7" s="234">
        <v>111825.0</v>
      </c>
      <c r="AV7" s="234"/>
      <c r="AW7" s="234">
        <f t="shared" si="9"/>
        <v>167534</v>
      </c>
      <c r="AX7" s="234">
        <v>17345.0</v>
      </c>
      <c r="AY7" s="234">
        <f t="shared" si="10"/>
        <v>184879</v>
      </c>
      <c r="AZ7" s="1" t="s">
        <v>1499</v>
      </c>
      <c r="BA7" s="235" t="s">
        <v>1509</v>
      </c>
      <c r="BD7" s="236"/>
    </row>
    <row r="8" ht="12.75" customHeight="1">
      <c r="A8" s="1" t="s">
        <v>897</v>
      </c>
      <c r="B8" s="203" t="s">
        <v>45</v>
      </c>
      <c r="C8" s="1" t="s">
        <v>1302</v>
      </c>
      <c r="D8" s="203" t="s">
        <v>1510</v>
      </c>
      <c r="E8" s="231">
        <v>1.61857E11</v>
      </c>
      <c r="F8" s="231" t="str">
        <f>IF(ISNUMBER(Table1[[#This Row],[2019 Scope 3 ]]),IF(Table1[[#This Row],[Net Earnings/Income (2019)]]-k_cost*Table1[[#This Row],[2019 Total Scope 1, 2 + 3]]&lt;0,"Y","N"),"NA")</f>
        <v>#ERROR!</v>
      </c>
      <c r="G8" s="63" t="str">
        <f>IF(ISNUMBER(Table1[[#This Row],[2019 Scope 3 ]]),IF(k_cost*Table1[[#This Row],[2019 Total Scope 1, 2 + 3]]/Table1[[#This Row],[Size (2019 Revenue)]]&gt;k_rev_max,"Y","N"),"NA")</f>
        <v>#ERROR!</v>
      </c>
      <c r="H8" s="63" t="str">
        <f>IF(OR(Table1[[#This Row],[Net earnings post carbon price @85/t]]="Y",Table1[[#This Row],[Carbon costs in % revenue]] = "Y"),"Y",IF(OR(Table1[[#This Row],[Net earnings post carbon price @85/t]]="NA",Table1[[#This Row],[Carbon costs in % revenue]]="NA"),"NA","N"))</f>
        <v>#ERROR!</v>
      </c>
      <c r="I8" s="231">
        <v>3.434E10</v>
      </c>
      <c r="J8" s="232">
        <v>2004.0</v>
      </c>
      <c r="K8" s="231" t="s">
        <v>1498</v>
      </c>
      <c r="L8" s="1" t="s">
        <v>1498</v>
      </c>
      <c r="M8" s="1" t="s">
        <v>1499</v>
      </c>
      <c r="N8" s="1">
        <v>2007.0</v>
      </c>
      <c r="O8" s="1">
        <v>2007.0</v>
      </c>
      <c r="P8" s="233"/>
      <c r="Q8" s="1" t="s">
        <v>1498</v>
      </c>
      <c r="R8" s="1" t="s">
        <v>1498</v>
      </c>
      <c r="S8" s="1">
        <v>2017.0</v>
      </c>
      <c r="T8" s="219" t="str">
        <f>IFERROR((Table1[[#This Row],[2019 Total Scope 1, 2 + 3]])/Table1[[#This Row],[2018 Total Scope 1, 2 + Scope 3]]-1,"NA")</f>
        <v>#ERROR!</v>
      </c>
      <c r="V8" s="240">
        <v>66686.0</v>
      </c>
      <c r="W8" s="240">
        <v>794267.0</v>
      </c>
      <c r="X8" s="234"/>
      <c r="Y8" s="234">
        <f t="shared" si="1"/>
        <v>860953</v>
      </c>
      <c r="Z8" s="234">
        <f>2158000+460000+369000+173000</f>
        <v>3160000</v>
      </c>
      <c r="AA8" s="234">
        <f t="shared" si="2"/>
        <v>4020953</v>
      </c>
      <c r="AB8" s="234">
        <v>63521.0</v>
      </c>
      <c r="AC8" s="234">
        <v>684236.0</v>
      </c>
      <c r="AD8" s="234">
        <v>1211224.0</v>
      </c>
      <c r="AE8" s="234">
        <f t="shared" si="3"/>
        <v>-463467</v>
      </c>
      <c r="AF8" s="234">
        <v>1.4279467E7</v>
      </c>
      <c r="AG8" s="234">
        <f t="shared" si="4"/>
        <v>13816000</v>
      </c>
      <c r="AH8" s="234">
        <v>66546.0</v>
      </c>
      <c r="AI8" s="234">
        <v>509334.0</v>
      </c>
      <c r="AJ8" s="234">
        <v>931943.0</v>
      </c>
      <c r="AK8" s="234">
        <f t="shared" si="5"/>
        <v>-356063</v>
      </c>
      <c r="AL8" s="234">
        <v>2719024.0</v>
      </c>
      <c r="AM8" s="234">
        <f t="shared" si="6"/>
        <v>2362961</v>
      </c>
      <c r="AN8" s="234">
        <v>66218.0</v>
      </c>
      <c r="AO8" s="234">
        <v>1518643.0</v>
      </c>
      <c r="AP8" s="234">
        <v>1898889.0</v>
      </c>
      <c r="AQ8" s="234">
        <f t="shared" si="7"/>
        <v>-314028</v>
      </c>
      <c r="AR8" s="234">
        <v>1292267.0</v>
      </c>
      <c r="AS8" s="234">
        <f t="shared" si="8"/>
        <v>978239</v>
      </c>
      <c r="AT8" s="234">
        <v>66991.0</v>
      </c>
      <c r="AU8" s="234">
        <v>1384427.0</v>
      </c>
      <c r="AV8" s="234">
        <v>2686101.0</v>
      </c>
      <c r="AW8" s="234">
        <f t="shared" si="9"/>
        <v>-1234683</v>
      </c>
      <c r="AX8" s="234">
        <v>1234683.0</v>
      </c>
      <c r="AY8" s="234">
        <f t="shared" si="10"/>
        <v>0</v>
      </c>
      <c r="AZ8" s="1" t="s">
        <v>1498</v>
      </c>
      <c r="BA8" s="235" t="s">
        <v>1511</v>
      </c>
      <c r="BC8" s="241"/>
      <c r="BD8" s="236"/>
    </row>
    <row r="9" ht="12.75" customHeight="1">
      <c r="A9" s="1" t="s">
        <v>51</v>
      </c>
      <c r="B9" s="203" t="s">
        <v>52</v>
      </c>
      <c r="C9" s="203" t="s">
        <v>1306</v>
      </c>
      <c r="D9" s="1" t="s">
        <v>951</v>
      </c>
      <c r="E9" s="237">
        <v>2.5364E10</v>
      </c>
      <c r="F9" s="231" t="str">
        <f>IF(ISNUMBER(Table1[[#This Row],[2019 Scope 3 ]]),IF(Table1[[#This Row],[Net Earnings/Income (2019)]]-k_cost*Table1[[#This Row],[2019 Total Scope 1, 2 + 3]]&lt;0,"Y","N"),"NA")</f>
        <v>#ERROR!</v>
      </c>
      <c r="G9" s="63" t="str">
        <f>IF(ISNUMBER(Table1[[#This Row],[2019 Scope 3 ]]),IF(k_cost*Table1[[#This Row],[2019 Total Scope 1, 2 + 3]]/Table1[[#This Row],[Size (2019 Revenue)]]&gt;k_rev_max,"Y","N"),"NA")</f>
        <v>#ERROR!</v>
      </c>
      <c r="H9" s="63" t="str">
        <f>IF(OR(Table1[[#This Row],[Net earnings post carbon price @85/t]]="Y",Table1[[#This Row],[Carbon costs in % revenue]] = "Y"),"Y",IF(OR(Table1[[#This Row],[Net earnings post carbon price @85/t]]="NA",Table1[[#This Row],[Carbon costs in % revenue]]="NA"),"NA","N"))</f>
        <v>#ERROR!</v>
      </c>
      <c r="I9" s="237">
        <v>6.963E9</v>
      </c>
      <c r="J9" s="232">
        <v>1985.0</v>
      </c>
      <c r="K9" s="203" t="s">
        <v>1498</v>
      </c>
      <c r="L9" s="203" t="s">
        <v>1499</v>
      </c>
      <c r="M9" s="1" t="s">
        <v>1499</v>
      </c>
      <c r="P9" s="217">
        <v>4468432.0</v>
      </c>
      <c r="Q9" s="1" t="s">
        <v>1499</v>
      </c>
      <c r="R9" s="203" t="s">
        <v>1498</v>
      </c>
      <c r="S9" s="1">
        <v>2030.0</v>
      </c>
      <c r="T9" s="219" t="str">
        <f>IFERROR((Table1[[#This Row],[2019 Total Scope 1, 2 + 3]])/Table1[[#This Row],[2018 Total Scope 1, 2 + Scope 3]]-1,"NA")</f>
        <v>#ERROR!</v>
      </c>
      <c r="V9" s="234">
        <v>154507.0</v>
      </c>
      <c r="W9" s="234">
        <v>146909.0</v>
      </c>
      <c r="X9" s="234"/>
      <c r="Y9" s="234">
        <f t="shared" si="1"/>
        <v>301416</v>
      </c>
      <c r="Z9" s="234" t="s">
        <v>536</v>
      </c>
      <c r="AA9" s="234" t="str">
        <f t="shared" si="2"/>
        <v/>
      </c>
      <c r="AB9" s="234">
        <v>162139.0</v>
      </c>
      <c r="AC9" s="234">
        <v>166706.0</v>
      </c>
      <c r="AD9" s="234"/>
      <c r="AE9" s="234">
        <f t="shared" si="3"/>
        <v>328845</v>
      </c>
      <c r="AF9" s="234">
        <v>5078448.0</v>
      </c>
      <c r="AG9" s="234">
        <f t="shared" si="4"/>
        <v>5407293</v>
      </c>
      <c r="AH9" s="234">
        <v>167695.0</v>
      </c>
      <c r="AI9" s="234">
        <v>168889.0</v>
      </c>
      <c r="AJ9" s="234"/>
      <c r="AK9" s="234">
        <f t="shared" si="5"/>
        <v>336584</v>
      </c>
      <c r="AL9" s="234">
        <v>5264365.0</v>
      </c>
      <c r="AM9" s="234">
        <f t="shared" si="6"/>
        <v>5600949</v>
      </c>
      <c r="AN9" s="234">
        <v>170442.0</v>
      </c>
      <c r="AO9" s="234">
        <v>206622.0</v>
      </c>
      <c r="AP9" s="234"/>
      <c r="AQ9" s="234">
        <f t="shared" si="7"/>
        <v>377064</v>
      </c>
      <c r="AR9" s="234">
        <f>1941444+126828+98679+165673+18158+10951+18622+243900+76389+172681</f>
        <v>2873325</v>
      </c>
      <c r="AS9" s="234">
        <f t="shared" si="8"/>
        <v>3250389</v>
      </c>
      <c r="AT9" s="234">
        <v>192293.0</v>
      </c>
      <c r="AU9" s="234">
        <v>204900.0</v>
      </c>
      <c r="AV9" s="234"/>
      <c r="AW9" s="234">
        <f t="shared" si="9"/>
        <v>397193</v>
      </c>
      <c r="AX9" s="234">
        <f>1946817+127179+59481+97537+30299+10641+19468+244575+76601+173159</f>
        <v>2785757</v>
      </c>
      <c r="AY9" s="234">
        <f t="shared" si="10"/>
        <v>3182950</v>
      </c>
      <c r="AZ9" s="1" t="s">
        <v>1499</v>
      </c>
      <c r="BA9" s="241" t="s">
        <v>1512</v>
      </c>
      <c r="BD9" s="236"/>
    </row>
    <row r="10" ht="12.75" customHeight="1">
      <c r="A10" s="1" t="s">
        <v>58</v>
      </c>
      <c r="B10" s="203" t="s">
        <v>59</v>
      </c>
      <c r="C10" s="203" t="s">
        <v>1376</v>
      </c>
      <c r="D10" s="203" t="s">
        <v>962</v>
      </c>
      <c r="E10" s="231">
        <v>2.8E11</v>
      </c>
      <c r="F10" s="231" t="str">
        <f>IF(ISNUMBER(Table1[[#This Row],[2019 Scope 3 ]]),IF(Table1[[#This Row],[Net Earnings/Income (2019)]]-k_cost*Table1[[#This Row],[2019 Total Scope 1, 2 + 3]]&lt;0,"Y","N"),"NA")</f>
        <v>#ERROR!</v>
      </c>
      <c r="G10" s="63" t="str">
        <f>IF(ISNUMBER(Table1[[#This Row],[2019 Scope 3 ]]),IF(k_cost*Table1[[#This Row],[2019 Total Scope 1, 2 + 3]]/Table1[[#This Row],[Size (2019 Revenue)]]&gt;k_rev_max,"Y","N"),"NA")</f>
        <v>#ERROR!</v>
      </c>
      <c r="H10" s="63" t="str">
        <f>IF(OR(Table1[[#This Row],[Net earnings post carbon price @85/t]]="Y",Table1[[#This Row],[Carbon costs in % revenue]] = "Y"),"Y",IF(OR(Table1[[#This Row],[Net earnings post carbon price @85/t]]="NA",Table1[[#This Row],[Carbon costs in % revenue]]="NA"),"NA","N"))</f>
        <v>#ERROR!</v>
      </c>
      <c r="I10" s="231">
        <v>1.1588E10</v>
      </c>
      <c r="J10" s="232">
        <v>1997.0</v>
      </c>
      <c r="K10" s="231" t="s">
        <v>1498</v>
      </c>
      <c r="L10" s="1" t="s">
        <v>1498</v>
      </c>
      <c r="M10" s="203" t="s">
        <v>1498</v>
      </c>
      <c r="N10" s="1">
        <v>2040.0</v>
      </c>
      <c r="O10" s="1">
        <v>2020.0</v>
      </c>
      <c r="R10" s="1" t="s">
        <v>1498</v>
      </c>
      <c r="S10" s="1">
        <v>2025.0</v>
      </c>
      <c r="T10" s="219" t="str">
        <f>IFERROR((Table1[[#This Row],[2019 Total Scope 1, 2 + 3]])/Table1[[#This Row],[2018 Total Scope 1, 2 + Scope 3]]-1,"NA")</f>
        <v>#ERROR!</v>
      </c>
      <c r="V10" s="234">
        <v>5760000.0</v>
      </c>
      <c r="W10" s="234">
        <v>5500000.0</v>
      </c>
      <c r="X10" s="234"/>
      <c r="Y10" s="234">
        <f t="shared" si="1"/>
        <v>11260000</v>
      </c>
      <c r="Z10" s="234">
        <v>3.991E7</v>
      </c>
      <c r="AA10" s="234">
        <f t="shared" si="2"/>
        <v>51170000</v>
      </c>
      <c r="AB10" s="234">
        <v>4980000.0</v>
      </c>
      <c r="AC10" s="234">
        <v>4710000.0</v>
      </c>
      <c r="AD10" s="234"/>
      <c r="AE10" s="234">
        <f t="shared" si="3"/>
        <v>9690000</v>
      </c>
      <c r="AF10" s="234">
        <v>3.471E7</v>
      </c>
      <c r="AG10" s="234">
        <f t="shared" si="4"/>
        <v>44400000</v>
      </c>
      <c r="AH10" s="234" t="s">
        <v>536</v>
      </c>
      <c r="AI10" s="234" t="s">
        <v>536</v>
      </c>
      <c r="AJ10" s="234"/>
      <c r="AK10" s="234" t="str">
        <f t="shared" si="5"/>
        <v/>
      </c>
      <c r="AL10" s="234" t="s">
        <v>536</v>
      </c>
      <c r="AM10" s="234" t="str">
        <f t="shared" si="6"/>
        <v/>
      </c>
      <c r="AN10" s="234" t="s">
        <v>536</v>
      </c>
      <c r="AO10" s="234" t="s">
        <v>536</v>
      </c>
      <c r="AP10" s="234"/>
      <c r="AQ10" s="234" t="str">
        <f t="shared" si="7"/>
        <v/>
      </c>
      <c r="AR10" s="234" t="s">
        <v>536</v>
      </c>
      <c r="AS10" s="234" t="str">
        <f t="shared" si="8"/>
        <v/>
      </c>
      <c r="AT10" s="234" t="s">
        <v>536</v>
      </c>
      <c r="AU10" s="234" t="s">
        <v>536</v>
      </c>
      <c r="AV10" s="234"/>
      <c r="AW10" s="234" t="str">
        <f t="shared" si="9"/>
        <v/>
      </c>
      <c r="AX10" s="234" t="s">
        <v>536</v>
      </c>
      <c r="AY10" s="234" t="str">
        <f t="shared" si="10"/>
        <v/>
      </c>
      <c r="AZ10" s="1" t="s">
        <v>1498</v>
      </c>
      <c r="BA10" s="241" t="s">
        <v>1513</v>
      </c>
      <c r="BB10" s="241"/>
      <c r="BC10" s="241" t="s">
        <v>1514</v>
      </c>
      <c r="BD10" s="236"/>
    </row>
    <row r="11" ht="12.75" customHeight="1">
      <c r="A11" s="1" t="s">
        <v>62</v>
      </c>
      <c r="B11" s="1" t="s">
        <v>62</v>
      </c>
      <c r="C11" s="1" t="s">
        <v>1298</v>
      </c>
      <c r="D11" s="1" t="s">
        <v>1515</v>
      </c>
      <c r="E11" s="237">
        <v>4.3556E10</v>
      </c>
      <c r="F11" s="231" t="str">
        <f>IF(ISNUMBER(Table1[[#This Row],[2019 Scope 3 ]]),IF(Table1[[#This Row],[Net Earnings/Income (2019)]]-k_cost*Table1[[#This Row],[2019 Total Scope 1, 2 + 3]]&lt;0,"Y","N"),"NA")</f>
        <v>#ERROR!</v>
      </c>
      <c r="G11" s="63" t="str">
        <f>IF(ISNUMBER(Table1[[#This Row],[2019 Scope 3 ]]),IF(k_cost*Table1[[#This Row],[2019 Total Scope 1, 2 + 3]]/Table1[[#This Row],[Size (2019 Revenue)]]&gt;k_rev_max,"Y","N"),"NA")</f>
        <v>#ERROR!</v>
      </c>
      <c r="H11" s="63" t="str">
        <f>IF(OR(Table1[[#This Row],[Net earnings post carbon price @85/t]]="Y",Table1[[#This Row],[Carbon costs in % revenue]] = "Y"),"Y",IF(OR(Table1[[#This Row],[Net earnings post carbon price @85/t]]="NA",Table1[[#This Row],[Carbon costs in % revenue]]="NA"),"NA","N"))</f>
        <v>#ERROR!</v>
      </c>
      <c r="I11" s="237">
        <v>6.921E9</v>
      </c>
      <c r="J11" s="232">
        <v>1850.0</v>
      </c>
      <c r="K11" s="203" t="s">
        <v>1498</v>
      </c>
      <c r="L11" s="203" t="s">
        <v>1498</v>
      </c>
      <c r="M11" s="1" t="s">
        <v>1499</v>
      </c>
      <c r="N11" s="1">
        <v>2018.0</v>
      </c>
      <c r="O11" s="1">
        <v>2018.0</v>
      </c>
      <c r="P11" s="217" t="s">
        <v>1499</v>
      </c>
      <c r="Q11" s="1" t="s">
        <v>1498</v>
      </c>
      <c r="R11" s="203" t="s">
        <v>1498</v>
      </c>
      <c r="S11" s="203">
        <v>2018.0</v>
      </c>
      <c r="T11" s="219" t="str">
        <f>IFERROR((Table1[[#This Row],[2019 Total Scope 1, 2 + 3]])/Table1[[#This Row],[2018 Total Scope 1, 2 + Scope 3]]-1,"NA")</f>
        <v>#ERROR!</v>
      </c>
      <c r="U11" s="203"/>
      <c r="V11" s="234">
        <v>24363.0</v>
      </c>
      <c r="W11" s="234">
        <v>3153.0</v>
      </c>
      <c r="X11" s="234"/>
      <c r="Y11" s="234">
        <f t="shared" si="1"/>
        <v>27516</v>
      </c>
      <c r="Z11" s="234">
        <f>1956901+24863+30305+1719+51.679+138358+8000+9000</f>
        <v>2169197.679</v>
      </c>
      <c r="AA11" s="234">
        <f t="shared" si="2"/>
        <v>2196713.679</v>
      </c>
      <c r="AB11" s="234">
        <v>23981.0</v>
      </c>
      <c r="AC11" s="234">
        <v>2994.0</v>
      </c>
      <c r="AD11" s="234"/>
      <c r="AE11" s="234">
        <f t="shared" si="3"/>
        <v>26975</v>
      </c>
      <c r="AF11" s="234">
        <f>2090113+36041+28946+1710+47285+120309+8000+9000+135</f>
        <v>2341539</v>
      </c>
      <c r="AG11" s="234">
        <f t="shared" si="4"/>
        <v>2368514</v>
      </c>
      <c r="AH11" s="234">
        <v>24162.0</v>
      </c>
      <c r="AI11" s="234">
        <v>55273.0</v>
      </c>
      <c r="AJ11" s="234"/>
      <c r="AK11" s="234">
        <f t="shared" si="5"/>
        <v>79435</v>
      </c>
      <c r="AL11" s="234">
        <f>2028571+23807+30677+1314+34224+107396+8000+20000+156</f>
        <v>2254145</v>
      </c>
      <c r="AM11" s="234">
        <f t="shared" si="6"/>
        <v>2333580</v>
      </c>
      <c r="AN11" s="234">
        <v>25438.0</v>
      </c>
      <c r="AO11" s="234">
        <v>59115.0</v>
      </c>
      <c r="AP11" s="234"/>
      <c r="AQ11" s="234">
        <f t="shared" si="7"/>
        <v>84553</v>
      </c>
      <c r="AR11" s="234">
        <f>2110677+22382+30852+724+38364+122106+8000+22000+777</f>
        <v>2355882</v>
      </c>
      <c r="AS11" s="234">
        <f t="shared" si="8"/>
        <v>2440435</v>
      </c>
      <c r="AT11" s="234">
        <v>27352.0</v>
      </c>
      <c r="AU11" s="234">
        <v>98452.0</v>
      </c>
      <c r="AV11" s="234"/>
      <c r="AW11" s="234">
        <f t="shared" si="9"/>
        <v>125804</v>
      </c>
      <c r="AX11" s="234">
        <f>1128675+25937+34489+3230+1347+43092+118926+1800</f>
        <v>1357496</v>
      </c>
      <c r="AY11" s="234">
        <f t="shared" si="10"/>
        <v>1483300</v>
      </c>
      <c r="AZ11" s="1" t="s">
        <v>1499</v>
      </c>
      <c r="BA11" s="241"/>
      <c r="BD11" s="236"/>
    </row>
    <row r="12" ht="12.75" customHeight="1">
      <c r="A12" s="203" t="s">
        <v>67</v>
      </c>
      <c r="B12" s="203" t="s">
        <v>68</v>
      </c>
      <c r="C12" s="203" t="s">
        <v>1298</v>
      </c>
      <c r="D12" s="203" t="s">
        <v>1301</v>
      </c>
      <c r="E12" s="237">
        <v>4.975E10</v>
      </c>
      <c r="F12" s="231" t="str">
        <f>IF(ISNUMBER(Table1[[#This Row],[2019 Scope 3 ]]),IF(Table1[[#This Row],[Net Earnings/Income (2019)]]-k_cost*Table1[[#This Row],[2019 Total Scope 1, 2 + 3]]&lt;0,"Y","N"),"NA")</f>
        <v>#ERROR!</v>
      </c>
      <c r="G12" s="63" t="str">
        <f>IF(ISNUMBER(Table1[[#This Row],[2019 Scope 3 ]]),IF(k_cost*Table1[[#This Row],[2019 Total Scope 1, 2 + 3]]/Table1[[#This Row],[Size (2019 Revenue)]]&gt;k_rev_max,"Y","N"),"NA")</f>
        <v>#ERROR!</v>
      </c>
      <c r="H12" s="63" t="str">
        <f>IF(OR(Table1[[#This Row],[Net earnings post carbon price @85/t]]="Y",Table1[[#This Row],[Carbon costs in % revenue]] = "Y"),"Y",IF(OR(Table1[[#This Row],[Net earnings post carbon price @85/t]]="NA",Table1[[#This Row],[Carbon costs in % revenue]]="NA"),"NA","N"))</f>
        <v>#ERROR!</v>
      </c>
      <c r="I12" s="237">
        <v>3.3E9</v>
      </c>
      <c r="J12" s="232">
        <v>1969.0</v>
      </c>
      <c r="K12" s="203" t="s">
        <v>1498</v>
      </c>
      <c r="L12" s="203" t="s">
        <v>1499</v>
      </c>
      <c r="M12" s="1" t="s">
        <v>1499</v>
      </c>
      <c r="P12" s="217" t="s">
        <v>1499</v>
      </c>
      <c r="Q12" s="1" t="s">
        <v>1499</v>
      </c>
      <c r="R12" s="203" t="s">
        <v>1499</v>
      </c>
      <c r="S12" s="203" t="s">
        <v>1499</v>
      </c>
      <c r="T12" s="219" t="str">
        <f>IFERROR((Table1[[#This Row],[2019 Total Scope 1, 2 + 3]])/Table1[[#This Row],[2018 Total Scope 1, 2 + Scope 3]]-1,"NA")</f>
        <v>#ERROR!</v>
      </c>
      <c r="U12" s="203"/>
      <c r="V12" s="234">
        <v>17121.0</v>
      </c>
      <c r="W12" s="234">
        <v>93781.0</v>
      </c>
      <c r="X12" s="234"/>
      <c r="Y12" s="234">
        <f t="shared" si="1"/>
        <v>110902</v>
      </c>
      <c r="Z12" s="234" t="s">
        <v>536</v>
      </c>
      <c r="AA12" s="234" t="str">
        <f t="shared" si="2"/>
        <v/>
      </c>
      <c r="AB12" s="234" t="s">
        <v>536</v>
      </c>
      <c r="AC12" s="234">
        <v>8824.0</v>
      </c>
      <c r="AD12" s="234"/>
      <c r="AE12" s="234" t="str">
        <f t="shared" si="3"/>
        <v/>
      </c>
      <c r="AF12" s="234" t="s">
        <v>536</v>
      </c>
      <c r="AG12" s="234" t="str">
        <f t="shared" si="4"/>
        <v/>
      </c>
      <c r="AH12" s="234" t="s">
        <v>536</v>
      </c>
      <c r="AI12" s="234">
        <v>9781.0</v>
      </c>
      <c r="AJ12" s="234"/>
      <c r="AK12" s="234" t="str">
        <f t="shared" si="5"/>
        <v/>
      </c>
      <c r="AL12" s="234" t="s">
        <v>536</v>
      </c>
      <c r="AM12" s="234" t="str">
        <f t="shared" si="6"/>
        <v/>
      </c>
      <c r="AN12" s="234" t="s">
        <v>536</v>
      </c>
      <c r="AO12" s="234">
        <v>12135.0</v>
      </c>
      <c r="AP12" s="234"/>
      <c r="AQ12" s="234" t="str">
        <f t="shared" si="7"/>
        <v/>
      </c>
      <c r="AR12" s="234" t="s">
        <v>536</v>
      </c>
      <c r="AS12" s="234" t="str">
        <f t="shared" si="8"/>
        <v/>
      </c>
      <c r="AT12" s="234" t="s">
        <v>536</v>
      </c>
      <c r="AU12" s="234" t="s">
        <v>536</v>
      </c>
      <c r="AV12" s="234"/>
      <c r="AW12" s="234" t="str">
        <f t="shared" si="9"/>
        <v/>
      </c>
      <c r="AX12" s="234" t="s">
        <v>536</v>
      </c>
      <c r="AY12" s="234" t="str">
        <f t="shared" si="10"/>
        <v/>
      </c>
      <c r="AZ12" s="234" t="s">
        <v>1499</v>
      </c>
      <c r="BA12" s="235" t="s">
        <v>1516</v>
      </c>
      <c r="BB12" s="235" t="s">
        <v>1517</v>
      </c>
      <c r="BD12" s="236"/>
    </row>
    <row r="13" ht="12.75" customHeight="1">
      <c r="A13" s="203" t="s">
        <v>73</v>
      </c>
      <c r="B13" s="203" t="s">
        <v>73</v>
      </c>
      <c r="C13" s="203" t="s">
        <v>1314</v>
      </c>
      <c r="D13" s="1" t="s">
        <v>1314</v>
      </c>
      <c r="E13" s="237">
        <v>7.58E9</v>
      </c>
      <c r="F13" s="231" t="str">
        <f>IF(ISNUMBER(Table1[[#This Row],[2019 Scope 3 ]]),IF(Table1[[#This Row],[Net Earnings/Income (2019)]]-k_cost*Table1[[#This Row],[2019 Total Scope 1, 2 + 3]]&lt;0,"Y","N"),"NA")</f>
        <v>#ERROR!</v>
      </c>
      <c r="G13" s="63" t="str">
        <f>IF(ISNUMBER(Table1[[#This Row],[2019 Scope 3 ]]),IF(k_cost*Table1[[#This Row],[2019 Total Scope 1, 2 + 3]]/Table1[[#This Row],[Size (2019 Revenue)]]&gt;k_rev_max,"Y","N"),"NA")</f>
        <v>#ERROR!</v>
      </c>
      <c r="H13" s="63" t="str">
        <f>IF(OR(Table1[[#This Row],[Net earnings post carbon price @85/t]]="Y",Table1[[#This Row],[Carbon costs in % revenue]] = "Y"),"Y",IF(OR(Table1[[#This Row],[Net earnings post carbon price @85/t]]="NA",Table1[[#This Row],[Carbon costs in % revenue]]="NA"),"NA","N"))</f>
        <v>#ERROR!</v>
      </c>
      <c r="I13" s="237">
        <v>1.888E9</v>
      </c>
      <c r="J13" s="232">
        <v>1995.0</v>
      </c>
      <c r="K13" s="203" t="s">
        <v>1498</v>
      </c>
      <c r="L13" s="242" t="s">
        <v>1499</v>
      </c>
      <c r="M13" s="203" t="s">
        <v>1499</v>
      </c>
      <c r="P13" s="217" t="s">
        <v>1499</v>
      </c>
      <c r="R13" s="203" t="s">
        <v>1499</v>
      </c>
      <c r="S13" s="203" t="s">
        <v>1499</v>
      </c>
      <c r="T13" s="219" t="str">
        <f>IFERROR((Table1[[#This Row],[2019 Total Scope 1, 2 + 3]])/Table1[[#This Row],[2018 Total Scope 1, 2 + Scope 3]]-1,"NA")</f>
        <v>#ERROR!</v>
      </c>
      <c r="U13" s="203"/>
      <c r="V13" s="234">
        <v>556281.0</v>
      </c>
      <c r="W13" s="234">
        <v>1780621.0</v>
      </c>
      <c r="X13" s="234">
        <v>92145.0</v>
      </c>
      <c r="Y13" s="234">
        <f t="shared" si="1"/>
        <v>2244757</v>
      </c>
      <c r="Z13" s="234" t="s">
        <v>536</v>
      </c>
      <c r="AA13" s="234" t="str">
        <f t="shared" si="2"/>
        <v/>
      </c>
      <c r="AB13" s="234">
        <v>615347.0</v>
      </c>
      <c r="AC13" s="234">
        <v>1796960.0</v>
      </c>
      <c r="AD13" s="234"/>
      <c r="AE13" s="234">
        <f t="shared" si="3"/>
        <v>2412307</v>
      </c>
      <c r="AF13" s="234" t="s">
        <v>536</v>
      </c>
      <c r="AG13" s="234" t="str">
        <f t="shared" si="4"/>
        <v/>
      </c>
      <c r="AH13" s="234">
        <v>650755.0</v>
      </c>
      <c r="AI13" s="234">
        <v>1617395.0</v>
      </c>
      <c r="AJ13" s="234"/>
      <c r="AK13" s="234">
        <f t="shared" si="5"/>
        <v>2268150</v>
      </c>
      <c r="AL13" s="234" t="s">
        <v>536</v>
      </c>
      <c r="AM13" s="234" t="str">
        <f t="shared" si="6"/>
        <v/>
      </c>
      <c r="AN13" s="234" t="s">
        <v>536</v>
      </c>
      <c r="AO13" s="234" t="s">
        <v>536</v>
      </c>
      <c r="AP13" s="234"/>
      <c r="AQ13" s="234" t="str">
        <f t="shared" si="7"/>
        <v/>
      </c>
      <c r="AR13" s="234" t="s">
        <v>536</v>
      </c>
      <c r="AS13" s="234" t="str">
        <f t="shared" si="8"/>
        <v/>
      </c>
      <c r="AT13" s="234" t="s">
        <v>536</v>
      </c>
      <c r="AU13" s="234" t="s">
        <v>536</v>
      </c>
      <c r="AV13" s="234"/>
      <c r="AW13" s="234" t="str">
        <f t="shared" si="9"/>
        <v/>
      </c>
      <c r="AX13" s="234" t="s">
        <v>536</v>
      </c>
      <c r="AY13" s="234" t="str">
        <f t="shared" si="10"/>
        <v/>
      </c>
      <c r="AZ13" s="1" t="s">
        <v>1499</v>
      </c>
      <c r="BA13" s="235" t="s">
        <v>1518</v>
      </c>
      <c r="BD13" s="236" t="s">
        <v>1519</v>
      </c>
    </row>
    <row r="14" ht="12.75" customHeight="1">
      <c r="A14" s="1" t="s">
        <v>78</v>
      </c>
      <c r="B14" s="203" t="s">
        <v>79</v>
      </c>
      <c r="C14" s="1" t="s">
        <v>1283</v>
      </c>
      <c r="D14" s="1" t="s">
        <v>1503</v>
      </c>
      <c r="E14" s="237">
        <v>2.34E10</v>
      </c>
      <c r="F14" s="231" t="str">
        <f>IF(ISNUMBER(Table1[[#This Row],[2019 Scope 3 ]]),IF(Table1[[#This Row],[Net Earnings/Income (2019)]]-k_cost*Table1[[#This Row],[2019 Total Scope 1, 2 + 3]]&lt;0,"Y","N"),"NA")</f>
        <v>#ERROR!</v>
      </c>
      <c r="G14" s="63" t="str">
        <f>IF(ISNUMBER(Table1[[#This Row],[2019 Scope 3 ]]),IF(k_cost*Table1[[#This Row],[2019 Total Scope 1, 2 + 3]]/Table1[[#This Row],[Size (2019 Revenue)]]&gt;k_rev_max,"Y","N"),"NA")</f>
        <v>#ERROR!</v>
      </c>
      <c r="H14" s="63" t="str">
        <f>IF(OR(Table1[[#This Row],[Net earnings post carbon price @85/t]]="Y",Table1[[#This Row],[Carbon costs in % revenue]] = "Y"),"Y",IF(OR(Table1[[#This Row],[Net earnings post carbon price @85/t]]="NA",Table1[[#This Row],[Carbon costs in % revenue]]="NA"),"NA","N"))</f>
        <v>#ERROR!</v>
      </c>
      <c r="I14" s="237">
        <v>7.84E9</v>
      </c>
      <c r="J14" s="232">
        <v>1983.0</v>
      </c>
      <c r="K14" s="203" t="s">
        <v>1498</v>
      </c>
      <c r="L14" s="203" t="s">
        <v>1499</v>
      </c>
      <c r="M14" s="1" t="s">
        <v>1499</v>
      </c>
      <c r="P14" s="217"/>
      <c r="Q14" s="1" t="s">
        <v>1499</v>
      </c>
      <c r="R14" s="203" t="s">
        <v>1499</v>
      </c>
      <c r="S14" s="203" t="s">
        <v>1499</v>
      </c>
      <c r="T14" s="219" t="str">
        <f>IFERROR((Table1[[#This Row],[2019 Total Scope 1, 2 + 3]])/Table1[[#This Row],[2018 Total Scope 1, 2 + Scope 3]]-1,"NA")</f>
        <v>#ERROR!</v>
      </c>
      <c r="U14" s="203"/>
      <c r="V14" s="234">
        <v>135954.0</v>
      </c>
      <c r="W14" s="234">
        <v>160360.0</v>
      </c>
      <c r="X14" s="234"/>
      <c r="Y14" s="234">
        <f t="shared" si="1"/>
        <v>296314</v>
      </c>
      <c r="Z14" s="234">
        <f>2323917+258132+52554+22572+3454+56478+56210+52991+3047</f>
        <v>2829355</v>
      </c>
      <c r="AA14" s="234">
        <f t="shared" si="2"/>
        <v>3125669</v>
      </c>
      <c r="AB14" s="234">
        <v>160184.0</v>
      </c>
      <c r="AC14" s="234">
        <v>159848.0</v>
      </c>
      <c r="AD14" s="234"/>
      <c r="AE14" s="234">
        <f t="shared" si="3"/>
        <v>320032</v>
      </c>
      <c r="AF14" s="234">
        <f>2413684+263202+29187+33207+1405+59334+56483</f>
        <v>2856502</v>
      </c>
      <c r="AG14" s="234">
        <f t="shared" si="4"/>
        <v>3176534</v>
      </c>
      <c r="AH14" s="234">
        <v>163362.0</v>
      </c>
      <c r="AI14" s="234">
        <v>139035.0</v>
      </c>
      <c r="AJ14" s="234"/>
      <c r="AK14" s="234">
        <f t="shared" si="5"/>
        <v>302397</v>
      </c>
      <c r="AL14" s="234" t="s">
        <v>536</v>
      </c>
      <c r="AM14" s="234" t="str">
        <f t="shared" si="6"/>
        <v/>
      </c>
      <c r="AN14" s="234">
        <v>116643.0</v>
      </c>
      <c r="AO14" s="234">
        <v>196000.0</v>
      </c>
      <c r="AP14" s="234"/>
      <c r="AQ14" s="234">
        <f t="shared" si="7"/>
        <v>312643</v>
      </c>
      <c r="AR14" s="234" t="s">
        <v>536</v>
      </c>
      <c r="AS14" s="234" t="str">
        <f t="shared" si="8"/>
        <v/>
      </c>
      <c r="AT14" s="234">
        <v>125674.0</v>
      </c>
      <c r="AU14" s="234">
        <v>281940.0</v>
      </c>
      <c r="AV14" s="234"/>
      <c r="AW14" s="234">
        <f t="shared" si="9"/>
        <v>407614</v>
      </c>
      <c r="AX14" s="234" t="s">
        <v>536</v>
      </c>
      <c r="AY14" s="234" t="str">
        <f t="shared" si="10"/>
        <v/>
      </c>
      <c r="AZ14" s="1" t="s">
        <v>1499</v>
      </c>
      <c r="BA14" s="235" t="s">
        <v>1520</v>
      </c>
      <c r="BD14" s="236"/>
    </row>
    <row r="15" ht="12.75" customHeight="1">
      <c r="A15" s="1" t="s">
        <v>84</v>
      </c>
      <c r="B15" s="203" t="s">
        <v>85</v>
      </c>
      <c r="C15" s="1" t="s">
        <v>1291</v>
      </c>
      <c r="D15" s="203" t="s">
        <v>1521</v>
      </c>
      <c r="E15" s="231">
        <v>2.60174E11</v>
      </c>
      <c r="F15" s="231" t="str">
        <f>IF(ISNUMBER(Table1[[#This Row],[2019 Scope 3 ]]),IF(Table1[[#This Row],[Net Earnings/Income (2019)]]-k_cost*Table1[[#This Row],[2019 Total Scope 1, 2 + 3]]&lt;0,"Y","N"),"NA")</f>
        <v>#ERROR!</v>
      </c>
      <c r="G15" s="63" t="str">
        <f>IF(ISNUMBER(Table1[[#This Row],[2019 Scope 3 ]]),IF(k_cost*Table1[[#This Row],[2019 Total Scope 1, 2 + 3]]/Table1[[#This Row],[Size (2019 Revenue)]]&gt;k_rev_max,"Y","N"),"NA")</f>
        <v>#ERROR!</v>
      </c>
      <c r="H15" s="63" t="str">
        <f>IF(OR(Table1[[#This Row],[Net earnings post carbon price @85/t]]="Y",Table1[[#This Row],[Carbon costs in % revenue]] = "Y"),"Y",IF(OR(Table1[[#This Row],[Net earnings post carbon price @85/t]]="NA",Table1[[#This Row],[Carbon costs in % revenue]]="NA"),"NA","N"))</f>
        <v>#ERROR!</v>
      </c>
      <c r="I15" s="231">
        <v>5.5256E10</v>
      </c>
      <c r="J15" s="232">
        <v>1980.0</v>
      </c>
      <c r="K15" s="231" t="s">
        <v>1498</v>
      </c>
      <c r="L15" s="1" t="s">
        <v>1498</v>
      </c>
      <c r="M15" s="1" t="s">
        <v>1499</v>
      </c>
      <c r="N15" s="1">
        <v>2030.0</v>
      </c>
      <c r="O15" s="1">
        <v>2020.0</v>
      </c>
      <c r="P15" s="217">
        <v>1083243.0</v>
      </c>
      <c r="Q15" s="1" t="s">
        <v>1499</v>
      </c>
      <c r="R15" s="1" t="s">
        <v>1498</v>
      </c>
      <c r="S15" s="1">
        <v>2018.0</v>
      </c>
      <c r="T15" s="219" t="str">
        <f>IFERROR((Table1[[#This Row],[2019 Total Scope 1, 2 + 3]])/Table1[[#This Row],[2018 Total Scope 1, 2 + Scope 3]]-1,"NA")</f>
        <v>#ERROR!</v>
      </c>
      <c r="V15" s="234">
        <v>50549.0</v>
      </c>
      <c r="W15" s="234">
        <v>0.0</v>
      </c>
      <c r="X15" s="234"/>
      <c r="Y15" s="234">
        <f t="shared" si="1"/>
        <v>50549</v>
      </c>
      <c r="Z15" s="234">
        <f>18900000+486000+325500+194700+999000+4100000+60000</f>
        <v>25065200</v>
      </c>
      <c r="AA15" s="234">
        <f t="shared" si="2"/>
        <v>25115749</v>
      </c>
      <c r="AB15" s="234">
        <v>54590.0</v>
      </c>
      <c r="AC15" s="234">
        <v>8730.0</v>
      </c>
      <c r="AD15" s="234"/>
      <c r="AE15" s="234">
        <f t="shared" si="3"/>
        <v>63320</v>
      </c>
      <c r="AF15" s="234">
        <v>2.46E7</v>
      </c>
      <c r="AG15" s="234">
        <f t="shared" si="4"/>
        <v>24663320</v>
      </c>
      <c r="AH15" s="234">
        <v>45400.0</v>
      </c>
      <c r="AI15" s="234">
        <v>36250.0</v>
      </c>
      <c r="AJ15" s="234"/>
      <c r="AK15" s="234">
        <f t="shared" si="5"/>
        <v>81650</v>
      </c>
      <c r="AL15" s="234">
        <v>293440.0</v>
      </c>
      <c r="AM15" s="234">
        <f t="shared" si="6"/>
        <v>375090</v>
      </c>
      <c r="AN15" s="234">
        <v>34370.0</v>
      </c>
      <c r="AO15" s="234">
        <v>31000.0</v>
      </c>
      <c r="AP15" s="234"/>
      <c r="AQ15" s="234">
        <f t="shared" si="7"/>
        <v>65370</v>
      </c>
      <c r="AR15" s="234">
        <f>22800000+350000+117500+186400+830000+5000000+300000</f>
        <v>29583900</v>
      </c>
      <c r="AS15" s="234">
        <f t="shared" si="8"/>
        <v>29649270</v>
      </c>
      <c r="AT15" s="234">
        <v>28100.0</v>
      </c>
      <c r="AU15" s="234">
        <v>42460.0</v>
      </c>
      <c r="AV15" s="234"/>
      <c r="AW15" s="234">
        <f t="shared" si="9"/>
        <v>70560</v>
      </c>
      <c r="AX15" s="234" t="s">
        <v>536</v>
      </c>
      <c r="AY15" s="234" t="str">
        <f t="shared" si="10"/>
        <v/>
      </c>
      <c r="AZ15" s="1" t="s">
        <v>1498</v>
      </c>
      <c r="BC15" s="203" t="s">
        <v>1522</v>
      </c>
      <c r="BD15" s="236"/>
    </row>
    <row r="16" ht="12.75" customHeight="1">
      <c r="A16" s="1" t="s">
        <v>90</v>
      </c>
      <c r="B16" s="203" t="s">
        <v>91</v>
      </c>
      <c r="C16" s="1" t="s">
        <v>1302</v>
      </c>
      <c r="D16" s="1" t="s">
        <v>1523</v>
      </c>
      <c r="E16" s="231">
        <v>1.812E11</v>
      </c>
      <c r="F16" s="231" t="str">
        <f>IF(ISNUMBER(Table1[[#This Row],[2019 Scope 3 ]]),IF(Table1[[#This Row],[Net Earnings/Income (2019)]]-k_cost*Table1[[#This Row],[2019 Total Scope 1, 2 + 3]]&lt;0,"Y","N"),"NA")</f>
        <v>#ERROR!</v>
      </c>
      <c r="G16" s="63" t="str">
        <f>IF(ISNUMBER(Table1[[#This Row],[2019 Scope 3 ]]),IF(k_cost*Table1[[#This Row],[2019 Total Scope 1, 2 + 3]]/Table1[[#This Row],[Size (2019 Revenue)]]&gt;k_rev_max,"Y","N"),"NA")</f>
        <v>#ERROR!</v>
      </c>
      <c r="H16" s="63" t="str">
        <f>IF(OR(Table1[[#This Row],[Net earnings post carbon price @85/t]]="Y",Table1[[#This Row],[Carbon costs in % revenue]] = "Y"),"Y",IF(OR(Table1[[#This Row],[Net earnings post carbon price @85/t]]="NA",Table1[[#This Row],[Carbon costs in % revenue]]="NA"),"NA","N"))</f>
        <v>#ERROR!</v>
      </c>
      <c r="I16" s="231">
        <v>1.39E10</v>
      </c>
      <c r="J16" s="232">
        <v>1983.0</v>
      </c>
      <c r="K16" s="231" t="s">
        <v>1498</v>
      </c>
      <c r="L16" s="1" t="s">
        <v>1498</v>
      </c>
      <c r="M16" s="1" t="s">
        <v>1498</v>
      </c>
      <c r="N16" s="1">
        <v>2035.0</v>
      </c>
      <c r="O16" s="1">
        <v>2020.0</v>
      </c>
      <c r="P16" s="1" t="s">
        <v>1499</v>
      </c>
      <c r="Q16" s="1" t="s">
        <v>1498</v>
      </c>
      <c r="R16" s="1" t="s">
        <v>1499</v>
      </c>
      <c r="S16" s="1" t="s">
        <v>1499</v>
      </c>
      <c r="T16" s="219" t="str">
        <f>IFERROR((Table1[[#This Row],[2019 Total Scope 1, 2 + 3]])/Table1[[#This Row],[2018 Total Scope 1, 2 + Scope 3]]-1,"NA")</f>
        <v>#ERROR!</v>
      </c>
      <c r="V16" s="234">
        <v>990000.0</v>
      </c>
      <c r="W16" s="234">
        <v>5530000.0</v>
      </c>
      <c r="X16" s="234"/>
      <c r="Y16" s="234">
        <f t="shared" si="1"/>
        <v>6520000</v>
      </c>
      <c r="Z16" s="234">
        <v>3890000.0</v>
      </c>
      <c r="AA16" s="234">
        <f t="shared" si="2"/>
        <v>10410000</v>
      </c>
      <c r="AB16" s="234">
        <v>1020000.0</v>
      </c>
      <c r="AC16" s="234">
        <v>6660000.0</v>
      </c>
      <c r="AD16" s="234"/>
      <c r="AE16" s="234">
        <f t="shared" si="3"/>
        <v>7680000</v>
      </c>
      <c r="AF16" s="234">
        <v>4350000.0</v>
      </c>
      <c r="AG16" s="234">
        <f t="shared" si="4"/>
        <v>12030000</v>
      </c>
      <c r="AH16" s="234">
        <v>1070000.0</v>
      </c>
      <c r="AI16" s="234">
        <v>6950000.0</v>
      </c>
      <c r="AJ16" s="234"/>
      <c r="AK16" s="234">
        <f t="shared" si="5"/>
        <v>8020000</v>
      </c>
      <c r="AL16" s="234">
        <v>3620000.0</v>
      </c>
      <c r="AM16" s="234">
        <f t="shared" si="6"/>
        <v>11640000</v>
      </c>
      <c r="AN16" s="234">
        <v>1080000.0</v>
      </c>
      <c r="AO16" s="234">
        <v>7810000.0</v>
      </c>
      <c r="AP16" s="234"/>
      <c r="AQ16" s="234">
        <f t="shared" si="7"/>
        <v>8890000</v>
      </c>
      <c r="AR16" s="234">
        <v>3400000.0</v>
      </c>
      <c r="AS16" s="234">
        <f t="shared" si="8"/>
        <v>12290000</v>
      </c>
      <c r="AT16" s="234">
        <v>1070000.0</v>
      </c>
      <c r="AU16" s="234">
        <v>7690000.0</v>
      </c>
      <c r="AV16" s="234"/>
      <c r="AW16" s="234">
        <f t="shared" si="9"/>
        <v>8760000</v>
      </c>
      <c r="AX16" s="234">
        <v>3030000.0</v>
      </c>
      <c r="AY16" s="234">
        <f t="shared" si="10"/>
        <v>11790000</v>
      </c>
      <c r="AZ16" s="1" t="s">
        <v>1499</v>
      </c>
      <c r="BA16" s="235" t="s">
        <v>1524</v>
      </c>
      <c r="BC16" s="241" t="s">
        <v>1525</v>
      </c>
      <c r="BD16" s="236"/>
    </row>
    <row r="17" ht="12.75" customHeight="1">
      <c r="A17" s="1" t="s">
        <v>96</v>
      </c>
      <c r="B17" s="203" t="s">
        <v>96</v>
      </c>
      <c r="C17" s="1" t="s">
        <v>1298</v>
      </c>
      <c r="D17" s="203" t="s">
        <v>1312</v>
      </c>
      <c r="E17" s="231">
        <v>9.124E10</v>
      </c>
      <c r="F17" s="231" t="str">
        <f>IF(ISNUMBER(Table1[[#This Row],[2019 Scope 3 ]]),IF(Table1[[#This Row],[Net Earnings/Income (2019)]]-k_cost*Table1[[#This Row],[2019 Total Scope 1, 2 + 3]]&lt;0,"Y","N"),"NA")</f>
        <v>#ERROR!</v>
      </c>
      <c r="G17" s="63" t="str">
        <f>IF(ISNUMBER(Table1[[#This Row],[2019 Scope 3 ]]),IF(k_cost*Table1[[#This Row],[2019 Total Scope 1, 2 + 3]]/Table1[[#This Row],[Size (2019 Revenue)]]&gt;k_rev_max,"Y","N"),"NA")</f>
        <v>#ERROR!</v>
      </c>
      <c r="H17" s="63" t="str">
        <f>IF(OR(Table1[[#This Row],[Net earnings post carbon price @85/t]]="Y",Table1[[#This Row],[Carbon costs in % revenue]] = "Y"),"Y",IF(OR(Table1[[#This Row],[Net earnings post carbon price @85/t]]="NA",Table1[[#This Row],[Carbon costs in % revenue]]="NA"),"NA","N"))</f>
        <v>#ERROR!</v>
      </c>
      <c r="I17" s="231">
        <v>2.5998E10</v>
      </c>
      <c r="J17" s="232">
        <v>1998.0</v>
      </c>
      <c r="K17" s="231" t="s">
        <v>1498</v>
      </c>
      <c r="L17" s="1" t="s">
        <v>1498</v>
      </c>
      <c r="M17" s="1" t="s">
        <v>1499</v>
      </c>
      <c r="N17" s="1">
        <v>2020.0</v>
      </c>
      <c r="O17" s="1">
        <v>2016.0</v>
      </c>
      <c r="Q17" s="1" t="s">
        <v>1498</v>
      </c>
      <c r="R17" s="242" t="s">
        <v>1498</v>
      </c>
      <c r="S17" s="1">
        <v>2020.0</v>
      </c>
      <c r="T17" s="219" t="str">
        <f>IFERROR((Table1[[#This Row],[2019 Total Scope 1, 2 + 3]])/Table1[[#This Row],[2018 Total Scope 1, 2 + Scope 3]]-1,"NA")</f>
        <v>#ERROR!</v>
      </c>
      <c r="V17" s="234">
        <v>62639.0</v>
      </c>
      <c r="W17" s="234">
        <v>17523.0</v>
      </c>
      <c r="X17" s="234"/>
      <c r="Y17" s="234">
        <f t="shared" si="1"/>
        <v>80162</v>
      </c>
      <c r="Z17" s="234">
        <f>2329208+251336+161151+140215+22386+162457+378088+1400000+4000+19000</f>
        <v>4867841</v>
      </c>
      <c r="AA17" s="234">
        <f t="shared" si="2"/>
        <v>4948003</v>
      </c>
      <c r="AB17" s="234">
        <v>85145.0</v>
      </c>
      <c r="AC17" s="234">
        <v>108614.0</v>
      </c>
      <c r="AD17" s="234"/>
      <c r="AE17" s="234">
        <f t="shared" si="3"/>
        <v>193759</v>
      </c>
      <c r="AF17" s="234">
        <v>4819113.0</v>
      </c>
      <c r="AG17" s="234">
        <f t="shared" si="4"/>
        <v>5012872</v>
      </c>
      <c r="AH17" s="234">
        <v>82298.0</v>
      </c>
      <c r="AI17" s="234">
        <v>173512.0</v>
      </c>
      <c r="AJ17" s="234"/>
      <c r="AK17" s="234">
        <f t="shared" si="5"/>
        <v>255810</v>
      </c>
      <c r="AL17" s="234"/>
      <c r="AM17" s="234">
        <f t="shared" si="6"/>
        <v>255810</v>
      </c>
      <c r="AN17" s="234">
        <v>83473.0</v>
      </c>
      <c r="AO17" s="234">
        <v>369084.0</v>
      </c>
      <c r="AP17" s="234"/>
      <c r="AQ17" s="234">
        <f t="shared" si="7"/>
        <v>452557</v>
      </c>
      <c r="AR17" s="234">
        <f>1944781+312588+208087+15968+10761+154531+373481+1500000+5000+18000</f>
        <v>4543197</v>
      </c>
      <c r="AS17" s="234">
        <f t="shared" si="8"/>
        <v>4995754</v>
      </c>
      <c r="AT17" s="234">
        <v>98911.0</v>
      </c>
      <c r="AU17" s="234">
        <v>1036822.0</v>
      </c>
      <c r="AV17" s="234"/>
      <c r="AW17" s="234">
        <f t="shared" si="9"/>
        <v>1135733</v>
      </c>
      <c r="AX17" s="234">
        <f>1674213+85933+215561+14818+16525+184613+388595+900000+9000+24000</f>
        <v>3513258</v>
      </c>
      <c r="AY17" s="234">
        <f t="shared" si="10"/>
        <v>4648991</v>
      </c>
      <c r="AZ17" s="1" t="s">
        <v>1499</v>
      </c>
      <c r="BA17" s="241" t="s">
        <v>1526</v>
      </c>
      <c r="BB17" s="241" t="s">
        <v>1527</v>
      </c>
      <c r="BC17" s="241" t="s">
        <v>1528</v>
      </c>
      <c r="BD17" s="236" t="s">
        <v>1529</v>
      </c>
    </row>
    <row r="18" ht="12.75" customHeight="1">
      <c r="A18" s="203" t="s">
        <v>101</v>
      </c>
      <c r="B18" s="203" t="s">
        <v>102</v>
      </c>
      <c r="C18" s="203" t="s">
        <v>1298</v>
      </c>
      <c r="D18" s="203" t="s">
        <v>1301</v>
      </c>
      <c r="E18" s="231">
        <v>2.54616E11</v>
      </c>
      <c r="F18" s="231" t="str">
        <f>IF(ISNUMBER(Table1[[#This Row],[2019 Scope 3 ]]),IF(Table1[[#This Row],[Net Earnings/Income (2019)]]-k_cost*Table1[[#This Row],[2019 Total Scope 1, 2 + 3]]&lt;0,"Y","N"),"NA")</f>
        <v>#ERROR!</v>
      </c>
      <c r="G18" s="63" t="str">
        <f>IF(ISNUMBER(Table1[[#This Row],[2019 Scope 3 ]]),IF(k_cost*Table1[[#This Row],[2019 Total Scope 1, 2 + 3]]/Table1[[#This Row],[Size (2019 Revenue)]]&gt;k_rev_max,"Y","N"),"NA")</f>
        <v>#ERROR!</v>
      </c>
      <c r="H18" s="63" t="str">
        <f>IF(OR(Table1[[#This Row],[Net earnings post carbon price @85/t]]="Y",Table1[[#This Row],[Carbon costs in % revenue]] = "Y"),"Y",IF(OR(Table1[[#This Row],[Net earnings post carbon price @85/t]]="NA",Table1[[#This Row],[Carbon costs in % revenue]]="NA"),"NA","N"))</f>
        <v>#ERROR!</v>
      </c>
      <c r="I18" s="231">
        <v>8.1417E10</v>
      </c>
      <c r="J18" s="232">
        <v>1839.0</v>
      </c>
      <c r="K18" s="231" t="s">
        <v>1498</v>
      </c>
      <c r="L18" s="1" t="s">
        <v>1499</v>
      </c>
      <c r="M18" s="1" t="s">
        <v>1499</v>
      </c>
      <c r="P18" s="1" t="s">
        <v>1499</v>
      </c>
      <c r="Q18" s="1" t="s">
        <v>1499</v>
      </c>
      <c r="R18" s="1" t="s">
        <v>1499</v>
      </c>
      <c r="S18" s="1" t="s">
        <v>1499</v>
      </c>
      <c r="T18" s="219" t="str">
        <f>IFERROR((Table1[[#This Row],[2019 Total Scope 1, 2 + 3]])/Table1[[#This Row],[2018 Total Scope 1, 2 + Scope 3]]-1,"NA")</f>
        <v>#ERROR!</v>
      </c>
      <c r="V18" s="234" t="s">
        <v>536</v>
      </c>
      <c r="W18" s="234" t="s">
        <v>536</v>
      </c>
      <c r="X18" s="234"/>
      <c r="Y18" s="234" t="str">
        <f t="shared" si="1"/>
        <v/>
      </c>
      <c r="Z18" s="234" t="s">
        <v>536</v>
      </c>
      <c r="AA18" s="234" t="str">
        <f t="shared" si="2"/>
        <v/>
      </c>
      <c r="AB18" s="234" t="s">
        <v>536</v>
      </c>
      <c r="AC18" s="234" t="s">
        <v>536</v>
      </c>
      <c r="AD18" s="234"/>
      <c r="AE18" s="234" t="str">
        <f t="shared" si="3"/>
        <v/>
      </c>
      <c r="AF18" s="234" t="s">
        <v>536</v>
      </c>
      <c r="AG18" s="234" t="str">
        <f t="shared" si="4"/>
        <v/>
      </c>
      <c r="AH18" s="234" t="s">
        <v>536</v>
      </c>
      <c r="AI18" s="234" t="s">
        <v>536</v>
      </c>
      <c r="AJ18" s="234"/>
      <c r="AK18" s="234" t="str">
        <f t="shared" si="5"/>
        <v/>
      </c>
      <c r="AL18" s="234" t="s">
        <v>536</v>
      </c>
      <c r="AM18" s="234" t="str">
        <f t="shared" si="6"/>
        <v/>
      </c>
      <c r="AN18" s="234" t="s">
        <v>536</v>
      </c>
      <c r="AO18" s="234" t="s">
        <v>536</v>
      </c>
      <c r="AP18" s="234"/>
      <c r="AQ18" s="234" t="str">
        <f t="shared" si="7"/>
        <v/>
      </c>
      <c r="AR18" s="234" t="s">
        <v>536</v>
      </c>
      <c r="AS18" s="234" t="str">
        <f t="shared" si="8"/>
        <v/>
      </c>
      <c r="AT18" s="234" t="s">
        <v>536</v>
      </c>
      <c r="AU18" s="234" t="s">
        <v>536</v>
      </c>
      <c r="AV18" s="234"/>
      <c r="AW18" s="234" t="str">
        <f t="shared" si="9"/>
        <v/>
      </c>
      <c r="AX18" s="234" t="s">
        <v>536</v>
      </c>
      <c r="AY18" s="234" t="str">
        <f t="shared" si="10"/>
        <v/>
      </c>
      <c r="AZ18" s="1" t="s">
        <v>1499</v>
      </c>
      <c r="BD18" s="236"/>
    </row>
    <row r="19" ht="12.75" customHeight="1">
      <c r="A19" s="203" t="s">
        <v>105</v>
      </c>
      <c r="B19" s="203" t="s">
        <v>106</v>
      </c>
      <c r="C19" s="203" t="s">
        <v>1283</v>
      </c>
      <c r="D19" s="1" t="s">
        <v>1503</v>
      </c>
      <c r="E19" s="231">
        <v>1.35E10</v>
      </c>
      <c r="F19" s="231" t="str">
        <f>IF(ISNUMBER(Table1[[#This Row],[2019 Scope 3 ]]),IF(Table1[[#This Row],[Net Earnings/Income (2019)]]-k_cost*Table1[[#This Row],[2019 Total Scope 1, 2 + 3]]&lt;0,"Y","N"),"NA")</f>
        <v>#ERROR!</v>
      </c>
      <c r="G19" s="63" t="str">
        <f>IF(ISNUMBER(Table1[[#This Row],[2019 Scope 3 ]]),IF(k_cost*Table1[[#This Row],[2019 Total Scope 1, 2 + 3]]/Table1[[#This Row],[Size (2019 Revenue)]]&gt;k_rev_max,"Y","N"),"NA")</f>
        <v>#ERROR!</v>
      </c>
      <c r="H19" s="63" t="str">
        <f>IF(OR(Table1[[#This Row],[Net earnings post carbon price @85/t]]="Y",Table1[[#This Row],[Carbon costs in % revenue]] = "Y"),"Y",IF(OR(Table1[[#This Row],[Net earnings post carbon price @85/t]]="NA",Table1[[#This Row],[Carbon costs in % revenue]]="NA"),"NA","N"))</f>
        <v>#ERROR!</v>
      </c>
      <c r="I19" s="231">
        <v>4.4E9</v>
      </c>
      <c r="J19" s="232">
        <v>1978.0</v>
      </c>
      <c r="K19" s="231" t="s">
        <v>1498</v>
      </c>
      <c r="L19" s="1" t="s">
        <v>1498</v>
      </c>
      <c r="M19" s="1" t="s">
        <v>1498</v>
      </c>
      <c r="N19" s="1">
        <v>2015.0</v>
      </c>
      <c r="O19" s="1">
        <v>2015.0</v>
      </c>
      <c r="P19" s="1" t="s">
        <v>1499</v>
      </c>
      <c r="Q19" s="1" t="s">
        <v>1498</v>
      </c>
      <c r="R19" s="1" t="s">
        <v>1498</v>
      </c>
      <c r="S19" s="1">
        <v>2014.0</v>
      </c>
      <c r="T19" s="219" t="str">
        <f>IFERROR((Table1[[#This Row],[2019 Total Scope 1, 2 + 3]])/Table1[[#This Row],[2018 Total Scope 1, 2 + Scope 3]]-1,"NA")</f>
        <v>#ERROR!</v>
      </c>
      <c r="V19" s="234">
        <v>67031.0</v>
      </c>
      <c r="W19" s="234">
        <v>106.0</v>
      </c>
      <c r="X19" s="234"/>
      <c r="Y19" s="234">
        <f t="shared" si="1"/>
        <v>67137</v>
      </c>
      <c r="Z19" s="234">
        <f>334954+32759+10515+645+24083+9516+12065</f>
        <v>424537</v>
      </c>
      <c r="AA19" s="234">
        <f t="shared" si="2"/>
        <v>491674</v>
      </c>
      <c r="AB19" s="234">
        <v>68448.0</v>
      </c>
      <c r="AC19" s="234">
        <v>40172.0</v>
      </c>
      <c r="AD19" s="234">
        <v>76642.0</v>
      </c>
      <c r="AE19" s="234">
        <f t="shared" si="3"/>
        <v>31978</v>
      </c>
      <c r="AF19" s="234">
        <v>436265.0</v>
      </c>
      <c r="AG19" s="234">
        <f t="shared" si="4"/>
        <v>468243</v>
      </c>
      <c r="AH19" s="234">
        <v>61616.0</v>
      </c>
      <c r="AI19" s="234">
        <v>42408.0</v>
      </c>
      <c r="AJ19" s="234">
        <v>69783.0</v>
      </c>
      <c r="AK19" s="234">
        <f t="shared" si="5"/>
        <v>34241</v>
      </c>
      <c r="AL19" s="234">
        <v>436265.0</v>
      </c>
      <c r="AM19" s="234">
        <f t="shared" si="6"/>
        <v>470506</v>
      </c>
      <c r="AN19" s="234">
        <v>61970.0</v>
      </c>
      <c r="AO19" s="234">
        <v>45899.0</v>
      </c>
      <c r="AP19" s="234">
        <v>316917.0</v>
      </c>
      <c r="AQ19" s="234">
        <f t="shared" si="7"/>
        <v>-209048</v>
      </c>
      <c r="AR19" s="234">
        <v>254791.0</v>
      </c>
      <c r="AS19" s="234">
        <f t="shared" si="8"/>
        <v>45743</v>
      </c>
      <c r="AT19" s="234">
        <v>60179.0</v>
      </c>
      <c r="AU19" s="234">
        <v>38173.0</v>
      </c>
      <c r="AV19" s="234">
        <v>322563.0</v>
      </c>
      <c r="AW19" s="234">
        <f t="shared" si="9"/>
        <v>-224211</v>
      </c>
      <c r="AX19" s="234">
        <v>262358.0</v>
      </c>
      <c r="AY19" s="234">
        <f t="shared" si="10"/>
        <v>38147</v>
      </c>
      <c r="AZ19" s="1" t="s">
        <v>1499</v>
      </c>
      <c r="BD19" s="236"/>
    </row>
    <row r="20" ht="12.75" customHeight="1">
      <c r="A20" s="203" t="s">
        <v>111</v>
      </c>
      <c r="B20" s="203" t="s">
        <v>112</v>
      </c>
      <c r="C20" s="203" t="s">
        <v>1298</v>
      </c>
      <c r="D20" s="203" t="s">
        <v>1530</v>
      </c>
      <c r="E20" s="231">
        <v>1.4539E10</v>
      </c>
      <c r="F20" s="231" t="str">
        <f>IF(ISNUMBER(Table1[[#This Row],[2019 Scope 3 ]]),IF(Table1[[#This Row],[Net Earnings/Income (2019)]]-k_cost*Table1[[#This Row],[2019 Total Scope 1, 2 + 3]]&lt;0,"Y","N"),"NA")</f>
        <v>#ERROR!</v>
      </c>
      <c r="G20" s="63" t="str">
        <f>IF(ISNUMBER(Table1[[#This Row],[2019 Scope 3 ]]),IF(k_cost*Table1[[#This Row],[2019 Total Scope 1, 2 + 3]]/Table1[[#This Row],[Size (2019 Revenue)]]&gt;k_rev_max,"Y","N"),"NA")</f>
        <v>#ERROR!</v>
      </c>
      <c r="H20" s="63" t="str">
        <f>IF(OR(Table1[[#This Row],[Net earnings post carbon price @85/t]]="Y",Table1[[#This Row],[Carbon costs in % revenue]] = "Y"),"Y",IF(OR(Table1[[#This Row],[Net earnings post carbon price @85/t]]="NA",Table1[[#This Row],[Carbon costs in % revenue]]="NA"),"NA","N"))</f>
        <v>#ERROR!</v>
      </c>
      <c r="I20" s="231">
        <v>4.484E9</v>
      </c>
      <c r="J20" s="232">
        <v>1988.0</v>
      </c>
      <c r="K20" s="231" t="s">
        <v>1498</v>
      </c>
      <c r="L20" s="1" t="s">
        <v>1499</v>
      </c>
      <c r="M20" s="1" t="s">
        <v>1499</v>
      </c>
      <c r="R20" s="1" t="s">
        <v>1498</v>
      </c>
      <c r="S20" s="1">
        <v>2020.0</v>
      </c>
      <c r="T20" s="219" t="str">
        <f>IFERROR((Table1[[#This Row],[2019 Total Scope 1, 2 + 3]])/Table1[[#This Row],[2018 Total Scope 1, 2 + Scope 3]]-1,"NA")</f>
        <v>#ERROR!</v>
      </c>
      <c r="V20" s="234">
        <v>5589.0</v>
      </c>
      <c r="W20" s="234">
        <v>0.0</v>
      </c>
      <c r="X20" s="234"/>
      <c r="Y20" s="234">
        <f t="shared" si="1"/>
        <v>5589</v>
      </c>
      <c r="Z20" s="234">
        <f>351950+15521+7865+2462+1162+39116+1161+777</f>
        <v>420014</v>
      </c>
      <c r="AA20" s="234">
        <f t="shared" si="2"/>
        <v>425603</v>
      </c>
      <c r="AB20" s="234">
        <v>4807.0</v>
      </c>
      <c r="AC20" s="234">
        <v>22043.0</v>
      </c>
      <c r="AD20" s="234">
        <v>0.0</v>
      </c>
      <c r="AE20" s="234">
        <f t="shared" si="3"/>
        <v>26850</v>
      </c>
      <c r="AF20" s="234">
        <f>2.9*15349</f>
        <v>44512.1</v>
      </c>
      <c r="AG20" s="234">
        <f t="shared" si="4"/>
        <v>71362.1</v>
      </c>
      <c r="AH20" s="234">
        <v>5016.0</v>
      </c>
      <c r="AI20" s="234">
        <v>22135.0</v>
      </c>
      <c r="AJ20" s="234">
        <v>0.0</v>
      </c>
      <c r="AK20" s="234">
        <f t="shared" si="5"/>
        <v>27151</v>
      </c>
      <c r="AL20" s="234">
        <f>2.8*13816</f>
        <v>38684.8</v>
      </c>
      <c r="AM20" s="234">
        <f t="shared" si="6"/>
        <v>65835.8</v>
      </c>
      <c r="AN20" s="234">
        <v>4281.0</v>
      </c>
      <c r="AO20" s="234">
        <v>26086.0</v>
      </c>
      <c r="AP20" s="234">
        <v>0.0</v>
      </c>
      <c r="AQ20" s="234">
        <f t="shared" si="7"/>
        <v>30367</v>
      </c>
      <c r="AR20" s="234">
        <f>3*13337</f>
        <v>40011</v>
      </c>
      <c r="AS20" s="234">
        <f t="shared" si="8"/>
        <v>70378</v>
      </c>
      <c r="AT20" s="234">
        <v>4846.0</v>
      </c>
      <c r="AU20" s="234">
        <v>28700.0</v>
      </c>
      <c r="AV20" s="234"/>
      <c r="AW20" s="234">
        <f t="shared" si="9"/>
        <v>33546</v>
      </c>
      <c r="AX20" s="234">
        <f>3.1*12994</f>
        <v>40281.4</v>
      </c>
      <c r="AY20" s="234">
        <f t="shared" si="10"/>
        <v>73827.4</v>
      </c>
      <c r="AZ20" s="1" t="s">
        <v>1499</v>
      </c>
      <c r="BB20" s="1" t="s">
        <v>1531</v>
      </c>
      <c r="BD20" s="236"/>
    </row>
    <row r="21" ht="12.75" customHeight="1">
      <c r="A21" s="203" t="s">
        <v>117</v>
      </c>
      <c r="B21" s="203" t="s">
        <v>117</v>
      </c>
      <c r="C21" s="203" t="s">
        <v>1276</v>
      </c>
      <c r="D21" s="1" t="s">
        <v>1532</v>
      </c>
      <c r="E21" s="231">
        <v>7.6559E10</v>
      </c>
      <c r="F21" s="231" t="str">
        <f>IF(ISNUMBER(Table1[[#This Row],[2019 Scope 3 ]]),IF(Table1[[#This Row],[Net Earnings/Income (2019)]]-k_cost*Table1[[#This Row],[2019 Total Scope 1, 2 + 3]]&lt;0,"Y","N"),"NA")</f>
        <v>#ERROR!</v>
      </c>
      <c r="G21" s="63" t="str">
        <f>IF(ISNUMBER(Table1[[#This Row],[2019 Scope 3 ]]),IF(k_cost*Table1[[#This Row],[2019 Total Scope 1, 2 + 3]]/Table1[[#This Row],[Size (2019 Revenue)]]&gt;k_rev_max,"Y","N"),"NA")</f>
        <v>#ERROR!</v>
      </c>
      <c r="H21" s="63" t="str">
        <f>IF(OR(Table1[[#This Row],[Net earnings post carbon price @85/t]]="Y",Table1[[#This Row],[Carbon costs in % revenue]] = "Y"),"Y",IF(OR(Table1[[#This Row],[Net earnings post carbon price @85/t]]="NA",Table1[[#This Row],[Carbon costs in % revenue]]="NA"),"NA","N"))</f>
        <v>#ERROR!</v>
      </c>
      <c r="I21" s="237">
        <v>-6.36E8</v>
      </c>
      <c r="J21" s="232">
        <v>1962.0</v>
      </c>
      <c r="K21" s="231" t="s">
        <v>1498</v>
      </c>
      <c r="L21" s="1" t="s">
        <v>1499</v>
      </c>
      <c r="M21" s="1" t="s">
        <v>1499</v>
      </c>
      <c r="P21" s="2">
        <v>0.5</v>
      </c>
      <c r="Q21" s="1" t="s">
        <v>1498</v>
      </c>
      <c r="R21" s="1" t="s">
        <v>1499</v>
      </c>
      <c r="S21" s="1" t="s">
        <v>1499</v>
      </c>
      <c r="T21" s="219" t="str">
        <f>IFERROR((Table1[[#This Row],[2019 Total Scope 1, 2 + 3]])/Table1[[#This Row],[2018 Total Scope 1, 2 + Scope 3]]-1,"NA")</f>
        <v>#ERROR!</v>
      </c>
      <c r="V21" s="234">
        <v>613000.0</v>
      </c>
      <c r="W21" s="234">
        <v>733000.0</v>
      </c>
      <c r="X21" s="234"/>
      <c r="Y21" s="234">
        <f t="shared" si="1"/>
        <v>1346000</v>
      </c>
      <c r="Z21" s="234">
        <v>290000.0</v>
      </c>
      <c r="AA21" s="234">
        <f t="shared" si="2"/>
        <v>1636000</v>
      </c>
      <c r="AB21" s="234">
        <v>646000.0</v>
      </c>
      <c r="AC21" s="234">
        <v>892000.0</v>
      </c>
      <c r="AD21" s="234">
        <v>0.0</v>
      </c>
      <c r="AE21" s="234">
        <f t="shared" si="3"/>
        <v>1538000</v>
      </c>
      <c r="AF21" s="234">
        <v>320000.0</v>
      </c>
      <c r="AG21" s="234">
        <f t="shared" si="4"/>
        <v>1858000</v>
      </c>
      <c r="AH21" s="234">
        <v>626000.0</v>
      </c>
      <c r="AI21" s="234">
        <v>896000.0</v>
      </c>
      <c r="AJ21" s="234"/>
      <c r="AK21" s="234">
        <f t="shared" si="5"/>
        <v>1522000</v>
      </c>
      <c r="AL21" s="234">
        <v>285000.0</v>
      </c>
      <c r="AM21" s="234">
        <f t="shared" si="6"/>
        <v>1807000</v>
      </c>
      <c r="AN21" s="234">
        <v>593000.0</v>
      </c>
      <c r="AO21" s="234">
        <v>937000.0</v>
      </c>
      <c r="AP21" s="234"/>
      <c r="AQ21" s="234">
        <f t="shared" si="7"/>
        <v>1530000</v>
      </c>
      <c r="AR21" s="234">
        <v>244000.0</v>
      </c>
      <c r="AS21" s="234">
        <f t="shared" si="8"/>
        <v>1774000</v>
      </c>
      <c r="AT21" s="234">
        <v>601000.0</v>
      </c>
      <c r="AU21" s="234">
        <v>902000.0</v>
      </c>
      <c r="AV21" s="234"/>
      <c r="AW21" s="234">
        <f t="shared" si="9"/>
        <v>1503000</v>
      </c>
      <c r="AX21" s="234">
        <v>297000.0</v>
      </c>
      <c r="AY21" s="234">
        <f t="shared" si="10"/>
        <v>1800000</v>
      </c>
      <c r="AZ21" s="1" t="s">
        <v>1498</v>
      </c>
      <c r="BA21" s="235" t="s">
        <v>1533</v>
      </c>
      <c r="BB21" s="241" t="s">
        <v>1534</v>
      </c>
      <c r="BD21" s="236"/>
    </row>
    <row r="22" ht="12.75" customHeight="1">
      <c r="A22" s="203" t="s">
        <v>122</v>
      </c>
      <c r="B22" s="203" t="s">
        <v>123</v>
      </c>
      <c r="C22" s="203" t="s">
        <v>1376</v>
      </c>
      <c r="D22" s="203" t="s">
        <v>973</v>
      </c>
      <c r="E22" s="231">
        <v>1.5066E10</v>
      </c>
      <c r="F22" s="231" t="str">
        <f>IF(ISNUMBER(Table1[[#This Row],[2019 Scope 3 ]]),IF(Table1[[#This Row],[Net Earnings/Income (2019)]]-k_cost*Table1[[#This Row],[2019 Total Scope 1, 2 + 3]]&lt;0,"Y","N"),"NA")</f>
        <v>#ERROR!</v>
      </c>
      <c r="G22" s="63" t="str">
        <f>IF(ISNUMBER(Table1[[#This Row],[2019 Scope 3 ]]),IF(k_cost*Table1[[#This Row],[2019 Total Scope 1, 2 + 3]]/Table1[[#This Row],[Size (2019 Revenue)]]&gt;k_rev_max,"Y","N"),"NA")</f>
        <v>#ERROR!</v>
      </c>
      <c r="H22" s="63" t="str">
        <f>IF(OR(Table1[[#This Row],[Net earnings post carbon price @85/t]]="Y",Table1[[#This Row],[Carbon costs in % revenue]] = "Y"),"Y",IF(OR(Table1[[#This Row],[Net earnings post carbon price @85/t]]="NA",Table1[[#This Row],[Carbon costs in % revenue]]="NA"),"NA","N"))</f>
        <v>#ERROR!</v>
      </c>
      <c r="I22" s="231">
        <v>4.865E9</v>
      </c>
      <c r="J22" s="232">
        <v>1999.0</v>
      </c>
      <c r="K22" s="231" t="s">
        <v>1498</v>
      </c>
      <c r="L22" s="1" t="s">
        <v>1499</v>
      </c>
      <c r="M22" s="1" t="s">
        <v>1499</v>
      </c>
      <c r="P22" s="1" t="s">
        <v>1499</v>
      </c>
      <c r="Q22" s="1" t="s">
        <v>1499</v>
      </c>
      <c r="R22" s="1" t="s">
        <v>1499</v>
      </c>
      <c r="S22" s="1" t="s">
        <v>1499</v>
      </c>
      <c r="T22" s="219" t="str">
        <f>IFERROR((Table1[[#This Row],[2019 Total Scope 1, 2 + 3]])/Table1[[#This Row],[2018 Total Scope 1, 2 + Scope 3]]-1,"NA")</f>
        <v>#ERROR!</v>
      </c>
      <c r="V22" s="234" t="s">
        <v>536</v>
      </c>
      <c r="W22" s="234" t="s">
        <v>536</v>
      </c>
      <c r="X22" s="234"/>
      <c r="Y22" s="234" t="str">
        <f t="shared" si="1"/>
        <v/>
      </c>
      <c r="Z22" s="234" t="s">
        <v>536</v>
      </c>
      <c r="AA22" s="234" t="str">
        <f t="shared" si="2"/>
        <v/>
      </c>
      <c r="AB22" s="234">
        <v>4811.67</v>
      </c>
      <c r="AC22" s="234">
        <v>57517.74</v>
      </c>
      <c r="AD22" s="234">
        <v>0.0</v>
      </c>
      <c r="AE22" s="234">
        <f t="shared" si="3"/>
        <v>62329.41</v>
      </c>
      <c r="AF22" s="234" t="s">
        <v>536</v>
      </c>
      <c r="AG22" s="234" t="str">
        <f t="shared" si="4"/>
        <v/>
      </c>
      <c r="AH22" s="234">
        <v>3372.0</v>
      </c>
      <c r="AI22" s="234">
        <v>47963.0</v>
      </c>
      <c r="AJ22" s="234">
        <v>0.0</v>
      </c>
      <c r="AK22" s="234">
        <f t="shared" si="5"/>
        <v>51335</v>
      </c>
      <c r="AL22" s="234" t="s">
        <v>536</v>
      </c>
      <c r="AM22" s="234" t="str">
        <f t="shared" si="6"/>
        <v/>
      </c>
      <c r="AN22" s="234" t="s">
        <v>536</v>
      </c>
      <c r="AO22" s="234" t="s">
        <v>536</v>
      </c>
      <c r="AP22" s="234"/>
      <c r="AQ22" s="234" t="str">
        <f t="shared" si="7"/>
        <v/>
      </c>
      <c r="AR22" s="234" t="s">
        <v>536</v>
      </c>
      <c r="AS22" s="234" t="str">
        <f t="shared" si="8"/>
        <v/>
      </c>
      <c r="AT22" s="234" t="s">
        <v>536</v>
      </c>
      <c r="AU22" s="234" t="s">
        <v>536</v>
      </c>
      <c r="AV22" s="234"/>
      <c r="AW22" s="234" t="str">
        <f t="shared" si="9"/>
        <v/>
      </c>
      <c r="AX22" s="234" t="s">
        <v>536</v>
      </c>
      <c r="AY22" s="234" t="str">
        <f t="shared" si="10"/>
        <v/>
      </c>
      <c r="AZ22" s="1" t="s">
        <v>1499</v>
      </c>
      <c r="BD22" s="236"/>
    </row>
    <row r="23" ht="12.75" customHeight="1">
      <c r="A23" s="203" t="s">
        <v>125</v>
      </c>
      <c r="B23" s="203" t="s">
        <v>125</v>
      </c>
      <c r="C23" s="203" t="s">
        <v>1283</v>
      </c>
      <c r="D23" s="1" t="s">
        <v>1503</v>
      </c>
      <c r="E23" s="231">
        <v>2.6145E10</v>
      </c>
      <c r="F23" s="231" t="str">
        <f>IF(ISNUMBER(Table1[[#This Row],[2019 Scope 3 ]]),IF(Table1[[#This Row],[Net Earnings/Income (2019)]]-k_cost*Table1[[#This Row],[2019 Total Scope 1, 2 + 3]]&lt;0,"Y","N"),"NA")</f>
        <v>#ERROR!</v>
      </c>
      <c r="G23" s="63" t="str">
        <f>IF(ISNUMBER(Table1[[#This Row],[2019 Scope 3 ]]),IF(k_cost*Table1[[#This Row],[2019 Total Scope 1, 2 + 3]]/Table1[[#This Row],[Size (2019 Revenue)]]&gt;k_rev_max,"Y","N"),"NA")</f>
        <v>#ERROR!</v>
      </c>
      <c r="H23" s="63" t="str">
        <f>IF(OR(Table1[[#This Row],[Net earnings post carbon price @85/t]]="Y",Table1[[#This Row],[Carbon costs in % revenue]] = "Y"),"Y",IF(OR(Table1[[#This Row],[Net earnings post carbon price @85/t]]="NA",Table1[[#This Row],[Carbon costs in % revenue]]="NA"),"NA","N"))</f>
        <v>#ERROR!</v>
      </c>
      <c r="I23" s="231">
        <v>3.439E9</v>
      </c>
      <c r="J23" s="232">
        <v>1887.0</v>
      </c>
      <c r="K23" s="231" t="s">
        <v>1498</v>
      </c>
      <c r="L23" s="1" t="s">
        <v>1499</v>
      </c>
      <c r="M23" s="1" t="s">
        <v>1499</v>
      </c>
      <c r="P23" s="233">
        <v>400000.0</v>
      </c>
      <c r="Q23" s="1" t="s">
        <v>1499</v>
      </c>
      <c r="R23" s="1" t="s">
        <v>1499</v>
      </c>
      <c r="S23" s="1" t="s">
        <v>1499</v>
      </c>
      <c r="T23" s="219" t="str">
        <f>IFERROR((Table1[[#This Row],[2019 Total Scope 1, 2 + 3]])/Table1[[#This Row],[2018 Total Scope 1, 2 + Scope 3]]-1,"NA")</f>
        <v>#ERROR!</v>
      </c>
      <c r="V23" s="234" t="s">
        <v>536</v>
      </c>
      <c r="W23" s="234" t="s">
        <v>536</v>
      </c>
      <c r="X23" s="234"/>
      <c r="Y23" s="234" t="str">
        <f t="shared" si="1"/>
        <v/>
      </c>
      <c r="Z23" s="234" t="s">
        <v>536</v>
      </c>
      <c r="AA23" s="234" t="str">
        <f t="shared" si="2"/>
        <v/>
      </c>
      <c r="AB23" s="234">
        <v>130000.0</v>
      </c>
      <c r="AC23" s="234">
        <v>230000.0</v>
      </c>
      <c r="AD23" s="234"/>
      <c r="AE23" s="234">
        <f t="shared" si="3"/>
        <v>360000</v>
      </c>
      <c r="AF23" s="234" t="s">
        <v>536</v>
      </c>
      <c r="AG23" s="234" t="str">
        <f t="shared" si="4"/>
        <v/>
      </c>
      <c r="AH23" s="234">
        <v>125000.0</v>
      </c>
      <c r="AI23" s="234">
        <v>250000.0</v>
      </c>
      <c r="AJ23" s="234"/>
      <c r="AK23" s="234">
        <f t="shared" si="5"/>
        <v>375000</v>
      </c>
      <c r="AL23" s="234"/>
      <c r="AM23" s="234">
        <f t="shared" si="6"/>
        <v>375000</v>
      </c>
      <c r="AN23" s="234">
        <v>130000.0</v>
      </c>
      <c r="AO23" s="234">
        <v>250000.0</v>
      </c>
      <c r="AP23" s="234"/>
      <c r="AQ23" s="234">
        <f t="shared" si="7"/>
        <v>380000</v>
      </c>
      <c r="AR23" s="234"/>
      <c r="AS23" s="234">
        <f t="shared" si="8"/>
        <v>380000</v>
      </c>
      <c r="AT23" s="234" t="s">
        <v>536</v>
      </c>
      <c r="AU23" s="234" t="s">
        <v>536</v>
      </c>
      <c r="AV23" s="234"/>
      <c r="AW23" s="234" t="str">
        <f t="shared" si="9"/>
        <v/>
      </c>
      <c r="AX23" s="234" t="s">
        <v>536</v>
      </c>
      <c r="AY23" s="234" t="str">
        <f t="shared" si="10"/>
        <v/>
      </c>
      <c r="AZ23" s="1" t="s">
        <v>1499</v>
      </c>
      <c r="BA23" s="235" t="s">
        <v>1535</v>
      </c>
      <c r="BD23" s="236"/>
    </row>
    <row r="24" ht="12.75" customHeight="1">
      <c r="A24" s="203" t="s">
        <v>130</v>
      </c>
      <c r="B24" s="203" t="s">
        <v>131</v>
      </c>
      <c r="C24" s="203" t="s">
        <v>1298</v>
      </c>
      <c r="D24" s="203" t="s">
        <v>1515</v>
      </c>
      <c r="E24" s="231">
        <v>2.86E10</v>
      </c>
      <c r="F24" s="231" t="str">
        <f>IF(ISNUMBER(Table1[[#This Row],[2019 Scope 3 ]]),IF(Table1[[#This Row],[Net Earnings/Income (2019)]]-k_cost*Table1[[#This Row],[2019 Total Scope 1, 2 + 3]]&lt;0,"Y","N"),"NA")</f>
        <v>#ERROR!</v>
      </c>
      <c r="G24" s="63" t="str">
        <f>IF(ISNUMBER(Table1[[#This Row],[2019 Scope 3 ]]),IF(k_cost*Table1[[#This Row],[2019 Total Scope 1, 2 + 3]]/Table1[[#This Row],[Size (2019 Revenue)]]&gt;k_rev_max,"Y","N"),"NA")</f>
        <v>#ERROR!</v>
      </c>
      <c r="H24" s="63" t="str">
        <f>IF(OR(Table1[[#This Row],[Net earnings post carbon price @85/t]]="Y",Table1[[#This Row],[Carbon costs in % revenue]] = "Y"),"Y",IF(OR(Table1[[#This Row],[Net earnings post carbon price @85/t]]="NA",Table1[[#This Row],[Carbon costs in % revenue]]="NA"),"NA","N"))</f>
        <v>#ERROR!</v>
      </c>
      <c r="I24" s="231">
        <v>5.192E9</v>
      </c>
      <c r="J24" s="232">
        <v>1994.0</v>
      </c>
      <c r="K24" s="231" t="s">
        <v>1498</v>
      </c>
      <c r="L24" s="1" t="s">
        <v>1498</v>
      </c>
      <c r="M24" s="1" t="s">
        <v>1499</v>
      </c>
      <c r="N24" s="1">
        <v>2018.0</v>
      </c>
      <c r="O24" s="1">
        <v>2018.0</v>
      </c>
      <c r="P24" s="233"/>
      <c r="Q24" s="1" t="s">
        <v>1498</v>
      </c>
      <c r="R24" s="1" t="s">
        <v>1498</v>
      </c>
      <c r="S24" s="1">
        <v>2017.0</v>
      </c>
      <c r="T24" s="219" t="str">
        <f>IFERROR((Table1[[#This Row],[2019 Total Scope 1, 2 + 3]])/Table1[[#This Row],[2018 Total Scope 1, 2 + Scope 3]]-1,"NA")</f>
        <v>#ERROR!</v>
      </c>
      <c r="V24" s="234">
        <v>9495.0</v>
      </c>
      <c r="W24" s="234">
        <v>135.0</v>
      </c>
      <c r="X24" s="234"/>
      <c r="Y24" s="234">
        <f t="shared" si="1"/>
        <v>9630</v>
      </c>
      <c r="Z24" s="234">
        <f>165571+8156+67870+4762+37500+101249+5866.51</f>
        <v>390974.51</v>
      </c>
      <c r="AA24" s="234">
        <f t="shared" si="2"/>
        <v>400604.51</v>
      </c>
      <c r="AB24" s="234">
        <v>9815.0</v>
      </c>
      <c r="AC24" s="234">
        <v>0.0</v>
      </c>
      <c r="AD24" s="234"/>
      <c r="AE24" s="234">
        <f t="shared" si="3"/>
        <v>9815</v>
      </c>
      <c r="AF24" s="234">
        <f>157487+9106.99+56982+3601+34539+105860+7133.21</f>
        <v>374709.2</v>
      </c>
      <c r="AG24" s="234">
        <f t="shared" si="4"/>
        <v>384524.2</v>
      </c>
      <c r="AH24" s="234">
        <v>11624.0</v>
      </c>
      <c r="AI24" s="234">
        <v>150.0</v>
      </c>
      <c r="AJ24" s="234"/>
      <c r="AK24" s="234">
        <f t="shared" si="5"/>
        <v>11774</v>
      </c>
      <c r="AL24" s="234">
        <f>49982.23+62340.64+103444.88</f>
        <v>215767.75</v>
      </c>
      <c r="AM24" s="234">
        <f t="shared" si="6"/>
        <v>227541.75</v>
      </c>
      <c r="AN24" s="234">
        <v>13061.0</v>
      </c>
      <c r="AO24" s="234">
        <v>176444.0</v>
      </c>
      <c r="AP24" s="234"/>
      <c r="AQ24" s="234">
        <f t="shared" si="7"/>
        <v>189505</v>
      </c>
      <c r="AR24" s="234">
        <f>53010.86+55239.85+105093.4</f>
        <v>213344.11</v>
      </c>
      <c r="AS24" s="234">
        <f t="shared" si="8"/>
        <v>402849.11</v>
      </c>
      <c r="AT24" s="234">
        <v>14421.0</v>
      </c>
      <c r="AU24" s="234">
        <v>181088.0</v>
      </c>
      <c r="AV24" s="234"/>
      <c r="AW24" s="234">
        <f t="shared" si="9"/>
        <v>195509</v>
      </c>
      <c r="AX24" s="234">
        <f>51042.88+32022</f>
        <v>83064.88</v>
      </c>
      <c r="AY24" s="234">
        <f t="shared" si="10"/>
        <v>278573.88</v>
      </c>
      <c r="AZ24" s="1" t="s">
        <v>1499</v>
      </c>
      <c r="BA24" s="238" t="s">
        <v>1536</v>
      </c>
      <c r="BB24" s="203" t="s">
        <v>1537</v>
      </c>
      <c r="BC24" s="243" t="s">
        <v>1538</v>
      </c>
      <c r="BD24" s="236"/>
    </row>
    <row r="25" ht="12.75" customHeight="1">
      <c r="A25" s="203" t="s">
        <v>136</v>
      </c>
      <c r="B25" s="203" t="s">
        <v>137</v>
      </c>
      <c r="C25" s="203" t="s">
        <v>1276</v>
      </c>
      <c r="D25" s="203" t="s">
        <v>1539</v>
      </c>
      <c r="E25" s="231">
        <v>5.38E10</v>
      </c>
      <c r="F25" s="231" t="str">
        <f>IF(ISNUMBER(Table1[[#This Row],[2019 Scope 3 ]]),IF(Table1[[#This Row],[Net Earnings/Income (2019)]]-k_cost*Table1[[#This Row],[2019 Total Scope 1, 2 + 3]]&lt;0,"Y","N"),"NA")</f>
        <v>#ERROR!</v>
      </c>
      <c r="G25" s="63" t="str">
        <f>IF(ISNUMBER(Table1[[#This Row],[2019 Scope 3 ]]),IF(k_cost*Table1[[#This Row],[2019 Total Scope 1, 2 + 3]]/Table1[[#This Row],[Size (2019 Revenue)]]&gt;k_rev_max,"Y","N"),"NA")</f>
        <v>#ERROR!</v>
      </c>
      <c r="H25" s="63" t="str">
        <f>IF(OR(Table1[[#This Row],[Net earnings post carbon price @85/t]]="Y",Table1[[#This Row],[Carbon costs in % revenue]] = "Y"),"Y",IF(OR(Table1[[#This Row],[Net earnings post carbon price @85/t]]="NA",Table1[[#This Row],[Carbon costs in % revenue]]="NA"),"NA","N"))</f>
        <v>#ERROR!</v>
      </c>
      <c r="I25" s="231">
        <v>6.093E9</v>
      </c>
      <c r="J25" s="232">
        <v>1925.0</v>
      </c>
      <c r="K25" s="231" t="s">
        <v>1498</v>
      </c>
      <c r="L25" s="1" t="s">
        <v>1499</v>
      </c>
      <c r="M25" s="1" t="s">
        <v>1499</v>
      </c>
      <c r="P25" s="233" t="s">
        <v>1499</v>
      </c>
      <c r="Q25" s="1" t="s">
        <v>1499</v>
      </c>
      <c r="R25" s="1" t="s">
        <v>1499</v>
      </c>
      <c r="S25" s="1" t="s">
        <v>1499</v>
      </c>
      <c r="T25" s="219" t="str">
        <f>IFERROR((Table1[[#This Row],[2019 Total Scope 1, 2 + 3]])/Table1[[#This Row],[2018 Total Scope 1, 2 + Scope 3]]-1,"NA")</f>
        <v>#ERROR!</v>
      </c>
      <c r="V25" s="234">
        <v>905000.0</v>
      </c>
      <c r="W25" s="234">
        <v>869000.0</v>
      </c>
      <c r="X25" s="234">
        <v>0.0</v>
      </c>
      <c r="Y25" s="234">
        <f t="shared" si="1"/>
        <v>1774000</v>
      </c>
      <c r="Z25" s="234" t="s">
        <v>536</v>
      </c>
      <c r="AA25" s="234" t="str">
        <f t="shared" si="2"/>
        <v/>
      </c>
      <c r="AB25" s="234">
        <v>927000.0</v>
      </c>
      <c r="AC25" s="234">
        <v>1280000.0</v>
      </c>
      <c r="AD25" s="234">
        <v>0.0</v>
      </c>
      <c r="AE25" s="234">
        <f t="shared" si="3"/>
        <v>2207000</v>
      </c>
      <c r="AF25" s="234" t="s">
        <v>536</v>
      </c>
      <c r="AG25" s="234" t="str">
        <f t="shared" si="4"/>
        <v/>
      </c>
      <c r="AH25" s="234">
        <v>863000.0</v>
      </c>
      <c r="AI25" s="234">
        <v>1256000.0</v>
      </c>
      <c r="AJ25" s="234">
        <v>0.0</v>
      </c>
      <c r="AK25" s="234">
        <f t="shared" si="5"/>
        <v>2119000</v>
      </c>
      <c r="AL25" s="234" t="s">
        <v>536</v>
      </c>
      <c r="AM25" s="234" t="str">
        <f t="shared" si="6"/>
        <v/>
      </c>
      <c r="AN25" s="234">
        <v>863000.0</v>
      </c>
      <c r="AO25" s="234">
        <v>1265000.0</v>
      </c>
      <c r="AP25" s="234">
        <v>0.0</v>
      </c>
      <c r="AQ25" s="234">
        <f t="shared" si="7"/>
        <v>2128000</v>
      </c>
      <c r="AR25" s="234" t="s">
        <v>536</v>
      </c>
      <c r="AS25" s="234" t="str">
        <f t="shared" si="8"/>
        <v/>
      </c>
      <c r="AT25" s="234" t="s">
        <v>536</v>
      </c>
      <c r="AU25" s="234" t="s">
        <v>536</v>
      </c>
      <c r="AV25" s="234"/>
      <c r="AW25" s="234" t="str">
        <f t="shared" si="9"/>
        <v/>
      </c>
      <c r="AX25" s="234" t="s">
        <v>536</v>
      </c>
      <c r="AY25" s="234" t="str">
        <f t="shared" si="10"/>
        <v/>
      </c>
      <c r="AZ25" s="1" t="s">
        <v>1499</v>
      </c>
      <c r="BA25" s="235" t="s">
        <v>1540</v>
      </c>
      <c r="BC25" s="243"/>
      <c r="BD25" s="236"/>
    </row>
    <row r="26" ht="12.75" customHeight="1">
      <c r="A26" s="203" t="s">
        <v>139</v>
      </c>
      <c r="B26" s="203" t="s">
        <v>140</v>
      </c>
      <c r="C26" s="1" t="s">
        <v>1302</v>
      </c>
      <c r="D26" s="203" t="s">
        <v>1541</v>
      </c>
      <c r="E26" s="231">
        <v>4.5764E10</v>
      </c>
      <c r="F26" s="231" t="str">
        <f>IF(ISNUMBER(Table1[[#This Row],[2019 Scope 3 ]]),IF(Table1[[#This Row],[Net Earnings/Income (2019)]]-k_cost*Table1[[#This Row],[2019 Total Scope 1, 2 + 3]]&lt;0,"Y","N"),"NA")</f>
        <v>#ERROR!</v>
      </c>
      <c r="G26" s="63" t="str">
        <f>IF(ISNUMBER(Table1[[#This Row],[2019 Scope 3 ]]),IF(k_cost*Table1[[#This Row],[2019 Total Scope 1, 2 + 3]]/Table1[[#This Row],[Size (2019 Revenue)]]&gt;k_rev_max,"Y","N"),"NA")</f>
        <v>#ERROR!</v>
      </c>
      <c r="H26" s="63" t="str">
        <f>IF(OR(Table1[[#This Row],[Net earnings post carbon price @85/t]]="Y",Table1[[#This Row],[Carbon costs in % revenue]] = "Y"),"Y",IF(OR(Table1[[#This Row],[Net earnings post carbon price @85/t]]="NA",Table1[[#This Row],[Carbon costs in % revenue]]="NA"),"NA","N"))</f>
        <v>#ERROR!</v>
      </c>
      <c r="I26" s="231">
        <v>1.668E9</v>
      </c>
      <c r="J26" s="232">
        <v>1999.0</v>
      </c>
      <c r="K26" s="231" t="s">
        <v>1498</v>
      </c>
      <c r="L26" s="1" t="s">
        <v>1499</v>
      </c>
      <c r="M26" s="1" t="s">
        <v>1499</v>
      </c>
      <c r="P26" s="233" t="s">
        <v>1499</v>
      </c>
      <c r="Q26" s="1" t="s">
        <v>1499</v>
      </c>
      <c r="R26" s="1" t="s">
        <v>1499</v>
      </c>
      <c r="S26" s="1" t="s">
        <v>1499</v>
      </c>
      <c r="T26" s="219" t="str">
        <f>IFERROR((Table1[[#This Row],[2019 Total Scope 1, 2 + 3]])/Table1[[#This Row],[2018 Total Scope 1, 2 + Scope 3]]-1,"NA")</f>
        <v>#ERROR!</v>
      </c>
      <c r="V26" s="234" t="s">
        <v>536</v>
      </c>
      <c r="W26" s="234" t="s">
        <v>536</v>
      </c>
      <c r="X26" s="234"/>
      <c r="Y26" s="234" t="str">
        <f t="shared" si="1"/>
        <v/>
      </c>
      <c r="Z26" s="234" t="s">
        <v>536</v>
      </c>
      <c r="AA26" s="234" t="str">
        <f t="shared" si="2"/>
        <v/>
      </c>
      <c r="AB26" s="234" t="s">
        <v>536</v>
      </c>
      <c r="AC26" s="234" t="s">
        <v>536</v>
      </c>
      <c r="AD26" s="234"/>
      <c r="AE26" s="234" t="str">
        <f t="shared" si="3"/>
        <v/>
      </c>
      <c r="AF26" s="234" t="s">
        <v>536</v>
      </c>
      <c r="AG26" s="234" t="str">
        <f t="shared" si="4"/>
        <v/>
      </c>
      <c r="AH26" s="234" t="s">
        <v>536</v>
      </c>
      <c r="AI26" s="234" t="s">
        <v>536</v>
      </c>
      <c r="AJ26" s="234"/>
      <c r="AK26" s="234" t="str">
        <f t="shared" si="5"/>
        <v/>
      </c>
      <c r="AL26" s="234" t="s">
        <v>536</v>
      </c>
      <c r="AM26" s="234" t="str">
        <f t="shared" si="6"/>
        <v/>
      </c>
      <c r="AN26" s="234" t="s">
        <v>536</v>
      </c>
      <c r="AO26" s="234" t="s">
        <v>536</v>
      </c>
      <c r="AP26" s="234"/>
      <c r="AQ26" s="234" t="str">
        <f t="shared" si="7"/>
        <v/>
      </c>
      <c r="AR26" s="234" t="s">
        <v>536</v>
      </c>
      <c r="AS26" s="234" t="str">
        <f t="shared" si="8"/>
        <v/>
      </c>
      <c r="AT26" s="234" t="s">
        <v>536</v>
      </c>
      <c r="AU26" s="234" t="s">
        <v>536</v>
      </c>
      <c r="AV26" s="234"/>
      <c r="AW26" s="234" t="str">
        <f t="shared" si="9"/>
        <v/>
      </c>
      <c r="AX26" s="234" t="s">
        <v>536</v>
      </c>
      <c r="AY26" s="234" t="str">
        <f t="shared" si="10"/>
        <v/>
      </c>
      <c r="AZ26" s="1" t="s">
        <v>1499</v>
      </c>
      <c r="BA26" s="238" t="s">
        <v>1536</v>
      </c>
      <c r="BC26" s="243"/>
      <c r="BD26" s="236"/>
    </row>
    <row r="27" ht="12.75" customHeight="1">
      <c r="A27" s="203" t="s">
        <v>142</v>
      </c>
      <c r="B27" s="203" t="s">
        <v>142</v>
      </c>
      <c r="C27" s="1" t="s">
        <v>1350</v>
      </c>
      <c r="D27" s="203" t="s">
        <v>1542</v>
      </c>
      <c r="E27" s="231">
        <v>1.46516E11</v>
      </c>
      <c r="F27" s="231" t="str">
        <f>IF(ISNUMBER(Table1[[#This Row],[2019 Scope 3 ]]),IF(Table1[[#This Row],[Net Earnings/Income (2019)]]-k_cost*Table1[[#This Row],[2019 Total Scope 1, 2 + 3]]&lt;0,"Y","N"),"NA")</f>
        <v>#ERROR!</v>
      </c>
      <c r="G27" s="63" t="str">
        <f>IF(ISNUMBER(Table1[[#This Row],[2019 Scope 3 ]]),IF(k_cost*Table1[[#This Row],[2019 Total Scope 1, 2 + 3]]/Table1[[#This Row],[Size (2019 Revenue)]]&gt;k_rev_max,"Y","N"),"NA")</f>
        <v>#ERROR!</v>
      </c>
      <c r="H27" s="63" t="str">
        <f>IF(OR(Table1[[#This Row],[Net earnings post carbon price @85/t]]="Y",Table1[[#This Row],[Carbon costs in % revenue]] = "Y"),"Y",IF(OR(Table1[[#This Row],[Net earnings post carbon price @85/t]]="NA",Table1[[#This Row],[Carbon costs in % revenue]]="NA"),"NA","N"))</f>
        <v>#ERROR!</v>
      </c>
      <c r="I27" s="231">
        <v>2.924E9</v>
      </c>
      <c r="J27" s="232">
        <v>1879.0</v>
      </c>
      <c r="K27" s="231" t="s">
        <v>1498</v>
      </c>
      <c r="L27" s="1" t="s">
        <v>1499</v>
      </c>
      <c r="M27" s="1" t="s">
        <v>1499</v>
      </c>
      <c r="P27" s="233" t="s">
        <v>1499</v>
      </c>
      <c r="Q27" s="1" t="s">
        <v>1499</v>
      </c>
      <c r="R27" s="1" t="s">
        <v>1499</v>
      </c>
      <c r="T27" s="219" t="str">
        <f>IFERROR((Table1[[#This Row],[2019 Total Scope 1, 2 + 3]])/Table1[[#This Row],[2018 Total Scope 1, 2 + Scope 3]]-1,"NA")</f>
        <v>#ERROR!</v>
      </c>
      <c r="V27" s="234">
        <v>5.5E7</v>
      </c>
      <c r="W27" s="234">
        <v>2000000.0</v>
      </c>
      <c r="X27" s="234">
        <v>0.0</v>
      </c>
      <c r="Y27" s="234">
        <f t="shared" si="1"/>
        <v>57000000</v>
      </c>
      <c r="Z27" s="234">
        <v>4.13E8</v>
      </c>
      <c r="AA27" s="234">
        <f t="shared" si="2"/>
        <v>470000000</v>
      </c>
      <c r="AB27" s="234">
        <v>5.9E7</v>
      </c>
      <c r="AC27" s="234">
        <v>3000000.0</v>
      </c>
      <c r="AD27" s="234">
        <v>0.0</v>
      </c>
      <c r="AE27" s="234">
        <f t="shared" si="3"/>
        <v>62000000</v>
      </c>
      <c r="AF27" s="234">
        <v>3.97E8</v>
      </c>
      <c r="AG27" s="234">
        <f t="shared" si="4"/>
        <v>459000000</v>
      </c>
      <c r="AH27" s="234">
        <v>5.6E7</v>
      </c>
      <c r="AI27" s="234">
        <v>3000000.0</v>
      </c>
      <c r="AJ27" s="234">
        <v>0.0</v>
      </c>
      <c r="AK27" s="234">
        <f t="shared" si="5"/>
        <v>59000000</v>
      </c>
      <c r="AL27" s="234">
        <v>3.77E8</v>
      </c>
      <c r="AM27" s="234">
        <f t="shared" si="6"/>
        <v>436000000</v>
      </c>
      <c r="AN27" s="234">
        <v>5.8E7</v>
      </c>
      <c r="AO27" s="234">
        <v>3000000.0</v>
      </c>
      <c r="AP27" s="234">
        <v>0.0</v>
      </c>
      <c r="AQ27" s="234">
        <f t="shared" si="7"/>
        <v>61000000</v>
      </c>
      <c r="AR27" s="234">
        <v>3.65E8</v>
      </c>
      <c r="AS27" s="234">
        <f t="shared" si="8"/>
        <v>426000000</v>
      </c>
      <c r="AT27" s="234">
        <v>5.8E7</v>
      </c>
      <c r="AU27" s="234">
        <v>3000000.0</v>
      </c>
      <c r="AV27" s="234">
        <v>0.0</v>
      </c>
      <c r="AW27" s="234">
        <f t="shared" si="9"/>
        <v>61000000</v>
      </c>
      <c r="AX27" s="234">
        <v>3.67E8</v>
      </c>
      <c r="AY27" s="234">
        <f t="shared" si="10"/>
        <v>428000000</v>
      </c>
      <c r="AZ27" s="1" t="s">
        <v>1498</v>
      </c>
      <c r="BA27" s="238" t="s">
        <v>1543</v>
      </c>
      <c r="BC27" s="243"/>
      <c r="BD27" s="236"/>
    </row>
    <row r="28" ht="12.75" customHeight="1">
      <c r="A28" s="203" t="s">
        <v>144</v>
      </c>
      <c r="B28" s="203" t="s">
        <v>145</v>
      </c>
      <c r="C28" s="203" t="s">
        <v>1291</v>
      </c>
      <c r="D28" s="203" t="s">
        <v>1521</v>
      </c>
      <c r="E28" s="231">
        <v>5.19E10</v>
      </c>
      <c r="F28" s="231" t="str">
        <f>IF(ISNUMBER(Table1[[#This Row],[2019 Scope 3 ]]),IF(Table1[[#This Row],[Net Earnings/Income (2019)]]-k_cost*Table1[[#This Row],[2019 Total Scope 1, 2 + 3]]&lt;0,"Y","N"),"NA")</f>
        <v>#ERROR!</v>
      </c>
      <c r="G28" s="63" t="str">
        <f>IF(ISNUMBER(Table1[[#This Row],[2019 Scope 3 ]]),IF(k_cost*Table1[[#This Row],[2019 Total Scope 1, 2 + 3]]/Table1[[#This Row],[Size (2019 Revenue)]]&gt;k_rev_max,"Y","N"),"NA")</f>
        <v>#ERROR!</v>
      </c>
      <c r="H28" s="63" t="str">
        <f>IF(OR(Table1[[#This Row],[Net earnings post carbon price @85/t]]="Y",Table1[[#This Row],[Carbon costs in % revenue]] = "Y"),"Y",IF(OR(Table1[[#This Row],[Net earnings post carbon price @85/t]]="NA",Table1[[#This Row],[Carbon costs in % revenue]]="NA"),"NA","N"))</f>
        <v>#ERROR!</v>
      </c>
      <c r="I28" s="231">
        <v>1.162E10</v>
      </c>
      <c r="J28" s="232">
        <v>1990.0</v>
      </c>
      <c r="K28" s="231" t="s">
        <v>1498</v>
      </c>
      <c r="L28" s="1" t="s">
        <v>1499</v>
      </c>
      <c r="M28" s="1" t="s">
        <v>1498</v>
      </c>
      <c r="P28" s="233">
        <v>180000.0</v>
      </c>
      <c r="Q28" s="1" t="s">
        <v>1498</v>
      </c>
      <c r="R28" s="1" t="s">
        <v>1499</v>
      </c>
      <c r="S28" s="1" t="s">
        <v>1499</v>
      </c>
      <c r="T28" s="219" t="str">
        <f>IFERROR((Table1[[#This Row],[2019 Total Scope 1, 2 + 3]])/Table1[[#This Row],[2018 Total Scope 1, 2 + Scope 3]]-1,"NA")</f>
        <v>#ERROR!</v>
      </c>
      <c r="V28" s="234">
        <v>41181.0</v>
      </c>
      <c r="W28" s="234">
        <v>187428.0</v>
      </c>
      <c r="X28" s="234">
        <v>0.0</v>
      </c>
      <c r="Y28" s="234">
        <f t="shared" si="1"/>
        <v>228609</v>
      </c>
      <c r="Z28" s="234">
        <f>1154682+40020+39054+36598+779+207323+79699+83396+24929174+272</f>
        <v>26570997</v>
      </c>
      <c r="AA28" s="234">
        <f t="shared" si="2"/>
        <v>26799606</v>
      </c>
      <c r="AB28" s="234">
        <v>41171.0</v>
      </c>
      <c r="AC28" s="234">
        <v>205141.0</v>
      </c>
      <c r="AD28" s="234">
        <v>0.0</v>
      </c>
      <c r="AE28" s="234">
        <f t="shared" si="3"/>
        <v>246312</v>
      </c>
      <c r="AF28" s="234">
        <f>1154682+40020+40002+36598+1096+217500+81394+83396+37865598+272</f>
        <v>39520558</v>
      </c>
      <c r="AG28" s="234">
        <f t="shared" si="4"/>
        <v>39766870</v>
      </c>
      <c r="AH28" s="234">
        <v>41926.0</v>
      </c>
      <c r="AI28" s="234">
        <v>223558.0</v>
      </c>
      <c r="AJ28" s="234">
        <v>0.0</v>
      </c>
      <c r="AK28" s="234">
        <f t="shared" si="5"/>
        <v>265484</v>
      </c>
      <c r="AL28" s="234">
        <f>1283704+57607+44164+16509+177210+80506+38521+32847245+349</f>
        <v>34545815</v>
      </c>
      <c r="AM28" s="234">
        <f t="shared" si="6"/>
        <v>34811299</v>
      </c>
      <c r="AN28" s="234">
        <v>53123.0</v>
      </c>
      <c r="AO28" s="234">
        <v>247933.0</v>
      </c>
      <c r="AP28" s="234">
        <v>0.0</v>
      </c>
      <c r="AQ28" s="234">
        <f t="shared" si="7"/>
        <v>301056</v>
      </c>
      <c r="AR28" s="234">
        <f>1373745+67405+43897+20062+184901+91586+46810+33466582+1138</f>
        <v>35296126</v>
      </c>
      <c r="AS28" s="234">
        <f t="shared" si="8"/>
        <v>35597182</v>
      </c>
      <c r="AT28" s="234">
        <v>53123.0</v>
      </c>
      <c r="AU28" s="234">
        <v>247933.0</v>
      </c>
      <c r="AV28" s="234">
        <v>0.0</v>
      </c>
      <c r="AW28" s="234">
        <f t="shared" si="9"/>
        <v>301056</v>
      </c>
      <c r="AX28" s="234">
        <f>3105862+81700+46354+196595+191573+96937+458722+33753281+6800</f>
        <v>37937824</v>
      </c>
      <c r="AY28" s="234">
        <f t="shared" si="10"/>
        <v>38238880</v>
      </c>
      <c r="AZ28" s="1" t="s">
        <v>1498</v>
      </c>
      <c r="BA28" s="235" t="s">
        <v>1544</v>
      </c>
      <c r="BB28" s="203" t="s">
        <v>1545</v>
      </c>
      <c r="BD28" s="236"/>
    </row>
    <row r="29" ht="12.75" customHeight="1">
      <c r="A29" s="203" t="s">
        <v>150</v>
      </c>
      <c r="B29" s="203" t="s">
        <v>151</v>
      </c>
      <c r="C29" s="203" t="s">
        <v>1298</v>
      </c>
      <c r="D29" s="203" t="s">
        <v>1312</v>
      </c>
      <c r="E29" s="231">
        <v>1.03449E11</v>
      </c>
      <c r="F29" s="231" t="str">
        <f>IF(ISNUMBER(Table1[[#This Row],[2019 Scope 3 ]]),IF(Table1[[#This Row],[Net Earnings/Income (2019)]]-k_cost*Table1[[#This Row],[2019 Total Scope 1, 2 + 3]]&lt;0,"Y","N"),"NA")</f>
        <v>#ERROR!</v>
      </c>
      <c r="G29" s="63" t="str">
        <f>IF(ISNUMBER(Table1[[#This Row],[2019 Scope 3 ]]),IF(k_cost*Table1[[#This Row],[2019 Total Scope 1, 2 + 3]]/Table1[[#This Row],[Size (2019 Revenue)]]&gt;k_rev_max,"Y","N"),"NA")</f>
        <v>#ERROR!</v>
      </c>
      <c r="H29" s="63" t="str">
        <f>IF(OR(Table1[[#This Row],[Net earnings post carbon price @85/t]]="Y",Table1[[#This Row],[Carbon costs in % revenue]] = "Y"),"Y",IF(OR(Table1[[#This Row],[Net earnings post carbon price @85/t]]="NA",Table1[[#This Row],[Carbon costs in % revenue]]="NA"),"NA","N"))</f>
        <v>#ERROR!</v>
      </c>
      <c r="I29" s="231">
        <v>1.8171E10</v>
      </c>
      <c r="J29" s="232">
        <v>1998.0</v>
      </c>
      <c r="K29" s="231" t="s">
        <v>1498</v>
      </c>
      <c r="L29" s="1" t="s">
        <v>1499</v>
      </c>
      <c r="M29" s="1" t="s">
        <v>1499</v>
      </c>
      <c r="P29" s="1" t="s">
        <v>1499</v>
      </c>
      <c r="Q29" s="1" t="s">
        <v>1499</v>
      </c>
      <c r="R29" s="1" t="s">
        <v>1498</v>
      </c>
      <c r="S29" s="1">
        <v>2020.0</v>
      </c>
      <c r="T29" s="219" t="str">
        <f>IFERROR((Table1[[#This Row],[2019 Total Scope 1, 2 + 3]])/Table1[[#This Row],[2018 Total Scope 1, 2 + Scope 3]]-1,"NA")</f>
        <v>#ERROR!</v>
      </c>
      <c r="V29" s="234">
        <v>23289.0</v>
      </c>
      <c r="W29" s="234">
        <v>593611.0</v>
      </c>
      <c r="X29" s="234">
        <v>0.0</v>
      </c>
      <c r="Y29" s="234">
        <f t="shared" si="1"/>
        <v>616900</v>
      </c>
      <c r="Z29" s="234">
        <f>3057.83+365372.29+170626.34+126229+82627.85</f>
        <v>747913.31</v>
      </c>
      <c r="AA29" s="234">
        <f t="shared" si="2"/>
        <v>1364813.31</v>
      </c>
      <c r="AB29" s="234">
        <v>24132.0</v>
      </c>
      <c r="AC29" s="234">
        <v>623233.0</v>
      </c>
      <c r="AD29" s="234">
        <v>0.0</v>
      </c>
      <c r="AE29" s="234">
        <f t="shared" si="3"/>
        <v>647365</v>
      </c>
      <c r="AF29" s="234">
        <f>4090.86+284991.97+187586+149815+86948.67+9990000</f>
        <v>10703432.5</v>
      </c>
      <c r="AG29" s="234">
        <f t="shared" si="4"/>
        <v>11350797.5</v>
      </c>
      <c r="AH29" s="234">
        <v>20951.0</v>
      </c>
      <c r="AI29" s="234">
        <v>677636.0</v>
      </c>
      <c r="AJ29" s="234">
        <v>0.0</v>
      </c>
      <c r="AK29" s="234">
        <f t="shared" si="5"/>
        <v>698587</v>
      </c>
      <c r="AL29" s="234">
        <f>4245.09+227593.23+196748.31+151321+90709.34+18100000</f>
        <v>18770616.97</v>
      </c>
      <c r="AM29" s="234">
        <f t="shared" si="6"/>
        <v>19469203.97</v>
      </c>
      <c r="AN29" s="234">
        <v>23141.0</v>
      </c>
      <c r="AO29" s="234">
        <v>747748.0</v>
      </c>
      <c r="AP29" s="234">
        <v>0.0</v>
      </c>
      <c r="AQ29" s="234">
        <f t="shared" si="7"/>
        <v>770889</v>
      </c>
      <c r="AR29" s="234">
        <f>22105+210958+137860+95034+7760665</f>
        <v>8226622</v>
      </c>
      <c r="AS29" s="234">
        <f t="shared" si="8"/>
        <v>8997511</v>
      </c>
      <c r="AT29" s="234">
        <v>25742.0</v>
      </c>
      <c r="AU29" s="234">
        <v>789002.0</v>
      </c>
      <c r="AV29" s="234">
        <v>0.0</v>
      </c>
      <c r="AW29" s="234">
        <f t="shared" si="9"/>
        <v>814744</v>
      </c>
      <c r="AX29" s="234">
        <f>28214+111292+9600000</f>
        <v>9739506</v>
      </c>
      <c r="AY29" s="234">
        <f t="shared" si="10"/>
        <v>10554250</v>
      </c>
      <c r="AZ29" s="1" t="s">
        <v>1498</v>
      </c>
      <c r="BA29" s="238" t="s">
        <v>1546</v>
      </c>
      <c r="BB29" s="203" t="s">
        <v>1547</v>
      </c>
      <c r="BD29" s="236"/>
    </row>
    <row r="30" ht="12.75" customHeight="1">
      <c r="A30" s="203" t="s">
        <v>156</v>
      </c>
      <c r="B30" s="203" t="s">
        <v>157</v>
      </c>
      <c r="C30" s="203" t="s">
        <v>1306</v>
      </c>
      <c r="D30" s="203" t="s">
        <v>1548</v>
      </c>
      <c r="E30" s="231">
        <v>3.7266E10</v>
      </c>
      <c r="F30" s="231" t="str">
        <f>IF(ISNUMBER(Table1[[#This Row],[2019 Scope 3 ]]),IF(Table1[[#This Row],[Net Earnings/Income (2019)]]-k_cost*Table1[[#This Row],[2019 Total Scope 1, 2 + 3]]&lt;0,"Y","N"),"NA")</f>
        <v>#ERROR!</v>
      </c>
      <c r="G30" s="63" t="str">
        <f>IF(ISNUMBER(Table1[[#This Row],[2019 Scope 3 ]]),IF(k_cost*Table1[[#This Row],[2019 Total Scope 1, 2 + 3]]/Table1[[#This Row],[Size (2019 Revenue)]]&gt;k_rev_max,"Y","N"),"NA")</f>
        <v>#ERROR!</v>
      </c>
      <c r="H30" s="63" t="str">
        <f>IF(OR(Table1[[#This Row],[Net earnings post carbon price @85/t]]="Y",Table1[[#This Row],[Carbon costs in % revenue]] = "Y"),"Y",IF(OR(Table1[[#This Row],[Net earnings post carbon price @85/t]]="NA",Table1[[#This Row],[Carbon costs in % revenue]]="NA"),"NA","N"))</f>
        <v>#ERROR!</v>
      </c>
      <c r="I30" s="231">
        <v>3.864E10</v>
      </c>
      <c r="J30" s="232">
        <v>1892.0</v>
      </c>
      <c r="K30" s="231" t="s">
        <v>1498</v>
      </c>
      <c r="L30" s="1" t="s">
        <v>1499</v>
      </c>
      <c r="M30" s="1" t="s">
        <v>1498</v>
      </c>
      <c r="P30" s="233">
        <v>4125000.0</v>
      </c>
      <c r="Q30" s="1" t="s">
        <v>1499</v>
      </c>
      <c r="R30" s="1" t="s">
        <v>1499</v>
      </c>
      <c r="S30" s="1" t="s">
        <v>1499</v>
      </c>
      <c r="T30" s="219" t="str">
        <f>IFERROR((Table1[[#This Row],[2019 Total Scope 1, 2 + 3]])/Table1[[#This Row],[2018 Total Scope 1, 2 + Scope 3]]-1,"NA")</f>
        <v>#ERROR!</v>
      </c>
      <c r="V30" s="234">
        <v>1830000.0</v>
      </c>
      <c r="W30" s="234">
        <v>3730000.0</v>
      </c>
      <c r="X30" s="234">
        <v>0.0</v>
      </c>
      <c r="Y30" s="234">
        <f t="shared" si="1"/>
        <v>5560000</v>
      </c>
      <c r="Z30" s="234" t="s">
        <v>536</v>
      </c>
      <c r="AA30" s="234" t="str">
        <f t="shared" si="2"/>
        <v/>
      </c>
      <c r="AB30" s="234">
        <v>1790000.0</v>
      </c>
      <c r="AC30" s="234">
        <v>3760000.0</v>
      </c>
      <c r="AD30" s="234">
        <v>0.0</v>
      </c>
      <c r="AE30" s="234">
        <f t="shared" si="3"/>
        <v>5550000</v>
      </c>
      <c r="AF30" s="234" t="s">
        <v>536</v>
      </c>
      <c r="AG30" s="234" t="str">
        <f t="shared" si="4"/>
        <v/>
      </c>
      <c r="AH30" s="234">
        <v>1780000.0</v>
      </c>
      <c r="AI30" s="234">
        <v>3760000.0</v>
      </c>
      <c r="AJ30" s="234">
        <v>0.0</v>
      </c>
      <c r="AK30" s="234">
        <f t="shared" si="5"/>
        <v>5540000</v>
      </c>
      <c r="AL30" s="234" t="s">
        <v>536</v>
      </c>
      <c r="AM30" s="234" t="str">
        <f t="shared" si="6"/>
        <v/>
      </c>
      <c r="AN30" s="234">
        <v>1600000.0</v>
      </c>
      <c r="AO30" s="234">
        <v>3800000.0</v>
      </c>
      <c r="AP30" s="234">
        <v>0.0</v>
      </c>
      <c r="AQ30" s="234">
        <f t="shared" si="7"/>
        <v>5400000</v>
      </c>
      <c r="AR30" s="234" t="s">
        <v>536</v>
      </c>
      <c r="AS30" s="234" t="str">
        <f t="shared" si="8"/>
        <v/>
      </c>
      <c r="AT30" s="234">
        <v>1700000.0</v>
      </c>
      <c r="AU30" s="234">
        <v>3800000.0</v>
      </c>
      <c r="AV30" s="234">
        <v>0.0</v>
      </c>
      <c r="AW30" s="234">
        <f t="shared" si="9"/>
        <v>5500000</v>
      </c>
      <c r="AX30" s="234" t="s">
        <v>536</v>
      </c>
      <c r="AY30" s="234" t="str">
        <f t="shared" si="10"/>
        <v/>
      </c>
      <c r="AZ30" s="1" t="s">
        <v>1498</v>
      </c>
      <c r="BA30" s="235" t="s">
        <v>1549</v>
      </c>
      <c r="BD30" s="236"/>
    </row>
    <row r="31" ht="12.75" customHeight="1">
      <c r="A31" s="244" t="s">
        <v>162</v>
      </c>
      <c r="B31" s="203" t="s">
        <v>162</v>
      </c>
      <c r="C31" s="203" t="s">
        <v>1306</v>
      </c>
      <c r="D31" s="203" t="s">
        <v>1550</v>
      </c>
      <c r="E31" s="231">
        <v>1.5693E10</v>
      </c>
      <c r="F31" s="231" t="str">
        <f>IF(ISNUMBER(Table1[[#This Row],[2019 Scope 3 ]]),IF(Table1[[#This Row],[Net Earnings/Income (2019)]]-k_cost*Table1[[#This Row],[2019 Total Scope 1, 2 + 3]]&lt;0,"Y","N"),"NA")</f>
        <v>#ERROR!</v>
      </c>
      <c r="G31" s="63" t="str">
        <f>IF(ISNUMBER(Table1[[#This Row],[2019 Scope 3 ]]),IF(k_cost*Table1[[#This Row],[2019 Total Scope 1, 2 + 3]]/Table1[[#This Row],[Size (2019 Revenue)]]&gt;k_rev_max,"Y","N"),"NA")</f>
        <v>#ERROR!</v>
      </c>
      <c r="H31" s="63" t="str">
        <f>IF(OR(Table1[[#This Row],[Net earnings post carbon price @85/t]]="Y",Table1[[#This Row],[Carbon costs in % revenue]] = "Y"),"Y",IF(OR(Table1[[#This Row],[Net earnings post carbon price @85/t]]="NA",Table1[[#This Row],[Carbon costs in % revenue]]="NA"),"NA","N"))</f>
        <v>#ERROR!</v>
      </c>
      <c r="I31" s="231">
        <v>2.367E9</v>
      </c>
      <c r="J31" s="232">
        <v>1806.0</v>
      </c>
      <c r="K31" s="231" t="s">
        <v>1498</v>
      </c>
      <c r="L31" s="1" t="s">
        <v>1499</v>
      </c>
      <c r="M31" s="1" t="s">
        <v>1498</v>
      </c>
      <c r="P31" s="233">
        <v>525000.0</v>
      </c>
      <c r="Q31" s="1" t="s">
        <v>1499</v>
      </c>
      <c r="R31" s="1" t="s">
        <v>1499</v>
      </c>
      <c r="S31" s="1" t="s">
        <v>1499</v>
      </c>
      <c r="T31" s="219" t="str">
        <f>IFERROR((Table1[[#This Row],[2019 Total Scope 1, 2 + 3]])/Table1[[#This Row],[2018 Total Scope 1, 2 + Scope 3]]-1,"NA")</f>
        <v>#ERROR!</v>
      </c>
      <c r="V31" s="234">
        <v>191000.0</v>
      </c>
      <c r="W31" s="234">
        <v>283000.0</v>
      </c>
      <c r="X31" s="234">
        <v>0.0</v>
      </c>
      <c r="Y31" s="234">
        <f t="shared" si="1"/>
        <v>474000</v>
      </c>
      <c r="Z31" s="234">
        <v>4.868E7</v>
      </c>
      <c r="AA31" s="234">
        <f t="shared" si="2"/>
        <v>49154000</v>
      </c>
      <c r="AB31" s="234">
        <v>190000.0</v>
      </c>
      <c r="AC31" s="234">
        <v>302000.0</v>
      </c>
      <c r="AD31" s="234">
        <v>0.0</v>
      </c>
      <c r="AE31" s="234">
        <f t="shared" si="3"/>
        <v>492000</v>
      </c>
      <c r="AF31" s="234">
        <v>4.8299E7</v>
      </c>
      <c r="AG31" s="234">
        <f t="shared" si="4"/>
        <v>48791000</v>
      </c>
      <c r="AH31" s="234">
        <v>195000.0</v>
      </c>
      <c r="AI31" s="234">
        <v>316000.0</v>
      </c>
      <c r="AJ31" s="234">
        <v>0.0</v>
      </c>
      <c r="AK31" s="234">
        <f t="shared" si="5"/>
        <v>511000</v>
      </c>
      <c r="AL31" s="234">
        <v>5.157E7</v>
      </c>
      <c r="AM31" s="234">
        <f t="shared" si="6"/>
        <v>52081000</v>
      </c>
      <c r="AN31" s="234">
        <v>203000.0</v>
      </c>
      <c r="AO31" s="234">
        <v>324000.0</v>
      </c>
      <c r="AP31" s="234">
        <v>0.0</v>
      </c>
      <c r="AQ31" s="234">
        <f t="shared" si="7"/>
        <v>527000</v>
      </c>
      <c r="AR31" s="234">
        <v>5.471E7</v>
      </c>
      <c r="AS31" s="234">
        <f t="shared" si="8"/>
        <v>55237000</v>
      </c>
      <c r="AT31" s="234">
        <v>203000.0</v>
      </c>
      <c r="AU31" s="234">
        <v>389000.0</v>
      </c>
      <c r="AV31" s="234">
        <v>0.0</v>
      </c>
      <c r="AW31" s="234">
        <f t="shared" si="9"/>
        <v>592000</v>
      </c>
      <c r="AX31" s="234">
        <v>5.4155E7</v>
      </c>
      <c r="AY31" s="234">
        <f t="shared" si="10"/>
        <v>54747000</v>
      </c>
      <c r="AZ31" s="1" t="s">
        <v>1499</v>
      </c>
      <c r="BA31" s="235" t="s">
        <v>1551</v>
      </c>
      <c r="BD31" s="236"/>
    </row>
    <row r="32" ht="12.75" customHeight="1">
      <c r="A32" s="244" t="s">
        <v>167</v>
      </c>
      <c r="B32" s="203" t="s">
        <v>167</v>
      </c>
      <c r="C32" s="1" t="s">
        <v>1302</v>
      </c>
      <c r="D32" s="203" t="s">
        <v>1541</v>
      </c>
      <c r="E32" s="231">
        <v>1.08942E11</v>
      </c>
      <c r="F32" s="231" t="str">
        <f>IF(ISNUMBER(Table1[[#This Row],[2019 Scope 3 ]]),IF(Table1[[#This Row],[Net Earnings/Income (2019)]]-k_cost*Table1[[#This Row],[2019 Total Scope 1, 2 + 3]]&lt;0,"Y","N"),"NA")</f>
        <v>#ERROR!</v>
      </c>
      <c r="G32" s="63" t="str">
        <f>IF(ISNUMBER(Table1[[#This Row],[2019 Scope 3 ]]),IF(k_cost*Table1[[#This Row],[2019 Total Scope 1, 2 + 3]]/Table1[[#This Row],[Size (2019 Revenue)]]&gt;k_rev_max,"Y","N"),"NA")</f>
        <v>#ERROR!</v>
      </c>
      <c r="H32" s="63" t="str">
        <f>IF(OR(Table1[[#This Row],[Net earnings post carbon price @85/t]]="Y",Table1[[#This Row],[Carbon costs in % revenue]] = "Y"),"Y",IF(OR(Table1[[#This Row],[Net earnings post carbon price @85/t]]="NA",Table1[[#This Row],[Carbon costs in % revenue]]="NA"),"NA","N"))</f>
        <v>#ERROR!</v>
      </c>
      <c r="I32" s="231">
        <v>1.3057E10</v>
      </c>
      <c r="J32" s="232">
        <v>1963.0</v>
      </c>
      <c r="K32" s="231" t="s">
        <v>1498</v>
      </c>
      <c r="L32" s="1" t="s">
        <v>1499</v>
      </c>
      <c r="M32" s="1" t="s">
        <v>1499</v>
      </c>
      <c r="P32" s="1" t="s">
        <v>1499</v>
      </c>
      <c r="Q32" s="1" t="s">
        <v>1499</v>
      </c>
      <c r="R32" s="1" t="s">
        <v>1499</v>
      </c>
      <c r="S32" s="1" t="s">
        <v>1499</v>
      </c>
      <c r="T32" s="219" t="str">
        <f>IFERROR((Table1[[#This Row],[2019 Total Scope 1, 2 + 3]])/Table1[[#This Row],[2018 Total Scope 1, 2 + Scope 3]]-1,"NA")</f>
        <v>#ERROR!</v>
      </c>
      <c r="V32" s="234">
        <v>498455.0</v>
      </c>
      <c r="W32" s="234">
        <v>1496771.0</v>
      </c>
      <c r="X32" s="234"/>
      <c r="Y32" s="234">
        <f t="shared" si="1"/>
        <v>1995226</v>
      </c>
      <c r="Z32" s="234" t="s">
        <v>536</v>
      </c>
      <c r="AA32" s="234" t="str">
        <f t="shared" si="2"/>
        <v/>
      </c>
      <c r="AB32" s="234">
        <v>505483.0</v>
      </c>
      <c r="AC32" s="234">
        <v>1458463.0</v>
      </c>
      <c r="AD32" s="234"/>
      <c r="AE32" s="234">
        <f t="shared" si="3"/>
        <v>1963946</v>
      </c>
      <c r="AF32" s="234" t="s">
        <v>536</v>
      </c>
      <c r="AG32" s="234" t="str">
        <f t="shared" si="4"/>
        <v/>
      </c>
      <c r="AH32" s="234">
        <v>513316.0</v>
      </c>
      <c r="AI32" s="234">
        <v>1491298.0</v>
      </c>
      <c r="AJ32" s="234"/>
      <c r="AK32" s="234">
        <f t="shared" si="5"/>
        <v>2004614</v>
      </c>
      <c r="AL32" s="234" t="s">
        <v>536</v>
      </c>
      <c r="AM32" s="234" t="str">
        <f t="shared" si="6"/>
        <v/>
      </c>
      <c r="AN32" s="234">
        <v>364556.0</v>
      </c>
      <c r="AO32" s="234">
        <v>1380854.0</v>
      </c>
      <c r="AP32" s="234"/>
      <c r="AQ32" s="234">
        <f t="shared" si="7"/>
        <v>1745410</v>
      </c>
      <c r="AR32" s="234" t="s">
        <v>536</v>
      </c>
      <c r="AS32" s="234" t="str">
        <f t="shared" si="8"/>
        <v/>
      </c>
      <c r="AT32" s="234" t="s">
        <v>536</v>
      </c>
      <c r="AU32" s="234" t="s">
        <v>536</v>
      </c>
      <c r="AV32" s="234"/>
      <c r="AW32" s="234" t="str">
        <f t="shared" si="9"/>
        <v/>
      </c>
      <c r="AX32" s="234" t="s">
        <v>536</v>
      </c>
      <c r="AY32" s="234" t="str">
        <f t="shared" si="10"/>
        <v/>
      </c>
      <c r="AZ32" s="1" t="s">
        <v>1499</v>
      </c>
      <c r="BA32" s="235" t="s">
        <v>1552</v>
      </c>
      <c r="BB32" s="235" t="s">
        <v>1553</v>
      </c>
      <c r="BD32" s="236"/>
    </row>
    <row r="33" ht="12.75" customHeight="1">
      <c r="A33" s="244" t="s">
        <v>172</v>
      </c>
      <c r="B33" s="244" t="s">
        <v>172</v>
      </c>
      <c r="C33" s="244" t="s">
        <v>1350</v>
      </c>
      <c r="D33" s="203" t="s">
        <v>1542</v>
      </c>
      <c r="E33" s="231">
        <v>3.667E10</v>
      </c>
      <c r="F33" s="231" t="str">
        <f>IF(ISNUMBER(Table1[[#This Row],[2019 Scope 3 ]]),IF(Table1[[#This Row],[Net Earnings/Income (2019)]]-k_cost*Table1[[#This Row],[2019 Total Scope 1, 2 + 3]]&lt;0,"Y","N"),"NA")</f>
        <v>#ERROR!</v>
      </c>
      <c r="G33" s="63" t="str">
        <f>IF(ISNUMBER(Table1[[#This Row],[2019 Scope 3 ]]),IF(k_cost*Table1[[#This Row],[2019 Total Scope 1, 2 + 3]]/Table1[[#This Row],[Size (2019 Revenue)]]&gt;k_rev_max,"Y","N"),"NA")</f>
        <v>#ERROR!</v>
      </c>
      <c r="H33" s="63" t="str">
        <f>IF(OR(Table1[[#This Row],[Net earnings post carbon price @85/t]]="Y",Table1[[#This Row],[Carbon costs in % revenue]] = "Y"),"Y",IF(OR(Table1[[#This Row],[Net earnings post carbon price @85/t]]="NA",Table1[[#This Row],[Carbon costs in % revenue]]="NA"),"NA","N"))</f>
        <v>#ERROR!</v>
      </c>
      <c r="I33" s="231">
        <v>7.189E9</v>
      </c>
      <c r="J33" s="232">
        <v>1875.0</v>
      </c>
      <c r="K33" s="231" t="s">
        <v>1498</v>
      </c>
      <c r="L33" s="203" t="s">
        <v>1498</v>
      </c>
      <c r="M33" s="1" t="s">
        <v>1499</v>
      </c>
      <c r="N33" s="1">
        <v>2050.0</v>
      </c>
      <c r="O33" s="1">
        <v>2020.0</v>
      </c>
      <c r="P33" s="1" t="s">
        <v>1499</v>
      </c>
      <c r="Q33" s="1" t="s">
        <v>1499</v>
      </c>
      <c r="R33" s="1" t="s">
        <v>1499</v>
      </c>
      <c r="S33" s="1" t="s">
        <v>1499</v>
      </c>
      <c r="T33" s="219" t="str">
        <f>IFERROR((Table1[[#This Row],[2019 Total Scope 1, 2 + 3]])/Table1[[#This Row],[2018 Total Scope 1, 2 + Scope 3]]-1,"NA")</f>
        <v>#ERROR!</v>
      </c>
      <c r="V33" s="234">
        <v>1.95E7</v>
      </c>
      <c r="W33" s="234">
        <v>1000000.0</v>
      </c>
      <c r="X33" s="234">
        <v>0.0</v>
      </c>
      <c r="Y33" s="234">
        <f t="shared" si="1"/>
        <v>20500000</v>
      </c>
      <c r="Z33" s="234">
        <v>1.734E8</v>
      </c>
      <c r="AA33" s="234">
        <f t="shared" si="2"/>
        <v>193900000</v>
      </c>
      <c r="AB33" s="234">
        <v>1.97E7</v>
      </c>
      <c r="AC33" s="234">
        <v>1100000.0</v>
      </c>
      <c r="AD33" s="234">
        <v>0.0</v>
      </c>
      <c r="AE33" s="234">
        <f t="shared" si="3"/>
        <v>20800000</v>
      </c>
      <c r="AF33" s="234">
        <f>Z33/1.09</f>
        <v>159082568.8</v>
      </c>
      <c r="AG33" s="234">
        <f t="shared" si="4"/>
        <v>179882568.8</v>
      </c>
      <c r="AH33" s="234">
        <v>1.97E7</v>
      </c>
      <c r="AI33" s="234">
        <v>1200000.0</v>
      </c>
      <c r="AJ33" s="234">
        <v>0.0</v>
      </c>
      <c r="AK33" s="234">
        <f t="shared" si="5"/>
        <v>20900000</v>
      </c>
      <c r="AL33" s="234" t="s">
        <v>536</v>
      </c>
      <c r="AM33" s="234" t="str">
        <f t="shared" si="6"/>
        <v/>
      </c>
      <c r="AN33" s="234">
        <v>2.53E7</v>
      </c>
      <c r="AO33" s="234">
        <v>1500000.0</v>
      </c>
      <c r="AP33" s="234">
        <v>0.0</v>
      </c>
      <c r="AQ33" s="234">
        <f t="shared" si="7"/>
        <v>26800000</v>
      </c>
      <c r="AR33" s="234" t="s">
        <v>536</v>
      </c>
      <c r="AS33" s="234" t="str">
        <f t="shared" si="8"/>
        <v/>
      </c>
      <c r="AT33" s="234">
        <v>2.48E7</v>
      </c>
      <c r="AU33" s="234">
        <v>1300000.0</v>
      </c>
      <c r="AV33" s="234">
        <v>0.0</v>
      </c>
      <c r="AW33" s="234">
        <f t="shared" si="9"/>
        <v>26100000</v>
      </c>
      <c r="AX33" s="234" t="s">
        <v>536</v>
      </c>
      <c r="AY33" s="234" t="str">
        <f t="shared" si="10"/>
        <v/>
      </c>
      <c r="AZ33" s="1" t="s">
        <v>1498</v>
      </c>
      <c r="BA33" s="235" t="s">
        <v>1554</v>
      </c>
      <c r="BB33" s="238" t="s">
        <v>1555</v>
      </c>
      <c r="BD33" s="236"/>
    </row>
    <row r="34" ht="12.75" customHeight="1">
      <c r="A34" s="244" t="s">
        <v>177</v>
      </c>
      <c r="B34" s="203" t="s">
        <v>177</v>
      </c>
      <c r="C34" s="203" t="s">
        <v>1306</v>
      </c>
      <c r="D34" s="203" t="s">
        <v>962</v>
      </c>
      <c r="E34" s="231">
        <v>1.52703E11</v>
      </c>
      <c r="F34" s="231" t="str">
        <f>IF(ISNUMBER(Table1[[#This Row],[2019 Scope 3 ]]),IF(Table1[[#This Row],[Net Earnings/Income (2019)]]-k_cost*Table1[[#This Row],[2019 Total Scope 1, 2 + 3]]&lt;0,"Y","N"),"NA")</f>
        <v>#ERROR!</v>
      </c>
      <c r="G34" s="63" t="str">
        <f>IF(ISNUMBER(Table1[[#This Row],[2019 Scope 3 ]]),IF(k_cost*Table1[[#This Row],[2019 Total Scope 1, 2 + 3]]/Table1[[#This Row],[Size (2019 Revenue)]]&gt;k_rev_max,"Y","N"),"NA")</f>
        <v>#ERROR!</v>
      </c>
      <c r="H34" s="63" t="str">
        <f>IF(OR(Table1[[#This Row],[Net earnings post carbon price @85/t]]="Y",Table1[[#This Row],[Carbon costs in % revenue]] = "Y"),"Y",IF(OR(Table1[[#This Row],[Net earnings post carbon price @85/t]]="NA",Table1[[#This Row],[Carbon costs in % revenue]]="NA"),"NA","N"))</f>
        <v>#ERROR!</v>
      </c>
      <c r="I34" s="231">
        <v>3.659E9</v>
      </c>
      <c r="J34" s="232">
        <v>1976.0</v>
      </c>
      <c r="K34" s="231" t="s">
        <v>1498</v>
      </c>
      <c r="L34" s="1" t="s">
        <v>1499</v>
      </c>
      <c r="M34" s="1" t="s">
        <v>1499</v>
      </c>
      <c r="P34" s="1" t="s">
        <v>1499</v>
      </c>
      <c r="Q34" s="1" t="s">
        <v>1499</v>
      </c>
      <c r="R34" s="1" t="s">
        <v>1499</v>
      </c>
      <c r="S34" s="1" t="s">
        <v>1499</v>
      </c>
      <c r="T34" s="219" t="str">
        <f>IFERROR((Table1[[#This Row],[2019 Total Scope 1, 2 + 3]])/Table1[[#This Row],[2018 Total Scope 1, 2 + Scope 3]]-1,"NA")</f>
        <v>#ERROR!</v>
      </c>
      <c r="V34" s="234">
        <v>1108562.25</v>
      </c>
      <c r="W34" s="234">
        <v>1473874.16</v>
      </c>
      <c r="X34" s="234"/>
      <c r="Y34" s="234">
        <f t="shared" si="1"/>
        <v>2582436.41</v>
      </c>
      <c r="Z34" s="234" t="s">
        <v>536</v>
      </c>
      <c r="AA34" s="234" t="str">
        <f t="shared" si="2"/>
        <v/>
      </c>
      <c r="AB34" s="234">
        <v>1114966.57</v>
      </c>
      <c r="AC34" s="234">
        <v>1393452.84</v>
      </c>
      <c r="AD34" s="234"/>
      <c r="AE34" s="234">
        <f t="shared" si="3"/>
        <v>2508419.41</v>
      </c>
      <c r="AF34" s="234" t="s">
        <v>536</v>
      </c>
      <c r="AG34" s="234" t="str">
        <f t="shared" si="4"/>
        <v/>
      </c>
      <c r="AH34" s="234">
        <v>970138.0</v>
      </c>
      <c r="AI34" s="234">
        <v>1388491.0</v>
      </c>
      <c r="AJ34" s="234"/>
      <c r="AK34" s="234">
        <f t="shared" si="5"/>
        <v>2358629</v>
      </c>
      <c r="AL34" s="234" t="s">
        <v>536</v>
      </c>
      <c r="AM34" s="234" t="str">
        <f t="shared" si="6"/>
        <v/>
      </c>
      <c r="AN34" s="234">
        <v>785682.0</v>
      </c>
      <c r="AO34" s="234">
        <v>1315361.0</v>
      </c>
      <c r="AP34" s="234"/>
      <c r="AQ34" s="234">
        <f t="shared" si="7"/>
        <v>2101043</v>
      </c>
      <c r="AR34" s="234" t="s">
        <v>536</v>
      </c>
      <c r="AS34" s="234" t="str">
        <f t="shared" si="8"/>
        <v/>
      </c>
      <c r="AT34" s="234">
        <v>636727.0</v>
      </c>
      <c r="AU34" s="234">
        <v>1236737.0</v>
      </c>
      <c r="AV34" s="234"/>
      <c r="AW34" s="234">
        <f t="shared" si="9"/>
        <v>1873464</v>
      </c>
      <c r="AX34" s="234" t="s">
        <v>536</v>
      </c>
      <c r="AY34" s="234" t="str">
        <f t="shared" si="10"/>
        <v/>
      </c>
      <c r="AZ34" s="1" t="s">
        <v>1499</v>
      </c>
      <c r="BA34" s="235" t="s">
        <v>1556</v>
      </c>
      <c r="BB34" s="235" t="s">
        <v>1557</v>
      </c>
      <c r="BD34" s="236"/>
    </row>
    <row r="35" ht="12.75" customHeight="1">
      <c r="A35" s="203" t="s">
        <v>182</v>
      </c>
      <c r="B35" s="203" t="s">
        <v>183</v>
      </c>
      <c r="C35" s="203" t="s">
        <v>1283</v>
      </c>
      <c r="D35" s="203" t="s">
        <v>962</v>
      </c>
      <c r="E35" s="231">
        <v>2.56776E11</v>
      </c>
      <c r="F35" s="231" t="str">
        <f>IF(ISNUMBER(Table1[[#This Row],[2019 Scope 3 ]]),IF(Table1[[#This Row],[Net Earnings/Income (2019)]]-k_cost*Table1[[#This Row],[2019 Total Scope 1, 2 + 3]]&lt;0,"Y","N"),"NA")</f>
        <v>#ERROR!</v>
      </c>
      <c r="G35" s="63" t="str">
        <f>IF(ISNUMBER(Table1[[#This Row],[2019 Scope 3 ]]),IF(k_cost*Table1[[#This Row],[2019 Total Scope 1, 2 + 3]]/Table1[[#This Row],[Size (2019 Revenue)]]&gt;k_rev_max,"Y","N"),"NA")</f>
        <v>#ERROR!</v>
      </c>
      <c r="H35" s="63" t="str">
        <f>IF(OR(Table1[[#This Row],[Net earnings post carbon price @85/t]]="Y",Table1[[#This Row],[Carbon costs in % revenue]] = "Y"),"Y",IF(OR(Table1[[#This Row],[Net earnings post carbon price @85/t]]="NA",Table1[[#This Row],[Carbon costs in % revenue]]="NA"),"NA","N"))</f>
        <v>#ERROR!</v>
      </c>
      <c r="I35" s="231">
        <v>6.634E9</v>
      </c>
      <c r="J35" s="232">
        <v>1963.0</v>
      </c>
      <c r="K35" s="231" t="s">
        <v>1498</v>
      </c>
      <c r="L35" s="1" t="s">
        <v>1499</v>
      </c>
      <c r="M35" s="1" t="s">
        <v>1498</v>
      </c>
      <c r="P35" s="1" t="s">
        <v>1499</v>
      </c>
      <c r="Q35" s="1" t="s">
        <v>1499</v>
      </c>
      <c r="R35" s="1" t="s">
        <v>1499</v>
      </c>
      <c r="S35" s="1" t="s">
        <v>1499</v>
      </c>
      <c r="T35" s="219" t="str">
        <f>IFERROR((Table1[[#This Row],[2019 Total Scope 1, 2 + 3]])/Table1[[#This Row],[2018 Total Scope 1, 2 + Scope 3]]-1,"NA")</f>
        <v>#ERROR!</v>
      </c>
      <c r="V35" s="234">
        <v>157114.0</v>
      </c>
      <c r="W35" s="234">
        <v>1024682.0</v>
      </c>
      <c r="X35" s="234">
        <v>0.0</v>
      </c>
      <c r="Y35" s="234">
        <f t="shared" si="1"/>
        <v>1181796</v>
      </c>
      <c r="Z35" s="234">
        <f>14584739.12+1011729.83+51656.89+35236.88+106796.09+20400+46624.82</f>
        <v>15857183.63</v>
      </c>
      <c r="AA35" s="234">
        <f t="shared" si="2"/>
        <v>17038979.63</v>
      </c>
      <c r="AB35" s="234">
        <v>177347.0</v>
      </c>
      <c r="AC35" s="234">
        <v>1096724.0</v>
      </c>
      <c r="AD35" s="234">
        <v>0.0</v>
      </c>
      <c r="AE35" s="234">
        <f t="shared" si="3"/>
        <v>1274071</v>
      </c>
      <c r="AF35" s="234">
        <f>10986342.63+1091380.21+51836.83+31736+35855.55+20400+53932.12</f>
        <v>12271483.34</v>
      </c>
      <c r="AG35" s="234">
        <f t="shared" si="4"/>
        <v>13545554.34</v>
      </c>
      <c r="AH35" s="234">
        <v>206086.0</v>
      </c>
      <c r="AI35" s="234">
        <v>1131013.0</v>
      </c>
      <c r="AJ35" s="234">
        <v>0.0</v>
      </c>
      <c r="AK35" s="234">
        <f t="shared" si="5"/>
        <v>1337099</v>
      </c>
      <c r="AL35" s="234">
        <f>2400000+97000+31736+36636+53469</f>
        <v>2618841</v>
      </c>
      <c r="AM35" s="234">
        <f t="shared" si="6"/>
        <v>3955940</v>
      </c>
      <c r="AN35" s="234">
        <v>198055.0</v>
      </c>
      <c r="AO35" s="234">
        <v>1265480.0</v>
      </c>
      <c r="AP35" s="234"/>
      <c r="AQ35" s="234">
        <f t="shared" si="7"/>
        <v>1463535</v>
      </c>
      <c r="AR35" s="234">
        <f>2400000+119000+40280+50310</f>
        <v>2609590</v>
      </c>
      <c r="AS35" s="234">
        <f t="shared" si="8"/>
        <v>4073125</v>
      </c>
      <c r="AT35" s="234">
        <v>214156.0</v>
      </c>
      <c r="AU35" s="234">
        <v>1378660.0</v>
      </c>
      <c r="AV35" s="234"/>
      <c r="AW35" s="234">
        <f t="shared" si="9"/>
        <v>1592816</v>
      </c>
      <c r="AX35" s="234" t="s">
        <v>536</v>
      </c>
      <c r="AY35" s="234" t="str">
        <f t="shared" si="10"/>
        <v/>
      </c>
      <c r="AZ35" s="1" t="s">
        <v>1499</v>
      </c>
      <c r="BA35" s="235" t="s">
        <v>1558</v>
      </c>
      <c r="BD35" s="236"/>
    </row>
    <row r="36" ht="12.75" customHeight="1">
      <c r="A36" s="203" t="s">
        <v>188</v>
      </c>
      <c r="B36" s="203" t="s">
        <v>188</v>
      </c>
      <c r="C36" s="203" t="s">
        <v>1283</v>
      </c>
      <c r="D36" s="203" t="s">
        <v>1559</v>
      </c>
      <c r="E36" s="231">
        <v>1.791E10</v>
      </c>
      <c r="F36" s="231" t="str">
        <f>IF(ISNUMBER(Table1[[#This Row],[2019 Scope 3 ]]),IF(Table1[[#This Row],[Net Earnings/Income (2019)]]-k_cost*Table1[[#This Row],[2019 Total Scope 1, 2 + 3]]&lt;0,"Y","N"),"NA")</f>
        <v>#ERROR!</v>
      </c>
      <c r="G36" s="63" t="str">
        <f>IF(ISNUMBER(Table1[[#This Row],[2019 Scope 3 ]]),IF(k_cost*Table1[[#This Row],[2019 Total Scope 1, 2 + 3]]/Table1[[#This Row],[Size (2019 Revenue)]]&gt;k_rev_max,"Y","N"),"NA")</f>
        <v>#ERROR!</v>
      </c>
      <c r="H36" s="63" t="str">
        <f>IF(OR(Table1[[#This Row],[Net earnings post carbon price @85/t]]="Y",Table1[[#This Row],[Carbon costs in % revenue]] = "Y"),"Y",IF(OR(Table1[[#This Row],[Net earnings post carbon price @85/t]]="NA",Table1[[#This Row],[Carbon costs in % revenue]]="NA"),"NA","N"))</f>
        <v>#ERROR!</v>
      </c>
      <c r="I36" s="231">
        <v>2.94E9</v>
      </c>
      <c r="J36" s="232">
        <v>1969.0</v>
      </c>
      <c r="K36" s="231" t="s">
        <v>1498</v>
      </c>
      <c r="L36" s="1" t="s">
        <v>1499</v>
      </c>
      <c r="M36" s="1" t="s">
        <v>1499</v>
      </c>
      <c r="P36" s="1" t="s">
        <v>1499</v>
      </c>
      <c r="Q36" s="1" t="s">
        <v>1499</v>
      </c>
      <c r="R36" s="1" t="s">
        <v>1499</v>
      </c>
      <c r="S36" s="1" t="s">
        <v>1499</v>
      </c>
      <c r="T36" s="219" t="str">
        <f>IFERROR((Table1[[#This Row],[2019 Total Scope 1, 2 + 3]])/Table1[[#This Row],[2018 Total Scope 1, 2 + Scope 3]]-1,"NA")</f>
        <v>#ERROR!</v>
      </c>
      <c r="V36" s="234" t="s">
        <v>536</v>
      </c>
      <c r="W36" s="234" t="s">
        <v>536</v>
      </c>
      <c r="X36" s="234"/>
      <c r="Y36" s="234" t="str">
        <f t="shared" si="1"/>
        <v/>
      </c>
      <c r="Z36" s="234" t="s">
        <v>536</v>
      </c>
      <c r="AA36" s="234" t="str">
        <f t="shared" si="2"/>
        <v/>
      </c>
      <c r="AB36" s="234">
        <f>7.13*E36/1000000</f>
        <v>127698.3</v>
      </c>
      <c r="AC36" s="234">
        <f>10.16*E36/1000000</f>
        <v>181965.6</v>
      </c>
      <c r="AD36" s="234">
        <v>0.0</v>
      </c>
      <c r="AE36" s="234">
        <f t="shared" si="3"/>
        <v>309663.9</v>
      </c>
      <c r="AF36" s="234" t="s">
        <v>536</v>
      </c>
      <c r="AG36" s="234" t="str">
        <f t="shared" si="4"/>
        <v/>
      </c>
      <c r="AH36" s="234" t="s">
        <v>536</v>
      </c>
      <c r="AI36" s="234" t="s">
        <v>536</v>
      </c>
      <c r="AJ36" s="234"/>
      <c r="AK36" s="234" t="str">
        <f t="shared" si="5"/>
        <v/>
      </c>
      <c r="AL36" s="234" t="s">
        <v>536</v>
      </c>
      <c r="AM36" s="234" t="str">
        <f t="shared" si="6"/>
        <v/>
      </c>
      <c r="AN36" s="234" t="s">
        <v>536</v>
      </c>
      <c r="AO36" s="234" t="s">
        <v>536</v>
      </c>
      <c r="AP36" s="234"/>
      <c r="AQ36" s="234" t="str">
        <f t="shared" si="7"/>
        <v/>
      </c>
      <c r="AR36" s="234" t="s">
        <v>536</v>
      </c>
      <c r="AS36" s="234" t="str">
        <f t="shared" si="8"/>
        <v/>
      </c>
      <c r="AT36" s="234" t="s">
        <v>536</v>
      </c>
      <c r="AU36" s="234" t="s">
        <v>536</v>
      </c>
      <c r="AV36" s="234"/>
      <c r="AW36" s="234" t="str">
        <f t="shared" si="9"/>
        <v/>
      </c>
      <c r="AX36" s="234" t="s">
        <v>536</v>
      </c>
      <c r="AY36" s="234" t="str">
        <f t="shared" si="10"/>
        <v/>
      </c>
      <c r="AZ36" s="1" t="s">
        <v>1499</v>
      </c>
      <c r="BA36" s="235" t="s">
        <v>1560</v>
      </c>
      <c r="BD36" s="236"/>
    </row>
    <row r="37" ht="12.75" customHeight="1">
      <c r="A37" s="203" t="s">
        <v>190</v>
      </c>
      <c r="B37" s="203" t="s">
        <v>191</v>
      </c>
      <c r="C37" s="1" t="s">
        <v>939</v>
      </c>
      <c r="D37" s="203" t="s">
        <v>940</v>
      </c>
      <c r="E37" s="231">
        <v>4.2951E10</v>
      </c>
      <c r="F37" s="231" t="str">
        <f>IF(ISNUMBER(Table1[[#This Row],[2019 Scope 3 ]]),IF(Table1[[#This Row],[Net Earnings/Income (2019)]]-k_cost*Table1[[#This Row],[2019 Total Scope 1, 2 + 3]]&lt;0,"Y","N"),"NA")</f>
        <v>#ERROR!</v>
      </c>
      <c r="G37" s="63" t="str">
        <f>IF(ISNUMBER(Table1[[#This Row],[2019 Scope 3 ]]),IF(k_cost*Table1[[#This Row],[2019 Total Scope 1, 2 + 3]]/Table1[[#This Row],[Size (2019 Revenue)]]&gt;k_rev_max,"Y","N"),"NA")</f>
        <v>#ERROR!</v>
      </c>
      <c r="H37" s="63" t="str">
        <f>IF(OR(Table1[[#This Row],[Net earnings post carbon price @85/t]]="Y",Table1[[#This Row],[Carbon costs in % revenue]] = "Y"),"Y",IF(OR(Table1[[#This Row],[Net earnings post carbon price @85/t]]="NA",Table1[[#This Row],[Carbon costs in % revenue]]="NA"),"NA","N"))</f>
        <v>#ERROR!</v>
      </c>
      <c r="I37" s="237">
        <v>-1.359E9</v>
      </c>
      <c r="J37" s="232">
        <v>1897.0</v>
      </c>
      <c r="K37" s="231" t="s">
        <v>1498</v>
      </c>
      <c r="L37" s="1" t="s">
        <v>1498</v>
      </c>
      <c r="M37" s="1" t="s">
        <v>1499</v>
      </c>
      <c r="N37" s="1">
        <v>2050.0</v>
      </c>
      <c r="O37" s="1">
        <v>2020.0</v>
      </c>
      <c r="P37" s="1" t="s">
        <v>1499</v>
      </c>
      <c r="Q37" s="1" t="s">
        <v>1499</v>
      </c>
      <c r="R37" s="1" t="s">
        <v>1499</v>
      </c>
      <c r="S37" s="1" t="s">
        <v>1499</v>
      </c>
      <c r="T37" s="219" t="str">
        <f>IFERROR((Table1[[#This Row],[2019 Total Scope 1, 2 + 3]])/Table1[[#This Row],[2018 Total Scope 1, 2 + Scope 3]]-1,"NA")</f>
        <v>#ERROR!</v>
      </c>
      <c r="V37" s="234">
        <v>2.76E7</v>
      </c>
      <c r="W37" s="234">
        <v>6050000.0</v>
      </c>
      <c r="X37" s="234">
        <v>0.0</v>
      </c>
      <c r="Y37" s="234">
        <f t="shared" si="1"/>
        <v>33650000</v>
      </c>
      <c r="Z37" s="234">
        <v>9.14E7</v>
      </c>
      <c r="AA37" s="234">
        <f t="shared" si="2"/>
        <v>125050000</v>
      </c>
      <c r="AB37" s="234">
        <v>2.87E7</v>
      </c>
      <c r="AC37" s="234">
        <v>6820000.0</v>
      </c>
      <c r="AD37" s="234">
        <v>0.0</v>
      </c>
      <c r="AE37" s="234">
        <f t="shared" si="3"/>
        <v>35520000</v>
      </c>
      <c r="AF37" s="234">
        <v>7.63E7</v>
      </c>
      <c r="AG37" s="234">
        <f t="shared" si="4"/>
        <v>111820000</v>
      </c>
      <c r="AH37" s="234">
        <v>2.576054E7</v>
      </c>
      <c r="AI37" s="234">
        <v>8814966.0</v>
      </c>
      <c r="AJ37" s="234"/>
      <c r="AK37" s="234">
        <f t="shared" si="5"/>
        <v>34575506</v>
      </c>
      <c r="AL37" s="234">
        <f>39700000+2400000+800000+2000000+260000+74000+200000+60000+2000000+3000000+24500000+200000+3700000</f>
        <v>78894000</v>
      </c>
      <c r="AM37" s="234">
        <f t="shared" si="6"/>
        <v>113469506</v>
      </c>
      <c r="AN37" s="234">
        <v>2.557E7</v>
      </c>
      <c r="AO37" s="234">
        <v>9840000.0</v>
      </c>
      <c r="AP37" s="234"/>
      <c r="AQ37" s="234">
        <f t="shared" si="7"/>
        <v>35410000</v>
      </c>
      <c r="AR37" s="234">
        <f>36500000+2400000+2500000+2000000+260000+820000+110000+60000+2000000+2900000+25000000+1800000</f>
        <v>76350000</v>
      </c>
      <c r="AS37" s="234">
        <f t="shared" si="8"/>
        <v>111760000</v>
      </c>
      <c r="AT37" s="234">
        <v>2.524E7</v>
      </c>
      <c r="AU37" s="234">
        <v>9710000.0</v>
      </c>
      <c r="AV37" s="234"/>
      <c r="AW37" s="234">
        <f t="shared" si="9"/>
        <v>34950000</v>
      </c>
      <c r="AX37" s="234">
        <f>48800000+2200000+10300000+3000000+150000+670000+100000+60000+3400000+7400000+20900000+3400000</f>
        <v>100380000</v>
      </c>
      <c r="AY37" s="234">
        <f t="shared" si="10"/>
        <v>135330000</v>
      </c>
      <c r="AZ37" s="1" t="s">
        <v>1498</v>
      </c>
      <c r="BA37" s="235" t="s">
        <v>1561</v>
      </c>
      <c r="BB37" s="238" t="s">
        <v>1562</v>
      </c>
      <c r="BD37" s="236"/>
    </row>
    <row r="38" ht="12.75" customHeight="1">
      <c r="A38" s="203" t="s">
        <v>193</v>
      </c>
      <c r="B38" s="203" t="s">
        <v>193</v>
      </c>
      <c r="C38" s="1" t="s">
        <v>1364</v>
      </c>
      <c r="D38" s="1" t="s">
        <v>1364</v>
      </c>
      <c r="E38" s="231">
        <v>2.5079E10</v>
      </c>
      <c r="F38" s="231" t="str">
        <f>IF(ISNUMBER(Table1[[#This Row],[2019 Scope 3 ]]),IF(Table1[[#This Row],[Net Earnings/Income (2019)]]-k_cost*Table1[[#This Row],[2019 Total Scope 1, 2 + 3]]&lt;0,"Y","N"),"NA")</f>
        <v>#ERROR!</v>
      </c>
      <c r="G38" s="63" t="str">
        <f>IF(ISNUMBER(Table1[[#This Row],[2019 Scope 3 ]]),IF(k_cost*Table1[[#This Row],[2019 Total Scope 1, 2 + 3]]/Table1[[#This Row],[Size (2019 Revenue)]]&gt;k_rev_max,"Y","N"),"NA")</f>
        <v>#ERROR!</v>
      </c>
      <c r="H38" s="63" t="str">
        <f>IF(OR(Table1[[#This Row],[Net earnings post carbon price @85/t]]="Y",Table1[[#This Row],[Carbon costs in % revenue]] = "Y"),"Y",IF(OR(Table1[[#This Row],[Net earnings post carbon price @85/t]]="NA",Table1[[#This Row],[Carbon costs in % revenue]]="NA"),"NA","N"))</f>
        <v>#ERROR!</v>
      </c>
      <c r="I38" s="231">
        <v>3.707E9</v>
      </c>
      <c r="J38" s="232">
        <v>1900.0</v>
      </c>
      <c r="K38" s="231" t="s">
        <v>1498</v>
      </c>
      <c r="L38" s="1" t="s">
        <v>1498</v>
      </c>
      <c r="M38" s="1" t="s">
        <v>1499</v>
      </c>
      <c r="N38" s="1">
        <v>2050.0</v>
      </c>
      <c r="O38" s="1">
        <v>2019.0</v>
      </c>
      <c r="P38" s="1" t="s">
        <v>1499</v>
      </c>
      <c r="Q38" s="1" t="s">
        <v>1499</v>
      </c>
      <c r="R38" s="1" t="s">
        <v>1499</v>
      </c>
      <c r="S38" s="1" t="s">
        <v>1499</v>
      </c>
      <c r="T38" s="219" t="str">
        <f>IFERROR((Table1[[#This Row],[2019 Total Scope 1, 2 + 3]])/Table1[[#This Row],[2018 Total Scope 1, 2 + Scope 3]]-1,"NA")</f>
        <v>#ERROR!</v>
      </c>
      <c r="V38" s="234">
        <v>9.3E7</v>
      </c>
      <c r="W38" s="234">
        <v>1.1122E7</v>
      </c>
      <c r="X38" s="234">
        <v>0.0</v>
      </c>
      <c r="Y38" s="234">
        <f t="shared" si="1"/>
        <v>104122000</v>
      </c>
      <c r="Z38" s="234">
        <v>1.9811E7</v>
      </c>
      <c r="AA38" s="234">
        <f t="shared" si="2"/>
        <v>123933000</v>
      </c>
      <c r="AB38" s="234">
        <v>9.65488E7</v>
      </c>
      <c r="AC38" s="234">
        <v>23200.0</v>
      </c>
      <c r="AD38" s="234"/>
      <c r="AE38" s="234">
        <f t="shared" si="3"/>
        <v>96572000</v>
      </c>
      <c r="AF38" s="234">
        <f>10100000+17977642</f>
        <v>28077642</v>
      </c>
      <c r="AG38" s="234">
        <f t="shared" si="4"/>
        <v>124649642</v>
      </c>
      <c r="AH38" s="234">
        <v>9.52134E7</v>
      </c>
      <c r="AI38" s="234">
        <v>0.0</v>
      </c>
      <c r="AJ38" s="234"/>
      <c r="AK38" s="234">
        <f t="shared" si="5"/>
        <v>95213400</v>
      </c>
      <c r="AL38" s="234">
        <f>15948080</f>
        <v>15948080</v>
      </c>
      <c r="AM38" s="234">
        <f t="shared" si="6"/>
        <v>111161480</v>
      </c>
      <c r="AN38" s="234">
        <v>9.68372E7</v>
      </c>
      <c r="AO38" s="234">
        <v>0.0</v>
      </c>
      <c r="AP38" s="234"/>
      <c r="AQ38" s="234">
        <f t="shared" si="7"/>
        <v>96837200</v>
      </c>
      <c r="AR38" s="234">
        <f>16640509</f>
        <v>16640509</v>
      </c>
      <c r="AS38" s="234">
        <f t="shared" si="8"/>
        <v>113477709</v>
      </c>
      <c r="AT38" s="234">
        <v>1.00238E8</v>
      </c>
      <c r="AU38" s="234">
        <v>0.0</v>
      </c>
      <c r="AV38" s="234"/>
      <c r="AW38" s="234">
        <f t="shared" si="9"/>
        <v>100238000</v>
      </c>
      <c r="AX38" s="234" t="s">
        <v>536</v>
      </c>
      <c r="AY38" s="234" t="str">
        <f t="shared" si="10"/>
        <v/>
      </c>
      <c r="AZ38" s="234" t="s">
        <v>1499</v>
      </c>
      <c r="BA38" s="235" t="s">
        <v>1563</v>
      </c>
      <c r="BB38" s="238" t="s">
        <v>1564</v>
      </c>
      <c r="BD38" s="236"/>
    </row>
    <row r="39" ht="12.75" customHeight="1">
      <c r="A39" s="203" t="s">
        <v>198</v>
      </c>
      <c r="B39" s="203" t="s">
        <v>198</v>
      </c>
      <c r="C39" s="203" t="s">
        <v>939</v>
      </c>
      <c r="D39" s="203" t="s">
        <v>940</v>
      </c>
      <c r="E39" s="231">
        <v>2.157E10</v>
      </c>
      <c r="F39" s="231" t="str">
        <f>IF(ISNUMBER(Table1[[#This Row],[2019 Scope 3 ]]),IF(Table1[[#This Row],[Net Earnings/Income (2019)]]-k_cost*Table1[[#This Row],[2019 Total Scope 1, 2 + 3]]&lt;0,"Y","N"),"NA")</f>
        <v>#ERROR!</v>
      </c>
      <c r="G39" s="63" t="str">
        <f>IF(ISNUMBER(Table1[[#This Row],[2019 Scope 3 ]]),IF(k_cost*Table1[[#This Row],[2019 Total Scope 1, 2 + 3]]/Table1[[#This Row],[Size (2019 Revenue)]]&gt;k_rev_max,"Y","N"),"NA")</f>
        <v>#ERROR!</v>
      </c>
      <c r="H39" s="63" t="str">
        <f>IF(OR(Table1[[#This Row],[Net earnings post carbon price @85/t]]="Y",Table1[[#This Row],[Carbon costs in % revenue]] = "Y"),"Y",IF(OR(Table1[[#This Row],[Net earnings post carbon price @85/t]]="NA",Table1[[#This Row],[Carbon costs in % revenue]]="NA"),"NA","N"))</f>
        <v>#ERROR!</v>
      </c>
      <c r="I39" s="231">
        <v>4.98E8</v>
      </c>
      <c r="J39" s="232">
        <v>1802.0</v>
      </c>
      <c r="K39" s="231" t="s">
        <v>1498</v>
      </c>
      <c r="L39" s="1" t="s">
        <v>1498</v>
      </c>
      <c r="M39" s="1" t="s">
        <v>1499</v>
      </c>
      <c r="N39" s="1">
        <v>2050.0</v>
      </c>
      <c r="O39" s="1">
        <v>2018.0</v>
      </c>
      <c r="P39" s="1" t="s">
        <v>1499</v>
      </c>
      <c r="Q39" s="1" t="s">
        <v>1499</v>
      </c>
      <c r="R39" s="1" t="s">
        <v>1499</v>
      </c>
      <c r="S39" s="1" t="s">
        <v>1499</v>
      </c>
      <c r="T39" s="219" t="str">
        <f>IFERROR((Table1[[#This Row],[2019 Total Scope 1, 2 + 3]])/Table1[[#This Row],[2018 Total Scope 1, 2 + Scope 3]]-1,"NA")</f>
        <v>#ERROR!</v>
      </c>
      <c r="V39" s="234">
        <v>3057000.0</v>
      </c>
      <c r="W39" s="234">
        <v>2323000.0</v>
      </c>
      <c r="X39" s="234">
        <v>0.0</v>
      </c>
      <c r="Y39" s="234">
        <f t="shared" si="1"/>
        <v>5380000</v>
      </c>
      <c r="Z39" s="234">
        <f>1207243+23037+72464</f>
        <v>1302744</v>
      </c>
      <c r="AA39" s="234">
        <f t="shared" si="2"/>
        <v>6682744</v>
      </c>
      <c r="AB39" s="234" t="s">
        <v>536</v>
      </c>
      <c r="AC39" s="234" t="s">
        <v>536</v>
      </c>
      <c r="AD39" s="234"/>
      <c r="AE39" s="234" t="str">
        <f t="shared" si="3"/>
        <v/>
      </c>
      <c r="AF39" s="234" t="s">
        <v>536</v>
      </c>
      <c r="AG39" s="234" t="str">
        <f t="shared" si="4"/>
        <v/>
      </c>
      <c r="AH39" s="234" t="s">
        <v>536</v>
      </c>
      <c r="AI39" s="234" t="s">
        <v>536</v>
      </c>
      <c r="AJ39" s="234"/>
      <c r="AK39" s="234" t="str">
        <f t="shared" si="5"/>
        <v/>
      </c>
      <c r="AL39" s="234" t="s">
        <v>536</v>
      </c>
      <c r="AM39" s="234" t="str">
        <f t="shared" si="6"/>
        <v/>
      </c>
      <c r="AN39" s="234" t="s">
        <v>536</v>
      </c>
      <c r="AO39" s="234" t="s">
        <v>536</v>
      </c>
      <c r="AP39" s="234"/>
      <c r="AQ39" s="234" t="str">
        <f t="shared" si="7"/>
        <v/>
      </c>
      <c r="AR39" s="234" t="s">
        <v>536</v>
      </c>
      <c r="AS39" s="234" t="str">
        <f t="shared" si="8"/>
        <v/>
      </c>
      <c r="AT39" s="234" t="s">
        <v>536</v>
      </c>
      <c r="AU39" s="234" t="s">
        <v>536</v>
      </c>
      <c r="AV39" s="234"/>
      <c r="AW39" s="234" t="str">
        <f t="shared" si="9"/>
        <v/>
      </c>
      <c r="AX39" s="234" t="s">
        <v>536</v>
      </c>
      <c r="AY39" s="234" t="str">
        <f t="shared" si="10"/>
        <v/>
      </c>
      <c r="AZ39" s="1" t="s">
        <v>1498</v>
      </c>
      <c r="BA39" s="235" t="s">
        <v>1565</v>
      </c>
      <c r="BD39" s="236"/>
    </row>
    <row r="40" ht="12.75" customHeight="1">
      <c r="A40" s="203" t="s">
        <v>203</v>
      </c>
      <c r="B40" s="203" t="s">
        <v>203</v>
      </c>
      <c r="C40" s="203" t="s">
        <v>1283</v>
      </c>
      <c r="D40" s="203" t="s">
        <v>1503</v>
      </c>
      <c r="E40" s="231">
        <v>2.232E10</v>
      </c>
      <c r="F40" s="231" t="str">
        <f>IF(ISNUMBER(Table1[[#This Row],[2019 Scope 3 ]]),IF(Table1[[#This Row],[Net Earnings/Income (2019)]]-k_cost*Table1[[#This Row],[2019 Total Scope 1, 2 + 3]]&lt;0,"Y","N"),"NA")</f>
        <v>#ERROR!</v>
      </c>
      <c r="G40" s="63" t="str">
        <f>IF(ISNUMBER(Table1[[#This Row],[2019 Scope 3 ]]),IF(k_cost*Table1[[#This Row],[2019 Total Scope 1, 2 + 3]]/Table1[[#This Row],[Size (2019 Revenue)]]&gt;k_rev_max,"Y","N"),"NA")</f>
        <v>#ERROR!</v>
      </c>
      <c r="H40" s="63" t="str">
        <f>IF(OR(Table1[[#This Row],[Net earnings post carbon price @85/t]]="Y",Table1[[#This Row],[Carbon costs in % revenue]] = "Y"),"Y",IF(OR(Table1[[#This Row],[Net earnings post carbon price @85/t]]="NA",Table1[[#This Row],[Carbon costs in % revenue]]="NA"),"NA","N"))</f>
        <v>#ERROR!</v>
      </c>
      <c r="I40" s="231">
        <v>8.318E9</v>
      </c>
      <c r="J40" s="232">
        <v>1876.0</v>
      </c>
      <c r="K40" s="231" t="s">
        <v>1498</v>
      </c>
      <c r="L40" s="1" t="s">
        <v>1499</v>
      </c>
      <c r="M40" s="1" t="s">
        <v>1499</v>
      </c>
      <c r="P40" s="1">
        <v>700000.0</v>
      </c>
      <c r="Q40" s="1" t="s">
        <v>1499</v>
      </c>
      <c r="R40" s="1" t="s">
        <v>1499</v>
      </c>
      <c r="S40" s="1" t="s">
        <v>1499</v>
      </c>
      <c r="T40" s="219" t="str">
        <f>IFERROR((Table1[[#This Row],[2019 Total Scope 1, 2 + 3]])/Table1[[#This Row],[2018 Total Scope 1, 2 + Scope 3]]-1,"NA")</f>
        <v>#ERROR!</v>
      </c>
      <c r="V40" s="234">
        <v>193000.0</v>
      </c>
      <c r="W40" s="234">
        <v>671000.0</v>
      </c>
      <c r="X40" s="234">
        <v>0.0</v>
      </c>
      <c r="Y40" s="234">
        <f t="shared" si="1"/>
        <v>864000</v>
      </c>
      <c r="Z40" s="234">
        <v>240000.0</v>
      </c>
      <c r="AA40" s="234">
        <f t="shared" si="2"/>
        <v>1104000</v>
      </c>
      <c r="AB40" s="234">
        <v>201000.0</v>
      </c>
      <c r="AC40" s="234">
        <v>654000.0</v>
      </c>
      <c r="AD40" s="234">
        <v>0.0</v>
      </c>
      <c r="AE40" s="234">
        <f t="shared" si="3"/>
        <v>855000</v>
      </c>
      <c r="AF40" s="234">
        <v>265000.0</v>
      </c>
      <c r="AG40" s="234">
        <f t="shared" si="4"/>
        <v>1120000</v>
      </c>
      <c r="AH40" s="234">
        <v>228000.0</v>
      </c>
      <c r="AI40" s="234">
        <v>636000.0</v>
      </c>
      <c r="AJ40" s="234">
        <v>0.0</v>
      </c>
      <c r="AK40" s="234">
        <f t="shared" si="5"/>
        <v>864000</v>
      </c>
      <c r="AL40" s="234">
        <v>232000.0</v>
      </c>
      <c r="AM40" s="234">
        <f t="shared" si="6"/>
        <v>1096000</v>
      </c>
      <c r="AN40" s="234">
        <v>216000.0</v>
      </c>
      <c r="AO40" s="234">
        <v>660000.0</v>
      </c>
      <c r="AP40" s="234">
        <v>0.0</v>
      </c>
      <c r="AQ40" s="234">
        <f t="shared" si="7"/>
        <v>876000</v>
      </c>
      <c r="AR40" s="234">
        <v>248000.0</v>
      </c>
      <c r="AS40" s="234">
        <f t="shared" si="8"/>
        <v>1124000</v>
      </c>
      <c r="AT40" s="234">
        <v>214000.0</v>
      </c>
      <c r="AU40" s="234">
        <v>713000.0</v>
      </c>
      <c r="AV40" s="234">
        <v>0.0</v>
      </c>
      <c r="AW40" s="234">
        <f t="shared" si="9"/>
        <v>927000</v>
      </c>
      <c r="AX40" s="234">
        <v>237000.0</v>
      </c>
      <c r="AY40" s="234">
        <f t="shared" si="10"/>
        <v>1164000</v>
      </c>
      <c r="AZ40" s="1" t="s">
        <v>1499</v>
      </c>
      <c r="BA40" s="235" t="s">
        <v>1566</v>
      </c>
      <c r="BD40" s="236"/>
    </row>
    <row r="41" ht="12.75" customHeight="1">
      <c r="A41" s="203" t="s">
        <v>208</v>
      </c>
      <c r="B41" s="203" t="s">
        <v>208</v>
      </c>
      <c r="C41" s="203" t="s">
        <v>1276</v>
      </c>
      <c r="D41" s="203" t="s">
        <v>1539</v>
      </c>
      <c r="E41" s="231">
        <v>1.8372E10</v>
      </c>
      <c r="F41" s="231" t="str">
        <f>IF(ISNUMBER(Table1[[#This Row],[2019 Scope 3 ]]),IF(Table1[[#This Row],[Net Earnings/Income (2019)]]-k_cost*Table1[[#This Row],[2019 Total Scope 1, 2 + 3]]&lt;0,"Y","N"),"NA")</f>
        <v>#ERROR!</v>
      </c>
      <c r="G41" s="63" t="str">
        <f>IF(ISNUMBER(Table1[[#This Row],[2019 Scope 3 ]]),IF(k_cost*Table1[[#This Row],[2019 Total Scope 1, 2 + 3]]/Table1[[#This Row],[Size (2019 Revenue)]]&gt;k_rev_max,"Y","N"),"NA")</f>
        <v>#ERROR!</v>
      </c>
      <c r="H41" s="63" t="str">
        <f>IF(OR(Table1[[#This Row],[Net earnings post carbon price @85/t]]="Y",Table1[[#This Row],[Carbon costs in % revenue]] = "Y"),"Y",IF(OR(Table1[[#This Row],[Net earnings post carbon price @85/t]]="NA",Table1[[#This Row],[Carbon costs in % revenue]]="NA"),"NA","N"))</f>
        <v>#ERROR!</v>
      </c>
      <c r="I41" s="231">
        <v>2.306E9</v>
      </c>
      <c r="J41" s="232">
        <v>1890.0</v>
      </c>
      <c r="K41" s="1" t="s">
        <v>1498</v>
      </c>
      <c r="L41" s="1" t="s">
        <v>1499</v>
      </c>
      <c r="M41" s="1" t="s">
        <v>1499</v>
      </c>
      <c r="P41" s="1" t="s">
        <v>1499</v>
      </c>
      <c r="Q41" s="1" t="s">
        <v>1499</v>
      </c>
      <c r="R41" s="1" t="s">
        <v>1499</v>
      </c>
      <c r="S41" s="1" t="s">
        <v>1499</v>
      </c>
      <c r="T41" s="219" t="str">
        <f>IFERROR((Table1[[#This Row],[2019 Total Scope 1, 2 + 3]])/Table1[[#This Row],[2018 Total Scope 1, 2 + Scope 3]]-1,"NA")</f>
        <v>#ERROR!</v>
      </c>
      <c r="V41" s="234">
        <v>163945.0</v>
      </c>
      <c r="W41" s="234">
        <v>699739.0</v>
      </c>
      <c r="X41" s="234">
        <v>0.0</v>
      </c>
      <c r="Y41" s="234">
        <f t="shared" si="1"/>
        <v>863684</v>
      </c>
      <c r="Z41" s="234" t="s">
        <v>536</v>
      </c>
      <c r="AA41" s="234" t="str">
        <f t="shared" si="2"/>
        <v/>
      </c>
      <c r="AB41" s="234">
        <v>166132.0</v>
      </c>
      <c r="AC41" s="234">
        <v>699423.0</v>
      </c>
      <c r="AD41" s="234">
        <v>0.0</v>
      </c>
      <c r="AE41" s="234">
        <f t="shared" si="3"/>
        <v>865555</v>
      </c>
      <c r="AF41" s="234" t="s">
        <v>536</v>
      </c>
      <c r="AG41" s="234" t="str">
        <f t="shared" si="4"/>
        <v/>
      </c>
      <c r="AH41" s="234" t="s">
        <v>536</v>
      </c>
      <c r="AI41" s="234" t="s">
        <v>536</v>
      </c>
      <c r="AJ41" s="234"/>
      <c r="AK41" s="234" t="str">
        <f t="shared" si="5"/>
        <v/>
      </c>
      <c r="AL41" s="234" t="s">
        <v>536</v>
      </c>
      <c r="AM41" s="234" t="str">
        <f t="shared" si="6"/>
        <v/>
      </c>
      <c r="AN41" s="234" t="s">
        <v>536</v>
      </c>
      <c r="AO41" s="234" t="s">
        <v>536</v>
      </c>
      <c r="AP41" s="234"/>
      <c r="AQ41" s="234" t="str">
        <f t="shared" si="7"/>
        <v/>
      </c>
      <c r="AR41" s="234" t="s">
        <v>536</v>
      </c>
      <c r="AS41" s="234" t="str">
        <f t="shared" si="8"/>
        <v/>
      </c>
      <c r="AT41" s="234" t="s">
        <v>536</v>
      </c>
      <c r="AU41" s="234" t="s">
        <v>536</v>
      </c>
      <c r="AV41" s="234"/>
      <c r="AW41" s="234" t="str">
        <f t="shared" si="9"/>
        <v/>
      </c>
      <c r="AX41" s="234" t="s">
        <v>536</v>
      </c>
      <c r="AY41" s="234" t="str">
        <f t="shared" si="10"/>
        <v/>
      </c>
      <c r="AZ41" s="1" t="s">
        <v>1498</v>
      </c>
      <c r="BA41" s="235" t="s">
        <v>1567</v>
      </c>
      <c r="BD41" s="236"/>
    </row>
    <row r="42" ht="12.75" customHeight="1">
      <c r="A42" s="203" t="s">
        <v>210</v>
      </c>
      <c r="B42" s="203" t="s">
        <v>210</v>
      </c>
      <c r="C42" s="203" t="s">
        <v>1364</v>
      </c>
      <c r="D42" s="1" t="s">
        <v>1364</v>
      </c>
      <c r="E42" s="231">
        <v>3.4438E10</v>
      </c>
      <c r="F42" s="231" t="str">
        <f>IF(ISNUMBER(Table1[[#This Row],[2019 Scope 3 ]]),IF(Table1[[#This Row],[Net Earnings/Income (2019)]]-k_cost*Table1[[#This Row],[2019 Total Scope 1, 2 + 3]]&lt;0,"Y","N"),"NA")</f>
        <v>#ERROR!</v>
      </c>
      <c r="G42" s="63" t="str">
        <f>IF(ISNUMBER(Table1[[#This Row],[2019 Scope 3 ]]),IF(k_cost*Table1[[#This Row],[2019 Total Scope 1, 2 + 3]]/Table1[[#This Row],[Size (2019 Revenue)]]&gt;k_rev_max,"Y","N"),"NA")</f>
        <v>#ERROR!</v>
      </c>
      <c r="H42" s="63" t="str">
        <f>IF(OR(Table1[[#This Row],[Net earnings post carbon price @85/t]]="Y",Table1[[#This Row],[Carbon costs in % revenue]] = "Y"),"Y",IF(OR(Table1[[#This Row],[Net earnings post carbon price @85/t]]="NA",Table1[[#This Row],[Carbon costs in % revenue]]="NA"),"NA","N"))</f>
        <v>#ERROR!</v>
      </c>
      <c r="I42" s="231">
        <v>2.936E9</v>
      </c>
      <c r="J42" s="232">
        <v>2000.0</v>
      </c>
      <c r="K42" s="1" t="s">
        <v>1498</v>
      </c>
      <c r="L42" s="242" t="s">
        <v>1499</v>
      </c>
      <c r="M42" s="203" t="s">
        <v>1499</v>
      </c>
      <c r="O42" s="203"/>
      <c r="P42" s="203" t="s">
        <v>1499</v>
      </c>
      <c r="Q42" s="203" t="s">
        <v>1498</v>
      </c>
      <c r="R42" s="203" t="s">
        <v>1499</v>
      </c>
      <c r="S42" s="203" t="s">
        <v>1499</v>
      </c>
      <c r="T42" s="219" t="str">
        <f>IFERROR((Table1[[#This Row],[2019 Total Scope 1, 2 + 3]])/Table1[[#This Row],[2018 Total Scope 1, 2 + Scope 3]]-1,"NA")</f>
        <v>#ERROR!</v>
      </c>
      <c r="U42" s="203"/>
      <c r="V42" s="234">
        <v>9395000.0</v>
      </c>
      <c r="W42" s="234">
        <v>6103000.0</v>
      </c>
      <c r="X42" s="234">
        <f>W42-4914000</f>
        <v>1189000</v>
      </c>
      <c r="Y42" s="234">
        <f t="shared" si="1"/>
        <v>14309000</v>
      </c>
      <c r="Z42" s="234">
        <v>1.80732E8</v>
      </c>
      <c r="AA42" s="234">
        <f t="shared" si="2"/>
        <v>195041000</v>
      </c>
      <c r="AB42" s="234">
        <v>9526000.0</v>
      </c>
      <c r="AC42" s="234">
        <v>6120000.0</v>
      </c>
      <c r="AD42" s="234">
        <f>AC42-4817000</f>
        <v>1303000</v>
      </c>
      <c r="AE42" s="234">
        <f t="shared" si="3"/>
        <v>14343000</v>
      </c>
      <c r="AF42" s="234">
        <v>1.97376E8</v>
      </c>
      <c r="AG42" s="234">
        <f t="shared" si="4"/>
        <v>211719000</v>
      </c>
      <c r="AH42" s="234">
        <v>1.02E7</v>
      </c>
      <c r="AI42" s="234">
        <v>6521000.0</v>
      </c>
      <c r="AJ42" s="234">
        <f>AI42-5037000</f>
        <v>1484000</v>
      </c>
      <c r="AK42" s="234">
        <f t="shared" si="5"/>
        <v>15237000</v>
      </c>
      <c r="AL42" s="234">
        <v>1.9522E8</v>
      </c>
      <c r="AM42" s="234">
        <f t="shared" si="6"/>
        <v>210457000</v>
      </c>
      <c r="AN42" s="234" t="s">
        <v>536</v>
      </c>
      <c r="AO42" s="234" t="s">
        <v>536</v>
      </c>
      <c r="AP42" s="234"/>
      <c r="AQ42" s="234" t="str">
        <f t="shared" si="7"/>
        <v/>
      </c>
      <c r="AR42" s="234" t="s">
        <v>536</v>
      </c>
      <c r="AS42" s="234" t="str">
        <f t="shared" si="8"/>
        <v/>
      </c>
      <c r="AT42" s="234" t="s">
        <v>536</v>
      </c>
      <c r="AU42" s="234" t="s">
        <v>536</v>
      </c>
      <c r="AV42" s="234"/>
      <c r="AW42" s="234" t="str">
        <f t="shared" si="9"/>
        <v/>
      </c>
      <c r="AX42" s="234" t="s">
        <v>536</v>
      </c>
      <c r="AY42" s="234" t="str">
        <f t="shared" si="10"/>
        <v/>
      </c>
      <c r="AZ42" s="203" t="s">
        <v>1498</v>
      </c>
      <c r="BA42" s="235" t="s">
        <v>1568</v>
      </c>
      <c r="BD42" s="236" t="s">
        <v>1519</v>
      </c>
    </row>
    <row r="43" ht="12.75" customHeight="1">
      <c r="A43" s="203" t="s">
        <v>215</v>
      </c>
      <c r="B43" s="203" t="s">
        <v>215</v>
      </c>
      <c r="C43" s="203" t="s">
        <v>1350</v>
      </c>
      <c r="D43" s="203" t="s">
        <v>1542</v>
      </c>
      <c r="E43" s="231">
        <v>2.64938E11</v>
      </c>
      <c r="F43" s="231" t="str">
        <f>IF(ISNUMBER(Table1[[#This Row],[2019 Scope 3 ]]),IF(Table1[[#This Row],[Net Earnings/Income (2019)]]-k_cost*Table1[[#This Row],[2019 Total Scope 1, 2 + 3]]&lt;0,"Y","N"),"NA")</f>
        <v>#ERROR!</v>
      </c>
      <c r="G43" s="63" t="str">
        <f>IF(ISNUMBER(Table1[[#This Row],[2019 Scope 3 ]]),IF(k_cost*Table1[[#This Row],[2019 Total Scope 1, 2 + 3]]/Table1[[#This Row],[Size (2019 Revenue)]]&gt;k_rev_max,"Y","N"),"NA")</f>
        <v>#ERROR!</v>
      </c>
      <c r="H43" s="63" t="str">
        <f>IF(OR(Table1[[#This Row],[Net earnings post carbon price @85/t]]="Y",Table1[[#This Row],[Carbon costs in % revenue]] = "Y"),"Y",IF(OR(Table1[[#This Row],[Net earnings post carbon price @85/t]]="NA",Table1[[#This Row],[Carbon costs in % revenue]]="NA"),"NA","N"))</f>
        <v>#ERROR!</v>
      </c>
      <c r="I43" s="231">
        <v>1.434E10</v>
      </c>
      <c r="J43" s="232">
        <v>1870.0</v>
      </c>
      <c r="K43" s="1" t="s">
        <v>1498</v>
      </c>
      <c r="L43" s="203" t="s">
        <v>1499</v>
      </c>
      <c r="M43" s="203" t="s">
        <v>1499</v>
      </c>
      <c r="N43" s="203"/>
      <c r="O43" s="203"/>
      <c r="P43" s="203" t="s">
        <v>1499</v>
      </c>
      <c r="Q43" s="203" t="s">
        <v>1499</v>
      </c>
      <c r="R43" s="203" t="s">
        <v>1499</v>
      </c>
      <c r="S43" s="203" t="s">
        <v>1499</v>
      </c>
      <c r="T43" s="219" t="str">
        <f>IFERROR((Table1[[#This Row],[2019 Total Scope 1, 2 + 3]])/Table1[[#This Row],[2018 Total Scope 1, 2 + Scope 3]]-1,"NA")</f>
        <v>#ERROR!</v>
      </c>
      <c r="U43" s="203"/>
      <c r="V43" s="234" t="s">
        <v>536</v>
      </c>
      <c r="W43" s="234" t="s">
        <v>536</v>
      </c>
      <c r="X43" s="234"/>
      <c r="Y43" s="234" t="str">
        <f t="shared" si="1"/>
        <v/>
      </c>
      <c r="Z43" s="234" t="s">
        <v>536</v>
      </c>
      <c r="AA43" s="234" t="str">
        <f t="shared" si="2"/>
        <v/>
      </c>
      <c r="AB43" s="234">
        <v>1.16E8</v>
      </c>
      <c r="AC43" s="234">
        <v>8000000.0</v>
      </c>
      <c r="AD43" s="234">
        <v>0.0</v>
      </c>
      <c r="AE43" s="234">
        <f t="shared" si="3"/>
        <v>124000000</v>
      </c>
      <c r="AF43" s="234" t="s">
        <v>536</v>
      </c>
      <c r="AG43" s="234" t="str">
        <f t="shared" si="4"/>
        <v/>
      </c>
      <c r="AH43" s="234">
        <v>1.15E8</v>
      </c>
      <c r="AI43" s="234">
        <v>8000000.0</v>
      </c>
      <c r="AJ43" s="234">
        <v>0.0</v>
      </c>
      <c r="AK43" s="234">
        <f t="shared" si="5"/>
        <v>123000000</v>
      </c>
      <c r="AL43" s="234" t="s">
        <v>536</v>
      </c>
      <c r="AM43" s="234" t="str">
        <f t="shared" si="6"/>
        <v/>
      </c>
      <c r="AN43" s="234" t="s">
        <v>536</v>
      </c>
      <c r="AO43" s="234" t="s">
        <v>536</v>
      </c>
      <c r="AP43" s="234"/>
      <c r="AQ43" s="234">
        <v>1.25E8</v>
      </c>
      <c r="AR43" s="234" t="s">
        <v>536</v>
      </c>
      <c r="AS43" s="234" t="str">
        <f t="shared" si="8"/>
        <v/>
      </c>
      <c r="AT43" s="234" t="s">
        <v>536</v>
      </c>
      <c r="AU43" s="234" t="s">
        <v>536</v>
      </c>
      <c r="AV43" s="234"/>
      <c r="AW43" s="234">
        <v>1.22E8</v>
      </c>
      <c r="AX43" s="234" t="s">
        <v>536</v>
      </c>
      <c r="AY43" s="234" t="str">
        <f t="shared" si="10"/>
        <v/>
      </c>
      <c r="AZ43" s="203" t="s">
        <v>1498</v>
      </c>
      <c r="BA43" s="235" t="s">
        <v>1569</v>
      </c>
      <c r="BD43" s="236"/>
    </row>
    <row r="44" ht="12.75" customHeight="1">
      <c r="A44" s="203" t="s">
        <v>217</v>
      </c>
      <c r="B44" s="203" t="s">
        <v>218</v>
      </c>
      <c r="C44" s="203" t="s">
        <v>1302</v>
      </c>
      <c r="D44" s="203" t="s">
        <v>1510</v>
      </c>
      <c r="E44" s="231">
        <v>7.0697E10</v>
      </c>
      <c r="F44" s="231" t="str">
        <f>IF(ISNUMBER(Table1[[#This Row],[2019 Scope 3 ]]),IF(Table1[[#This Row],[Net Earnings/Income (2019)]]-k_cost*Table1[[#This Row],[2019 Total Scope 1, 2 + 3]]&lt;0,"Y","N"),"NA")</f>
        <v>#ERROR!</v>
      </c>
      <c r="G44" s="63" t="str">
        <f>IF(ISNUMBER(Table1[[#This Row],[2019 Scope 3 ]]),IF(k_cost*Table1[[#This Row],[2019 Total Scope 1, 2 + 3]]/Table1[[#This Row],[Size (2019 Revenue)]]&gt;k_rev_max,"Y","N"),"NA")</f>
        <v>#ERROR!</v>
      </c>
      <c r="H44" s="63" t="str">
        <f>IF(OR(Table1[[#This Row],[Net earnings post carbon price @85/t]]="Y",Table1[[#This Row],[Carbon costs in % revenue]] = "Y"),"Y",IF(OR(Table1[[#This Row],[Net earnings post carbon price @85/t]]="NA",Table1[[#This Row],[Carbon costs in % revenue]]="NA"),"NA","N"))</f>
        <v>#ERROR!</v>
      </c>
      <c r="I44" s="231">
        <v>1.8485E10</v>
      </c>
      <c r="J44" s="232">
        <v>2012.0</v>
      </c>
      <c r="K44" s="231" t="s">
        <v>1498</v>
      </c>
      <c r="L44" s="203" t="s">
        <v>1498</v>
      </c>
      <c r="M44" s="203" t="s">
        <v>1498</v>
      </c>
      <c r="N44" s="1">
        <v>2030.0</v>
      </c>
      <c r="O44" s="1">
        <v>2020.0</v>
      </c>
      <c r="P44" s="203" t="s">
        <v>1499</v>
      </c>
      <c r="Q44" s="203" t="s">
        <v>1498</v>
      </c>
      <c r="R44" s="1" t="s">
        <v>1498</v>
      </c>
      <c r="S44" s="1">
        <v>2020.0</v>
      </c>
      <c r="T44" s="219" t="str">
        <f>IFERROR((Table1[[#This Row],[2019 Total Scope 1, 2 + 3]])/Table1[[#This Row],[2018 Total Scope 1, 2 + Scope 3]]-1,"NA")</f>
        <v>#ERROR!</v>
      </c>
      <c r="V44" s="234">
        <v>207000.0</v>
      </c>
      <c r="W44" s="234">
        <v>44000.0</v>
      </c>
      <c r="X44" s="234">
        <v>0.0</v>
      </c>
      <c r="Y44" s="234">
        <f t="shared" si="1"/>
        <v>251000</v>
      </c>
      <c r="Z44" s="234" t="s">
        <v>536</v>
      </c>
      <c r="AA44" s="234" t="str">
        <f t="shared" si="2"/>
        <v/>
      </c>
      <c r="AB44" s="234">
        <v>314000.0</v>
      </c>
      <c r="AC44" s="234">
        <v>42000.0</v>
      </c>
      <c r="AD44" s="234">
        <v>0.0</v>
      </c>
      <c r="AE44" s="234">
        <f t="shared" si="3"/>
        <v>356000</v>
      </c>
      <c r="AF44" s="234" t="s">
        <v>536</v>
      </c>
      <c r="AG44" s="234" t="str">
        <f t="shared" si="4"/>
        <v/>
      </c>
      <c r="AH44" s="234">
        <v>568000.0</v>
      </c>
      <c r="AI44" s="234">
        <v>48800.0</v>
      </c>
      <c r="AJ44" s="234">
        <v>0.0</v>
      </c>
      <c r="AK44" s="234">
        <f t="shared" si="5"/>
        <v>616800</v>
      </c>
      <c r="AL44" s="234" t="s">
        <v>536</v>
      </c>
      <c r="AM44" s="234" t="str">
        <f t="shared" si="6"/>
        <v/>
      </c>
      <c r="AN44" s="234">
        <v>516000.0</v>
      </c>
      <c r="AO44" s="234">
        <v>39000.0</v>
      </c>
      <c r="AP44" s="234">
        <v>0.0</v>
      </c>
      <c r="AQ44" s="234">
        <f t="shared" ref="AQ44:AQ70" si="11">IFERROR(AN44+AO44-AP44,"")</f>
        <v>555000</v>
      </c>
      <c r="AR44" s="234" t="s">
        <v>536</v>
      </c>
      <c r="AS44" s="234" t="str">
        <f t="shared" si="8"/>
        <v/>
      </c>
      <c r="AT44" s="234">
        <v>423000.0</v>
      </c>
      <c r="AU44" s="234">
        <v>28000.0</v>
      </c>
      <c r="AV44" s="234">
        <v>0.0</v>
      </c>
      <c r="AW44" s="234">
        <f t="shared" ref="AW44:AW101" si="12">IFERROR(AT44+AU44-AV44,"")</f>
        <v>451000</v>
      </c>
      <c r="AX44" s="234" t="s">
        <v>536</v>
      </c>
      <c r="AY44" s="234" t="str">
        <f t="shared" si="10"/>
        <v/>
      </c>
      <c r="AZ44" s="203" t="s">
        <v>1498</v>
      </c>
      <c r="BA44" s="235" t="s">
        <v>1570</v>
      </c>
      <c r="BD44" s="236"/>
    </row>
    <row r="45" ht="12.75" customHeight="1">
      <c r="A45" s="203" t="s">
        <v>220</v>
      </c>
      <c r="B45" s="203" t="s">
        <v>220</v>
      </c>
      <c r="C45" s="203" t="s">
        <v>1276</v>
      </c>
      <c r="D45" s="203" t="s">
        <v>1571</v>
      </c>
      <c r="E45" s="231">
        <v>6.9693E10</v>
      </c>
      <c r="F45" s="231" t="str">
        <f>IF(ISNUMBER(Table1[[#This Row],[2019 Scope 3 ]]),IF(Table1[[#This Row],[Net Earnings/Income (2019)]]-k_cost*Table1[[#This Row],[2019 Total Scope 1, 2 + 3]]&lt;0,"Y","N"),"NA")</f>
        <v>#ERROR!</v>
      </c>
      <c r="G45" s="63" t="str">
        <f>IF(ISNUMBER(Table1[[#This Row],[2019 Scope 3 ]]),IF(k_cost*Table1[[#This Row],[2019 Total Scope 1, 2 + 3]]/Table1[[#This Row],[Size (2019 Revenue)]]&gt;k_rev_max,"Y","N"),"NA")</f>
        <v>#ERROR!</v>
      </c>
      <c r="H45" s="63" t="str">
        <f>IF(OR(Table1[[#This Row],[Net earnings post carbon price @85/t]]="Y",Table1[[#This Row],[Carbon costs in % revenue]] = "Y"),"Y",IF(OR(Table1[[#This Row],[Net earnings post carbon price @85/t]]="NA",Table1[[#This Row],[Carbon costs in % revenue]]="NA"),"NA","N"))</f>
        <v>#ERROR!</v>
      </c>
      <c r="I45" s="231">
        <v>5.4E8</v>
      </c>
      <c r="J45" s="232">
        <v>1971.0</v>
      </c>
      <c r="K45" s="231" t="s">
        <v>1498</v>
      </c>
      <c r="L45" s="203" t="s">
        <v>1499</v>
      </c>
      <c r="M45" s="203" t="s">
        <v>1499</v>
      </c>
      <c r="P45" s="1" t="s">
        <v>1499</v>
      </c>
      <c r="Q45" s="1" t="s">
        <v>1499</v>
      </c>
      <c r="R45" s="1" t="s">
        <v>1499</v>
      </c>
      <c r="S45" s="1" t="s">
        <v>1499</v>
      </c>
      <c r="T45" s="219" t="str">
        <f>IFERROR((Table1[[#This Row],[2019 Total Scope 1, 2 + 3]])/Table1[[#This Row],[2018 Total Scope 1, 2 + Scope 3]]-1,"NA")</f>
        <v>#ERROR!</v>
      </c>
      <c r="V45" s="234">
        <v>1.5406173E7</v>
      </c>
      <c r="W45" s="234">
        <v>995988.0</v>
      </c>
      <c r="X45" s="234">
        <v>0.0</v>
      </c>
      <c r="Y45" s="234">
        <f t="shared" si="1"/>
        <v>16402161</v>
      </c>
      <c r="Z45" s="234">
        <v>3099293.0</v>
      </c>
      <c r="AA45" s="234">
        <f t="shared" si="2"/>
        <v>19501454</v>
      </c>
      <c r="AB45" s="234">
        <v>1.5152383E7</v>
      </c>
      <c r="AC45" s="234">
        <v>1049987.0</v>
      </c>
      <c r="AD45" s="234">
        <v>0.0</v>
      </c>
      <c r="AE45" s="234">
        <f t="shared" si="3"/>
        <v>16202370</v>
      </c>
      <c r="AF45" s="234">
        <v>2820965.0</v>
      </c>
      <c r="AG45" s="234">
        <f t="shared" si="4"/>
        <v>19023335</v>
      </c>
      <c r="AH45" s="234">
        <v>1.4053599E7</v>
      </c>
      <c r="AI45" s="234">
        <v>1094109.0</v>
      </c>
      <c r="AJ45" s="234">
        <v>0.0</v>
      </c>
      <c r="AK45" s="234">
        <f t="shared" si="5"/>
        <v>15147708</v>
      </c>
      <c r="AL45" s="234">
        <v>2642415.0</v>
      </c>
      <c r="AM45" s="234">
        <f t="shared" si="6"/>
        <v>17790123</v>
      </c>
      <c r="AN45" s="234">
        <v>1.3759865E7</v>
      </c>
      <c r="AO45" s="234">
        <v>958526.0</v>
      </c>
      <c r="AP45" s="234"/>
      <c r="AQ45" s="234">
        <f t="shared" si="11"/>
        <v>14718391</v>
      </c>
      <c r="AR45" s="234">
        <f>2150216+63944+186515</f>
        <v>2400675</v>
      </c>
      <c r="AS45" s="234">
        <f t="shared" si="8"/>
        <v>17119066</v>
      </c>
      <c r="AT45" s="234">
        <v>1.3751187E7</v>
      </c>
      <c r="AU45" s="234">
        <v>970981.0</v>
      </c>
      <c r="AV45" s="234"/>
      <c r="AW45" s="234">
        <f t="shared" si="12"/>
        <v>14722168</v>
      </c>
      <c r="AX45" s="234">
        <f>2023432+50897</f>
        <v>2074329</v>
      </c>
      <c r="AY45" s="234">
        <f t="shared" si="10"/>
        <v>16796497</v>
      </c>
      <c r="AZ45" s="203" t="s">
        <v>1498</v>
      </c>
      <c r="BA45" s="235" t="s">
        <v>1572</v>
      </c>
      <c r="BB45" s="241" t="s">
        <v>1573</v>
      </c>
      <c r="BD45" s="236"/>
    </row>
    <row r="46" ht="12.75" customHeight="1">
      <c r="A46" s="203" t="s">
        <v>225</v>
      </c>
      <c r="B46" s="203" t="s">
        <v>226</v>
      </c>
      <c r="C46" s="203" t="s">
        <v>1376</v>
      </c>
      <c r="D46" s="203" t="s">
        <v>1574</v>
      </c>
      <c r="E46" s="231">
        <v>1.559E11</v>
      </c>
      <c r="F46" s="231" t="str">
        <f>IF(ISNUMBER(Table1[[#This Row],[2019 Scope 3 ]]),IF(Table1[[#This Row],[Net Earnings/Income (2019)]]-k_cost*Table1[[#This Row],[2019 Total Scope 1, 2 + 3]]&lt;0,"Y","N"),"NA")</f>
        <v>#ERROR!</v>
      </c>
      <c r="G46" s="63" t="str">
        <f>IF(ISNUMBER(Table1[[#This Row],[2019 Scope 3 ]]),IF(k_cost*Table1[[#This Row],[2019 Total Scope 1, 2 + 3]]/Table1[[#This Row],[Size (2019 Revenue)]]&gt;k_rev_max,"Y","N"),"NA")</f>
        <v>#ERROR!</v>
      </c>
      <c r="H46" s="63" t="str">
        <f>IF(OR(Table1[[#This Row],[Net earnings post carbon price @85/t]]="Y",Table1[[#This Row],[Carbon costs in % revenue]] = "Y"),"Y",IF(OR(Table1[[#This Row],[Net earnings post carbon price @85/t]]="NA",Table1[[#This Row],[Carbon costs in % revenue]]="NA"),"NA","N"))</f>
        <v>#ERROR!</v>
      </c>
      <c r="I46" s="231">
        <v>4.7E7</v>
      </c>
      <c r="J46" s="232">
        <v>1956.0</v>
      </c>
      <c r="K46" s="231" t="s">
        <v>1498</v>
      </c>
      <c r="L46" s="1" t="s">
        <v>1498</v>
      </c>
      <c r="M46" s="203" t="s">
        <v>1499</v>
      </c>
      <c r="N46" s="1">
        <v>2050.0</v>
      </c>
      <c r="O46" s="1">
        <v>2020.0</v>
      </c>
      <c r="P46" s="1" t="s">
        <v>1499</v>
      </c>
      <c r="Q46" s="1" t="s">
        <v>1499</v>
      </c>
      <c r="R46" s="1" t="s">
        <v>1498</v>
      </c>
      <c r="S46" s="1">
        <v>2035.0</v>
      </c>
      <c r="T46" s="219" t="str">
        <f>IFERROR((Table1[[#This Row],[2019 Total Scope 1, 2 + 3]])/Table1[[#This Row],[2018 Total Scope 1, 2 + Scope 3]]-1,"NA")</f>
        <v>#ERROR!</v>
      </c>
      <c r="V46" s="234">
        <v>1451947.0</v>
      </c>
      <c r="W46" s="234">
        <v>3068182.0</v>
      </c>
      <c r="X46" s="234"/>
      <c r="Y46" s="234">
        <f t="shared" si="1"/>
        <v>4520129</v>
      </c>
      <c r="Z46" s="234">
        <f>39676648+1280384+1066000+2102900+9297+61306+803387+134760000+1360000+1957800</f>
        <v>183077722</v>
      </c>
      <c r="AA46" s="234">
        <f t="shared" si="2"/>
        <v>187597851</v>
      </c>
      <c r="AB46" s="234">
        <v>1442963.0</v>
      </c>
      <c r="AC46" s="234">
        <v>3349808.0</v>
      </c>
      <c r="AD46" s="234">
        <v>0.0</v>
      </c>
      <c r="AE46" s="234">
        <f t="shared" si="3"/>
        <v>4792771</v>
      </c>
      <c r="AF46" s="234">
        <v>1.34409771E8</v>
      </c>
      <c r="AG46" s="234">
        <f t="shared" si="4"/>
        <v>139202542</v>
      </c>
      <c r="AH46" s="234">
        <v>1389740.0</v>
      </c>
      <c r="AI46" s="234">
        <v>3482444.0</v>
      </c>
      <c r="AJ46" s="234">
        <v>0.0</v>
      </c>
      <c r="AK46" s="234">
        <f t="shared" si="5"/>
        <v>4872184</v>
      </c>
      <c r="AL46" s="234" t="s">
        <v>536</v>
      </c>
      <c r="AM46" s="234" t="str">
        <f t="shared" si="6"/>
        <v/>
      </c>
      <c r="AN46" s="234">
        <v>1304409.0</v>
      </c>
      <c r="AO46" s="234">
        <v>3312936.0</v>
      </c>
      <c r="AP46" s="234"/>
      <c r="AQ46" s="234">
        <f t="shared" si="11"/>
        <v>4617345</v>
      </c>
      <c r="AR46" s="234">
        <f>13133594+2413+1502980+22295+57192+651750+665461+131000000</f>
        <v>147035685</v>
      </c>
      <c r="AS46" s="234">
        <f t="shared" si="8"/>
        <v>151653030</v>
      </c>
      <c r="AT46" s="234" t="s">
        <v>536</v>
      </c>
      <c r="AU46" s="234" t="s">
        <v>536</v>
      </c>
      <c r="AV46" s="234"/>
      <c r="AW46" s="234" t="str">
        <f t="shared" si="12"/>
        <v/>
      </c>
      <c r="AX46" s="234" t="s">
        <v>536</v>
      </c>
      <c r="AY46" s="234" t="str">
        <f t="shared" si="10"/>
        <v/>
      </c>
      <c r="AZ46" s="241" t="s">
        <v>1575</v>
      </c>
      <c r="BA46" s="235" t="s">
        <v>1576</v>
      </c>
      <c r="BD46" s="236"/>
    </row>
    <row r="47" ht="12.75" customHeight="1">
      <c r="A47" s="203" t="s">
        <v>231</v>
      </c>
      <c r="B47" s="203" t="s">
        <v>231</v>
      </c>
      <c r="C47" s="203" t="s">
        <v>1276</v>
      </c>
      <c r="D47" s="1" t="s">
        <v>1276</v>
      </c>
      <c r="E47" s="231">
        <v>3.935E10</v>
      </c>
      <c r="F47" s="231" t="str">
        <f>IF(ISNUMBER(Table1[[#This Row],[2019 Scope 3 ]]),IF(Table1[[#This Row],[Net Earnings/Income (2019)]]-k_cost*Table1[[#This Row],[2019 Total Scope 1, 2 + 3]]&lt;0,"Y","N"),"NA")</f>
        <v>#ERROR!</v>
      </c>
      <c r="G47" s="63" t="str">
        <f>IF(ISNUMBER(Table1[[#This Row],[2019 Scope 3 ]]),IF(k_cost*Table1[[#This Row],[2019 Total Scope 1, 2 + 3]]/Table1[[#This Row],[Size (2019 Revenue)]]&gt;k_rev_max,"Y","N"),"NA")</f>
        <v>#ERROR!</v>
      </c>
      <c r="H47" s="63" t="str">
        <f>IF(OR(Table1[[#This Row],[Net earnings post carbon price @85/t]]="Y",Table1[[#This Row],[Carbon costs in % revenue]] = "Y"),"Y",IF(OR(Table1[[#This Row],[Net earnings post carbon price @85/t]]="NA",Table1[[#This Row],[Carbon costs in % revenue]]="NA"),"NA","N"))</f>
        <v>#ERROR!</v>
      </c>
      <c r="I47" s="231">
        <v>3.484E9</v>
      </c>
      <c r="J47" s="232">
        <v>1899.0</v>
      </c>
      <c r="K47" s="231" t="s">
        <v>1498</v>
      </c>
      <c r="L47" s="1" t="s">
        <v>1499</v>
      </c>
      <c r="M47" s="203" t="s">
        <v>1499</v>
      </c>
      <c r="N47" s="203"/>
      <c r="O47" s="203"/>
      <c r="P47" s="203" t="s">
        <v>1499</v>
      </c>
      <c r="Q47" s="203" t="s">
        <v>1499</v>
      </c>
      <c r="R47" s="203" t="s">
        <v>1499</v>
      </c>
      <c r="S47" s="203" t="s">
        <v>1499</v>
      </c>
      <c r="T47" s="219" t="str">
        <f>IFERROR((Table1[[#This Row],[2019 Total Scope 1, 2 + 3]])/Table1[[#This Row],[2018 Total Scope 1, 2 + Scope 3]]-1,"NA")</f>
        <v>#ERROR!</v>
      </c>
      <c r="U47" s="203"/>
      <c r="V47" s="234">
        <v>317081.0</v>
      </c>
      <c r="W47" s="234">
        <v>445119.0</v>
      </c>
      <c r="X47" s="234"/>
      <c r="Y47" s="234">
        <f t="shared" si="1"/>
        <v>762200</v>
      </c>
      <c r="Z47" s="234" t="s">
        <v>536</v>
      </c>
      <c r="AA47" s="234" t="str">
        <f t="shared" si="2"/>
        <v/>
      </c>
      <c r="AB47" s="234">
        <v>306430.0</v>
      </c>
      <c r="AC47" s="234">
        <v>487731.0</v>
      </c>
      <c r="AD47" s="234"/>
      <c r="AE47" s="234">
        <f t="shared" si="3"/>
        <v>794161</v>
      </c>
      <c r="AF47" s="234" t="s">
        <v>536</v>
      </c>
      <c r="AG47" s="234" t="str">
        <f t="shared" si="4"/>
        <v/>
      </c>
      <c r="AH47" s="234">
        <v>305836.0</v>
      </c>
      <c r="AI47" s="234">
        <v>478428.0</v>
      </c>
      <c r="AJ47" s="234"/>
      <c r="AK47" s="234">
        <f t="shared" si="5"/>
        <v>784264</v>
      </c>
      <c r="AL47" s="234" t="s">
        <v>536</v>
      </c>
      <c r="AM47" s="234" t="str">
        <f t="shared" si="6"/>
        <v/>
      </c>
      <c r="AN47" s="234">
        <v>298276.0</v>
      </c>
      <c r="AO47" s="234">
        <v>523497.0</v>
      </c>
      <c r="AP47" s="234"/>
      <c r="AQ47" s="234">
        <f t="shared" si="11"/>
        <v>821773</v>
      </c>
      <c r="AR47" s="234" t="s">
        <v>536</v>
      </c>
      <c r="AS47" s="234" t="str">
        <f t="shared" si="8"/>
        <v/>
      </c>
      <c r="AT47" s="234" t="s">
        <v>536</v>
      </c>
      <c r="AU47" s="234" t="s">
        <v>536</v>
      </c>
      <c r="AV47" s="234"/>
      <c r="AW47" s="234" t="str">
        <f t="shared" si="12"/>
        <v/>
      </c>
      <c r="AX47" s="234" t="s">
        <v>536</v>
      </c>
      <c r="AY47" s="234" t="str">
        <f t="shared" si="10"/>
        <v/>
      </c>
      <c r="AZ47" s="203" t="s">
        <v>1499</v>
      </c>
      <c r="BA47" s="235" t="s">
        <v>1577</v>
      </c>
      <c r="BD47" s="236"/>
    </row>
    <row r="48" ht="12.75" customHeight="1">
      <c r="A48" s="203" t="s">
        <v>236</v>
      </c>
      <c r="B48" s="203" t="s">
        <v>237</v>
      </c>
      <c r="C48" s="203" t="s">
        <v>1276</v>
      </c>
      <c r="D48" s="203" t="s">
        <v>1539</v>
      </c>
      <c r="E48" s="231">
        <v>9.5214E10</v>
      </c>
      <c r="F48" s="231" t="str">
        <f>IF(ISNUMBER(Table1[[#This Row],[2019 Scope 3 ]]),IF(Table1[[#This Row],[Net Earnings/Income (2019)]]-k_cost*Table1[[#This Row],[2019 Total Scope 1, 2 + 3]]&lt;0,"Y","N"),"NA")</f>
        <v>#ERROR!</v>
      </c>
      <c r="G48" s="63" t="str">
        <f>IF(ISNUMBER(Table1[[#This Row],[2019 Scope 3 ]]),IF(k_cost*Table1[[#This Row],[2019 Total Scope 1, 2 + 3]]/Table1[[#This Row],[Size (2019 Revenue)]]&gt;k_rev_max,"Y","N"),"NA")</f>
        <v>#ERROR!</v>
      </c>
      <c r="H48" s="63" t="str">
        <f>IF(OR(Table1[[#This Row],[Net earnings post carbon price @85/t]]="Y",Table1[[#This Row],[Carbon costs in % revenue]] = "Y"),"Y",IF(OR(Table1[[#This Row],[Net earnings post carbon price @85/t]]="NA",Table1[[#This Row],[Carbon costs in % revenue]]="NA"),"NA","N"))</f>
        <v>#ERROR!</v>
      </c>
      <c r="I48" s="237">
        <v>-5.439E9</v>
      </c>
      <c r="J48" s="232">
        <v>1896.0</v>
      </c>
      <c r="K48" s="231" t="s">
        <v>1498</v>
      </c>
      <c r="L48" s="1" t="s">
        <v>1499</v>
      </c>
      <c r="M48" s="203" t="s">
        <v>1499</v>
      </c>
      <c r="N48" s="203">
        <v>2030.0</v>
      </c>
      <c r="O48" s="203">
        <v>2020.0</v>
      </c>
      <c r="P48" s="203" t="s">
        <v>1499</v>
      </c>
      <c r="Q48" s="203" t="s">
        <v>1499</v>
      </c>
      <c r="R48" s="203" t="s">
        <v>1499</v>
      </c>
      <c r="S48" s="203" t="s">
        <v>1499</v>
      </c>
      <c r="T48" s="219" t="str">
        <f>IFERROR((Table1[[#This Row],[2019 Total Scope 1, 2 + 3]])/Table1[[#This Row],[2018 Total Scope 1, 2 + Scope 3]]-1,"NA")</f>
        <v>#ERROR!</v>
      </c>
      <c r="U48" s="203"/>
      <c r="V48" s="234">
        <v>1000000.0</v>
      </c>
      <c r="W48" s="234">
        <v>1390000.0</v>
      </c>
      <c r="X48" s="234"/>
      <c r="Y48" s="234">
        <f t="shared" si="1"/>
        <v>2390000</v>
      </c>
      <c r="Z48" s="234">
        <v>680000.0</v>
      </c>
      <c r="AA48" s="234">
        <f t="shared" si="2"/>
        <v>3070000</v>
      </c>
      <c r="AB48" s="234">
        <v>1290000.0</v>
      </c>
      <c r="AC48" s="234">
        <v>1510000.0</v>
      </c>
      <c r="AD48" s="234">
        <v>0.0</v>
      </c>
      <c r="AE48" s="234">
        <f t="shared" si="3"/>
        <v>2800000</v>
      </c>
      <c r="AF48" s="234">
        <v>2340000.0</v>
      </c>
      <c r="AG48" s="234">
        <f t="shared" si="4"/>
        <v>5140000</v>
      </c>
      <c r="AH48" s="234">
        <v>1670000.0</v>
      </c>
      <c r="AI48" s="234">
        <v>2110000.0</v>
      </c>
      <c r="AJ48" s="234">
        <v>0.0</v>
      </c>
      <c r="AK48" s="234">
        <f t="shared" si="5"/>
        <v>3780000</v>
      </c>
      <c r="AL48" s="234">
        <v>2790000.0</v>
      </c>
      <c r="AM48" s="234">
        <f t="shared" si="6"/>
        <v>6570000</v>
      </c>
      <c r="AN48" s="234">
        <v>1621000.0</v>
      </c>
      <c r="AO48" s="234">
        <v>2207000.0</v>
      </c>
      <c r="AP48" s="234"/>
      <c r="AQ48" s="234">
        <f t="shared" si="11"/>
        <v>3828000</v>
      </c>
      <c r="AR48" s="234">
        <f>8000000</f>
        <v>8000000</v>
      </c>
      <c r="AS48" s="234">
        <f t="shared" si="8"/>
        <v>11828000</v>
      </c>
      <c r="AT48" s="234">
        <v>1961000.0</v>
      </c>
      <c r="AU48" s="234">
        <v>2572000.0</v>
      </c>
      <c r="AV48" s="234"/>
      <c r="AW48" s="234">
        <f t="shared" si="12"/>
        <v>4533000</v>
      </c>
      <c r="AX48" s="234">
        <f>11500000</f>
        <v>11500000</v>
      </c>
      <c r="AY48" s="234">
        <f t="shared" si="10"/>
        <v>16033000</v>
      </c>
      <c r="AZ48" s="203" t="s">
        <v>1498</v>
      </c>
      <c r="BA48" s="235" t="s">
        <v>1578</v>
      </c>
      <c r="BB48" s="203" t="s">
        <v>1579</v>
      </c>
      <c r="BD48" s="236"/>
    </row>
    <row r="49" ht="12.75" customHeight="1">
      <c r="A49" s="203" t="s">
        <v>242</v>
      </c>
      <c r="B49" s="203" t="s">
        <v>243</v>
      </c>
      <c r="C49" s="203" t="s">
        <v>1376</v>
      </c>
      <c r="D49" s="203" t="s">
        <v>1574</v>
      </c>
      <c r="E49" s="231">
        <v>1.37237E11</v>
      </c>
      <c r="F49" s="231" t="str">
        <f>IF(ISNUMBER(Table1[[#This Row],[2019 Scope 3 ]]),IF(Table1[[#This Row],[Net Earnings/Income (2019)]]-k_cost*Table1[[#This Row],[2019 Total Scope 1, 2 + 3]]&lt;0,"Y","N"),"NA")</f>
        <v>#ERROR!</v>
      </c>
      <c r="G49" s="63" t="str">
        <f>IF(ISNUMBER(Table1[[#This Row],[2019 Scope 3 ]]),IF(k_cost*Table1[[#This Row],[2019 Total Scope 1, 2 + 3]]/Table1[[#This Row],[Size (2019 Revenue)]]&gt;k_rev_max,"Y","N"),"NA")</f>
        <v>#ERROR!</v>
      </c>
      <c r="H49" s="63" t="str">
        <f>IF(OR(Table1[[#This Row],[Net earnings post carbon price @85/t]]="Y",Table1[[#This Row],[Carbon costs in % revenue]] = "Y"),"Y",IF(OR(Table1[[#This Row],[Net earnings post carbon price @85/t]]="NA",Table1[[#This Row],[Carbon costs in % revenue]]="NA"),"NA","N"))</f>
        <v>#ERROR!</v>
      </c>
      <c r="I49" s="231">
        <v>6.581E9</v>
      </c>
      <c r="J49" s="232">
        <v>1908.0</v>
      </c>
      <c r="K49" s="231" t="s">
        <v>1498</v>
      </c>
      <c r="L49" s="1" t="s">
        <v>1498</v>
      </c>
      <c r="M49" s="203" t="s">
        <v>1499</v>
      </c>
      <c r="N49" s="1">
        <v>2050.0</v>
      </c>
      <c r="O49" s="1">
        <v>2020.0</v>
      </c>
      <c r="P49" s="203" t="s">
        <v>1499</v>
      </c>
      <c r="Q49" s="203" t="s">
        <v>1499</v>
      </c>
      <c r="R49" s="1" t="s">
        <v>1498</v>
      </c>
      <c r="S49" s="1">
        <v>2040.0</v>
      </c>
      <c r="T49" s="219" t="str">
        <f>IFERROR((Table1[[#This Row],[2019 Total Scope 1, 2 + 3]])/Table1[[#This Row],[2018 Total Scope 1, 2 + Scope 3]]-1,"NA")</f>
        <v>#ERROR!</v>
      </c>
      <c r="V49" s="234">
        <v>1589700.0</v>
      </c>
      <c r="W49" s="234">
        <v>3721875.0</v>
      </c>
      <c r="X49" s="234">
        <v>0.0</v>
      </c>
      <c r="Y49" s="234">
        <f t="shared" si="1"/>
        <v>5311575</v>
      </c>
      <c r="Z49" s="234">
        <v>2.49384317E8</v>
      </c>
      <c r="AA49" s="234">
        <f t="shared" si="2"/>
        <v>254695892</v>
      </c>
      <c r="AB49" s="234">
        <v>1763555.0</v>
      </c>
      <c r="AC49" s="234">
        <v>4322761.0</v>
      </c>
      <c r="AD49" s="234">
        <v>0.0</v>
      </c>
      <c r="AE49" s="234">
        <f t="shared" si="3"/>
        <v>6086316</v>
      </c>
      <c r="AF49" s="234">
        <v>2.64563698E8</v>
      </c>
      <c r="AG49" s="234">
        <f t="shared" si="4"/>
        <v>270650014</v>
      </c>
      <c r="AH49" s="234">
        <v>1848804.0</v>
      </c>
      <c r="AI49" s="234">
        <v>4302887.0</v>
      </c>
      <c r="AJ49" s="234"/>
      <c r="AK49" s="234">
        <f t="shared" si="5"/>
        <v>6151691</v>
      </c>
      <c r="AL49" s="234">
        <v>2.86310319E8</v>
      </c>
      <c r="AM49" s="234">
        <f t="shared" si="6"/>
        <v>292462010</v>
      </c>
      <c r="AN49" s="234">
        <v>1815001.0</v>
      </c>
      <c r="AO49" s="234">
        <v>5095809.0</v>
      </c>
      <c r="AP49" s="234"/>
      <c r="AQ49" s="234">
        <f t="shared" si="11"/>
        <v>6910810</v>
      </c>
      <c r="AR49" s="234">
        <v>3.20911918E8</v>
      </c>
      <c r="AS49" s="234">
        <f t="shared" si="8"/>
        <v>327822728</v>
      </c>
      <c r="AT49" s="234">
        <v>1863495.0</v>
      </c>
      <c r="AU49" s="234">
        <v>4763994.0</v>
      </c>
      <c r="AV49" s="234"/>
      <c r="AW49" s="234">
        <f t="shared" si="12"/>
        <v>6627489</v>
      </c>
      <c r="AX49" s="234" t="s">
        <v>536</v>
      </c>
      <c r="AY49" s="234" t="str">
        <f t="shared" si="10"/>
        <v/>
      </c>
      <c r="AZ49" s="203" t="s">
        <v>1498</v>
      </c>
      <c r="BD49" s="236"/>
    </row>
    <row r="50" ht="12.75" customHeight="1">
      <c r="A50" s="203" t="s">
        <v>248</v>
      </c>
      <c r="B50" s="203" t="s">
        <v>249</v>
      </c>
      <c r="C50" s="203" t="s">
        <v>1283</v>
      </c>
      <c r="D50" s="203" t="s">
        <v>1503</v>
      </c>
      <c r="E50" s="231">
        <v>2.2449E10</v>
      </c>
      <c r="F50" s="231" t="str">
        <f>IF(ISNUMBER(Table1[[#This Row],[2019 Scope 3 ]]),IF(Table1[[#This Row],[Net Earnings/Income (2019)]]-k_cost*Table1[[#This Row],[2019 Total Scope 1, 2 + 3]]&lt;0,"Y","N"),"NA")</f>
        <v>#ERROR!</v>
      </c>
      <c r="G50" s="63" t="str">
        <f>IF(ISNUMBER(Table1[[#This Row],[2019 Scope 3 ]]),IF(k_cost*Table1[[#This Row],[2019 Total Scope 1, 2 + 3]]/Table1[[#This Row],[Size (2019 Revenue)]]&gt;k_rev_max,"Y","N"),"NA")</f>
        <v>#ERROR!</v>
      </c>
      <c r="H50" s="63" t="str">
        <f>IF(OR(Table1[[#This Row],[Net earnings post carbon price @85/t]]="Y",Table1[[#This Row],[Carbon costs in % revenue]] = "Y"),"Y",IF(OR(Table1[[#This Row],[Net earnings post carbon price @85/t]]="NA",Table1[[#This Row],[Carbon costs in % revenue]]="NA"),"NA","N"))</f>
        <v>#ERROR!</v>
      </c>
      <c r="I50" s="231">
        <v>5.386E9</v>
      </c>
      <c r="J50" s="232">
        <v>1992.0</v>
      </c>
      <c r="K50" s="231" t="s">
        <v>1498</v>
      </c>
      <c r="L50" s="1" t="s">
        <v>1499</v>
      </c>
      <c r="M50" s="203" t="s">
        <v>1499</v>
      </c>
      <c r="P50" s="1">
        <v>69620.0</v>
      </c>
      <c r="Q50" s="203" t="s">
        <v>1499</v>
      </c>
      <c r="R50" s="203" t="s">
        <v>1499</v>
      </c>
      <c r="S50" s="203" t="s">
        <v>1499</v>
      </c>
      <c r="T50" s="219" t="str">
        <f>IFERROR((Table1[[#This Row],[2019 Total Scope 1, 2 + 3]])/Table1[[#This Row],[2018 Total Scope 1, 2 + Scope 3]]-1,"NA")</f>
        <v>#ERROR!</v>
      </c>
      <c r="U50" s="203"/>
      <c r="V50" s="234">
        <v>52019.0</v>
      </c>
      <c r="W50" s="234">
        <v>21716.0</v>
      </c>
      <c r="X50" s="234"/>
      <c r="Y50" s="234">
        <f t="shared" si="1"/>
        <v>73735</v>
      </c>
      <c r="Z50" s="234">
        <f>1229479+95700+25250+17003+4810+40399+23656</f>
        <v>1436297</v>
      </c>
      <c r="AA50" s="234">
        <f t="shared" si="2"/>
        <v>1510032</v>
      </c>
      <c r="AB50" s="234">
        <v>47256.0</v>
      </c>
      <c r="AC50" s="234">
        <v>26647.0</v>
      </c>
      <c r="AD50" s="234"/>
      <c r="AE50" s="234">
        <f t="shared" si="3"/>
        <v>73903</v>
      </c>
      <c r="AF50" s="234">
        <f>22519+10881+38186</f>
        <v>71586</v>
      </c>
      <c r="AG50" s="234">
        <f t="shared" si="4"/>
        <v>145489</v>
      </c>
      <c r="AH50" s="234">
        <v>46330.0</v>
      </c>
      <c r="AI50" s="234">
        <v>46217.0</v>
      </c>
      <c r="AJ50" s="234">
        <v>0.0</v>
      </c>
      <c r="AK50" s="234">
        <f t="shared" si="5"/>
        <v>92547</v>
      </c>
      <c r="AL50" s="234">
        <v>33056.0</v>
      </c>
      <c r="AM50" s="234">
        <f t="shared" si="6"/>
        <v>125603</v>
      </c>
      <c r="AN50" s="234">
        <v>44531.0</v>
      </c>
      <c r="AO50" s="234">
        <v>48296.0</v>
      </c>
      <c r="AP50" s="234">
        <v>0.0</v>
      </c>
      <c r="AQ50" s="234">
        <f t="shared" si="11"/>
        <v>92827</v>
      </c>
      <c r="AR50" s="234">
        <v>32003.0</v>
      </c>
      <c r="AS50" s="234">
        <f t="shared" si="8"/>
        <v>124830</v>
      </c>
      <c r="AT50" s="234" t="s">
        <v>536</v>
      </c>
      <c r="AU50" s="234" t="s">
        <v>536</v>
      </c>
      <c r="AV50" s="234"/>
      <c r="AW50" s="234" t="str">
        <f t="shared" si="12"/>
        <v/>
      </c>
      <c r="AX50" s="234" t="s">
        <v>536</v>
      </c>
      <c r="AY50" s="234" t="str">
        <f t="shared" si="10"/>
        <v/>
      </c>
      <c r="AZ50" s="203" t="s">
        <v>1499</v>
      </c>
      <c r="BA50" s="235" t="s">
        <v>1580</v>
      </c>
      <c r="BD50" s="236"/>
    </row>
    <row r="51" ht="12.75" customHeight="1">
      <c r="A51" s="203" t="s">
        <v>254</v>
      </c>
      <c r="B51" s="203" t="s">
        <v>255</v>
      </c>
      <c r="C51" s="203" t="s">
        <v>1298</v>
      </c>
      <c r="D51" s="203" t="s">
        <v>1530</v>
      </c>
      <c r="E51" s="231">
        <v>3.6546E10</v>
      </c>
      <c r="F51" s="231" t="str">
        <f>IF(ISNUMBER(Table1[[#This Row],[2019 Scope 3 ]]),IF(Table1[[#This Row],[Net Earnings/Income (2019)]]-k_cost*Table1[[#This Row],[2019 Total Scope 1, 2 + 3]]&lt;0,"Y","N"),"NA")</f>
        <v>#ERROR!</v>
      </c>
      <c r="G51" s="63" t="str">
        <f>IF(ISNUMBER(Table1[[#This Row],[2019 Scope 3 ]]),IF(k_cost*Table1[[#This Row],[2019 Total Scope 1, 2 + 3]]/Table1[[#This Row],[Size (2019 Revenue)]]&gt;k_rev_max,"Y","N"),"NA")</f>
        <v>#ERROR!</v>
      </c>
      <c r="H51" s="63" t="str">
        <f>IF(OR(Table1[[#This Row],[Net earnings post carbon price @85/t]]="Y",Table1[[#This Row],[Carbon costs in % revenue]] = "Y"),"Y",IF(OR(Table1[[#This Row],[Net earnings post carbon price @85/t]]="NA",Table1[[#This Row],[Carbon costs in % revenue]]="NA"),"NA","N"))</f>
        <v>#ERROR!</v>
      </c>
      <c r="I51" s="231">
        <v>8.47E9</v>
      </c>
      <c r="J51" s="232">
        <v>1999.0</v>
      </c>
      <c r="K51" s="231" t="s">
        <v>1498</v>
      </c>
      <c r="L51" s="1" t="s">
        <v>1498</v>
      </c>
      <c r="M51" s="1" t="s">
        <v>1499</v>
      </c>
      <c r="N51" s="1">
        <v>2015.0</v>
      </c>
      <c r="O51" s="1">
        <v>2009.0</v>
      </c>
      <c r="Q51" s="1" t="s">
        <v>1498</v>
      </c>
      <c r="R51" s="1" t="s">
        <v>1498</v>
      </c>
      <c r="S51" s="1">
        <v>2020.0</v>
      </c>
      <c r="T51" s="219" t="str">
        <f>IFERROR((Table1[[#This Row],[2019 Total Scope 1, 2 + 3]])/Table1[[#This Row],[2018 Total Scope 1, 2 + Scope 3]]-1,"NA")</f>
        <v>#ERROR!</v>
      </c>
      <c r="V51" s="234">
        <v>12673.0</v>
      </c>
      <c r="W51" s="234">
        <v>9109.0</v>
      </c>
      <c r="X51" s="234">
        <v>0.0</v>
      </c>
      <c r="Y51" s="234">
        <f t="shared" si="1"/>
        <v>21782</v>
      </c>
      <c r="Z51" s="234">
        <v>135473.0</v>
      </c>
      <c r="AA51" s="234">
        <f t="shared" si="2"/>
        <v>157255</v>
      </c>
      <c r="AB51" s="234">
        <v>11565.0</v>
      </c>
      <c r="AC51" s="234">
        <v>16284.0</v>
      </c>
      <c r="AD51" s="234"/>
      <c r="AE51" s="234">
        <f t="shared" si="3"/>
        <v>27849</v>
      </c>
      <c r="AF51" s="234">
        <v>139893.0</v>
      </c>
      <c r="AG51" s="234">
        <f t="shared" si="4"/>
        <v>167742</v>
      </c>
      <c r="AH51" s="234">
        <v>11231.0</v>
      </c>
      <c r="AI51" s="234">
        <v>18410.0</v>
      </c>
      <c r="AJ51" s="234"/>
      <c r="AK51" s="234">
        <f t="shared" si="5"/>
        <v>29641</v>
      </c>
      <c r="AL51" s="234">
        <v>120001.0</v>
      </c>
      <c r="AM51" s="234">
        <f t="shared" si="6"/>
        <v>149642</v>
      </c>
      <c r="AN51" s="234">
        <v>11520.0</v>
      </c>
      <c r="AO51" s="234">
        <v>34179.0</v>
      </c>
      <c r="AP51" s="234"/>
      <c r="AQ51" s="234">
        <f t="shared" si="11"/>
        <v>45699</v>
      </c>
      <c r="AR51" s="234">
        <v>102266.0</v>
      </c>
      <c r="AS51" s="234">
        <f t="shared" si="8"/>
        <v>147965</v>
      </c>
      <c r="AT51" s="234">
        <v>11900.0</v>
      </c>
      <c r="AU51" s="234">
        <v>51690.0</v>
      </c>
      <c r="AV51" s="234"/>
      <c r="AW51" s="234">
        <f t="shared" si="12"/>
        <v>63590</v>
      </c>
      <c r="AX51" s="234">
        <v>148918.0</v>
      </c>
      <c r="AY51" s="234">
        <f t="shared" si="10"/>
        <v>212508</v>
      </c>
      <c r="AZ51" s="241" t="s">
        <v>1498</v>
      </c>
      <c r="BA51" s="235" t="s">
        <v>1581</v>
      </c>
      <c r="BB51" s="203" t="s">
        <v>1579</v>
      </c>
      <c r="BC51" s="241" t="s">
        <v>1582</v>
      </c>
      <c r="BD51" s="236"/>
    </row>
    <row r="52" ht="12.75" customHeight="1">
      <c r="A52" s="203" t="s">
        <v>260</v>
      </c>
      <c r="B52" s="203" t="s">
        <v>260</v>
      </c>
      <c r="C52" s="203" t="s">
        <v>1376</v>
      </c>
      <c r="D52" s="203" t="s">
        <v>962</v>
      </c>
      <c r="E52" s="237">
        <v>1.102E11</v>
      </c>
      <c r="F52" s="231" t="str">
        <f>IF(ISNUMBER(Table1[[#This Row],[2019 Scope 3 ]]),IF(Table1[[#This Row],[Net Earnings/Income (2019)]]-k_cost*Table1[[#This Row],[2019 Total Scope 1, 2 + 3]]&lt;0,"Y","N"),"NA")</f>
        <v>#ERROR!</v>
      </c>
      <c r="G52" s="63" t="str">
        <f>IF(ISNUMBER(Table1[[#This Row],[2019 Scope 3 ]]),IF(k_cost*Table1[[#This Row],[2019 Total Scope 1, 2 + 3]]/Table1[[#This Row],[Size (2019 Revenue)]]&gt;k_rev_max,"Y","N"),"NA")</f>
        <v>#ERROR!</v>
      </c>
      <c r="H52" s="63" t="str">
        <f>IF(OR(Table1[[#This Row],[Net earnings post carbon price @85/t]]="Y",Table1[[#This Row],[Carbon costs in % revenue]] = "Y"),"Y",IF(OR(Table1[[#This Row],[Net earnings post carbon price @85/t]]="NA",Table1[[#This Row],[Carbon costs in % revenue]]="NA"),"NA","N"))</f>
        <v>#ERROR!</v>
      </c>
      <c r="I52" s="237">
        <v>1.124E10</v>
      </c>
      <c r="J52" s="232">
        <v>1981.0</v>
      </c>
      <c r="K52" s="1" t="s">
        <v>1498</v>
      </c>
      <c r="L52" s="1" t="s">
        <v>1499</v>
      </c>
      <c r="M52" s="241" t="s">
        <v>1499</v>
      </c>
      <c r="P52" s="241" t="s">
        <v>1583</v>
      </c>
      <c r="Q52" s="1" t="s">
        <v>1499</v>
      </c>
      <c r="R52" s="1" t="s">
        <v>1499</v>
      </c>
      <c r="S52" s="203" t="s">
        <v>1499</v>
      </c>
      <c r="T52" s="219" t="str">
        <f>IFERROR((Table1[[#This Row],[2019 Total Scope 1, 2 + 3]])/Table1[[#This Row],[2018 Total Scope 1, 2 + Scope 3]]-1,"NA")</f>
        <v>#ERROR!</v>
      </c>
      <c r="U52" s="203"/>
      <c r="V52" s="234">
        <v>554317.0</v>
      </c>
      <c r="W52" s="234">
        <v>1302648.0</v>
      </c>
      <c r="X52" s="234"/>
      <c r="Y52" s="234">
        <f t="shared" si="1"/>
        <v>1856965</v>
      </c>
      <c r="Z52" s="234">
        <f>44487507+420000+2665080+564400+156500611</f>
        <v>204637598</v>
      </c>
      <c r="AA52" s="234">
        <f t="shared" si="2"/>
        <v>206494563</v>
      </c>
      <c r="AB52" s="234">
        <v>516246.0</v>
      </c>
      <c r="AC52" s="234">
        <v>1549876.0</v>
      </c>
      <c r="AD52" s="234"/>
      <c r="AE52" s="234">
        <f t="shared" si="3"/>
        <v>2066122</v>
      </c>
      <c r="AF52" s="234">
        <f>54000000+440000+2865590+569500+260000000</f>
        <v>317875090</v>
      </c>
      <c r="AG52" s="234">
        <f t="shared" si="4"/>
        <v>319941212</v>
      </c>
      <c r="AH52" s="234">
        <v>433633.0</v>
      </c>
      <c r="AI52" s="234">
        <v>1681640.0</v>
      </c>
      <c r="AJ52" s="234"/>
      <c r="AK52" s="234">
        <f t="shared" si="5"/>
        <v>2115273</v>
      </c>
      <c r="AL52" s="234">
        <v>3791806.0</v>
      </c>
      <c r="AM52" s="234">
        <f t="shared" si="6"/>
        <v>5907079</v>
      </c>
      <c r="AN52" s="234">
        <v>438335.0</v>
      </c>
      <c r="AO52" s="234">
        <v>1906283.0</v>
      </c>
      <c r="AP52" s="234"/>
      <c r="AQ52" s="234">
        <f t="shared" si="11"/>
        <v>2344618</v>
      </c>
      <c r="AR52" s="234">
        <v>2293060.0</v>
      </c>
      <c r="AS52" s="234">
        <f t="shared" si="8"/>
        <v>4637678</v>
      </c>
      <c r="AT52" s="234">
        <v>388664.0</v>
      </c>
      <c r="AU52" s="234">
        <v>2249712.0</v>
      </c>
      <c r="AV52" s="234"/>
      <c r="AW52" s="234">
        <f t="shared" si="12"/>
        <v>2638376</v>
      </c>
      <c r="AX52" s="234">
        <v>2133972.0</v>
      </c>
      <c r="AY52" s="234">
        <f t="shared" si="10"/>
        <v>4772348</v>
      </c>
      <c r="AZ52" s="1" t="s">
        <v>1499</v>
      </c>
      <c r="BA52" s="235" t="s">
        <v>1584</v>
      </c>
      <c r="BC52" s="241" t="s">
        <v>1585</v>
      </c>
      <c r="BD52" s="236"/>
    </row>
    <row r="53" ht="12.75" customHeight="1">
      <c r="A53" s="203" t="s">
        <v>265</v>
      </c>
      <c r="B53" s="203" t="s">
        <v>266</v>
      </c>
      <c r="C53" s="203" t="s">
        <v>1276</v>
      </c>
      <c r="D53" s="203" t="s">
        <v>1539</v>
      </c>
      <c r="E53" s="237">
        <v>3.6709E10</v>
      </c>
      <c r="F53" s="231" t="str">
        <f>IF(ISNUMBER(Table1[[#This Row],[2019 Scope 3 ]]),IF(Table1[[#This Row],[Net Earnings/Income (2019)]]-k_cost*Table1[[#This Row],[2019 Total Scope 1, 2 + 3]]&lt;0,"Y","N"),"NA")</f>
        <v>#ERROR!</v>
      </c>
      <c r="G53" s="63" t="str">
        <f>IF(ISNUMBER(Table1[[#This Row],[2019 Scope 3 ]]),IF(k_cost*Table1[[#This Row],[2019 Total Scope 1, 2 + 3]]/Table1[[#This Row],[Size (2019 Revenue)]]&gt;k_rev_max,"Y","N"),"NA")</f>
        <v>#ERROR!</v>
      </c>
      <c r="H53" s="63" t="str">
        <f>IF(OR(Table1[[#This Row],[Net earnings post carbon price @85/t]]="Y",Table1[[#This Row],[Carbon costs in % revenue]] = "Y"),"Y",IF(OR(Table1[[#This Row],[Net earnings post carbon price @85/t]]="NA",Table1[[#This Row],[Carbon costs in % revenue]]="NA"),"NA","N"))</f>
        <v>#ERROR!</v>
      </c>
      <c r="I53" s="237">
        <v>6.143E9</v>
      </c>
      <c r="J53" s="232"/>
      <c r="K53" s="1" t="s">
        <v>1498</v>
      </c>
      <c r="L53" s="1" t="s">
        <v>1499</v>
      </c>
      <c r="M53" s="1" t="s">
        <v>1499</v>
      </c>
      <c r="P53" s="241" t="s">
        <v>1586</v>
      </c>
      <c r="Q53" s="1" t="s">
        <v>1499</v>
      </c>
      <c r="R53" s="1" t="s">
        <v>1499</v>
      </c>
      <c r="S53" s="203" t="s">
        <v>1499</v>
      </c>
      <c r="T53" s="219" t="str">
        <f>IFERROR((Table1[[#This Row],[2019 Total Scope 1, 2 + 3]])/Table1[[#This Row],[2018 Total Scope 1, 2 + Scope 3]]-1,"NA")</f>
        <v>#ERROR!</v>
      </c>
      <c r="U53" s="203"/>
      <c r="V53" s="234">
        <v>1090649.0</v>
      </c>
      <c r="W53" s="234">
        <v>933484.0</v>
      </c>
      <c r="X53" s="234"/>
      <c r="Y53" s="234">
        <f t="shared" si="1"/>
        <v>2024133</v>
      </c>
      <c r="Z53" s="234">
        <f>16976983+518408+306478+163207+104444+17530</f>
        <v>18087050</v>
      </c>
      <c r="AA53" s="234">
        <f t="shared" si="2"/>
        <v>20111183</v>
      </c>
      <c r="AB53" s="234">
        <v>1479149.0</v>
      </c>
      <c r="AC53" s="234">
        <v>1036941.0</v>
      </c>
      <c r="AD53" s="234"/>
      <c r="AE53" s="234">
        <f t="shared" si="3"/>
        <v>2516090</v>
      </c>
      <c r="AF53" s="234">
        <f>17689014+504252+336382+173925+147869+12404</f>
        <v>18863846</v>
      </c>
      <c r="AG53" s="234">
        <f t="shared" si="4"/>
        <v>21379936</v>
      </c>
      <c r="AH53" s="234">
        <v>1355420.0</v>
      </c>
      <c r="AI53" s="234">
        <v>1228457.0</v>
      </c>
      <c r="AJ53" s="234"/>
      <c r="AK53" s="234">
        <f t="shared" si="5"/>
        <v>2583877</v>
      </c>
      <c r="AL53" s="234" t="s">
        <v>536</v>
      </c>
      <c r="AM53" s="234" t="str">
        <f t="shared" si="6"/>
        <v/>
      </c>
      <c r="AN53" s="234">
        <v>2699554.0</v>
      </c>
      <c r="AO53" s="234">
        <v>1518875.0</v>
      </c>
      <c r="AP53" s="234"/>
      <c r="AQ53" s="234">
        <f t="shared" si="11"/>
        <v>4218429</v>
      </c>
      <c r="AR53" s="234" t="s">
        <v>536</v>
      </c>
      <c r="AS53" s="234" t="str">
        <f t="shared" si="8"/>
        <v/>
      </c>
      <c r="AT53" s="234">
        <v>3526031.0</v>
      </c>
      <c r="AU53" s="234">
        <v>1736106.0</v>
      </c>
      <c r="AV53" s="234"/>
      <c r="AW53" s="234">
        <f t="shared" si="12"/>
        <v>5262137</v>
      </c>
      <c r="AX53" s="234" t="s">
        <v>536</v>
      </c>
      <c r="AY53" s="234" t="str">
        <f t="shared" si="10"/>
        <v/>
      </c>
      <c r="AZ53" s="1" t="s">
        <v>1499</v>
      </c>
      <c r="BA53" s="241" t="s">
        <v>1587</v>
      </c>
      <c r="BC53" s="241" t="s">
        <v>1588</v>
      </c>
      <c r="BD53" s="236"/>
    </row>
    <row r="54" ht="12.75" customHeight="1">
      <c r="A54" s="203" t="s">
        <v>271</v>
      </c>
      <c r="B54" s="203" t="s">
        <v>272</v>
      </c>
      <c r="C54" s="203" t="s">
        <v>1291</v>
      </c>
      <c r="D54" s="203" t="s">
        <v>1505</v>
      </c>
      <c r="E54" s="237">
        <v>7.714E10</v>
      </c>
      <c r="F54" s="231" t="str">
        <f>IF(ISNUMBER(Table1[[#This Row],[2019 Scope 3 ]]),IF(Table1[[#This Row],[Net Earnings/Income (2019)]]-k_cost*Table1[[#This Row],[2019 Total Scope 1, 2 + 3]]&lt;0,"Y","N"),"NA")</f>
        <v>#ERROR!</v>
      </c>
      <c r="G54" s="63" t="str">
        <f>IF(ISNUMBER(Table1[[#This Row],[2019 Scope 3 ]]),IF(k_cost*Table1[[#This Row],[2019 Total Scope 1, 2 + 3]]/Table1[[#This Row],[Size (2019 Revenue)]]&gt;k_rev_max,"Y","N"),"NA")</f>
        <v>#ERROR!</v>
      </c>
      <c r="H54" s="63" t="str">
        <f>IF(OR(Table1[[#This Row],[Net earnings post carbon price @85/t]]="Y",Table1[[#This Row],[Carbon costs in % revenue]] = "Y"),"Y",IF(OR(Table1[[#This Row],[Net earnings post carbon price @85/t]]="NA",Table1[[#This Row],[Carbon costs in % revenue]]="NA"),"NA","N"))</f>
        <v>#ERROR!</v>
      </c>
      <c r="I54" s="237">
        <v>9.43E9</v>
      </c>
      <c r="J54" s="232">
        <v>1911.0</v>
      </c>
      <c r="K54" s="1" t="s">
        <v>1498</v>
      </c>
      <c r="L54" s="1" t="s">
        <v>1499</v>
      </c>
      <c r="M54" s="1" t="s">
        <v>1499</v>
      </c>
      <c r="P54" s="241" t="s">
        <v>1589</v>
      </c>
      <c r="R54" s="1" t="s">
        <v>1499</v>
      </c>
      <c r="S54" s="1" t="s">
        <v>1590</v>
      </c>
      <c r="T54" s="219" t="str">
        <f>IFERROR((Table1[[#This Row],[2019 Total Scope 1, 2 + 3]])/Table1[[#This Row],[2018 Total Scope 1, 2 + Scope 3]]-1,"NA")</f>
        <v>#ERROR!</v>
      </c>
      <c r="V54" s="234">
        <v>114640.0</v>
      </c>
      <c r="W54" s="234">
        <v>822616.0</v>
      </c>
      <c r="X54" s="234"/>
      <c r="Y54" s="234">
        <f t="shared" si="1"/>
        <v>937256</v>
      </c>
      <c r="Z54" s="234">
        <v>1158416.0</v>
      </c>
      <c r="AA54" s="234">
        <f t="shared" si="2"/>
        <v>2095672</v>
      </c>
      <c r="AB54" s="234">
        <v>124633.0</v>
      </c>
      <c r="AC54" s="234">
        <v>963304.0</v>
      </c>
      <c r="AD54" s="234"/>
      <c r="AE54" s="234">
        <f t="shared" si="3"/>
        <v>1087937</v>
      </c>
      <c r="AF54" s="234">
        <f>329409+39017+458090+122800+397386</f>
        <v>1346702</v>
      </c>
      <c r="AG54" s="234">
        <f t="shared" si="4"/>
        <v>2434639</v>
      </c>
      <c r="AH54" s="234">
        <f>84000+40700</f>
        <v>124700</v>
      </c>
      <c r="AI54" s="234">
        <v>1077000.0</v>
      </c>
      <c r="AJ54" s="234"/>
      <c r="AK54" s="234">
        <f t="shared" si="5"/>
        <v>1201700</v>
      </c>
      <c r="AL54" s="234" t="s">
        <v>536</v>
      </c>
      <c r="AM54" s="234" t="str">
        <f t="shared" si="6"/>
        <v/>
      </c>
      <c r="AN54" s="234">
        <f>91000+42300</f>
        <v>133300</v>
      </c>
      <c r="AO54" s="234">
        <v>1156000.0</v>
      </c>
      <c r="AP54" s="234"/>
      <c r="AQ54" s="234">
        <f t="shared" si="11"/>
        <v>1289300</v>
      </c>
      <c r="AR54" s="234" t="s">
        <v>536</v>
      </c>
      <c r="AS54" s="234" t="str">
        <f t="shared" si="8"/>
        <v/>
      </c>
      <c r="AT54" s="234">
        <v>354046.0</v>
      </c>
      <c r="AU54" s="234">
        <v>1433456.0</v>
      </c>
      <c r="AV54" s="234"/>
      <c r="AW54" s="234">
        <f t="shared" si="12"/>
        <v>1787502</v>
      </c>
      <c r="AX54" s="234" t="s">
        <v>536</v>
      </c>
      <c r="AY54" s="234" t="str">
        <f t="shared" si="10"/>
        <v/>
      </c>
      <c r="AZ54" s="1" t="s">
        <v>1499</v>
      </c>
      <c r="BA54" s="241" t="s">
        <v>1591</v>
      </c>
      <c r="BC54" s="241" t="s">
        <v>1592</v>
      </c>
      <c r="BD54" s="236"/>
    </row>
    <row r="55" ht="12.75" customHeight="1">
      <c r="A55" s="203" t="s">
        <v>277</v>
      </c>
      <c r="B55" s="203" t="s">
        <v>278</v>
      </c>
      <c r="C55" s="203" t="s">
        <v>1291</v>
      </c>
      <c r="D55" s="203" t="s">
        <v>1521</v>
      </c>
      <c r="E55" s="237">
        <v>7.19E10</v>
      </c>
      <c r="F55" s="231" t="str">
        <f>IF(ISNUMBER(Table1[[#This Row],[2019 Scope 3 ]]),IF(Table1[[#This Row],[Net Earnings/Income (2019)]]-k_cost*Table1[[#This Row],[2019 Total Scope 1, 2 + 3]]&lt;0,"Y","N"),"NA")</f>
        <v>#ERROR!</v>
      </c>
      <c r="G55" s="63" t="str">
        <f>IF(ISNUMBER(Table1[[#This Row],[2019 Scope 3 ]]),IF(k_cost*Table1[[#This Row],[2019 Total Scope 1, 2 + 3]]/Table1[[#This Row],[Size (2019 Revenue)]]&gt;k_rev_max,"Y","N"),"NA")</f>
        <v>#ERROR!</v>
      </c>
      <c r="H55" s="63" t="str">
        <f>IF(OR(Table1[[#This Row],[Net earnings post carbon price @85/t]]="Y",Table1[[#This Row],[Carbon costs in % revenue]] = "Y"),"Y",IF(OR(Table1[[#This Row],[Net earnings post carbon price @85/t]]="NA",Table1[[#This Row],[Carbon costs in % revenue]]="NA"),"NA","N"))</f>
        <v>#ERROR!</v>
      </c>
      <c r="I55" s="237">
        <v>2.1E10</v>
      </c>
      <c r="J55" s="232">
        <v>1971.0</v>
      </c>
      <c r="K55" s="1" t="s">
        <v>1498</v>
      </c>
      <c r="L55" s="1" t="s">
        <v>1499</v>
      </c>
      <c r="M55" s="1" t="s">
        <v>1499</v>
      </c>
      <c r="P55" s="241" t="s">
        <v>1593</v>
      </c>
      <c r="Q55" s="1" t="s">
        <v>1499</v>
      </c>
      <c r="R55" s="1" t="s">
        <v>1499</v>
      </c>
      <c r="S55" s="1">
        <v>2030.0</v>
      </c>
      <c r="T55" s="219" t="str">
        <f>IFERROR((Table1[[#This Row],[2019 Total Scope 1, 2 + 3]])/Table1[[#This Row],[2018 Total Scope 1, 2 + Scope 3]]-1,"NA")</f>
        <v>#ERROR!</v>
      </c>
      <c r="V55" s="234">
        <v>1489000.0</v>
      </c>
      <c r="W55" s="234">
        <v>1299000.0</v>
      </c>
      <c r="X55" s="234"/>
      <c r="Y55" s="234">
        <f t="shared" si="1"/>
        <v>2788000</v>
      </c>
      <c r="Z55" s="234">
        <v>2.0342E7</v>
      </c>
      <c r="AA55" s="234">
        <f t="shared" si="2"/>
        <v>23130000</v>
      </c>
      <c r="AB55" s="234">
        <v>1458000.0</v>
      </c>
      <c r="AC55" s="234">
        <v>1120000.0</v>
      </c>
      <c r="AD55" s="234"/>
      <c r="AE55" s="234">
        <f t="shared" si="3"/>
        <v>2578000</v>
      </c>
      <c r="AF55" s="234">
        <v>2.0979E7</v>
      </c>
      <c r="AG55" s="234">
        <f t="shared" si="4"/>
        <v>23557000</v>
      </c>
      <c r="AH55" s="234">
        <v>1490000.0</v>
      </c>
      <c r="AI55" s="234">
        <v>971000.0</v>
      </c>
      <c r="AJ55" s="234"/>
      <c r="AK55" s="234">
        <f t="shared" si="5"/>
        <v>2461000</v>
      </c>
      <c r="AL55" s="234">
        <v>1.232E7</v>
      </c>
      <c r="AM55" s="234">
        <f t="shared" si="6"/>
        <v>14781000</v>
      </c>
      <c r="AN55" s="234">
        <v>976000.0</v>
      </c>
      <c r="AO55" s="234">
        <v>647000.0</v>
      </c>
      <c r="AP55" s="234"/>
      <c r="AQ55" s="234">
        <f t="shared" si="11"/>
        <v>1623000</v>
      </c>
      <c r="AR55" s="234">
        <v>2740000.0</v>
      </c>
      <c r="AS55" s="234">
        <f t="shared" si="8"/>
        <v>4363000</v>
      </c>
      <c r="AT55" s="234">
        <v>1050000.0</v>
      </c>
      <c r="AU55" s="234">
        <v>950000.0</v>
      </c>
      <c r="AV55" s="234"/>
      <c r="AW55" s="234">
        <f t="shared" si="12"/>
        <v>2000000</v>
      </c>
      <c r="AX55" s="234">
        <v>1562000.0</v>
      </c>
      <c r="AY55" s="234">
        <f t="shared" si="10"/>
        <v>3562000</v>
      </c>
      <c r="AZ55" s="241" t="s">
        <v>1498</v>
      </c>
      <c r="BA55" s="241" t="s">
        <v>1594</v>
      </c>
      <c r="BC55" s="241" t="s">
        <v>1595</v>
      </c>
      <c r="BD55" s="236"/>
    </row>
    <row r="56" ht="12.75" customHeight="1">
      <c r="A56" s="203" t="s">
        <v>283</v>
      </c>
      <c r="B56" s="203" t="s">
        <v>284</v>
      </c>
      <c r="C56" s="203" t="s">
        <v>1283</v>
      </c>
      <c r="D56" s="203" t="s">
        <v>1503</v>
      </c>
      <c r="E56" s="231">
        <v>8.206E10</v>
      </c>
      <c r="F56" s="231" t="str">
        <f>IF(ISNUMBER(Table1[[#This Row],[2019 Scope 3 ]]),IF(Table1[[#This Row],[Net Earnings/Income (2019)]]-k_cost*Table1[[#This Row],[2019 Total Scope 1, 2 + 3]]&lt;0,"Y","N"),"NA")</f>
        <v>#ERROR!</v>
      </c>
      <c r="G56" s="63" t="str">
        <f>IF(ISNUMBER(Table1[[#This Row],[2019 Scope 3 ]]),IF(k_cost*Table1[[#This Row],[2019 Total Scope 1, 2 + 3]]/Table1[[#This Row],[Size (2019 Revenue)]]&gt;k_rev_max,"Y","N"),"NA")</f>
        <v>#ERROR!</v>
      </c>
      <c r="H56" s="63" t="str">
        <f>IF(OR(Table1[[#This Row],[Net earnings post carbon price @85/t]]="Y",Table1[[#This Row],[Carbon costs in % revenue]] = "Y"),"Y",IF(OR(Table1[[#This Row],[Net earnings post carbon price @85/t]]="NA",Table1[[#This Row],[Carbon costs in % revenue]]="NA"),"NA","N"))</f>
        <v>#ERROR!</v>
      </c>
      <c r="I56" s="231">
        <v>1.512E10</v>
      </c>
      <c r="J56" s="232">
        <v>1944.0</v>
      </c>
      <c r="K56" s="231" t="s">
        <v>1498</v>
      </c>
      <c r="L56" s="1" t="s">
        <v>1499</v>
      </c>
      <c r="M56" s="1" t="s">
        <v>1499</v>
      </c>
      <c r="P56" s="241" t="s">
        <v>1596</v>
      </c>
      <c r="Q56" s="1" t="s">
        <v>1499</v>
      </c>
      <c r="R56" s="1" t="s">
        <v>1498</v>
      </c>
      <c r="S56" s="1">
        <v>2050.0</v>
      </c>
      <c r="T56" s="219" t="str">
        <f>IFERROR((Table1[[#This Row],[2019 Total Scope 1, 2 + 3]])/Table1[[#This Row],[2018 Total Scope 1, 2 + Scope 3]]-1,"NA")</f>
        <v>#ERROR!</v>
      </c>
      <c r="V56" s="234">
        <v>415094.0</v>
      </c>
      <c r="W56" s="234">
        <v>518542.0</v>
      </c>
      <c r="X56" s="234"/>
      <c r="Y56" s="234">
        <f t="shared" si="1"/>
        <v>933636</v>
      </c>
      <c r="Z56" s="234">
        <v>2.0300054E7</v>
      </c>
      <c r="AA56" s="234">
        <f t="shared" si="2"/>
        <v>21233690</v>
      </c>
      <c r="AB56" s="234">
        <v>452407.0</v>
      </c>
      <c r="AC56" s="234">
        <v>583361.0</v>
      </c>
      <c r="AD56" s="234"/>
      <c r="AE56" s="234">
        <f t="shared" si="3"/>
        <v>1035768</v>
      </c>
      <c r="AF56" s="234">
        <v>1.9612181E7</v>
      </c>
      <c r="AG56" s="234">
        <f t="shared" si="4"/>
        <v>20647949</v>
      </c>
      <c r="AH56" s="234">
        <v>474497.0</v>
      </c>
      <c r="AI56" s="234">
        <v>639323.0</v>
      </c>
      <c r="AJ56" s="234"/>
      <c r="AK56" s="234">
        <f t="shared" si="5"/>
        <v>1113820</v>
      </c>
      <c r="AL56" s="234">
        <v>1.798849E7</v>
      </c>
      <c r="AM56" s="234">
        <f t="shared" si="6"/>
        <v>19102310</v>
      </c>
      <c r="AN56" s="234">
        <v>463622.0</v>
      </c>
      <c r="AO56" s="234">
        <v>694257.0</v>
      </c>
      <c r="AP56" s="234"/>
      <c r="AQ56" s="234">
        <f t="shared" si="11"/>
        <v>1157879</v>
      </c>
      <c r="AR56" s="234">
        <v>284901.0</v>
      </c>
      <c r="AS56" s="234">
        <f t="shared" si="8"/>
        <v>1442780</v>
      </c>
      <c r="AT56" s="234">
        <v>449078.0</v>
      </c>
      <c r="AU56" s="234">
        <v>724819.0</v>
      </c>
      <c r="AV56" s="234"/>
      <c r="AW56" s="234">
        <f t="shared" si="12"/>
        <v>1173897</v>
      </c>
      <c r="AX56" s="234">
        <v>353974.0</v>
      </c>
      <c r="AY56" s="234">
        <f t="shared" si="10"/>
        <v>1527871</v>
      </c>
      <c r="AZ56" s="1" t="s">
        <v>1498</v>
      </c>
      <c r="BA56" s="241" t="s">
        <v>1597</v>
      </c>
      <c r="BB56" s="241" t="s">
        <v>1598</v>
      </c>
      <c r="BC56" s="241" t="s">
        <v>1599</v>
      </c>
      <c r="BD56" s="236"/>
    </row>
    <row r="57" ht="12.75" customHeight="1">
      <c r="A57" s="203" t="s">
        <v>289</v>
      </c>
      <c r="B57" s="203" t="s">
        <v>290</v>
      </c>
      <c r="C57" s="203" t="s">
        <v>1298</v>
      </c>
      <c r="D57" s="203" t="s">
        <v>1312</v>
      </c>
      <c r="E57" s="231">
        <v>1.156E11</v>
      </c>
      <c r="F57" s="231" t="str">
        <f>IF(ISNUMBER(Table1[[#This Row],[2019 Scope 3 ]]),IF(Table1[[#This Row],[Net Earnings/Income (2019)]]-k_cost*Table1[[#This Row],[2019 Total Scope 1, 2 + 3]]&lt;0,"Y","N"),"NA")</f>
        <v>#ERROR!</v>
      </c>
      <c r="G57" s="63" t="str">
        <f>IF(ISNUMBER(Table1[[#This Row],[2019 Scope 3 ]]),IF(k_cost*Table1[[#This Row],[2019 Total Scope 1, 2 + 3]]/Table1[[#This Row],[Size (2019 Revenue)]]&gt;k_rev_max,"Y","N"),"NA")</f>
        <v>#ERROR!</v>
      </c>
      <c r="H57" s="63" t="str">
        <f>IF(OR(Table1[[#This Row],[Net earnings post carbon price @85/t]]="Y",Table1[[#This Row],[Carbon costs in % revenue]] = "Y"),"Y",IF(OR(Table1[[#This Row],[Net earnings post carbon price @85/t]]="NA",Table1[[#This Row],[Carbon costs in % revenue]]="NA"),"NA","N"))</f>
        <v>#ERROR!</v>
      </c>
      <c r="I57" s="231">
        <v>3.643E10</v>
      </c>
      <c r="J57" s="232">
        <v>1940.0</v>
      </c>
      <c r="K57" s="231" t="s">
        <v>1498</v>
      </c>
      <c r="L57" s="1" t="s">
        <v>1499</v>
      </c>
      <c r="M57" s="1" t="s">
        <v>1499</v>
      </c>
      <c r="Q57" s="1" t="s">
        <v>1498</v>
      </c>
      <c r="R57" s="1" t="s">
        <v>1498</v>
      </c>
      <c r="S57" s="1">
        <v>2020.0</v>
      </c>
      <c r="T57" s="219" t="str">
        <f>IFERROR((Table1[[#This Row],[2019 Total Scope 1, 2 + 3]])/Table1[[#This Row],[2018 Total Scope 1, 2 + Scope 3]]-1,"NA")</f>
        <v>#ERROR!</v>
      </c>
      <c r="V57" s="234">
        <v>81655.0</v>
      </c>
      <c r="W57" s="234">
        <v>556142.0</v>
      </c>
      <c r="X57" s="234"/>
      <c r="Y57" s="234">
        <f t="shared" si="1"/>
        <v>637797</v>
      </c>
      <c r="Z57" s="234">
        <v>181004.0</v>
      </c>
      <c r="AA57" s="234">
        <f t="shared" si="2"/>
        <v>818801</v>
      </c>
      <c r="AB57" s="234">
        <v>83101.0</v>
      </c>
      <c r="AC57" s="234">
        <v>572067.0</v>
      </c>
      <c r="AD57" s="234"/>
      <c r="AE57" s="234">
        <f t="shared" si="3"/>
        <v>655168</v>
      </c>
      <c r="AF57" s="234">
        <v>176356.0</v>
      </c>
      <c r="AG57" s="234">
        <f t="shared" si="4"/>
        <v>831524</v>
      </c>
      <c r="AH57" s="234">
        <v>78229.0</v>
      </c>
      <c r="AI57" s="234">
        <v>596843.0</v>
      </c>
      <c r="AJ57" s="234"/>
      <c r="AK57" s="234">
        <f t="shared" si="5"/>
        <v>675072</v>
      </c>
      <c r="AL57" s="234">
        <v>187020.0</v>
      </c>
      <c r="AM57" s="234">
        <f t="shared" si="6"/>
        <v>862092</v>
      </c>
      <c r="AN57" s="234">
        <v>79556.0</v>
      </c>
      <c r="AO57" s="234">
        <v>780710.0</v>
      </c>
      <c r="AP57" s="234"/>
      <c r="AQ57" s="234">
        <f t="shared" si="11"/>
        <v>860266</v>
      </c>
      <c r="AR57" s="234">
        <v>130430.0</v>
      </c>
      <c r="AS57" s="234">
        <f t="shared" si="8"/>
        <v>990696</v>
      </c>
      <c r="AT57" s="234">
        <v>82525.0</v>
      </c>
      <c r="AU57" s="234">
        <v>844403.0</v>
      </c>
      <c r="AV57" s="234"/>
      <c r="AW57" s="234">
        <f t="shared" si="12"/>
        <v>926928</v>
      </c>
      <c r="AX57" s="234">
        <v>138878.0</v>
      </c>
      <c r="AY57" s="234">
        <f t="shared" si="10"/>
        <v>1065806</v>
      </c>
      <c r="AZ57" s="241" t="s">
        <v>1498</v>
      </c>
      <c r="BA57" s="235" t="s">
        <v>1600</v>
      </c>
      <c r="BB57" s="203" t="s">
        <v>1601</v>
      </c>
      <c r="BC57" s="241" t="s">
        <v>1602</v>
      </c>
      <c r="BD57" s="236"/>
    </row>
    <row r="58" ht="12.75" customHeight="1">
      <c r="A58" s="203" t="s">
        <v>295</v>
      </c>
      <c r="B58" s="203" t="s">
        <v>296</v>
      </c>
      <c r="C58" s="203" t="s">
        <v>1350</v>
      </c>
      <c r="D58" s="203" t="s">
        <v>1542</v>
      </c>
      <c r="E58" s="231">
        <v>1.3209E10</v>
      </c>
      <c r="F58" s="231" t="str">
        <f>IF(ISNUMBER(Table1[[#This Row],[2019 Scope 3 ]]),IF(Table1[[#This Row],[Net Earnings/Income (2019)]]-k_cost*Table1[[#This Row],[2019 Total Scope 1, 2 + 3]]&lt;0,"Y","N"),"NA")</f>
        <v>#ERROR!</v>
      </c>
      <c r="G58" s="63" t="str">
        <f>IF(ISNUMBER(Table1[[#This Row],[2019 Scope 3 ]]),IF(k_cost*Table1[[#This Row],[2019 Total Scope 1, 2 + 3]]/Table1[[#This Row],[Size (2019 Revenue)]]&gt;k_rev_max,"Y","N"),"NA")</f>
        <v>#ERROR!</v>
      </c>
      <c r="H58" s="63" t="str">
        <f>IF(OR(Table1[[#This Row],[Net earnings post carbon price @85/t]]="Y",Table1[[#This Row],[Carbon costs in % revenue]] = "Y"),"Y",IF(OR(Table1[[#This Row],[Net earnings post carbon price @85/t]]="NA",Table1[[#This Row],[Carbon costs in % revenue]]="NA"),"NA","N"))</f>
        <v>#ERROR!</v>
      </c>
      <c r="I58" s="231">
        <v>2.19E9</v>
      </c>
      <c r="J58" s="232">
        <v>2011.0</v>
      </c>
      <c r="K58" s="231" t="s">
        <v>1498</v>
      </c>
      <c r="L58" s="1" t="s">
        <v>1499</v>
      </c>
      <c r="M58" s="1" t="s">
        <v>1499</v>
      </c>
      <c r="Q58" s="1" t="s">
        <v>1498</v>
      </c>
      <c r="R58" s="1" t="s">
        <v>1499</v>
      </c>
      <c r="T58" s="219" t="str">
        <f>IFERROR((Table1[[#This Row],[2019 Total Scope 1, 2 + 3]])/Table1[[#This Row],[2018 Total Scope 1, 2 + Scope 3]]-1,"NA")</f>
        <v>#ERROR!</v>
      </c>
      <c r="V58" s="234" t="s">
        <v>536</v>
      </c>
      <c r="W58" s="234" t="s">
        <v>536</v>
      </c>
      <c r="X58" s="234"/>
      <c r="Y58" s="234" t="str">
        <f t="shared" si="1"/>
        <v/>
      </c>
      <c r="Z58" s="234" t="s">
        <v>536</v>
      </c>
      <c r="AA58" s="234" t="str">
        <f t="shared" si="2"/>
        <v/>
      </c>
      <c r="AB58" s="234" t="s">
        <v>536</v>
      </c>
      <c r="AC58" s="234" t="s">
        <v>536</v>
      </c>
      <c r="AD58" s="234"/>
      <c r="AE58" s="234" t="str">
        <f t="shared" si="3"/>
        <v/>
      </c>
      <c r="AF58" s="234" t="s">
        <v>536</v>
      </c>
      <c r="AG58" s="234" t="str">
        <f t="shared" si="4"/>
        <v/>
      </c>
      <c r="AH58" s="234" t="s">
        <v>536</v>
      </c>
      <c r="AI58" s="234" t="s">
        <v>536</v>
      </c>
      <c r="AJ58" s="234"/>
      <c r="AK58" s="234" t="str">
        <f t="shared" si="5"/>
        <v/>
      </c>
      <c r="AL58" s="234" t="s">
        <v>536</v>
      </c>
      <c r="AM58" s="234" t="str">
        <f t="shared" si="6"/>
        <v/>
      </c>
      <c r="AN58" s="234" t="s">
        <v>536</v>
      </c>
      <c r="AO58" s="234" t="s">
        <v>536</v>
      </c>
      <c r="AP58" s="234"/>
      <c r="AQ58" s="234" t="str">
        <f t="shared" si="11"/>
        <v/>
      </c>
      <c r="AR58" s="234" t="s">
        <v>536</v>
      </c>
      <c r="AS58" s="234" t="str">
        <f t="shared" si="8"/>
        <v/>
      </c>
      <c r="AT58" s="234" t="s">
        <v>536</v>
      </c>
      <c r="AU58" s="234" t="s">
        <v>536</v>
      </c>
      <c r="AV58" s="234"/>
      <c r="AW58" s="234" t="str">
        <f t="shared" si="12"/>
        <v/>
      </c>
      <c r="AX58" s="234" t="s">
        <v>536</v>
      </c>
      <c r="AY58" s="234" t="str">
        <f t="shared" si="10"/>
        <v/>
      </c>
      <c r="AZ58" s="240" t="s">
        <v>1499</v>
      </c>
      <c r="BA58" s="241" t="s">
        <v>1603</v>
      </c>
      <c r="BB58" s="241" t="s">
        <v>1604</v>
      </c>
      <c r="BC58" s="241" t="s">
        <v>1605</v>
      </c>
      <c r="BD58" s="236"/>
    </row>
    <row r="59" ht="12.75" customHeight="1">
      <c r="A59" s="203" t="s">
        <v>298</v>
      </c>
      <c r="B59" s="203" t="s">
        <v>299</v>
      </c>
      <c r="C59" s="203" t="s">
        <v>1306</v>
      </c>
      <c r="D59" s="203" t="s">
        <v>1548</v>
      </c>
      <c r="E59" s="231">
        <v>2.497E10</v>
      </c>
      <c r="F59" s="231" t="str">
        <f>IF(ISNUMBER(Table1[[#This Row],[2019 Scope 3 ]]),IF(Table1[[#This Row],[Net Earnings/Income (2019)]]-k_cost*Table1[[#This Row],[2019 Total Scope 1, 2 + 3]]&lt;0,"Y","N"),"NA")</f>
        <v>#ERROR!</v>
      </c>
      <c r="G59" s="63" t="str">
        <f>IF(ISNUMBER(Table1[[#This Row],[2019 Scope 3 ]]),IF(k_cost*Table1[[#This Row],[2019 Total Scope 1, 2 + 3]]/Table1[[#This Row],[Size (2019 Revenue)]]&gt;k_rev_max,"Y","N"),"NA")</f>
        <v>#ERROR!</v>
      </c>
      <c r="H59" s="63" t="str">
        <f>IF(OR(Table1[[#This Row],[Net earnings post carbon price @85/t]]="Y",Table1[[#This Row],[Carbon costs in % revenue]] = "Y"),"Y",IF(OR(Table1[[#This Row],[Net earnings post carbon price @85/t]]="NA",Table1[[#This Row],[Carbon costs in % revenue]]="NA"),"NA","N"))</f>
        <v>#ERROR!</v>
      </c>
      <c r="I59" s="231">
        <v>1.935E9</v>
      </c>
      <c r="J59" s="232">
        <v>2001.0</v>
      </c>
      <c r="K59" s="231" t="s">
        <v>1498</v>
      </c>
      <c r="L59" s="1" t="s">
        <v>1499</v>
      </c>
      <c r="M59" s="1" t="s">
        <v>1498</v>
      </c>
      <c r="R59" s="242" t="s">
        <v>1499</v>
      </c>
      <c r="T59" s="219" t="str">
        <f>IFERROR((Table1[[#This Row],[2019 Total Scope 1, 2 + 3]])/Table1[[#This Row],[2018 Total Scope 1, 2 + Scope 3]]-1,"NA")</f>
        <v>#ERROR!</v>
      </c>
      <c r="V59" s="234">
        <v>649256.0</v>
      </c>
      <c r="W59" s="234">
        <v>773066.0</v>
      </c>
      <c r="X59" s="234"/>
      <c r="Y59" s="234">
        <f t="shared" si="1"/>
        <v>1422322</v>
      </c>
      <c r="Z59" s="234">
        <f>18282750.168+397603.648+717228.775+1366415.404+52106.122+18988.075+105896.625+1307392.304+1029151.785</f>
        <v>23277532.91</v>
      </c>
      <c r="AA59" s="234">
        <f t="shared" si="2"/>
        <v>24699854.91</v>
      </c>
      <c r="AB59" s="234">
        <v>649256.0</v>
      </c>
      <c r="AC59" s="234">
        <v>773066.0</v>
      </c>
      <c r="AD59" s="234"/>
      <c r="AE59" s="234">
        <f t="shared" si="3"/>
        <v>1422322</v>
      </c>
      <c r="AF59" s="234">
        <f>18010670.91+436667.62+685766.14+1444101+50550.66+19031.77+108758.7+1150017.93+1017158.52</f>
        <v>22922723.25</v>
      </c>
      <c r="AG59" s="234">
        <f t="shared" si="4"/>
        <v>24345045.25</v>
      </c>
      <c r="AH59" s="234">
        <v>709692.0</v>
      </c>
      <c r="AI59" s="234">
        <v>765557.0</v>
      </c>
      <c r="AJ59" s="234"/>
      <c r="AK59" s="234">
        <f t="shared" si="5"/>
        <v>1475249</v>
      </c>
      <c r="AL59" s="234">
        <f>16751871.94+739999.79+1352970.13+191539.38+49063.7+18587.51+189896.51+1203705.71+970000+51440.68</f>
        <v>21519075.35</v>
      </c>
      <c r="AM59" s="234">
        <f t="shared" si="6"/>
        <v>22994324.35</v>
      </c>
      <c r="AN59" s="234">
        <v>742200.0</v>
      </c>
      <c r="AO59" s="234">
        <v>800400.0</v>
      </c>
      <c r="AP59" s="234"/>
      <c r="AQ59" s="234">
        <f t="shared" si="11"/>
        <v>1542600</v>
      </c>
      <c r="AR59" s="234">
        <f>21674146+732601+1402638+855051+392623+19182+188691+1236974+63352</f>
        <v>26565258</v>
      </c>
      <c r="AS59" s="234">
        <f t="shared" si="8"/>
        <v>28107858</v>
      </c>
      <c r="AT59" s="234">
        <v>769761.0</v>
      </c>
      <c r="AU59" s="234">
        <v>804156.0</v>
      </c>
      <c r="AV59" s="234"/>
      <c r="AW59" s="234">
        <f t="shared" si="12"/>
        <v>1573917</v>
      </c>
      <c r="AX59" s="234"/>
      <c r="AY59" s="234">
        <f t="shared" si="10"/>
        <v>1573917</v>
      </c>
      <c r="BA59" s="241" t="s">
        <v>1606</v>
      </c>
      <c r="BB59" s="241" t="s">
        <v>1607</v>
      </c>
      <c r="BC59" s="241" t="s">
        <v>1608</v>
      </c>
      <c r="BD59" s="236" t="s">
        <v>1529</v>
      </c>
    </row>
    <row r="60" ht="12.75" customHeight="1">
      <c r="A60" s="203" t="s">
        <v>304</v>
      </c>
      <c r="B60" s="203" t="s">
        <v>305</v>
      </c>
      <c r="C60" s="203" t="s">
        <v>1276</v>
      </c>
      <c r="D60" s="203" t="s">
        <v>1532</v>
      </c>
      <c r="E60" s="237">
        <v>5.981E10</v>
      </c>
      <c r="F60" s="231" t="str">
        <f>IF(ISNUMBER(Table1[[#This Row],[2019 Scope 3 ]]),IF(Table1[[#This Row],[Net Earnings/Income (2019)]]-k_cost*Table1[[#This Row],[2019 Total Scope 1, 2 + 3]]&lt;0,"Y","N"),"NA")</f>
        <v>#ERROR!</v>
      </c>
      <c r="G60" s="63" t="str">
        <f>IF(ISNUMBER(Table1[[#This Row],[2019 Scope 3 ]]),IF(k_cost*Table1[[#This Row],[2019 Total Scope 1, 2 + 3]]/Table1[[#This Row],[Size (2019 Revenue)]]&gt;k_rev_max,"Y","N"),"NA")</f>
        <v>#ERROR!</v>
      </c>
      <c r="H60" s="63" t="str">
        <f>IF(OR(Table1[[#This Row],[Net earnings post carbon price @85/t]]="Y",Table1[[#This Row],[Carbon costs in % revenue]] = "Y"),"Y",IF(OR(Table1[[#This Row],[Net earnings post carbon price @85/t]]="NA",Table1[[#This Row],[Carbon costs in % revenue]]="NA"),"NA","N"))</f>
        <v>#ERROR!</v>
      </c>
      <c r="I60" s="237">
        <v>6.23E9</v>
      </c>
      <c r="J60" s="232" t="s">
        <v>1609</v>
      </c>
      <c r="K60" s="1" t="s">
        <v>1498</v>
      </c>
      <c r="L60" s="1" t="s">
        <v>1499</v>
      </c>
      <c r="M60" s="1" t="s">
        <v>1499</v>
      </c>
      <c r="P60" s="241" t="s">
        <v>1610</v>
      </c>
      <c r="R60" s="1" t="s">
        <v>1499</v>
      </c>
      <c r="T60" s="219" t="str">
        <f>IFERROR((Table1[[#This Row],[2019 Total Scope 1, 2 + 3]])/Table1[[#This Row],[2018 Total Scope 1, 2 + Scope 3]]-1,"NA")</f>
        <v>#ERROR!</v>
      </c>
      <c r="V60" s="234">
        <v>305362.0</v>
      </c>
      <c r="W60" s="234">
        <v>466073.0</v>
      </c>
      <c r="X60" s="234"/>
      <c r="Y60" s="234">
        <f t="shared" si="1"/>
        <v>771435</v>
      </c>
      <c r="Z60" s="234">
        <v>3.05845E7</v>
      </c>
      <c r="AA60" s="234">
        <f t="shared" si="2"/>
        <v>31355935</v>
      </c>
      <c r="AB60" s="234">
        <v>291782.0</v>
      </c>
      <c r="AC60" s="234">
        <v>527766.0</v>
      </c>
      <c r="AD60" s="234"/>
      <c r="AE60" s="234">
        <f t="shared" si="3"/>
        <v>819548</v>
      </c>
      <c r="AF60" s="234">
        <v>3.0551E7</v>
      </c>
      <c r="AG60" s="234">
        <f t="shared" si="4"/>
        <v>31370548</v>
      </c>
      <c r="AH60" s="234">
        <v>291523.0</v>
      </c>
      <c r="AI60" s="234">
        <v>552851.0</v>
      </c>
      <c r="AJ60" s="234"/>
      <c r="AK60" s="234">
        <f t="shared" si="5"/>
        <v>844374</v>
      </c>
      <c r="AL60" s="234">
        <v>3.0605E7</v>
      </c>
      <c r="AM60" s="234">
        <f t="shared" si="6"/>
        <v>31449374</v>
      </c>
      <c r="AN60" s="234">
        <v>302679.0</v>
      </c>
      <c r="AO60" s="234">
        <f>804245-302679</f>
        <v>501566</v>
      </c>
      <c r="AP60" s="234"/>
      <c r="AQ60" s="234">
        <f t="shared" si="11"/>
        <v>804245</v>
      </c>
      <c r="AR60" s="234"/>
      <c r="AS60" s="234">
        <f t="shared" si="8"/>
        <v>804245</v>
      </c>
      <c r="AT60" s="234" t="s">
        <v>1499</v>
      </c>
      <c r="AU60" s="234" t="s">
        <v>1499</v>
      </c>
      <c r="AV60" s="234" t="s">
        <v>1499</v>
      </c>
      <c r="AW60" s="234" t="str">
        <f t="shared" si="12"/>
        <v/>
      </c>
      <c r="AX60" s="234" t="s">
        <v>1499</v>
      </c>
      <c r="AY60" s="234" t="str">
        <f t="shared" si="10"/>
        <v/>
      </c>
      <c r="AZ60" s="1" t="s">
        <v>1499</v>
      </c>
      <c r="BA60" s="235" t="s">
        <v>1611</v>
      </c>
      <c r="BB60" s="241" t="s">
        <v>1612</v>
      </c>
      <c r="BC60" s="241" t="s">
        <v>1613</v>
      </c>
      <c r="BD60" s="236"/>
    </row>
    <row r="61" ht="12.75" customHeight="1">
      <c r="A61" s="203" t="s">
        <v>310</v>
      </c>
      <c r="B61" s="203" t="s">
        <v>311</v>
      </c>
      <c r="C61" s="203" t="s">
        <v>1376</v>
      </c>
      <c r="D61" s="203" t="s">
        <v>962</v>
      </c>
      <c r="E61" s="237">
        <v>7.13E10</v>
      </c>
      <c r="F61" s="231" t="str">
        <f>IF(ISNUMBER(Table1[[#This Row],[2019 Scope 3 ]]),IF(Table1[[#This Row],[Net Earnings/Income (2019)]]-k_cost*Table1[[#This Row],[2019 Total Scope 1, 2 + 3]]&lt;0,"Y","N"),"NA")</f>
        <v>#ERROR!</v>
      </c>
      <c r="G61" s="63" t="str">
        <f>IF(ISNUMBER(Table1[[#This Row],[2019 Scope 3 ]]),IF(k_cost*Table1[[#This Row],[2019 Total Scope 1, 2 + 3]]/Table1[[#This Row],[Size (2019 Revenue)]]&gt;k_rev_max,"Y","N"),"NA")</f>
        <v>#ERROR!</v>
      </c>
      <c r="H61" s="63" t="str">
        <f>IF(OR(Table1[[#This Row],[Net earnings post carbon price @85/t]]="Y",Table1[[#This Row],[Carbon costs in % revenue]] = "Y"),"Y",IF(OR(Table1[[#This Row],[Net earnings post carbon price @85/t]]="NA",Table1[[#This Row],[Carbon costs in % revenue]]="NA"),"NA","N"))</f>
        <v>#ERROR!</v>
      </c>
      <c r="I61" s="237">
        <v>2.307E9</v>
      </c>
      <c r="J61" s="232">
        <v>1961.0</v>
      </c>
      <c r="K61" s="1" t="s">
        <v>1498</v>
      </c>
      <c r="L61" s="1" t="s">
        <v>1499</v>
      </c>
      <c r="M61" s="1" t="s">
        <v>1499</v>
      </c>
      <c r="P61" s="241" t="s">
        <v>1614</v>
      </c>
      <c r="R61" s="1" t="s">
        <v>1499</v>
      </c>
      <c r="T61" s="219" t="str">
        <f>IFERROR((Table1[[#This Row],[2019 Total Scope 1, 2 + 3]])/Table1[[#This Row],[2018 Total Scope 1, 2 + Scope 3]]-1,"NA")</f>
        <v>#ERROR!</v>
      </c>
      <c r="V61" s="234">
        <v>484737.0</v>
      </c>
      <c r="W61" s="234">
        <v>1623768.0</v>
      </c>
      <c r="X61" s="234"/>
      <c r="Y61" s="234">
        <f t="shared" si="1"/>
        <v>2108505</v>
      </c>
      <c r="Z61" s="234">
        <f>426134+10700+123208225.78</f>
        <v>123645059.8</v>
      </c>
      <c r="AA61" s="234">
        <f t="shared" si="2"/>
        <v>125753564.8</v>
      </c>
      <c r="AB61" s="234">
        <v>473689.0</v>
      </c>
      <c r="AC61" s="234">
        <v>1932514.0</v>
      </c>
      <c r="AD61" s="234"/>
      <c r="AE61" s="234">
        <f t="shared" si="3"/>
        <v>2406203</v>
      </c>
      <c r="AF61" s="234">
        <f>463300+342179673</f>
        <v>342642973</v>
      </c>
      <c r="AG61" s="234">
        <f t="shared" si="4"/>
        <v>345049176</v>
      </c>
      <c r="AH61" s="234">
        <v>400000.0</v>
      </c>
      <c r="AI61" s="234">
        <v>2022000.0</v>
      </c>
      <c r="AJ61" s="234"/>
      <c r="AK61" s="234">
        <f t="shared" si="5"/>
        <v>2422000</v>
      </c>
      <c r="AL61" s="234" t="s">
        <v>536</v>
      </c>
      <c r="AM61" s="234" t="str">
        <f t="shared" si="6"/>
        <v/>
      </c>
      <c r="AN61" s="234">
        <v>354000.0</v>
      </c>
      <c r="AO61" s="234">
        <v>2054000.0</v>
      </c>
      <c r="AP61" s="234"/>
      <c r="AQ61" s="234">
        <f t="shared" si="11"/>
        <v>2408000</v>
      </c>
      <c r="AR61" s="234" t="s">
        <v>536</v>
      </c>
      <c r="AS61" s="234" t="str">
        <f t="shared" si="8"/>
        <v/>
      </c>
      <c r="AT61" s="234">
        <v>368000.0</v>
      </c>
      <c r="AU61" s="234">
        <v>2322000.0</v>
      </c>
      <c r="AV61" s="234"/>
      <c r="AW61" s="234">
        <f t="shared" si="12"/>
        <v>2690000</v>
      </c>
      <c r="AX61" s="234" t="s">
        <v>536</v>
      </c>
      <c r="AY61" s="234" t="str">
        <f t="shared" si="10"/>
        <v/>
      </c>
      <c r="BA61" s="241" t="s">
        <v>1615</v>
      </c>
      <c r="BC61" s="241" t="s">
        <v>1616</v>
      </c>
      <c r="BD61" s="236"/>
    </row>
    <row r="62" ht="12.75" customHeight="1">
      <c r="A62" s="203" t="s">
        <v>316</v>
      </c>
      <c r="B62" s="203" t="s">
        <v>317</v>
      </c>
      <c r="C62" s="203" t="s">
        <v>1298</v>
      </c>
      <c r="D62" s="203" t="s">
        <v>1515</v>
      </c>
      <c r="E62" s="231">
        <v>1.6883E10</v>
      </c>
      <c r="F62" s="231" t="str">
        <f>IF(ISNUMBER(Table1[[#This Row],[2019 Scope 3 ]]),IF(Table1[[#This Row],[Net Earnings/Income (2019)]]-k_cost*Table1[[#This Row],[2019 Total Scope 1, 2 + 3]]&lt;0,"Y","N"),"NA")</f>
        <v>#ERROR!</v>
      </c>
      <c r="G62" s="63" t="str">
        <f>IF(ISNUMBER(Table1[[#This Row],[2019 Scope 3 ]]),IF(k_cost*Table1[[#This Row],[2019 Total Scope 1, 2 + 3]]/Table1[[#This Row],[Size (2019 Revenue)]]&gt;k_rev_max,"Y","N"),"NA")</f>
        <v>#ERROR!</v>
      </c>
      <c r="H62" s="63" t="str">
        <f>IF(OR(Table1[[#This Row],[Net earnings post carbon price @85/t]]="Y",Table1[[#This Row],[Carbon costs in % revenue]] = "Y"),"Y",IF(OR(Table1[[#This Row],[Net earnings post carbon price @85/t]]="NA",Table1[[#This Row],[Carbon costs in % revenue]]="NA"),"NA","N"))</f>
        <v>#ERROR!</v>
      </c>
      <c r="I62" s="231">
        <v>8.12E9</v>
      </c>
      <c r="J62" s="232">
        <v>2006.0</v>
      </c>
      <c r="K62" s="231" t="s">
        <v>1498</v>
      </c>
      <c r="L62" s="1" t="s">
        <v>1499</v>
      </c>
      <c r="M62" s="1" t="s">
        <v>1498</v>
      </c>
      <c r="P62" s="241" t="s">
        <v>1617</v>
      </c>
      <c r="R62" s="1" t="s">
        <v>1498</v>
      </c>
      <c r="S62" s="1">
        <v>2020.0</v>
      </c>
      <c r="T62" s="219" t="str">
        <f>IFERROR((Table1[[#This Row],[2019 Total Scope 1, 2 + 3]])/Table1[[#This Row],[2018 Total Scope 1, 2 + Scope 3]]-1,"NA")</f>
        <v>#ERROR!</v>
      </c>
      <c r="V62" s="234">
        <v>4758.4</v>
      </c>
      <c r="W62" s="234">
        <v>162.0</v>
      </c>
      <c r="X62" s="234"/>
      <c r="Y62" s="234">
        <f t="shared" si="1"/>
        <v>4920.4</v>
      </c>
      <c r="Z62" s="234">
        <f>396269.96+8451.87+1288.49+53738+43263.87</f>
        <v>503012.19</v>
      </c>
      <c r="AA62" s="234">
        <f t="shared" si="2"/>
        <v>507932.59</v>
      </c>
      <c r="AB62" s="234">
        <f>57687-AC62</f>
        <v>4828</v>
      </c>
      <c r="AC62" s="234">
        <v>52859.0</v>
      </c>
      <c r="AD62" s="234"/>
      <c r="AE62" s="234">
        <f t="shared" si="3"/>
        <v>57687</v>
      </c>
      <c r="AF62" s="234">
        <v>495962.0</v>
      </c>
      <c r="AG62" s="234">
        <f t="shared" si="4"/>
        <v>553649</v>
      </c>
      <c r="AH62" s="234">
        <f>71504-AI62</f>
        <v>6587</v>
      </c>
      <c r="AI62" s="234">
        <v>64917.0</v>
      </c>
      <c r="AJ62" s="234"/>
      <c r="AK62" s="234">
        <f t="shared" si="5"/>
        <v>71504</v>
      </c>
      <c r="AL62" s="234">
        <v>471614.0</v>
      </c>
      <c r="AM62" s="234">
        <f t="shared" si="6"/>
        <v>543118</v>
      </c>
      <c r="AN62" s="234">
        <f>99214-AO62</f>
        <v>4486</v>
      </c>
      <c r="AO62" s="234">
        <v>94728.0</v>
      </c>
      <c r="AP62" s="234"/>
      <c r="AQ62" s="234">
        <f t="shared" si="11"/>
        <v>99214</v>
      </c>
      <c r="AR62" s="234">
        <v>849277.0</v>
      </c>
      <c r="AS62" s="234">
        <f t="shared" si="8"/>
        <v>948491</v>
      </c>
      <c r="AT62" s="234" t="s">
        <v>536</v>
      </c>
      <c r="AU62" s="234" t="s">
        <v>536</v>
      </c>
      <c r="AV62" s="234"/>
      <c r="AW62" s="234" t="str">
        <f t="shared" si="12"/>
        <v/>
      </c>
      <c r="AX62" s="234" t="s">
        <v>536</v>
      </c>
      <c r="AY62" s="234" t="str">
        <f t="shared" si="10"/>
        <v/>
      </c>
      <c r="BA62" s="241" t="s">
        <v>1618</v>
      </c>
      <c r="BB62" s="241" t="s">
        <v>1619</v>
      </c>
      <c r="BC62" s="241" t="s">
        <v>1620</v>
      </c>
      <c r="BD62" s="236"/>
    </row>
    <row r="63" ht="12.75" customHeight="1">
      <c r="A63" s="203" t="s">
        <v>322</v>
      </c>
      <c r="B63" s="203" t="s">
        <v>323</v>
      </c>
      <c r="C63" s="203" t="s">
        <v>1376</v>
      </c>
      <c r="D63" s="203" t="s">
        <v>1548</v>
      </c>
      <c r="E63" s="237">
        <v>2.1076E10</v>
      </c>
      <c r="F63" s="231" t="str">
        <f>IF(ISNUMBER(Table1[[#This Row],[2019 Scope 3 ]]),IF(Table1[[#This Row],[Net Earnings/Income (2019)]]-k_cost*Table1[[#This Row],[2019 Total Scope 1, 2 + 3]]&lt;0,"Y","N"),"NA")</f>
        <v>#ERROR!</v>
      </c>
      <c r="G63" s="63" t="str">
        <f>IF(ISNUMBER(Table1[[#This Row],[2019 Scope 3 ]]),IF(k_cost*Table1[[#This Row],[2019 Total Scope 1, 2 + 3]]/Table1[[#This Row],[Size (2019 Revenue)]]&gt;k_rev_max,"Y","N"),"NA")</f>
        <v>#ERROR!</v>
      </c>
      <c r="H63" s="63" t="str">
        <f>IF(OR(Table1[[#This Row],[Net earnings post carbon price @85/t]]="Y",Table1[[#This Row],[Carbon costs in % revenue]] = "Y"),"Y",IF(OR(Table1[[#This Row],[Net earnings post carbon price @85/t]]="NA",Table1[[#This Row],[Carbon costs in % revenue]]="NA"),"NA","N"))</f>
        <v>#ERROR!</v>
      </c>
      <c r="I63" s="237">
        <v>6.025E9</v>
      </c>
      <c r="J63" s="232">
        <v>1965.0</v>
      </c>
      <c r="K63" s="1" t="s">
        <v>1498</v>
      </c>
      <c r="L63" s="1" t="s">
        <v>1499</v>
      </c>
      <c r="M63" s="1" t="s">
        <v>1498</v>
      </c>
      <c r="P63" s="241" t="s">
        <v>1621</v>
      </c>
      <c r="R63" s="1" t="s">
        <v>1499</v>
      </c>
      <c r="T63" s="219" t="str">
        <f>IFERROR((Table1[[#This Row],[2019 Total Scope 1, 2 + 3]])/Table1[[#This Row],[2018 Total Scope 1, 2 + Scope 3]]-1,"NA")</f>
        <v>#ERROR!</v>
      </c>
      <c r="V63" s="234">
        <v>107034.65</v>
      </c>
      <c r="W63" s="234">
        <v>492114.18</v>
      </c>
      <c r="X63" s="234"/>
      <c r="Y63" s="234">
        <f t="shared" si="1"/>
        <v>599148.83</v>
      </c>
      <c r="Z63" s="234">
        <f>41115851.55+2358793.15+1947637.85+1535857.79+5997501.76</f>
        <v>52955642.1</v>
      </c>
      <c r="AA63" s="234">
        <f t="shared" si="2"/>
        <v>53554790.93</v>
      </c>
      <c r="AB63" s="234">
        <v>111499.18</v>
      </c>
      <c r="AC63" s="234">
        <v>491052.97</v>
      </c>
      <c r="AD63" s="234"/>
      <c r="AE63" s="234">
        <f t="shared" si="3"/>
        <v>602552.15</v>
      </c>
      <c r="AF63" s="234">
        <f>31745364+1422677+745592+1487635+17507+115459+756660</f>
        <v>36290894</v>
      </c>
      <c r="AG63" s="234">
        <f t="shared" si="4"/>
        <v>36893446.15</v>
      </c>
      <c r="AH63" s="234">
        <f>0.151*1000000</f>
        <v>151000</v>
      </c>
      <c r="AI63" s="234">
        <f>0.764*1000000</f>
        <v>764000</v>
      </c>
      <c r="AJ63" s="234"/>
      <c r="AK63" s="234">
        <f t="shared" si="5"/>
        <v>915000</v>
      </c>
      <c r="AL63" s="234"/>
      <c r="AM63" s="234">
        <f t="shared" si="6"/>
        <v>915000</v>
      </c>
      <c r="AN63" s="234">
        <f>0.182*1000000</f>
        <v>182000</v>
      </c>
      <c r="AO63" s="234">
        <f>1.78*1000000</f>
        <v>1780000</v>
      </c>
      <c r="AP63" s="234"/>
      <c r="AQ63" s="234">
        <f t="shared" si="11"/>
        <v>1962000</v>
      </c>
      <c r="AR63" s="234">
        <f>28983578+850284+6843336</f>
        <v>36677198</v>
      </c>
      <c r="AS63" s="234">
        <f t="shared" si="8"/>
        <v>38639198</v>
      </c>
      <c r="AT63" s="234">
        <f>0.178*1000000</f>
        <v>178000</v>
      </c>
      <c r="AU63" s="234">
        <f>2.03*1000000</f>
        <v>2030000</v>
      </c>
      <c r="AV63" s="234"/>
      <c r="AW63" s="234">
        <f t="shared" si="12"/>
        <v>2208000</v>
      </c>
      <c r="AX63" s="234" t="s">
        <v>536</v>
      </c>
      <c r="AY63" s="234" t="str">
        <f t="shared" si="10"/>
        <v/>
      </c>
      <c r="BA63" s="241" t="s">
        <v>1622</v>
      </c>
      <c r="BB63" s="241" t="s">
        <v>1623</v>
      </c>
      <c r="BC63" s="241" t="s">
        <v>1624</v>
      </c>
      <c r="BD63" s="236"/>
    </row>
    <row r="64" ht="12.75" customHeight="1">
      <c r="A64" s="203" t="s">
        <v>328</v>
      </c>
      <c r="B64" s="203" t="s">
        <v>328</v>
      </c>
      <c r="C64" s="203" t="s">
        <v>1283</v>
      </c>
      <c r="D64" s="203" t="s">
        <v>1501</v>
      </c>
      <c r="E64" s="237">
        <v>3.0557E10</v>
      </c>
      <c r="F64" s="231" t="str">
        <f>IF(ISNUMBER(Table1[[#This Row],[2019 Scope 3 ]]),IF(Table1[[#This Row],[Net Earnings/Income (2019)]]-k_cost*Table1[[#This Row],[2019 Total Scope 1, 2 + 3]]&lt;0,"Y","N"),"NA")</f>
        <v>#ERROR!</v>
      </c>
      <c r="G64" s="63" t="str">
        <f>IF(ISNUMBER(Table1[[#This Row],[2019 Scope 3 ]]),IF(k_cost*Table1[[#This Row],[2019 Total Scope 1, 2 + 3]]/Table1[[#This Row],[Size (2019 Revenue)]]&gt;k_rev_max,"Y","N"),"NA")</f>
        <v>#ERROR!</v>
      </c>
      <c r="H64" s="63" t="str">
        <f>IF(OR(Table1[[#This Row],[Net earnings post carbon price @85/t]]="Y",Table1[[#This Row],[Carbon costs in % revenue]] = "Y"),"Y",IF(OR(Table1[[#This Row],[Net earnings post carbon price @85/t]]="NA",Table1[[#This Row],[Carbon costs in % revenue]]="NA"),"NA","N"))</f>
        <v>#ERROR!</v>
      </c>
      <c r="I64" s="237">
        <v>4.631E9</v>
      </c>
      <c r="J64" s="232">
        <v>1982.0</v>
      </c>
      <c r="K64" s="1" t="s">
        <v>1498</v>
      </c>
      <c r="L64" s="1" t="s">
        <v>1499</v>
      </c>
      <c r="M64" s="1" t="s">
        <v>1499</v>
      </c>
      <c r="P64" s="241" t="s">
        <v>1625</v>
      </c>
      <c r="R64" s="1" t="s">
        <v>1499</v>
      </c>
      <c r="T64" s="219" t="str">
        <f>IFERROR((Table1[[#This Row],[2019 Total Scope 1, 2 + 3]])/Table1[[#This Row],[2018 Total Scope 1, 2 + Scope 3]]-1,"NA")</f>
        <v>#ERROR!</v>
      </c>
      <c r="V64" s="234">
        <v>62931.0</v>
      </c>
      <c r="W64" s="234">
        <v>225841.0</v>
      </c>
      <c r="X64" s="234"/>
      <c r="Y64" s="234">
        <f t="shared" si="1"/>
        <v>288772</v>
      </c>
      <c r="Z64" s="234">
        <f>235863+42619</f>
        <v>278482</v>
      </c>
      <c r="AA64" s="234">
        <f t="shared" si="2"/>
        <v>567254</v>
      </c>
      <c r="AB64" s="234">
        <v>65312.0</v>
      </c>
      <c r="AC64" s="234">
        <v>233364.0</v>
      </c>
      <c r="AD64" s="234"/>
      <c r="AE64" s="234">
        <f t="shared" si="3"/>
        <v>298676</v>
      </c>
      <c r="AF64" s="234">
        <f>203421+35371</f>
        <v>238792</v>
      </c>
      <c r="AG64" s="234">
        <f t="shared" si="4"/>
        <v>537468</v>
      </c>
      <c r="AH64" s="234">
        <v>74992.0</v>
      </c>
      <c r="AI64" s="234">
        <v>269008.0</v>
      </c>
      <c r="AJ64" s="234"/>
      <c r="AK64" s="234">
        <f t="shared" si="5"/>
        <v>344000</v>
      </c>
      <c r="AL64" s="234"/>
      <c r="AM64" s="234">
        <f t="shared" si="6"/>
        <v>344000</v>
      </c>
      <c r="AN64" s="234" t="s">
        <v>1499</v>
      </c>
      <c r="AO64" s="234" t="s">
        <v>1499</v>
      </c>
      <c r="AP64" s="234" t="s">
        <v>1499</v>
      </c>
      <c r="AQ64" s="234" t="str">
        <f t="shared" si="11"/>
        <v/>
      </c>
      <c r="AR64" s="234" t="s">
        <v>1499</v>
      </c>
      <c r="AS64" s="234" t="str">
        <f t="shared" si="8"/>
        <v/>
      </c>
      <c r="AT64" s="234" t="s">
        <v>1499</v>
      </c>
      <c r="AU64" s="234" t="s">
        <v>1499</v>
      </c>
      <c r="AV64" s="234" t="s">
        <v>1499</v>
      </c>
      <c r="AW64" s="234" t="str">
        <f t="shared" si="12"/>
        <v/>
      </c>
      <c r="AX64" s="234" t="s">
        <v>1499</v>
      </c>
      <c r="AY64" s="234" t="str">
        <f t="shared" si="10"/>
        <v/>
      </c>
      <c r="BA64" s="241" t="s">
        <v>1626</v>
      </c>
      <c r="BB64" s="203" t="s">
        <v>1601</v>
      </c>
      <c r="BC64" s="241" t="s">
        <v>1627</v>
      </c>
      <c r="BD64" s="236"/>
    </row>
    <row r="65" ht="12.75" customHeight="1">
      <c r="A65" s="203" t="s">
        <v>333</v>
      </c>
      <c r="B65" s="203" t="s">
        <v>334</v>
      </c>
      <c r="C65" s="203" t="s">
        <v>1283</v>
      </c>
      <c r="D65" s="203" t="s">
        <v>1503</v>
      </c>
      <c r="E65" s="231">
        <v>4.229E10</v>
      </c>
      <c r="F65" s="231" t="str">
        <f>IF(ISNUMBER(Table1[[#This Row],[2019 Scope 3 ]]),IF(Table1[[#This Row],[Net Earnings/Income (2019)]]-k_cost*Table1[[#This Row],[2019 Total Scope 1, 2 + 3]]&lt;0,"Y","N"),"NA")</f>
        <v>#ERROR!</v>
      </c>
      <c r="G65" s="63" t="str">
        <f>IF(ISNUMBER(Table1[[#This Row],[2019 Scope 3 ]]),IF(k_cost*Table1[[#This Row],[2019 Total Scope 1, 2 + 3]]/Table1[[#This Row],[Size (2019 Revenue)]]&gt;k_rev_max,"Y","N"),"NA")</f>
        <v>#ERROR!</v>
      </c>
      <c r="H65" s="63" t="str">
        <f>IF(OR(Table1[[#This Row],[Net earnings post carbon price @85/t]]="Y",Table1[[#This Row],[Carbon costs in % revenue]] = "Y"),"Y",IF(OR(Table1[[#This Row],[Net earnings post carbon price @85/t]]="NA",Table1[[#This Row],[Carbon costs in % revenue]]="NA"),"NA","N"))</f>
        <v>#ERROR!</v>
      </c>
      <c r="I65" s="231">
        <v>6.22E9</v>
      </c>
      <c r="J65" s="232"/>
      <c r="K65" s="231" t="s">
        <v>1498</v>
      </c>
      <c r="L65" s="1" t="s">
        <v>1499</v>
      </c>
      <c r="M65" s="1" t="s">
        <v>1499</v>
      </c>
      <c r="P65" s="241" t="s">
        <v>1628</v>
      </c>
      <c r="R65" s="1" t="s">
        <v>1499</v>
      </c>
      <c r="S65" s="241" t="s">
        <v>1629</v>
      </c>
      <c r="T65" s="245" t="str">
        <f>IFERROR((Table1[[#This Row],[2019 Total Scope 1, 2 + 3]])/Table1[[#This Row],[2018 Total Scope 1, 2 + Scope 3]]-1,"NA")</f>
        <v>#ERROR!</v>
      </c>
      <c r="U65" s="241"/>
      <c r="V65" s="234">
        <v>755340.0</v>
      </c>
      <c r="W65" s="234">
        <v>316630.0</v>
      </c>
      <c r="X65" s="234"/>
      <c r="Y65" s="234">
        <f t="shared" si="1"/>
        <v>1071970</v>
      </c>
      <c r="Z65" s="234">
        <f>5155100+339900+240700+271200+19500+340400+272000+133200+142100+51500</f>
        <v>6965600</v>
      </c>
      <c r="AA65" s="234">
        <f t="shared" si="2"/>
        <v>8037570</v>
      </c>
      <c r="AB65" s="234">
        <v>783500.0</v>
      </c>
      <c r="AC65" s="234">
        <v>389700.0</v>
      </c>
      <c r="AD65" s="234"/>
      <c r="AE65" s="234">
        <f t="shared" si="3"/>
        <v>1173200</v>
      </c>
      <c r="AF65" s="234">
        <v>6231700.0</v>
      </c>
      <c r="AG65" s="234">
        <f t="shared" si="4"/>
        <v>7404900</v>
      </c>
      <c r="AH65" s="234">
        <v>801600.0</v>
      </c>
      <c r="AI65" s="234">
        <v>462500.0</v>
      </c>
      <c r="AJ65" s="234"/>
      <c r="AK65" s="234">
        <f t="shared" si="5"/>
        <v>1264100</v>
      </c>
      <c r="AL65" s="234">
        <f>4997600+192900+262100+267100+16000+218200+262200+121900+205800+42200</f>
        <v>6586000</v>
      </c>
      <c r="AM65" s="234">
        <f t="shared" si="6"/>
        <v>7850100</v>
      </c>
      <c r="AN65" s="234">
        <v>847400.0</v>
      </c>
      <c r="AO65" s="234">
        <v>562200.0</v>
      </c>
      <c r="AP65" s="234"/>
      <c r="AQ65" s="234">
        <f t="shared" si="11"/>
        <v>1409600</v>
      </c>
      <c r="AR65" s="234">
        <f>6204000+224000+304500+255500+16800+265400+301500+118000+248400+37000</f>
        <v>7975100</v>
      </c>
      <c r="AS65" s="234">
        <f t="shared" si="8"/>
        <v>9384700</v>
      </c>
      <c r="AT65" s="234">
        <v>865100.0</v>
      </c>
      <c r="AU65" s="234">
        <v>635900.0</v>
      </c>
      <c r="AV65" s="234"/>
      <c r="AW65" s="234">
        <f t="shared" si="12"/>
        <v>1501000</v>
      </c>
      <c r="AX65" s="234" t="s">
        <v>536</v>
      </c>
      <c r="AY65" s="234" t="str">
        <f t="shared" si="10"/>
        <v/>
      </c>
      <c r="BA65" s="241" t="s">
        <v>1630</v>
      </c>
      <c r="BC65" s="241" t="s">
        <v>1631</v>
      </c>
      <c r="BD65" s="236"/>
    </row>
    <row r="66" ht="12.75" customHeight="1">
      <c r="A66" s="203" t="s">
        <v>339</v>
      </c>
      <c r="B66" s="203" t="s">
        <v>340</v>
      </c>
      <c r="C66" s="203" t="s">
        <v>1298</v>
      </c>
      <c r="D66" s="203" t="s">
        <v>1301</v>
      </c>
      <c r="E66" s="231">
        <v>6.7941E10</v>
      </c>
      <c r="F66" s="231" t="str">
        <f>IF(ISNUMBER(Table1[[#This Row],[2019 Scope 3 ]]),IF(Table1[[#This Row],[Net Earnings/Income (2019)]]-k_cost*Table1[[#This Row],[2019 Total Scope 1, 2 + 3]]&lt;0,"Y","N"),"NA")</f>
        <v>#ERROR!</v>
      </c>
      <c r="G66" s="63" t="str">
        <f>IF(ISNUMBER(Table1[[#This Row],[2019 Scope 3 ]]),IF(k_cost*Table1[[#This Row],[2019 Total Scope 1, 2 + 3]]/Table1[[#This Row],[Size (2019 Revenue)]]&gt;k_rev_max,"Y","N"),"NA")</f>
        <v>#ERROR!</v>
      </c>
      <c r="H66" s="63" t="str">
        <f>IF(OR(Table1[[#This Row],[Net earnings post carbon price @85/t]]="Y",Table1[[#This Row],[Carbon costs in % revenue]] = "Y"),"Y",IF(OR(Table1[[#This Row],[Net earnings post carbon price @85/t]]="NA",Table1[[#This Row],[Carbon costs in % revenue]]="NA"),"NA","N"))</f>
        <v>#ERROR!</v>
      </c>
      <c r="I66" s="231">
        <v>5.07E9</v>
      </c>
      <c r="J66" s="232">
        <v>2000.0</v>
      </c>
      <c r="K66" s="231" t="s">
        <v>1498</v>
      </c>
      <c r="L66" s="1" t="s">
        <v>1498</v>
      </c>
      <c r="M66" s="1" t="s">
        <v>1499</v>
      </c>
      <c r="N66" s="1">
        <v>2016.0</v>
      </c>
      <c r="O66" s="1">
        <v>2015.0</v>
      </c>
      <c r="Q66" s="1" t="s">
        <v>1498</v>
      </c>
      <c r="R66" s="1" t="s">
        <v>1499</v>
      </c>
      <c r="T66" s="219" t="str">
        <f>IFERROR((Table1[[#This Row],[2019 Total Scope 1, 2 + 3]])/Table1[[#This Row],[2018 Total Scope 1, 2 + Scope 3]]-1,"NA")</f>
        <v>#ERROR!</v>
      </c>
      <c r="V66" s="234">
        <v>13613.0</v>
      </c>
      <c r="W66" s="234">
        <v>0.0</v>
      </c>
      <c r="X66" s="234"/>
      <c r="Y66" s="234">
        <f t="shared" si="1"/>
        <v>13613</v>
      </c>
      <c r="Z66" s="234">
        <v>25959.0</v>
      </c>
      <c r="AA66" s="234">
        <f t="shared" si="2"/>
        <v>39572</v>
      </c>
      <c r="AB66" s="234">
        <v>16016.0</v>
      </c>
      <c r="AC66" s="234">
        <v>0.0</v>
      </c>
      <c r="AD66" s="234"/>
      <c r="AE66" s="234">
        <f t="shared" si="3"/>
        <v>16016</v>
      </c>
      <c r="AF66" s="234">
        <v>26381.0</v>
      </c>
      <c r="AG66" s="234">
        <f t="shared" si="4"/>
        <v>42397</v>
      </c>
      <c r="AH66" s="234">
        <v>15722.0</v>
      </c>
      <c r="AI66" s="234">
        <v>0.0</v>
      </c>
      <c r="AJ66" s="234"/>
      <c r="AK66" s="234">
        <f t="shared" si="5"/>
        <v>15722</v>
      </c>
      <c r="AL66" s="234">
        <v>34019.0</v>
      </c>
      <c r="AM66" s="234">
        <f t="shared" si="6"/>
        <v>49741</v>
      </c>
      <c r="AN66" s="234">
        <v>17555.0</v>
      </c>
      <c r="AO66" s="234">
        <v>0.0</v>
      </c>
      <c r="AP66" s="234"/>
      <c r="AQ66" s="234">
        <f t="shared" si="11"/>
        <v>17555</v>
      </c>
      <c r="AR66" s="234">
        <v>34019.0</v>
      </c>
      <c r="AS66" s="234">
        <f t="shared" si="8"/>
        <v>51574</v>
      </c>
      <c r="AT66" s="234">
        <v>19780.0</v>
      </c>
      <c r="AU66" s="234">
        <v>67962.0</v>
      </c>
      <c r="AV66" s="234"/>
      <c r="AW66" s="234">
        <f t="shared" si="12"/>
        <v>87742</v>
      </c>
      <c r="AX66" s="234">
        <v>36166.0</v>
      </c>
      <c r="AY66" s="234">
        <f t="shared" si="10"/>
        <v>123908</v>
      </c>
      <c r="AZ66" s="241" t="s">
        <v>1499</v>
      </c>
      <c r="BA66" s="235" t="s">
        <v>1632</v>
      </c>
      <c r="BB66" s="1" t="s">
        <v>1633</v>
      </c>
      <c r="BC66" s="241" t="s">
        <v>1634</v>
      </c>
      <c r="BD66" s="236"/>
    </row>
    <row r="67" ht="12.75" customHeight="1">
      <c r="A67" s="203" t="s">
        <v>345</v>
      </c>
      <c r="B67" s="203" t="s">
        <v>346</v>
      </c>
      <c r="C67" s="203" t="s">
        <v>1291</v>
      </c>
      <c r="D67" s="203" t="s">
        <v>1297</v>
      </c>
      <c r="E67" s="231">
        <v>1.258E11</v>
      </c>
      <c r="F67" s="231" t="str">
        <f>IF(ISNUMBER(Table1[[#This Row],[2019 Scope 3 ]]),IF(Table1[[#This Row],[Net Earnings/Income (2019)]]-k_cost*Table1[[#This Row],[2019 Total Scope 1, 2 + 3]]&lt;0,"Y","N"),"NA")</f>
        <v>#ERROR!</v>
      </c>
      <c r="G67" s="63" t="str">
        <f>IF(ISNUMBER(Table1[[#This Row],[2019 Scope 3 ]]),IF(k_cost*Table1[[#This Row],[2019 Total Scope 1, 2 + 3]]/Table1[[#This Row],[Size (2019 Revenue)]]&gt;k_rev_max,"Y","N"),"NA")</f>
        <v>#ERROR!</v>
      </c>
      <c r="H67" s="63" t="str">
        <f>IF(OR(Table1[[#This Row],[Net earnings post carbon price @85/t]]="Y",Table1[[#This Row],[Carbon costs in % revenue]] = "Y"),"Y",IF(OR(Table1[[#This Row],[Net earnings post carbon price @85/t]]="NA",Table1[[#This Row],[Carbon costs in % revenue]]="NA"),"NA","N"))</f>
        <v>#ERROR!</v>
      </c>
      <c r="I67" s="231">
        <v>3.924E10</v>
      </c>
      <c r="J67" s="232">
        <v>1986.0</v>
      </c>
      <c r="K67" s="231" t="s">
        <v>1498</v>
      </c>
      <c r="L67" s="1" t="s">
        <v>1498</v>
      </c>
      <c r="M67" s="241" t="s">
        <v>1498</v>
      </c>
      <c r="N67" s="1">
        <v>2030.0</v>
      </c>
      <c r="O67" s="1">
        <v>2020.0</v>
      </c>
      <c r="Q67" s="1" t="s">
        <v>1498</v>
      </c>
      <c r="R67" s="1" t="s">
        <v>1498</v>
      </c>
      <c r="S67" s="1">
        <v>2014.0</v>
      </c>
      <c r="T67" s="219" t="str">
        <f>IFERROR((Table1[[#This Row],[2019 Total Scope 1, 2 + 3]])/Table1[[#This Row],[2018 Total Scope 1, 2 + Scope 3]]-1,"NA")</f>
        <v>#ERROR!</v>
      </c>
      <c r="V67" s="234">
        <v>113412.0</v>
      </c>
      <c r="W67" s="234">
        <v>275375.0</v>
      </c>
      <c r="X67" s="234"/>
      <c r="Y67" s="234">
        <f t="shared" si="1"/>
        <v>388787</v>
      </c>
      <c r="Z67" s="234">
        <v>1.1322213E7</v>
      </c>
      <c r="AA67" s="234">
        <f t="shared" si="2"/>
        <v>11711000</v>
      </c>
      <c r="AB67" s="234">
        <v>90723.0</v>
      </c>
      <c r="AC67" s="234">
        <v>183329.0</v>
      </c>
      <c r="AD67" s="234"/>
      <c r="AE67" s="234">
        <f t="shared" si="3"/>
        <v>274052</v>
      </c>
      <c r="AF67" s="234">
        <v>1.1820948E7</v>
      </c>
      <c r="AG67" s="234">
        <f t="shared" si="4"/>
        <v>12095000</v>
      </c>
      <c r="AH67" s="234">
        <v>97639.0</v>
      </c>
      <c r="AI67" s="234">
        <v>139110.0</v>
      </c>
      <c r="AJ67" s="234"/>
      <c r="AK67" s="234">
        <f t="shared" si="5"/>
        <v>236749</v>
      </c>
      <c r="AL67" s="234">
        <v>1.0963251E7</v>
      </c>
      <c r="AM67" s="234">
        <f t="shared" si="6"/>
        <v>11200000</v>
      </c>
      <c r="AN67" s="234">
        <v>94651.0</v>
      </c>
      <c r="AO67" s="234">
        <v>37087.0</v>
      </c>
      <c r="AP67" s="234"/>
      <c r="AQ67" s="234">
        <f t="shared" si="11"/>
        <v>131738</v>
      </c>
      <c r="AR67" s="234">
        <v>1.1155883E7</v>
      </c>
      <c r="AS67" s="234">
        <f t="shared" si="8"/>
        <v>11287621</v>
      </c>
      <c r="AT67" s="234">
        <v>94548.0</v>
      </c>
      <c r="AU67" s="234">
        <v>1697297.0</v>
      </c>
      <c r="AV67" s="234"/>
      <c r="AW67" s="234">
        <f t="shared" si="12"/>
        <v>1791845</v>
      </c>
      <c r="AX67" s="234">
        <v>9050676.0</v>
      </c>
      <c r="AY67" s="234">
        <f t="shared" si="10"/>
        <v>10842521</v>
      </c>
      <c r="AZ67" s="241" t="s">
        <v>1498</v>
      </c>
      <c r="BA67" s="235" t="s">
        <v>1635</v>
      </c>
      <c r="BC67" s="241" t="s">
        <v>1636</v>
      </c>
      <c r="BD67" s="236"/>
    </row>
    <row r="68" ht="12.75" customHeight="1">
      <c r="A68" s="203" t="s">
        <v>351</v>
      </c>
      <c r="B68" s="203" t="s">
        <v>352</v>
      </c>
      <c r="C68" s="203" t="s">
        <v>1306</v>
      </c>
      <c r="D68" s="203" t="s">
        <v>1548</v>
      </c>
      <c r="E68" s="237">
        <v>2.587E10</v>
      </c>
      <c r="F68" s="231" t="str">
        <f>IF(ISNUMBER(Table1[[#This Row],[2019 Scope 3 ]]),IF(Table1[[#This Row],[Net Earnings/Income (2019)]]-k_cost*Table1[[#This Row],[2019 Total Scope 1, 2 + 3]]&lt;0,"Y","N"),"NA")</f>
        <v>#ERROR!</v>
      </c>
      <c r="G68" s="63" t="str">
        <f>IF(ISNUMBER(Table1[[#This Row],[2019 Scope 3 ]]),IF(k_cost*Table1[[#This Row],[2019 Total Scope 1, 2 + 3]]/Table1[[#This Row],[Size (2019 Revenue)]]&gt;k_rev_max,"Y","N"),"NA")</f>
        <v>#ERROR!</v>
      </c>
      <c r="H68" s="63" t="str">
        <f>IF(OR(Table1[[#This Row],[Net earnings post carbon price @85/t]]="Y",Table1[[#This Row],[Carbon costs in % revenue]] = "Y"),"Y",IF(OR(Table1[[#This Row],[Net earnings post carbon price @85/t]]="NA",Table1[[#This Row],[Carbon costs in % revenue]]="NA"),"NA","N"))</f>
        <v>#ERROR!</v>
      </c>
      <c r="I68" s="237">
        <v>3.87E9</v>
      </c>
      <c r="J68" s="232">
        <v>2012.0</v>
      </c>
      <c r="K68" s="1" t="s">
        <v>1498</v>
      </c>
      <c r="L68" s="1" t="s">
        <v>1499</v>
      </c>
      <c r="M68" s="1" t="s">
        <v>1498</v>
      </c>
      <c r="P68" s="241" t="s">
        <v>1637</v>
      </c>
      <c r="R68" s="1" t="s">
        <v>1499</v>
      </c>
      <c r="T68" s="219" t="str">
        <f>IFERROR((Table1[[#This Row],[2019 Total Scope 1, 2 + 3]])/Table1[[#This Row],[2018 Total Scope 1, 2 + Scope 3]]-1,"NA")</f>
        <v>#ERROR!</v>
      </c>
      <c r="V68" s="234">
        <v>856590.0</v>
      </c>
      <c r="W68" s="234">
        <v>906349.0</v>
      </c>
      <c r="X68" s="234"/>
      <c r="Y68" s="234">
        <f t="shared" si="1"/>
        <v>1762939</v>
      </c>
      <c r="Z68" s="234">
        <f>15034298+1164761+2311217+84072+41446+190306+89945+52986+883179</f>
        <v>19852210</v>
      </c>
      <c r="AA68" s="234">
        <f t="shared" si="2"/>
        <v>21615149</v>
      </c>
      <c r="AB68" s="234">
        <v>819933.0</v>
      </c>
      <c r="AC68" s="234">
        <v>958647.0</v>
      </c>
      <c r="AD68" s="234"/>
      <c r="AE68" s="234">
        <f t="shared" si="3"/>
        <v>1778580</v>
      </c>
      <c r="AF68" s="234">
        <f>16999803+1043010+1261233+124957+47729+208314+1047969+207837+789072</f>
        <v>21729924</v>
      </c>
      <c r="AG68" s="234">
        <f t="shared" si="4"/>
        <v>23508504</v>
      </c>
      <c r="AH68" s="234">
        <v>778304.0</v>
      </c>
      <c r="AI68" s="234">
        <v>907536.0</v>
      </c>
      <c r="AJ68" s="234"/>
      <c r="AK68" s="234">
        <f t="shared" si="5"/>
        <v>1685840</v>
      </c>
      <c r="AL68" s="234">
        <f>8964770+457311+1005369+74429+80431+210026+641840+90737+692102</f>
        <v>12217015</v>
      </c>
      <c r="AM68" s="234">
        <f t="shared" si="6"/>
        <v>13902855</v>
      </c>
      <c r="AN68" s="234">
        <v>812564.0</v>
      </c>
      <c r="AO68" s="234">
        <v>987618.0</v>
      </c>
      <c r="AP68" s="234"/>
      <c r="AQ68" s="234">
        <f t="shared" si="11"/>
        <v>1800182</v>
      </c>
      <c r="AR68" s="234">
        <f>9288253+462304+1049737+74019+74623+215465+629249+93432+691352</f>
        <v>12578434</v>
      </c>
      <c r="AS68" s="234">
        <f t="shared" si="8"/>
        <v>14378616</v>
      </c>
      <c r="AT68" s="234">
        <v>757010.0</v>
      </c>
      <c r="AU68" s="234">
        <v>772308.0</v>
      </c>
      <c r="AV68" s="234"/>
      <c r="AW68" s="234">
        <f t="shared" si="12"/>
        <v>1529318</v>
      </c>
      <c r="AX68" s="234">
        <f>11056117+352033+1062374+109729+122282+204317+1174506+773746+499727+101190</f>
        <v>15456021</v>
      </c>
      <c r="AY68" s="234">
        <f t="shared" si="10"/>
        <v>16985339</v>
      </c>
      <c r="BA68" s="235" t="s">
        <v>1638</v>
      </c>
      <c r="BB68" s="241" t="s">
        <v>1639</v>
      </c>
      <c r="BC68" s="241" t="s">
        <v>1640</v>
      </c>
      <c r="BD68" s="236"/>
    </row>
    <row r="69" ht="12.75" customHeight="1">
      <c r="A69" s="203" t="s">
        <v>357</v>
      </c>
      <c r="B69" s="203" t="s">
        <v>357</v>
      </c>
      <c r="C69" s="203" t="s">
        <v>1298</v>
      </c>
      <c r="D69" s="203" t="s">
        <v>1530</v>
      </c>
      <c r="E69" s="231">
        <v>4.1419E10</v>
      </c>
      <c r="F69" s="231" t="str">
        <f>IF(ISNUMBER(Table1[[#This Row],[2019 Scope 3 ]]),IF(Table1[[#This Row],[Net Earnings/Income (2019)]]-k_cost*Table1[[#This Row],[2019 Total Scope 1, 2 + 3]]&lt;0,"Y","N"),"NA")</f>
        <v>#ERROR!</v>
      </c>
      <c r="G69" s="63" t="str">
        <f>IF(ISNUMBER(Table1[[#This Row],[2019 Scope 3 ]]),IF(k_cost*Table1[[#This Row],[2019 Total Scope 1, 2 + 3]]/Table1[[#This Row],[Size (2019 Revenue)]]&gt;k_rev_max,"Y","N"),"NA")</f>
        <v>#ERROR!</v>
      </c>
      <c r="H69" s="63" t="str">
        <f>IF(OR(Table1[[#This Row],[Net earnings post carbon price @85/t]]="Y",Table1[[#This Row],[Carbon costs in % revenue]] = "Y"),"Y",IF(OR(Table1[[#This Row],[Net earnings post carbon price @85/t]]="NA",Table1[[#This Row],[Carbon costs in % revenue]]="NA"),"NA","N"))</f>
        <v>#ERROR!</v>
      </c>
      <c r="I69" s="231">
        <v>8.512E9</v>
      </c>
      <c r="J69" s="232">
        <v>1935.0</v>
      </c>
      <c r="K69" s="231" t="s">
        <v>1498</v>
      </c>
      <c r="L69" s="1" t="s">
        <v>1498</v>
      </c>
      <c r="M69" s="1" t="s">
        <v>1499</v>
      </c>
      <c r="N69" s="1">
        <v>2022.0</v>
      </c>
      <c r="O69" s="1">
        <v>2017.0</v>
      </c>
      <c r="R69" s="1" t="s">
        <v>1498</v>
      </c>
      <c r="S69" s="1">
        <v>2022.0</v>
      </c>
      <c r="T69" s="219" t="str">
        <f>IFERROR((Table1[[#This Row],[2019 Total Scope 1, 2 + 3]])/Table1[[#This Row],[2018 Total Scope 1, 2 + Scope 3]]-1,"NA")</f>
        <v>#ERROR!</v>
      </c>
      <c r="V69" s="234">
        <v>28300.0</v>
      </c>
      <c r="W69" s="234">
        <v>176200.0</v>
      </c>
      <c r="X69" s="234"/>
      <c r="Y69" s="234">
        <f t="shared" si="1"/>
        <v>204500</v>
      </c>
      <c r="Z69" s="234">
        <f>911000+192000+46600+6490+99700+112550+6000+200</f>
        <v>1374540</v>
      </c>
      <c r="AA69" s="234">
        <f t="shared" si="2"/>
        <v>1579040</v>
      </c>
      <c r="AB69" s="234">
        <v>29800.0</v>
      </c>
      <c r="AC69" s="234">
        <v>183900.0</v>
      </c>
      <c r="AD69" s="234"/>
      <c r="AE69" s="234">
        <f t="shared" si="3"/>
        <v>213700</v>
      </c>
      <c r="AF69" s="234">
        <v>1227000.0</v>
      </c>
      <c r="AG69" s="234">
        <f t="shared" si="4"/>
        <v>1440700</v>
      </c>
      <c r="AH69" s="234">
        <v>29450.0</v>
      </c>
      <c r="AI69" s="234">
        <v>178350.0</v>
      </c>
      <c r="AJ69" s="234"/>
      <c r="AK69" s="234">
        <f t="shared" si="5"/>
        <v>207800</v>
      </c>
      <c r="AL69" s="234">
        <v>1357000.0</v>
      </c>
      <c r="AM69" s="234">
        <f t="shared" si="6"/>
        <v>1564800</v>
      </c>
      <c r="AN69" s="234">
        <v>27610.0</v>
      </c>
      <c r="AO69" s="234">
        <v>237080.0</v>
      </c>
      <c r="AP69" s="234"/>
      <c r="AQ69" s="234">
        <f t="shared" si="11"/>
        <v>264690</v>
      </c>
      <c r="AR69" s="234">
        <f>1600000+190000+54941+3110+93950+110000+6000+260</f>
        <v>2058261</v>
      </c>
      <c r="AS69" s="234">
        <f t="shared" si="8"/>
        <v>2322951</v>
      </c>
      <c r="AT69" s="234">
        <v>33870.0</v>
      </c>
      <c r="AU69" s="234">
        <v>272720.0</v>
      </c>
      <c r="AV69" s="234"/>
      <c r="AW69" s="234">
        <f t="shared" si="12"/>
        <v>306590</v>
      </c>
      <c r="AX69" s="234">
        <f>1100000+190000+59920+4480+118650+112000+6000+250</f>
        <v>1591300</v>
      </c>
      <c r="AY69" s="234">
        <f t="shared" si="10"/>
        <v>1897890</v>
      </c>
      <c r="BB69" s="1" t="s">
        <v>1641</v>
      </c>
      <c r="BC69" s="241" t="s">
        <v>1642</v>
      </c>
      <c r="BD69" s="236"/>
    </row>
    <row r="70" ht="12.75" customHeight="1">
      <c r="A70" s="203" t="s">
        <v>362</v>
      </c>
      <c r="B70" s="203" t="s">
        <v>363</v>
      </c>
      <c r="C70" s="203" t="s">
        <v>1302</v>
      </c>
      <c r="D70" s="203" t="s">
        <v>1541</v>
      </c>
      <c r="E70" s="237">
        <v>2.016E10</v>
      </c>
      <c r="F70" s="231" t="str">
        <f>IF(ISNUMBER(Table1[[#This Row],[2019 Scope 3 ]]),IF(Table1[[#This Row],[Net Earnings/Income (2019)]]-k_cost*Table1[[#This Row],[2019 Total Scope 1, 2 + 3]]&lt;0,"Y","N"),"NA")</f>
        <v>#ERROR!</v>
      </c>
      <c r="G70" s="63" t="str">
        <f>IF(ISNUMBER(Table1[[#This Row],[2019 Scope 3 ]]),IF(k_cost*Table1[[#This Row],[2019 Total Scope 1, 2 + 3]]/Table1[[#This Row],[Size (2019 Revenue)]]&gt;k_rev_max,"Y","N"),"NA")</f>
        <v>#ERROR!</v>
      </c>
      <c r="H70" s="63" t="str">
        <f>IF(OR(Table1[[#This Row],[Net earnings post carbon price @85/t]]="Y",Table1[[#This Row],[Carbon costs in % revenue]] = "Y"),"Y",IF(OR(Table1[[#This Row],[Net earnings post carbon price @85/t]]="NA",Table1[[#This Row],[Carbon costs in % revenue]]="NA"),"NA","N"))</f>
        <v>#ERROR!</v>
      </c>
      <c r="I70" s="237">
        <v>1.866E9</v>
      </c>
      <c r="J70" s="232">
        <v>2002.0</v>
      </c>
      <c r="K70" s="1" t="s">
        <v>1498</v>
      </c>
      <c r="L70" s="1" t="s">
        <v>1499</v>
      </c>
      <c r="M70" s="1" t="s">
        <v>1499</v>
      </c>
      <c r="P70" s="1" t="s">
        <v>1499</v>
      </c>
      <c r="Q70" s="1" t="s">
        <v>1498</v>
      </c>
      <c r="R70" s="1" t="s">
        <v>1499</v>
      </c>
      <c r="S70" s="1" t="s">
        <v>1499</v>
      </c>
      <c r="T70" s="219" t="str">
        <f>IFERROR((Table1[[#This Row],[2019 Total Scope 1, 2 + 3]])/Table1[[#This Row],[2018 Total Scope 1, 2 + Scope 3]]-1,"NA")</f>
        <v>#ERROR!</v>
      </c>
      <c r="V70" s="234" t="s">
        <v>536</v>
      </c>
      <c r="W70" s="234" t="s">
        <v>536</v>
      </c>
      <c r="X70" s="234"/>
      <c r="Y70" s="234" t="str">
        <f t="shared" si="1"/>
        <v/>
      </c>
      <c r="Z70" s="234" t="s">
        <v>536</v>
      </c>
      <c r="AA70" s="234" t="str">
        <f t="shared" si="2"/>
        <v/>
      </c>
      <c r="AB70" s="234" t="s">
        <v>536</v>
      </c>
      <c r="AC70" s="234" t="s">
        <v>536</v>
      </c>
      <c r="AD70" s="234"/>
      <c r="AE70" s="234" t="str">
        <f t="shared" si="3"/>
        <v/>
      </c>
      <c r="AF70" s="234" t="s">
        <v>536</v>
      </c>
      <c r="AG70" s="234" t="str">
        <f t="shared" si="4"/>
        <v/>
      </c>
      <c r="AH70" s="234" t="s">
        <v>536</v>
      </c>
      <c r="AI70" s="234" t="s">
        <v>536</v>
      </c>
      <c r="AJ70" s="234"/>
      <c r="AK70" s="234" t="str">
        <f t="shared" si="5"/>
        <v/>
      </c>
      <c r="AL70" s="234" t="s">
        <v>536</v>
      </c>
      <c r="AM70" s="234" t="str">
        <f t="shared" si="6"/>
        <v/>
      </c>
      <c r="AN70" s="234" t="s">
        <v>536</v>
      </c>
      <c r="AO70" s="234" t="s">
        <v>536</v>
      </c>
      <c r="AP70" s="234"/>
      <c r="AQ70" s="234" t="str">
        <f t="shared" si="11"/>
        <v/>
      </c>
      <c r="AR70" s="234" t="s">
        <v>536</v>
      </c>
      <c r="AS70" s="234" t="str">
        <f t="shared" si="8"/>
        <v/>
      </c>
      <c r="AT70" s="234" t="s">
        <v>536</v>
      </c>
      <c r="AU70" s="234" t="s">
        <v>536</v>
      </c>
      <c r="AV70" s="234"/>
      <c r="AW70" s="234" t="str">
        <f t="shared" si="12"/>
        <v/>
      </c>
      <c r="AX70" s="234" t="s">
        <v>536</v>
      </c>
      <c r="AY70" s="234" t="str">
        <f t="shared" si="10"/>
        <v/>
      </c>
      <c r="AZ70" s="1" t="s">
        <v>1499</v>
      </c>
      <c r="BB70" s="241" t="s">
        <v>1643</v>
      </c>
      <c r="BC70" s="241" t="s">
        <v>1644</v>
      </c>
      <c r="BD70" s="236"/>
    </row>
    <row r="71" ht="12.75" customHeight="1">
      <c r="A71" s="203" t="s">
        <v>365</v>
      </c>
      <c r="B71" s="203" t="s">
        <v>366</v>
      </c>
      <c r="C71" s="203" t="s">
        <v>1364</v>
      </c>
      <c r="D71" s="1" t="s">
        <v>1364</v>
      </c>
      <c r="E71" s="237">
        <v>1.9204E10</v>
      </c>
      <c r="F71" s="231" t="str">
        <f>IF(ISNUMBER(Table1[[#This Row],[2019 Scope 3 ]]),IF(Table1[[#This Row],[Net Earnings/Income (2019)]]-k_cost*Table1[[#This Row],[2019 Total Scope 1, 2 + 3]]&lt;0,"Y","N"),"NA")</f>
        <v>#ERROR!</v>
      </c>
      <c r="G71" s="63" t="str">
        <f>IF(ISNUMBER(Table1[[#This Row],[2019 Scope 3 ]]),IF(k_cost*Table1[[#This Row],[2019 Total Scope 1, 2 + 3]]/Table1[[#This Row],[Size (2019 Revenue)]]&gt;k_rev_max,"Y","N"),"NA")</f>
        <v>#ERROR!</v>
      </c>
      <c r="H71" s="63" t="str">
        <f>IF(OR(Table1[[#This Row],[Net earnings post carbon price @85/t]]="Y",Table1[[#This Row],[Carbon costs in % revenue]] = "Y"),"Y",IF(OR(Table1[[#This Row],[Net earnings post carbon price @85/t]]="NA",Table1[[#This Row],[Carbon costs in % revenue]]="NA"),"NA","N"))</f>
        <v>#ERROR!</v>
      </c>
      <c r="I71" s="237">
        <v>3.769E9</v>
      </c>
      <c r="J71" s="232">
        <v>2014.0</v>
      </c>
      <c r="K71" s="1" t="s">
        <v>1498</v>
      </c>
      <c r="L71" s="1" t="s">
        <v>1499</v>
      </c>
      <c r="M71" s="1" t="s">
        <v>1499</v>
      </c>
      <c r="P71" s="1" t="s">
        <v>1499</v>
      </c>
      <c r="Q71" s="1" t="s">
        <v>1499</v>
      </c>
      <c r="R71" s="1" t="s">
        <v>1499</v>
      </c>
      <c r="S71" s="1" t="s">
        <v>1499</v>
      </c>
      <c r="T71" s="219" t="str">
        <f>IFERROR((Table1[[#This Row],[2019 Total Scope 1, 2 + 3]])/Table1[[#This Row],[2018 Total Scope 1, 2 + Scope 3]]-1,"NA")</f>
        <v>#ERROR!</v>
      </c>
      <c r="V71" s="234" t="s">
        <v>536</v>
      </c>
      <c r="W71" s="234" t="s">
        <v>536</v>
      </c>
      <c r="X71" s="234"/>
      <c r="Y71" s="234">
        <v>1.07082396E8</v>
      </c>
      <c r="Z71" s="234" t="s">
        <v>536</v>
      </c>
      <c r="AA71" s="234" t="str">
        <f t="shared" si="2"/>
        <v/>
      </c>
      <c r="AB71" s="234" t="s">
        <v>536</v>
      </c>
      <c r="AC71" s="234" t="s">
        <v>536</v>
      </c>
      <c r="AD71" s="234"/>
      <c r="AE71" s="234">
        <v>9.0006931E7</v>
      </c>
      <c r="AF71" s="234" t="s">
        <v>536</v>
      </c>
      <c r="AG71" s="234" t="str">
        <f t="shared" si="4"/>
        <v/>
      </c>
      <c r="AH71" s="234" t="s">
        <v>536</v>
      </c>
      <c r="AI71" s="234" t="s">
        <v>536</v>
      </c>
      <c r="AJ71" s="234"/>
      <c r="AK71" s="234">
        <v>9.3387385E7</v>
      </c>
      <c r="AL71" s="234" t="s">
        <v>536</v>
      </c>
      <c r="AM71" s="234" t="str">
        <f t="shared" si="6"/>
        <v/>
      </c>
      <c r="AN71" s="234" t="s">
        <v>536</v>
      </c>
      <c r="AO71" s="234" t="s">
        <v>536</v>
      </c>
      <c r="AP71" s="234"/>
      <c r="AQ71" s="234">
        <v>1.00072736E8</v>
      </c>
      <c r="AR71" s="234" t="s">
        <v>536</v>
      </c>
      <c r="AS71" s="234" t="str">
        <f t="shared" si="8"/>
        <v/>
      </c>
      <c r="AT71" s="234" t="s">
        <v>536</v>
      </c>
      <c r="AU71" s="234" t="s">
        <v>536</v>
      </c>
      <c r="AV71" s="234"/>
      <c r="AW71" s="234" t="str">
        <f t="shared" si="12"/>
        <v/>
      </c>
      <c r="AX71" s="234" t="s">
        <v>536</v>
      </c>
      <c r="AY71" s="234" t="str">
        <f t="shared" si="10"/>
        <v/>
      </c>
      <c r="AZ71" s="1" t="s">
        <v>1498</v>
      </c>
      <c r="BA71" s="235" t="s">
        <v>1645</v>
      </c>
      <c r="BB71" s="241" t="s">
        <v>1646</v>
      </c>
      <c r="BC71" s="235" t="s">
        <v>1647</v>
      </c>
      <c r="BD71" s="236"/>
    </row>
    <row r="72" ht="12.75" customHeight="1">
      <c r="A72" s="203" t="s">
        <v>368</v>
      </c>
      <c r="B72" s="203" t="s">
        <v>369</v>
      </c>
      <c r="C72" s="203" t="s">
        <v>1376</v>
      </c>
      <c r="D72" s="203" t="s">
        <v>1648</v>
      </c>
      <c r="E72" s="231">
        <v>3.91E10</v>
      </c>
      <c r="F72" s="231" t="str">
        <f>IF(ISNUMBER(Table1[[#This Row],[2019 Scope 3 ]]),IF(Table1[[#This Row],[Net Earnings/Income (2019)]]-k_cost*Table1[[#This Row],[2019 Total Scope 1, 2 + 3]]&lt;0,"Y","N"),"NA")</f>
        <v>#ERROR!</v>
      </c>
      <c r="G72" s="63" t="str">
        <f>IF(ISNUMBER(Table1[[#This Row],[2019 Scope 3 ]]),IF(k_cost*Table1[[#This Row],[2019 Total Scope 1, 2 + 3]]/Table1[[#This Row],[Size (2019 Revenue)]]&gt;k_rev_max,"Y","N"),"NA")</f>
        <v>#ERROR!</v>
      </c>
      <c r="H72" s="63" t="str">
        <f>IF(OR(Table1[[#This Row],[Net earnings post carbon price @85/t]]="Y",Table1[[#This Row],[Carbon costs in % revenue]] = "Y"),"Y",IF(OR(Table1[[#This Row],[Net earnings post carbon price @85/t]]="NA",Table1[[#This Row],[Carbon costs in % revenue]]="NA"),"NA","N"))</f>
        <v>#ERROR!</v>
      </c>
      <c r="I72" s="231">
        <v>4.0E9</v>
      </c>
      <c r="J72" s="232">
        <v>1980.0</v>
      </c>
      <c r="K72" s="231" t="s">
        <v>1498</v>
      </c>
      <c r="L72" s="1" t="s">
        <v>1498</v>
      </c>
      <c r="M72" s="1" t="s">
        <v>1498</v>
      </c>
      <c r="N72" s="1">
        <v>2050.0</v>
      </c>
      <c r="O72" s="1">
        <v>2020.0</v>
      </c>
      <c r="P72" s="241" t="s">
        <v>1649</v>
      </c>
      <c r="Q72" s="1" t="s">
        <v>1499</v>
      </c>
      <c r="R72" s="1" t="s">
        <v>1498</v>
      </c>
      <c r="S72" s="1">
        <v>2025.0</v>
      </c>
      <c r="T72" s="219" t="str">
        <f>IFERROR((Table1[[#This Row],[2019 Total Scope 1, 2 + 3]])/Table1[[#This Row],[2018 Total Scope 1, 2 + Scope 3]]-1,"NA")</f>
        <v>#ERROR!</v>
      </c>
      <c r="V72" s="234">
        <v>46714.0</v>
      </c>
      <c r="W72" s="234">
        <v>209065.0</v>
      </c>
      <c r="X72" s="234"/>
      <c r="Y72" s="234">
        <f t="shared" ref="Y72:Y101" si="13">IFERROR(V72+W72-X72,"")</f>
        <v>255779</v>
      </c>
      <c r="Z72" s="234">
        <v>3250744.0</v>
      </c>
      <c r="AA72" s="234">
        <f t="shared" si="2"/>
        <v>3506523</v>
      </c>
      <c r="AB72" s="234">
        <v>41942.0</v>
      </c>
      <c r="AC72" s="234">
        <v>218240.0</v>
      </c>
      <c r="AD72" s="234"/>
      <c r="AE72" s="234">
        <f t="shared" ref="AE72:AE101" si="14">IFERROR(AB72+AC72-AD72,"")</f>
        <v>260182</v>
      </c>
      <c r="AF72" s="234">
        <v>2787707.0</v>
      </c>
      <c r="AG72" s="234">
        <f t="shared" si="4"/>
        <v>3047889</v>
      </c>
      <c r="AH72" s="234">
        <v>40139.0</v>
      </c>
      <c r="AI72" s="234">
        <v>224489.0</v>
      </c>
      <c r="AJ72" s="234"/>
      <c r="AK72" s="234">
        <f t="shared" ref="AK72:AK101" si="15">IFERROR(AH72+AI72-AJ72,"")</f>
        <v>264628</v>
      </c>
      <c r="AL72" s="234">
        <v>2751744.0</v>
      </c>
      <c r="AM72" s="234">
        <f t="shared" si="6"/>
        <v>3016372</v>
      </c>
      <c r="AN72" s="234">
        <v>37325.0</v>
      </c>
      <c r="AO72" s="234">
        <v>225772.0</v>
      </c>
      <c r="AP72" s="234"/>
      <c r="AQ72" s="234">
        <f t="shared" ref="AQ72:AQ101" si="16">IFERROR(AN72+AO72-AP72,"")</f>
        <v>263097</v>
      </c>
      <c r="AR72" s="234">
        <v>2468365.0</v>
      </c>
      <c r="AS72" s="234">
        <f t="shared" si="8"/>
        <v>2731462</v>
      </c>
      <c r="AT72" s="234">
        <v>35623.0</v>
      </c>
      <c r="AU72" s="234">
        <v>228680.0</v>
      </c>
      <c r="AV72" s="234"/>
      <c r="AW72" s="234">
        <f t="shared" si="12"/>
        <v>264303</v>
      </c>
      <c r="AX72" s="234">
        <v>2460556.0</v>
      </c>
      <c r="AY72" s="234">
        <f t="shared" si="10"/>
        <v>2724859</v>
      </c>
      <c r="AZ72" s="241" t="s">
        <v>1650</v>
      </c>
      <c r="BA72" s="235" t="s">
        <v>1651</v>
      </c>
      <c r="BC72" s="241" t="s">
        <v>1652</v>
      </c>
      <c r="BD72" s="236"/>
    </row>
    <row r="73" ht="12.75" customHeight="1">
      <c r="A73" s="203" t="s">
        <v>374</v>
      </c>
      <c r="B73" s="203" t="s">
        <v>374</v>
      </c>
      <c r="C73" s="203" t="s">
        <v>1291</v>
      </c>
      <c r="D73" s="203" t="s">
        <v>1521</v>
      </c>
      <c r="E73" s="231">
        <v>1.172E10</v>
      </c>
      <c r="F73" s="231" t="str">
        <f>IF(ISNUMBER(Table1[[#This Row],[2019 Scope 3 ]]),IF(Table1[[#This Row],[Net Earnings/Income (2019)]]-k_cost*Table1[[#This Row],[2019 Total Scope 1, 2 + 3]]&lt;0,"Y","N"),"NA")</f>
        <v>#ERROR!</v>
      </c>
      <c r="G73" s="63" t="str">
        <f>IF(ISNUMBER(Table1[[#This Row],[2019 Scope 3 ]]),IF(k_cost*Table1[[#This Row],[2019 Total Scope 1, 2 + 3]]/Table1[[#This Row],[Size (2019 Revenue)]]&gt;k_rev_max,"Y","N"),"NA")</f>
        <v>#ERROR!</v>
      </c>
      <c r="H73" s="63" t="str">
        <f>IF(OR(Table1[[#This Row],[Net earnings post carbon price @85/t]]="Y",Table1[[#This Row],[Carbon costs in % revenue]] = "Y"),"Y",IF(OR(Table1[[#This Row],[Net earnings post carbon price @85/t]]="NA",Table1[[#This Row],[Carbon costs in % revenue]]="NA"),"NA","N"))</f>
        <v>#ERROR!</v>
      </c>
      <c r="I73" s="231">
        <v>4.141E9</v>
      </c>
      <c r="J73" s="232">
        <v>1999.0</v>
      </c>
      <c r="K73" s="231" t="s">
        <v>1498</v>
      </c>
      <c r="L73" s="203" t="s">
        <v>1499</v>
      </c>
      <c r="M73" s="1" t="s">
        <v>1499</v>
      </c>
      <c r="P73" s="241" t="s">
        <v>1653</v>
      </c>
      <c r="R73" s="242" t="s">
        <v>1499</v>
      </c>
      <c r="S73" s="241" t="s">
        <v>1654</v>
      </c>
      <c r="T73" s="245" t="str">
        <f>IFERROR((Table1[[#This Row],[2019 Total Scope 1, 2 + 3]])/Table1[[#This Row],[2018 Total Scope 1, 2 + Scope 3]]-1,"NA")</f>
        <v>#ERROR!</v>
      </c>
      <c r="U73" s="241"/>
      <c r="V73" s="234">
        <v>2695.0</v>
      </c>
      <c r="W73" s="234">
        <v>60093.0</v>
      </c>
      <c r="X73" s="234"/>
      <c r="Y73" s="234">
        <f t="shared" si="13"/>
        <v>62788</v>
      </c>
      <c r="Z73" s="234">
        <v>427730.0</v>
      </c>
      <c r="AA73" s="234">
        <f t="shared" si="2"/>
        <v>490518</v>
      </c>
      <c r="AB73" s="234">
        <v>2370.0</v>
      </c>
      <c r="AC73" s="234">
        <v>56903.0</v>
      </c>
      <c r="AD73" s="234"/>
      <c r="AE73" s="234">
        <f t="shared" si="14"/>
        <v>59273</v>
      </c>
      <c r="AF73" s="234">
        <v>326648.0</v>
      </c>
      <c r="AG73" s="234">
        <f t="shared" si="4"/>
        <v>385921</v>
      </c>
      <c r="AH73" s="234">
        <v>2571.0</v>
      </c>
      <c r="AI73" s="234">
        <v>47142.0</v>
      </c>
      <c r="AJ73" s="234"/>
      <c r="AK73" s="234">
        <f t="shared" si="15"/>
        <v>49713</v>
      </c>
      <c r="AL73" s="234">
        <v>277014.0</v>
      </c>
      <c r="AM73" s="234">
        <f t="shared" si="6"/>
        <v>326727</v>
      </c>
      <c r="AN73" s="234">
        <v>2419.0</v>
      </c>
      <c r="AO73" s="234">
        <v>43889.0</v>
      </c>
      <c r="AP73" s="234"/>
      <c r="AQ73" s="234">
        <f t="shared" si="16"/>
        <v>46308</v>
      </c>
      <c r="AR73" s="234">
        <v>237579.0</v>
      </c>
      <c r="AS73" s="234">
        <f t="shared" si="8"/>
        <v>283887</v>
      </c>
      <c r="AT73" s="234">
        <v>3339.0</v>
      </c>
      <c r="AU73" s="234">
        <v>51482.0</v>
      </c>
      <c r="AV73" s="234"/>
      <c r="AW73" s="234">
        <f t="shared" si="12"/>
        <v>54821</v>
      </c>
      <c r="AX73" s="234">
        <v>114259.0</v>
      </c>
      <c r="AY73" s="234">
        <f t="shared" si="10"/>
        <v>169080</v>
      </c>
      <c r="AZ73" s="241"/>
      <c r="BA73" s="235" t="s">
        <v>1655</v>
      </c>
      <c r="BC73" s="241" t="s">
        <v>1656</v>
      </c>
      <c r="BD73" s="236" t="s">
        <v>1529</v>
      </c>
    </row>
    <row r="74" ht="12.75" customHeight="1">
      <c r="A74" s="203" t="s">
        <v>379</v>
      </c>
      <c r="B74" s="203" t="s">
        <v>379</v>
      </c>
      <c r="C74" s="203" t="s">
        <v>1350</v>
      </c>
      <c r="D74" s="203" t="s">
        <v>1542</v>
      </c>
      <c r="E74" s="237">
        <v>2.123E10</v>
      </c>
      <c r="F74" s="231" t="str">
        <f>IF(ISNUMBER(Table1[[#This Row],[2019 Scope 3 ]]),IF(Table1[[#This Row],[Net Earnings/Income (2019)]]-k_cost*Table1[[#This Row],[2019 Total Scope 1, 2 + 3]]&lt;0,"Y","N"),"NA")</f>
        <v>#ERROR!</v>
      </c>
      <c r="G74" s="63" t="str">
        <f>IF(ISNUMBER(Table1[[#This Row],[2019 Scope 3 ]]),IF(k_cost*Table1[[#This Row],[2019 Total Scope 1, 2 + 3]]/Table1[[#This Row],[Size (2019 Revenue)]]&gt;k_rev_max,"Y","N"),"NA")</f>
        <v>#ERROR!</v>
      </c>
      <c r="H74" s="63" t="str">
        <f>IF(OR(Table1[[#This Row],[Net earnings post carbon price @85/t]]="Y",Table1[[#This Row],[Carbon costs in % revenue]] = "Y"),"Y",IF(OR(Table1[[#This Row],[Net earnings post carbon price @85/t]]="NA",Table1[[#This Row],[Carbon costs in % revenue]]="NA"),"NA","N"))</f>
        <v>#ERROR!</v>
      </c>
      <c r="I74" s="237">
        <v>-6.52E8</v>
      </c>
      <c r="J74" s="232">
        <v>1986.0</v>
      </c>
      <c r="K74" s="1" t="s">
        <v>1498</v>
      </c>
      <c r="L74" s="1" t="s">
        <v>1499</v>
      </c>
      <c r="M74" s="1" t="s">
        <v>1499</v>
      </c>
      <c r="P74" s="241" t="s">
        <v>1657</v>
      </c>
      <c r="Q74" s="241" t="s">
        <v>1658</v>
      </c>
      <c r="R74" s="1" t="s">
        <v>1499</v>
      </c>
      <c r="T74" s="219" t="str">
        <f>IFERROR((Table1[[#This Row],[2019 Total Scope 1, 2 + 3]])/Table1[[#This Row],[2018 Total Scope 1, 2 + Scope 3]]-1,"NA")</f>
        <v>#ERROR!</v>
      </c>
      <c r="V74" s="234">
        <v>2.2430197E7</v>
      </c>
      <c r="W74" s="234">
        <v>6420000.0</v>
      </c>
      <c r="X74" s="234"/>
      <c r="Y74" s="234">
        <f t="shared" si="13"/>
        <v>28850197</v>
      </c>
      <c r="Z74" s="234">
        <f>103000000</f>
        <v>103000000</v>
      </c>
      <c r="AA74" s="234">
        <f t="shared" si="2"/>
        <v>131850197</v>
      </c>
      <c r="AB74" s="234">
        <v>1.037E7</v>
      </c>
      <c r="AC74" s="234">
        <v>4100000.0</v>
      </c>
      <c r="AD74" s="234"/>
      <c r="AE74" s="234">
        <f t="shared" si="14"/>
        <v>14470000</v>
      </c>
      <c r="AF74" s="234">
        <v>7.1E7</v>
      </c>
      <c r="AG74" s="234">
        <f t="shared" si="4"/>
        <v>85470000</v>
      </c>
      <c r="AH74" s="234">
        <v>1.13E7</v>
      </c>
      <c r="AI74" s="234">
        <v>4200000.0</v>
      </c>
      <c r="AJ74" s="234"/>
      <c r="AK74" s="234">
        <f t="shared" si="15"/>
        <v>15500000</v>
      </c>
      <c r="AL74" s="234">
        <v>6.3E7</v>
      </c>
      <c r="AM74" s="234">
        <f t="shared" si="6"/>
        <v>78500000</v>
      </c>
      <c r="AN74" s="234">
        <v>1.049E7</v>
      </c>
      <c r="AO74" s="234">
        <v>5380000.0</v>
      </c>
      <c r="AP74" s="234"/>
      <c r="AQ74" s="234">
        <f t="shared" si="16"/>
        <v>15870000</v>
      </c>
      <c r="AR74" s="234"/>
      <c r="AS74" s="234">
        <f t="shared" si="8"/>
        <v>15870000</v>
      </c>
      <c r="AT74" s="234">
        <v>9300000.0</v>
      </c>
      <c r="AU74" s="234">
        <v>4800000.0</v>
      </c>
      <c r="AV74" s="234"/>
      <c r="AW74" s="234">
        <f t="shared" si="12"/>
        <v>14100000</v>
      </c>
      <c r="AX74" s="234"/>
      <c r="AY74" s="234">
        <f t="shared" si="10"/>
        <v>14100000</v>
      </c>
      <c r="BA74" s="235" t="s">
        <v>1659</v>
      </c>
      <c r="BC74" s="241" t="s">
        <v>1660</v>
      </c>
      <c r="BD74" s="236"/>
    </row>
    <row r="75" ht="12.75" customHeight="1">
      <c r="A75" s="203" t="s">
        <v>384</v>
      </c>
      <c r="B75" s="203" t="s">
        <v>384</v>
      </c>
      <c r="C75" s="203" t="s">
        <v>1291</v>
      </c>
      <c r="D75" s="203" t="s">
        <v>1297</v>
      </c>
      <c r="E75" s="237">
        <v>3.95E10</v>
      </c>
      <c r="F75" s="231" t="str">
        <f>IF(ISNUMBER(Table1[[#This Row],[2019 Scope 3 ]]),IF(Table1[[#This Row],[Net Earnings/Income (2019)]]-k_cost*Table1[[#This Row],[2019 Total Scope 1, 2 + 3]]&lt;0,"Y","N"),"NA")</f>
        <v>#ERROR!</v>
      </c>
      <c r="G75" s="63" t="str">
        <f>IF(ISNUMBER(Table1[[#This Row],[2019 Scope 3 ]]),IF(k_cost*Table1[[#This Row],[2019 Total Scope 1, 2 + 3]]/Table1[[#This Row],[Size (2019 Revenue)]]&gt;k_rev_max,"Y","N"),"NA")</f>
        <v>#ERROR!</v>
      </c>
      <c r="H75" s="63" t="str">
        <f>IF(OR(Table1[[#This Row],[Net earnings post carbon price @85/t]]="Y",Table1[[#This Row],[Carbon costs in % revenue]] = "Y"),"Y",IF(OR(Table1[[#This Row],[Net earnings post carbon price @85/t]]="NA",Table1[[#This Row],[Carbon costs in % revenue]]="NA"),"NA","N"))</f>
        <v>#ERROR!</v>
      </c>
      <c r="I75" s="237">
        <v>1.108E10</v>
      </c>
      <c r="J75" s="232">
        <v>1986.0</v>
      </c>
      <c r="K75" s="1" t="s">
        <v>1498</v>
      </c>
      <c r="L75" s="203" t="s">
        <v>1499</v>
      </c>
      <c r="M75" s="1" t="s">
        <v>1499</v>
      </c>
      <c r="P75" s="241" t="s">
        <v>1661</v>
      </c>
      <c r="R75" s="1" t="s">
        <v>1499</v>
      </c>
      <c r="T75" s="219" t="str">
        <f>IFERROR((Table1[[#This Row],[2019 Total Scope 1, 2 + 3]])/Table1[[#This Row],[2018 Total Scope 1, 2 + Scope 3]]-1,"NA")</f>
        <v>#ERROR!</v>
      </c>
      <c r="V75" s="234">
        <v>16520.0</v>
      </c>
      <c r="W75" s="234">
        <v>349022.0</v>
      </c>
      <c r="X75" s="234"/>
      <c r="Y75" s="234">
        <f t="shared" si="13"/>
        <v>365542</v>
      </c>
      <c r="Z75" s="234">
        <f>1139792+151888+21233+8956+1055+173807+70+35824+10915</f>
        <v>1543540</v>
      </c>
      <c r="AA75" s="234">
        <f t="shared" si="2"/>
        <v>1909082</v>
      </c>
      <c r="AB75" s="234">
        <v>17084.0</v>
      </c>
      <c r="AC75" s="234">
        <v>362448.0</v>
      </c>
      <c r="AD75" s="234"/>
      <c r="AE75" s="234">
        <f t="shared" si="14"/>
        <v>379532</v>
      </c>
      <c r="AF75" s="234">
        <f>1355224+136405+21747+9468+762+192845+70+37874+11653</f>
        <v>1766048</v>
      </c>
      <c r="AG75" s="234">
        <f t="shared" si="4"/>
        <v>2145580</v>
      </c>
      <c r="AH75" s="234">
        <v>14763.0</v>
      </c>
      <c r="AI75" s="234">
        <v>403160.0</v>
      </c>
      <c r="AJ75" s="234"/>
      <c r="AK75" s="234">
        <f t="shared" si="15"/>
        <v>417923</v>
      </c>
      <c r="AL75" s="234">
        <f>77507+588157+24190+33270+769+184168+82.95+33270+40576+9716.17</f>
        <v>991706.12</v>
      </c>
      <c r="AM75" s="234">
        <f t="shared" si="6"/>
        <v>1409629.12</v>
      </c>
      <c r="AN75" s="234">
        <v>11293.0</v>
      </c>
      <c r="AO75" s="234">
        <v>354428.0</v>
      </c>
      <c r="AP75" s="234"/>
      <c r="AQ75" s="234">
        <f t="shared" si="16"/>
        <v>365721</v>
      </c>
      <c r="AR75" s="234">
        <f>40644+296193+23999+35103+812+188451+81.85+35103+17552+11604</f>
        <v>649542.85</v>
      </c>
      <c r="AS75" s="234">
        <f t="shared" si="8"/>
        <v>1015263.85</v>
      </c>
      <c r="AT75" s="234">
        <v>11741.0</v>
      </c>
      <c r="AU75" s="234">
        <v>358673.0</v>
      </c>
      <c r="AV75" s="234"/>
      <c r="AW75" s="234">
        <f t="shared" si="12"/>
        <v>370414</v>
      </c>
      <c r="AX75" s="234"/>
      <c r="AY75" s="234">
        <f t="shared" si="10"/>
        <v>370414</v>
      </c>
      <c r="BA75" s="235" t="s">
        <v>1662</v>
      </c>
      <c r="BC75" s="241" t="s">
        <v>1663</v>
      </c>
      <c r="BD75" s="236"/>
    </row>
    <row r="76" ht="12.75" customHeight="1">
      <c r="A76" s="203" t="s">
        <v>389</v>
      </c>
      <c r="B76" s="203" t="s">
        <v>389</v>
      </c>
      <c r="C76" s="203" t="s">
        <v>1298</v>
      </c>
      <c r="D76" s="203" t="s">
        <v>1515</v>
      </c>
      <c r="E76" s="237">
        <v>1.777E10</v>
      </c>
      <c r="F76" s="231" t="str">
        <f>IF(ISNUMBER(Table1[[#This Row],[2019 Scope 3 ]]),IF(Table1[[#This Row],[Net Earnings/Income (2019)]]-k_cost*Table1[[#This Row],[2019 Total Scope 1, 2 + 3]]&lt;0,"Y","N"),"NA")</f>
        <v>#ERROR!</v>
      </c>
      <c r="G76" s="63" t="str">
        <f>IF(ISNUMBER(Table1[[#This Row],[2019 Scope 3 ]]),IF(k_cost*Table1[[#This Row],[2019 Total Scope 1, 2 + 3]]/Table1[[#This Row],[Size (2019 Revenue)]]&gt;k_rev_max,"Y","N"),"NA")</f>
        <v>#ERROR!</v>
      </c>
      <c r="H76" s="63" t="str">
        <f>IF(OR(Table1[[#This Row],[Net earnings post carbon price @85/t]]="Y",Table1[[#This Row],[Carbon costs in % revenue]] = "Y"),"Y",IF(OR(Table1[[#This Row],[Net earnings post carbon price @85/t]]="NA",Table1[[#This Row],[Carbon costs in % revenue]]="NA"),"NA","N"))</f>
        <v>#ERROR!</v>
      </c>
      <c r="I76" s="237">
        <v>2.459E9</v>
      </c>
      <c r="J76" s="232">
        <v>2002.0</v>
      </c>
      <c r="K76" s="1" t="s">
        <v>1498</v>
      </c>
      <c r="L76" s="1" t="s">
        <v>1499</v>
      </c>
      <c r="M76" s="241" t="s">
        <v>1498</v>
      </c>
      <c r="P76" s="241"/>
      <c r="R76" s="1" t="s">
        <v>1499</v>
      </c>
      <c r="T76" s="219" t="str">
        <f>IFERROR((Table1[[#This Row],[2019 Total Scope 1, 2 + 3]])/Table1[[#This Row],[2018 Total Scope 1, 2 + Scope 3]]-1,"NA")</f>
        <v>#ERROR!</v>
      </c>
      <c r="V76" s="234">
        <v>9900.0</v>
      </c>
      <c r="W76" s="234">
        <v>47000.0</v>
      </c>
      <c r="X76" s="234"/>
      <c r="Y76" s="234">
        <f t="shared" si="13"/>
        <v>56900</v>
      </c>
      <c r="Z76" s="234">
        <v>32100.0</v>
      </c>
      <c r="AA76" s="234">
        <f t="shared" si="2"/>
        <v>89000</v>
      </c>
      <c r="AB76" s="234">
        <v>10600.0</v>
      </c>
      <c r="AC76" s="234">
        <v>57900.0</v>
      </c>
      <c r="AD76" s="234"/>
      <c r="AE76" s="234">
        <f t="shared" si="14"/>
        <v>68500</v>
      </c>
      <c r="AF76" s="234">
        <v>31100.0</v>
      </c>
      <c r="AG76" s="234">
        <f t="shared" si="4"/>
        <v>99600</v>
      </c>
      <c r="AH76" s="234">
        <v>9600.0</v>
      </c>
      <c r="AI76" s="234">
        <v>57800.0</v>
      </c>
      <c r="AJ76" s="234"/>
      <c r="AK76" s="234">
        <f t="shared" si="15"/>
        <v>67400</v>
      </c>
      <c r="AL76" s="234">
        <v>24500.0</v>
      </c>
      <c r="AM76" s="234">
        <f t="shared" si="6"/>
        <v>91900</v>
      </c>
      <c r="AN76" s="234" t="s">
        <v>536</v>
      </c>
      <c r="AO76" s="234" t="s">
        <v>536</v>
      </c>
      <c r="AP76" s="234"/>
      <c r="AQ76" s="234" t="str">
        <f t="shared" si="16"/>
        <v/>
      </c>
      <c r="AR76" s="234" t="s">
        <v>536</v>
      </c>
      <c r="AS76" s="234" t="str">
        <f t="shared" si="8"/>
        <v/>
      </c>
      <c r="AT76" s="234" t="s">
        <v>536</v>
      </c>
      <c r="AU76" s="234" t="s">
        <v>536</v>
      </c>
      <c r="AV76" s="234"/>
      <c r="AW76" s="234" t="str">
        <f t="shared" si="12"/>
        <v/>
      </c>
      <c r="AX76" s="234" t="s">
        <v>536</v>
      </c>
      <c r="AY76" s="234" t="str">
        <f t="shared" si="10"/>
        <v/>
      </c>
      <c r="AZ76" s="1" t="s">
        <v>1664</v>
      </c>
      <c r="BA76" s="235" t="s">
        <v>1665</v>
      </c>
      <c r="BB76" s="241" t="s">
        <v>1666</v>
      </c>
      <c r="BC76" s="241" t="s">
        <v>1667</v>
      </c>
      <c r="BD76" s="236"/>
    </row>
    <row r="77" ht="12.75" customHeight="1">
      <c r="A77" s="203" t="s">
        <v>394</v>
      </c>
      <c r="B77" s="203" t="s">
        <v>395</v>
      </c>
      <c r="C77" s="203" t="s">
        <v>1306</v>
      </c>
      <c r="D77" s="203" t="s">
        <v>1548</v>
      </c>
      <c r="E77" s="231">
        <v>6.716E10</v>
      </c>
      <c r="F77" s="231" t="str">
        <f>IF(ISNUMBER(Table1[[#This Row],[2019 Scope 3 ]]),IF(Table1[[#This Row],[Net Earnings/Income (2019)]]-k_cost*Table1[[#This Row],[2019 Total Scope 1, 2 + 3]]&lt;0,"Y","N"),"NA")</f>
        <v>#ERROR!</v>
      </c>
      <c r="G77" s="63" t="str">
        <f>IF(ISNUMBER(Table1[[#This Row],[2019 Scope 3 ]]),IF(k_cost*Table1[[#This Row],[2019 Total Scope 1, 2 + 3]]/Table1[[#This Row],[Size (2019 Revenue)]]&gt;k_rev_max,"Y","N"),"NA")</f>
        <v>#ERROR!</v>
      </c>
      <c r="H77" s="63" t="str">
        <f>IF(OR(Table1[[#This Row],[Net earnings post carbon price @85/t]]="Y",Table1[[#This Row],[Carbon costs in % revenue]] = "Y"),"Y",IF(OR(Table1[[#This Row],[Net earnings post carbon price @85/t]]="NA",Table1[[#This Row],[Carbon costs in % revenue]]="NA"),"NA","N"))</f>
        <v>#ERROR!</v>
      </c>
      <c r="I77" s="231">
        <v>7.353E9</v>
      </c>
      <c r="J77" s="232">
        <v>1999.0</v>
      </c>
      <c r="K77" s="231" t="s">
        <v>1498</v>
      </c>
      <c r="L77" s="203" t="s">
        <v>1499</v>
      </c>
      <c r="M77" s="1" t="s">
        <v>1498</v>
      </c>
      <c r="P77" s="241" t="s">
        <v>1668</v>
      </c>
      <c r="R77" s="1" t="s">
        <v>1499</v>
      </c>
      <c r="S77" s="1">
        <v>2020.0</v>
      </c>
      <c r="T77" s="219" t="str">
        <f>IFERROR((Table1[[#This Row],[2019 Total Scope 1, 2 + 3]])/Table1[[#This Row],[2018 Total Scope 1, 2 + Scope 3]]-1,"NA")</f>
        <v>#ERROR!</v>
      </c>
      <c r="V77" s="234">
        <v>3552415.0</v>
      </c>
      <c r="W77" s="234">
        <v>1425255.0</v>
      </c>
      <c r="X77" s="234"/>
      <c r="Y77" s="234">
        <f t="shared" si="13"/>
        <v>4977670</v>
      </c>
      <c r="Z77" s="234">
        <f>33599797+600278+946616+720951+25353+140452+201663+11088559+231426+811130+1843424+255417</f>
        <v>50465066</v>
      </c>
      <c r="AA77" s="234">
        <f t="shared" si="2"/>
        <v>55442736</v>
      </c>
      <c r="AB77" s="234">
        <v>3577266.0</v>
      </c>
      <c r="AC77" s="234">
        <v>1558167.0</v>
      </c>
      <c r="AD77" s="234"/>
      <c r="AE77" s="234">
        <f t="shared" si="14"/>
        <v>5135433</v>
      </c>
      <c r="AF77" s="234">
        <f>39026490+1698930+603560+1161810+60360+121070+506710+9964010+3046900+1195840+1418720+2730730+1282850</f>
        <v>62817980</v>
      </c>
      <c r="AG77" s="234">
        <f t="shared" si="4"/>
        <v>67953413</v>
      </c>
      <c r="AH77" s="234">
        <v>3734520.0</v>
      </c>
      <c r="AI77" s="234">
        <v>1713950.0</v>
      </c>
      <c r="AJ77" s="234"/>
      <c r="AK77" s="234">
        <f t="shared" si="15"/>
        <v>5448470</v>
      </c>
      <c r="AL77" s="234">
        <f>39026490+1698930+603560+1161810+60360+121070+506710+9964010+3046900+1195840+1418720+2730730+1282850</f>
        <v>62817980</v>
      </c>
      <c r="AM77" s="234">
        <f t="shared" si="6"/>
        <v>68266450</v>
      </c>
      <c r="AN77" s="234">
        <v>3798343.0</v>
      </c>
      <c r="AO77" s="234">
        <v>1912298.0</v>
      </c>
      <c r="AP77" s="234"/>
      <c r="AQ77" s="234">
        <f t="shared" si="16"/>
        <v>5710641</v>
      </c>
      <c r="AR77" s="234">
        <f>39026487+1698928+603559+1161808+60356+121072+506714+9964009+3046899+1195843+1418715+2730728+1282853</f>
        <v>62817971</v>
      </c>
      <c r="AS77" s="234">
        <f t="shared" si="8"/>
        <v>68528612</v>
      </c>
      <c r="AT77" s="234">
        <v>3766456.0</v>
      </c>
      <c r="AU77" s="234">
        <v>1985249.0</v>
      </c>
      <c r="AV77" s="234"/>
      <c r="AW77" s="234">
        <f t="shared" si="12"/>
        <v>5751705</v>
      </c>
      <c r="AX77" s="234">
        <v>6.3E7</v>
      </c>
      <c r="AY77" s="234">
        <f t="shared" si="10"/>
        <v>68751705</v>
      </c>
      <c r="BA77" s="241" t="s">
        <v>1669</v>
      </c>
      <c r="BC77" s="241" t="s">
        <v>1670</v>
      </c>
      <c r="BD77" s="236"/>
    </row>
    <row r="78" ht="12.75" customHeight="1">
      <c r="A78" s="203" t="s">
        <v>400</v>
      </c>
      <c r="B78" s="203" t="s">
        <v>401</v>
      </c>
      <c r="C78" s="203" t="s">
        <v>1283</v>
      </c>
      <c r="D78" s="203" t="s">
        <v>1503</v>
      </c>
      <c r="E78" s="231">
        <v>5.175E10</v>
      </c>
      <c r="F78" s="231" t="str">
        <f>IF(ISNUMBER(Table1[[#This Row],[2019 Scope 3 ]]),IF(Table1[[#This Row],[Net Earnings/Income (2019)]]-k_cost*Table1[[#This Row],[2019 Total Scope 1, 2 + 3]]&lt;0,"Y","N"),"NA")</f>
        <v>#ERROR!</v>
      </c>
      <c r="G78" s="63" t="str">
        <f>IF(ISNUMBER(Table1[[#This Row],[2019 Scope 3 ]]),IF(k_cost*Table1[[#This Row],[2019 Total Scope 1, 2 + 3]]/Table1[[#This Row],[Size (2019 Revenue)]]&gt;k_rev_max,"Y","N"),"NA")</f>
        <v>#ERROR!</v>
      </c>
      <c r="H78" s="63" t="str">
        <f>IF(OR(Table1[[#This Row],[Net earnings post carbon price @85/t]]="Y",Table1[[#This Row],[Carbon costs in % revenue]] = "Y"),"Y",IF(OR(Table1[[#This Row],[Net earnings post carbon price @85/t]]="NA",Table1[[#This Row],[Carbon costs in % revenue]]="NA"),"NA","N"))</f>
        <v>#ERROR!</v>
      </c>
      <c r="I78" s="231">
        <v>1.627E10</v>
      </c>
      <c r="J78" s="232">
        <v>1942.0</v>
      </c>
      <c r="K78" s="231" t="s">
        <v>1498</v>
      </c>
      <c r="L78" s="1" t="s">
        <v>1499</v>
      </c>
      <c r="M78" s="1" t="s">
        <v>1498</v>
      </c>
      <c r="P78" s="241" t="s">
        <v>1671</v>
      </c>
      <c r="R78" s="1" t="s">
        <v>1499</v>
      </c>
      <c r="T78" s="219" t="str">
        <f>IFERROR((Table1[[#This Row],[2019 Total Scope 1, 2 + 3]])/Table1[[#This Row],[2018 Total Scope 1, 2 + Scope 3]]-1,"NA")</f>
        <v>#ERROR!</v>
      </c>
      <c r="V78" s="234">
        <v>734638.0</v>
      </c>
      <c r="W78" s="234">
        <v>634205.0</v>
      </c>
      <c r="X78" s="234"/>
      <c r="Y78" s="234">
        <f t="shared" si="13"/>
        <v>1368843</v>
      </c>
      <c r="Z78" s="234">
        <f>3794093+345953+252909+873030+16420+195718+60645+36273+99576</f>
        <v>5674617</v>
      </c>
      <c r="AA78" s="234">
        <f t="shared" si="2"/>
        <v>7043460</v>
      </c>
      <c r="AB78" s="234">
        <v>756964.0</v>
      </c>
      <c r="AC78" s="234">
        <v>905002.0</v>
      </c>
      <c r="AD78" s="234"/>
      <c r="AE78" s="234">
        <f t="shared" si="14"/>
        <v>1661966</v>
      </c>
      <c r="AF78" s="234">
        <f>1562024+855794+265780+416416+11667+347533+92869+35444+85059+7969</f>
        <v>3680555</v>
      </c>
      <c r="AG78" s="234">
        <f t="shared" si="4"/>
        <v>5342521</v>
      </c>
      <c r="AH78" s="234">
        <v>788838.0</v>
      </c>
      <c r="AI78" s="234">
        <v>812923.0</v>
      </c>
      <c r="AJ78" s="234"/>
      <c r="AK78" s="234">
        <f t="shared" si="15"/>
        <v>1601761</v>
      </c>
      <c r="AL78" s="234" t="s">
        <v>536</v>
      </c>
      <c r="AM78" s="234" t="str">
        <f t="shared" si="6"/>
        <v/>
      </c>
      <c r="AN78" s="234">
        <v>940953.0</v>
      </c>
      <c r="AO78" s="234">
        <v>1106924.0</v>
      </c>
      <c r="AP78" s="234"/>
      <c r="AQ78" s="234">
        <f t="shared" si="16"/>
        <v>2047877</v>
      </c>
      <c r="AR78" s="234">
        <f>1239543+1316763+456623+200983+7363+439313+123060+36243</f>
        <v>3819891</v>
      </c>
      <c r="AS78" s="234">
        <f t="shared" si="8"/>
        <v>5867768</v>
      </c>
      <c r="AT78" s="234">
        <v>875274.0</v>
      </c>
      <c r="AU78" s="234">
        <v>625591.0</v>
      </c>
      <c r="AV78" s="234"/>
      <c r="AW78" s="234">
        <f t="shared" si="12"/>
        <v>1500865</v>
      </c>
      <c r="AX78" s="234">
        <f>2135509+956001+342259+126424+6508+147598+134086+89710</f>
        <v>3938095</v>
      </c>
      <c r="AY78" s="234">
        <f t="shared" si="10"/>
        <v>5438960</v>
      </c>
      <c r="AZ78" s="233" t="s">
        <v>1499</v>
      </c>
      <c r="BA78" s="241" t="s">
        <v>1672</v>
      </c>
      <c r="BC78" s="241" t="s">
        <v>1673</v>
      </c>
      <c r="BD78" s="236"/>
    </row>
    <row r="79" ht="12.75" customHeight="1">
      <c r="A79" s="203" t="s">
        <v>406</v>
      </c>
      <c r="B79" s="203" t="s">
        <v>407</v>
      </c>
      <c r="C79" s="203" t="s">
        <v>1306</v>
      </c>
      <c r="D79" s="203" t="s">
        <v>951</v>
      </c>
      <c r="E79" s="231">
        <v>7.982E10</v>
      </c>
      <c r="F79" s="231" t="str">
        <f>IF(ISNUMBER(Table1[[#This Row],[2019 Scope 3 ]]),IF(Table1[[#This Row],[Net Earnings/Income (2019)]]-k_cost*Table1[[#This Row],[2019 Total Scope 1, 2 + 3]]&lt;0,"Y","N"),"NA")</f>
        <v>#ERROR!</v>
      </c>
      <c r="G79" s="63" t="str">
        <f>IF(ISNUMBER(Table1[[#This Row],[2019 Scope 3 ]]),IF(k_cost*Table1[[#This Row],[2019 Total Scope 1, 2 + 3]]/Table1[[#This Row],[Size (2019 Revenue)]]&gt;k_rev_max,"Y","N"),"NA")</f>
        <v>#ERROR!</v>
      </c>
      <c r="H79" s="63" t="str">
        <f>IF(OR(Table1[[#This Row],[Net earnings post carbon price @85/t]]="Y",Table1[[#This Row],[Carbon costs in % revenue]] = "Y"),"Y",IF(OR(Table1[[#This Row],[Net earnings post carbon price @85/t]]="NA",Table1[[#This Row],[Carbon costs in % revenue]]="NA"),"NA","N"))</f>
        <v>#ERROR!</v>
      </c>
      <c r="I79" s="231">
        <v>7.91E9</v>
      </c>
      <c r="J79" s="232">
        <v>2008.0</v>
      </c>
      <c r="K79" s="231" t="s">
        <v>1498</v>
      </c>
      <c r="L79" s="1" t="s">
        <v>1498</v>
      </c>
      <c r="M79" s="1" t="s">
        <v>1498</v>
      </c>
      <c r="N79" s="1">
        <v>2030.0</v>
      </c>
      <c r="O79" s="1">
        <v>2019.0</v>
      </c>
      <c r="P79" s="241" t="s">
        <v>1674</v>
      </c>
      <c r="Q79" s="1" t="s">
        <v>1498</v>
      </c>
      <c r="R79" s="1" t="s">
        <v>1499</v>
      </c>
      <c r="S79" s="1">
        <v>2030.0</v>
      </c>
      <c r="T79" s="219" t="str">
        <f>IFERROR((Table1[[#This Row],[2019 Total Scope 1, 2 + 3]])/Table1[[#This Row],[2018 Total Scope 1, 2 + Scope 3]]-1,"NA")</f>
        <v>#ERROR!</v>
      </c>
      <c r="V79" s="234">
        <f>4682000*0.085</f>
        <v>397970</v>
      </c>
      <c r="W79" s="234">
        <f>4682000*0.034</f>
        <v>159188</v>
      </c>
      <c r="X79" s="234"/>
      <c r="Y79" s="234">
        <f t="shared" si="13"/>
        <v>557158</v>
      </c>
      <c r="Z79" s="234">
        <f>4682000*0.881</f>
        <v>4124842</v>
      </c>
      <c r="AA79" s="234">
        <f t="shared" si="2"/>
        <v>4682000</v>
      </c>
      <c r="AB79" s="234">
        <v>408162.0</v>
      </c>
      <c r="AC79" s="234">
        <v>175785.0</v>
      </c>
      <c r="AD79" s="234"/>
      <c r="AE79" s="234">
        <f t="shared" si="14"/>
        <v>583947</v>
      </c>
      <c r="AF79" s="234">
        <v>4920000.0</v>
      </c>
      <c r="AG79" s="234">
        <f t="shared" si="4"/>
        <v>5503947</v>
      </c>
      <c r="AH79" s="234">
        <v>388384.0</v>
      </c>
      <c r="AI79" s="234">
        <v>241355.0</v>
      </c>
      <c r="AJ79" s="234"/>
      <c r="AK79" s="234">
        <f t="shared" si="15"/>
        <v>629739</v>
      </c>
      <c r="AL79" s="234">
        <v>5137000.0</v>
      </c>
      <c r="AM79" s="234">
        <f t="shared" si="6"/>
        <v>5766739</v>
      </c>
      <c r="AN79" s="234">
        <v>351990.0</v>
      </c>
      <c r="AO79" s="234">
        <v>314049.0</v>
      </c>
      <c r="AP79" s="234"/>
      <c r="AQ79" s="234">
        <f t="shared" si="16"/>
        <v>666039</v>
      </c>
      <c r="AR79" s="234">
        <v>5649000.0</v>
      </c>
      <c r="AS79" s="234">
        <f t="shared" si="8"/>
        <v>6315039</v>
      </c>
      <c r="AT79" s="234">
        <v>361720.0</v>
      </c>
      <c r="AU79" s="234">
        <v>329323.0</v>
      </c>
      <c r="AV79" s="234"/>
      <c r="AW79" s="234">
        <f t="shared" si="12"/>
        <v>691043</v>
      </c>
      <c r="AX79" s="234">
        <v>5690000.0</v>
      </c>
      <c r="AY79" s="234">
        <f t="shared" si="10"/>
        <v>6381043</v>
      </c>
      <c r="BA79" s="241" t="s">
        <v>1675</v>
      </c>
      <c r="BC79" s="241" t="s">
        <v>1676</v>
      </c>
      <c r="BD79" s="236"/>
    </row>
    <row r="80" ht="12.75" customHeight="1">
      <c r="A80" s="203" t="s">
        <v>412</v>
      </c>
      <c r="B80" s="203" t="s">
        <v>413</v>
      </c>
      <c r="C80" s="203" t="s">
        <v>1306</v>
      </c>
      <c r="D80" s="203" t="s">
        <v>1550</v>
      </c>
      <c r="E80" s="231">
        <v>6.768E10</v>
      </c>
      <c r="F80" s="231" t="str">
        <f>IF(ISNUMBER(Table1[[#This Row],[2019 Scope 3 ]]),IF(Table1[[#This Row],[Net Earnings/Income (2019)]]-k_cost*Table1[[#This Row],[2019 Total Scope 1, 2 + 3]]&lt;0,"Y","N"),"NA")</f>
        <v>#ERROR!</v>
      </c>
      <c r="G80" s="63" t="str">
        <f>IF(ISNUMBER(Table1[[#This Row],[2019 Scope 3 ]]),IF(k_cost*Table1[[#This Row],[2019 Total Scope 1, 2 + 3]]/Table1[[#This Row],[Size (2019 Revenue)]]&gt;k_rev_max,"Y","N"),"NA")</f>
        <v>#ERROR!</v>
      </c>
      <c r="H80" s="63" t="str">
        <f>IF(OR(Table1[[#This Row],[Net earnings post carbon price @85/t]]="Y",Table1[[#This Row],[Carbon costs in % revenue]] = "Y"),"Y",IF(OR(Table1[[#This Row],[Net earnings post carbon price @85/t]]="NA",Table1[[#This Row],[Carbon costs in % revenue]]="NA"),"NA","N"))</f>
        <v>#ERROR!</v>
      </c>
      <c r="I80" s="231">
        <v>3.89E9</v>
      </c>
      <c r="J80" s="232">
        <v>1978.0</v>
      </c>
      <c r="K80" s="231" t="s">
        <v>1498</v>
      </c>
      <c r="L80" s="203" t="s">
        <v>1499</v>
      </c>
      <c r="M80" s="1" t="s">
        <v>1498</v>
      </c>
      <c r="P80" s="241" t="s">
        <v>1677</v>
      </c>
      <c r="Q80" s="1" t="s">
        <v>1499</v>
      </c>
      <c r="R80" s="1" t="s">
        <v>1499</v>
      </c>
      <c r="S80" s="1">
        <v>2030.0</v>
      </c>
      <c r="T80" s="219" t="str">
        <f>IFERROR((Table1[[#This Row],[2019 Total Scope 1, 2 + 3]])/Table1[[#This Row],[2018 Total Scope 1, 2 + Scope 3]]-1,"NA")</f>
        <v>#ERROR!</v>
      </c>
      <c r="V80" s="234">
        <v>2210000.0</v>
      </c>
      <c r="W80" s="234">
        <v>1840000.0</v>
      </c>
      <c r="X80" s="234"/>
      <c r="Y80" s="234">
        <f t="shared" si="13"/>
        <v>4050000</v>
      </c>
      <c r="Z80" s="234">
        <f>164210001+247000+495000+9000+151042+117000+3700000+199133000+13251000</f>
        <v>381313043</v>
      </c>
      <c r="AA80" s="234">
        <f t="shared" si="2"/>
        <v>385363043</v>
      </c>
      <c r="AB80" s="234">
        <v>2143000.0</v>
      </c>
      <c r="AC80" s="234">
        <v>1910000.0</v>
      </c>
      <c r="AD80" s="234"/>
      <c r="AE80" s="234">
        <f t="shared" si="14"/>
        <v>4053000</v>
      </c>
      <c r="AF80" s="234">
        <v>2.35218042E8</v>
      </c>
      <c r="AG80" s="234">
        <f t="shared" si="4"/>
        <v>239271042</v>
      </c>
      <c r="AH80" s="234">
        <v>2122000.0</v>
      </c>
      <c r="AI80" s="234">
        <v>2437000.0</v>
      </c>
      <c r="AJ80" s="234"/>
      <c r="AK80" s="234">
        <f t="shared" si="15"/>
        <v>4559000</v>
      </c>
      <c r="AL80" s="234">
        <v>2.35218042E8</v>
      </c>
      <c r="AM80" s="234">
        <f t="shared" si="6"/>
        <v>239777042</v>
      </c>
      <c r="AN80" s="234">
        <v>2099000.0</v>
      </c>
      <c r="AO80" s="234">
        <v>2742000.0</v>
      </c>
      <c r="AP80" s="234"/>
      <c r="AQ80" s="234">
        <f t="shared" si="16"/>
        <v>4841000</v>
      </c>
      <c r="AR80" s="234">
        <v>2.10173353E8</v>
      </c>
      <c r="AS80" s="234">
        <f t="shared" si="8"/>
        <v>215014353</v>
      </c>
      <c r="AT80" s="234">
        <v>2268000.0</v>
      </c>
      <c r="AU80" s="234">
        <v>2881000.0</v>
      </c>
      <c r="AV80" s="234"/>
      <c r="AW80" s="234">
        <f t="shared" si="12"/>
        <v>5149000</v>
      </c>
      <c r="AX80" s="234">
        <v>2.10173353E8</v>
      </c>
      <c r="AY80" s="234">
        <f t="shared" si="10"/>
        <v>215322353</v>
      </c>
      <c r="AZ80" s="241" t="s">
        <v>1678</v>
      </c>
      <c r="BA80" s="241" t="s">
        <v>1679</v>
      </c>
      <c r="BC80" s="241" t="s">
        <v>1680</v>
      </c>
      <c r="BD80" s="236"/>
    </row>
    <row r="81" ht="12.75" customHeight="1">
      <c r="A81" s="203" t="s">
        <v>418</v>
      </c>
      <c r="B81" s="203" t="s">
        <v>419</v>
      </c>
      <c r="C81" s="203" t="s">
        <v>1291</v>
      </c>
      <c r="D81" s="203" t="s">
        <v>1521</v>
      </c>
      <c r="E81" s="237">
        <v>2.427E10</v>
      </c>
      <c r="F81" s="231" t="str">
        <f>IF(ISNUMBER(Table1[[#This Row],[2019 Scope 3 ]]),IF(Table1[[#This Row],[Net Earnings/Income (2019)]]-k_cost*Table1[[#This Row],[2019 Total Scope 1, 2 + 3]]&lt;0,"Y","N"),"NA")</f>
        <v>#ERROR!</v>
      </c>
      <c r="G81" s="63" t="str">
        <f>IF(ISNUMBER(Table1[[#This Row],[2019 Scope 3 ]]),IF(k_cost*Table1[[#This Row],[2019 Total Scope 1, 2 + 3]]/Table1[[#This Row],[Size (2019 Revenue)]]&gt;k_rev_max,"Y","N"),"NA")</f>
        <v>#ERROR!</v>
      </c>
      <c r="H81" s="63" t="str">
        <f>IF(OR(Table1[[#This Row],[Net earnings post carbon price @85/t]]="Y",Table1[[#This Row],[Carbon costs in % revenue]] = "Y"),"Y",IF(OR(Table1[[#This Row],[Net earnings post carbon price @85/t]]="NA",Table1[[#This Row],[Carbon costs in % revenue]]="NA"),"NA","N"))</f>
        <v>#ERROR!</v>
      </c>
      <c r="I81" s="237">
        <v>4.39E9</v>
      </c>
      <c r="J81" s="232">
        <v>1991.0</v>
      </c>
      <c r="K81" s="1" t="s">
        <v>1498</v>
      </c>
      <c r="L81" s="1" t="s">
        <v>1499</v>
      </c>
      <c r="M81" s="1" t="s">
        <v>1499</v>
      </c>
      <c r="P81" s="241" t="s">
        <v>1681</v>
      </c>
      <c r="Q81" s="1" t="s">
        <v>1498</v>
      </c>
      <c r="R81" s="1" t="s">
        <v>1499</v>
      </c>
      <c r="T81" s="219" t="str">
        <f>IFERROR((Table1[[#This Row],[2019 Total Scope 1, 2 + 3]])/Table1[[#This Row],[2018 Total Scope 1, 2 + Scope 3]]-1,"NA")</f>
        <v>#ERROR!</v>
      </c>
      <c r="V81" s="234">
        <v>75290.0</v>
      </c>
      <c r="W81" s="234">
        <v>114060.0</v>
      </c>
      <c r="X81" s="234"/>
      <c r="Y81" s="234">
        <f t="shared" si="13"/>
        <v>189350</v>
      </c>
      <c r="Z81" s="234">
        <v>112252.0</v>
      </c>
      <c r="AA81" s="234">
        <f t="shared" si="2"/>
        <v>301602</v>
      </c>
      <c r="AB81" s="234">
        <v>73832.0</v>
      </c>
      <c r="AC81" s="234">
        <v>120771.0</v>
      </c>
      <c r="AD81" s="234"/>
      <c r="AE81" s="234">
        <f t="shared" si="14"/>
        <v>194603</v>
      </c>
      <c r="AF81" s="234">
        <v>112252.0</v>
      </c>
      <c r="AG81" s="234">
        <f t="shared" si="4"/>
        <v>306855</v>
      </c>
      <c r="AH81" s="234">
        <v>80179.0</v>
      </c>
      <c r="AI81" s="234">
        <v>128298.0</v>
      </c>
      <c r="AJ81" s="234"/>
      <c r="AK81" s="234">
        <f t="shared" si="15"/>
        <v>208477</v>
      </c>
      <c r="AL81" s="234">
        <v>112252.0</v>
      </c>
      <c r="AM81" s="234">
        <f t="shared" si="6"/>
        <v>320729</v>
      </c>
      <c r="AN81" s="234">
        <v>75205.0</v>
      </c>
      <c r="AO81" s="234">
        <v>147681.0</v>
      </c>
      <c r="AP81" s="234"/>
      <c r="AQ81" s="234">
        <f t="shared" si="16"/>
        <v>222886</v>
      </c>
      <c r="AR81" s="234">
        <v>112252.0</v>
      </c>
      <c r="AS81" s="234">
        <f t="shared" si="8"/>
        <v>335138</v>
      </c>
      <c r="AT81" s="234">
        <v>75349.0</v>
      </c>
      <c r="AU81" s="234">
        <v>155288.0</v>
      </c>
      <c r="AV81" s="234"/>
      <c r="AW81" s="234">
        <f t="shared" si="12"/>
        <v>230637</v>
      </c>
      <c r="AX81" s="234">
        <v>38845.0</v>
      </c>
      <c r="AY81" s="234">
        <f t="shared" si="10"/>
        <v>269482</v>
      </c>
      <c r="BA81" s="235" t="s">
        <v>1682</v>
      </c>
      <c r="BC81" s="241" t="s">
        <v>1683</v>
      </c>
      <c r="BD81" s="236"/>
    </row>
    <row r="82" ht="12.75" customHeight="1">
      <c r="A82" s="203" t="s">
        <v>424</v>
      </c>
      <c r="B82" s="203" t="s">
        <v>425</v>
      </c>
      <c r="C82" s="203" t="s">
        <v>1276</v>
      </c>
      <c r="D82" s="203" t="s">
        <v>1532</v>
      </c>
      <c r="E82" s="237">
        <v>2.9176E10</v>
      </c>
      <c r="F82" s="231" t="str">
        <f>IF(ISNUMBER(Table1[[#This Row],[2019 Scope 3 ]]),IF(Table1[[#This Row],[Net Earnings/Income (2019)]]-k_cost*Table1[[#This Row],[2019 Total Scope 1, 2 + 3]]&lt;0,"Y","N"),"NA")</f>
        <v>#ERROR!</v>
      </c>
      <c r="G82" s="63" t="str">
        <f>IF(ISNUMBER(Table1[[#This Row],[2019 Scope 3 ]]),IF(k_cost*Table1[[#This Row],[2019 Total Scope 1, 2 + 3]]/Table1[[#This Row],[Size (2019 Revenue)]]&gt;k_rev_max,"Y","N"),"NA")</f>
        <v>#ERROR!</v>
      </c>
      <c r="H82" s="63" t="str">
        <f>IF(OR(Table1[[#This Row],[Net earnings post carbon price @85/t]]="Y",Table1[[#This Row],[Carbon costs in % revenue]] = "Y"),"Y",IF(OR(Table1[[#This Row],[Net earnings post carbon price @85/t]]="NA",Table1[[#This Row],[Carbon costs in % revenue]]="NA"),"NA","N"))</f>
        <v>#ERROR!</v>
      </c>
      <c r="I82" s="237">
        <v>3.343E9</v>
      </c>
      <c r="J82" s="232">
        <v>1952.0</v>
      </c>
      <c r="K82" s="1" t="s">
        <v>1498</v>
      </c>
      <c r="L82" s="1" t="s">
        <v>1499</v>
      </c>
      <c r="M82" s="1" t="s">
        <v>1499</v>
      </c>
      <c r="P82" s="241" t="s">
        <v>1684</v>
      </c>
      <c r="R82" s="1" t="s">
        <v>1499</v>
      </c>
      <c r="T82" s="219" t="str">
        <f>IFERROR((Table1[[#This Row],[2019 Total Scope 1, 2 + 3]])/Table1[[#This Row],[2018 Total Scope 1, 2 + Scope 3]]-1,"NA")</f>
        <v>#ERROR!</v>
      </c>
      <c r="V82" s="234">
        <v>612307.0</v>
      </c>
      <c r="W82" s="234">
        <v>1114227.0</v>
      </c>
      <c r="X82" s="234"/>
      <c r="Y82" s="234">
        <f t="shared" si="13"/>
        <v>1726534</v>
      </c>
      <c r="Z82" s="234">
        <f>10865507+1263+194470</f>
        <v>11061240</v>
      </c>
      <c r="AA82" s="234">
        <f t="shared" si="2"/>
        <v>12787774</v>
      </c>
      <c r="AB82" s="234" t="s">
        <v>536</v>
      </c>
      <c r="AC82" s="234" t="s">
        <v>536</v>
      </c>
      <c r="AD82" s="234"/>
      <c r="AE82" s="234" t="str">
        <f t="shared" si="14"/>
        <v/>
      </c>
      <c r="AF82" s="234" t="s">
        <v>536</v>
      </c>
      <c r="AG82" s="234" t="str">
        <f t="shared" si="4"/>
        <v/>
      </c>
      <c r="AH82" s="234" t="s">
        <v>536</v>
      </c>
      <c r="AI82" s="234" t="s">
        <v>536</v>
      </c>
      <c r="AJ82" s="234"/>
      <c r="AK82" s="234" t="str">
        <f t="shared" si="15"/>
        <v/>
      </c>
      <c r="AL82" s="234" t="s">
        <v>536</v>
      </c>
      <c r="AM82" s="234" t="str">
        <f t="shared" si="6"/>
        <v/>
      </c>
      <c r="AN82" s="234" t="s">
        <v>536</v>
      </c>
      <c r="AO82" s="234" t="s">
        <v>536</v>
      </c>
      <c r="AP82" s="234"/>
      <c r="AQ82" s="234" t="str">
        <f t="shared" si="16"/>
        <v/>
      </c>
      <c r="AR82" s="234" t="s">
        <v>536</v>
      </c>
      <c r="AS82" s="234" t="str">
        <f t="shared" si="8"/>
        <v/>
      </c>
      <c r="AT82" s="234" t="s">
        <v>536</v>
      </c>
      <c r="AU82" s="234" t="s">
        <v>536</v>
      </c>
      <c r="AV82" s="234"/>
      <c r="AW82" s="234" t="str">
        <f t="shared" si="12"/>
        <v/>
      </c>
      <c r="AX82" s="234" t="s">
        <v>536</v>
      </c>
      <c r="AY82" s="234" t="str">
        <f t="shared" si="10"/>
        <v/>
      </c>
      <c r="BA82" s="235" t="s">
        <v>1685</v>
      </c>
      <c r="BB82" s="241" t="s">
        <v>1686</v>
      </c>
      <c r="BC82" s="241" t="s">
        <v>1687</v>
      </c>
      <c r="BD82" s="236"/>
    </row>
    <row r="83" ht="12.75" customHeight="1">
      <c r="A83" s="203" t="s">
        <v>427</v>
      </c>
      <c r="B83" s="203" t="s">
        <v>427</v>
      </c>
      <c r="C83" s="203" t="s">
        <v>1291</v>
      </c>
      <c r="D83" s="203" t="s">
        <v>1297</v>
      </c>
      <c r="E83" s="231">
        <v>1.328E10</v>
      </c>
      <c r="F83" s="231" t="str">
        <f>IF(ISNUMBER(Table1[[#This Row],[2019 Scope 3 ]]),IF(Table1[[#This Row],[Net Earnings/Income (2019)]]-k_cost*Table1[[#This Row],[2019 Total Scope 1, 2 + 3]]&lt;0,"Y","N"),"NA")</f>
        <v>#ERROR!</v>
      </c>
      <c r="G83" s="63" t="str">
        <f>IF(ISNUMBER(Table1[[#This Row],[2019 Scope 3 ]]),IF(k_cost*Table1[[#This Row],[2019 Total Scope 1, 2 + 3]]/Table1[[#This Row],[Size (2019 Revenue)]]&gt;k_rev_max,"Y","N"),"NA")</f>
        <v>#ERROR!</v>
      </c>
      <c r="H83" s="63" t="str">
        <f>IF(OR(Table1[[#This Row],[Net earnings post carbon price @85/t]]="Y",Table1[[#This Row],[Carbon costs in % revenue]] = "Y"),"Y",IF(OR(Table1[[#This Row],[Net earnings post carbon price @85/t]]="NA",Table1[[#This Row],[Carbon costs in % revenue]]="NA"),"NA","N"))</f>
        <v>#ERROR!</v>
      </c>
      <c r="I83" s="231">
        <v>1.11E9</v>
      </c>
      <c r="J83" s="232">
        <v>2004.0</v>
      </c>
      <c r="K83" s="231" t="s">
        <v>1498</v>
      </c>
      <c r="L83" s="203" t="s">
        <v>1498</v>
      </c>
      <c r="M83" s="241" t="s">
        <v>1498</v>
      </c>
      <c r="N83" s="1">
        <v>2017.0</v>
      </c>
      <c r="P83" s="241" t="s">
        <v>1688</v>
      </c>
      <c r="Q83" s="1" t="s">
        <v>1498</v>
      </c>
      <c r="R83" s="1" t="s">
        <v>1498</v>
      </c>
      <c r="S83" s="1">
        <v>2022.0</v>
      </c>
      <c r="T83" s="219" t="str">
        <f>IFERROR((Table1[[#This Row],[2019 Total Scope 1, 2 + 3]])/Table1[[#This Row],[2018 Total Scope 1, 2 + Scope 3]]-1,"NA")</f>
        <v>#ERROR!</v>
      </c>
      <c r="V83" s="234">
        <v>5000.0</v>
      </c>
      <c r="W83" s="234">
        <v>291000.0</v>
      </c>
      <c r="X83" s="234">
        <f>V83+W83</f>
        <v>296000</v>
      </c>
      <c r="Y83" s="234">
        <f t="shared" si="13"/>
        <v>0</v>
      </c>
      <c r="Z83" s="234">
        <v>181000.0</v>
      </c>
      <c r="AA83" s="234">
        <f t="shared" si="2"/>
        <v>181000</v>
      </c>
      <c r="AB83" s="234">
        <v>4000.0</v>
      </c>
      <c r="AC83" s="234">
        <v>236000.0</v>
      </c>
      <c r="AD83" s="234">
        <f>AB83+AC83</f>
        <v>240000</v>
      </c>
      <c r="AE83" s="234">
        <f t="shared" si="14"/>
        <v>0</v>
      </c>
      <c r="AF83" s="234">
        <v>134000.0</v>
      </c>
      <c r="AG83" s="234">
        <f t="shared" si="4"/>
        <v>134000</v>
      </c>
      <c r="AH83" s="234">
        <v>4000.0</v>
      </c>
      <c r="AI83" s="234">
        <v>174000.0</v>
      </c>
      <c r="AJ83" s="234">
        <f>0.23*(AH83+AI83)</f>
        <v>40940</v>
      </c>
      <c r="AK83" s="234">
        <f t="shared" si="15"/>
        <v>137060</v>
      </c>
      <c r="AL83" s="234">
        <v>99000.0</v>
      </c>
      <c r="AM83" s="234">
        <f t="shared" si="6"/>
        <v>236060</v>
      </c>
      <c r="AN83" s="234">
        <v>3000.0</v>
      </c>
      <c r="AO83" s="234">
        <v>132000.0</v>
      </c>
      <c r="AP83" s="234">
        <f>0.23*(AN83+AO83)</f>
        <v>31050</v>
      </c>
      <c r="AQ83" s="234">
        <f t="shared" si="16"/>
        <v>103950</v>
      </c>
      <c r="AR83" s="234">
        <v>84000.0</v>
      </c>
      <c r="AS83" s="234">
        <f t="shared" si="8"/>
        <v>187950</v>
      </c>
      <c r="AT83" s="234">
        <v>5000.0</v>
      </c>
      <c r="AU83" s="234">
        <v>71000.0</v>
      </c>
      <c r="AV83" s="234"/>
      <c r="AW83" s="234">
        <f t="shared" si="12"/>
        <v>76000</v>
      </c>
      <c r="AX83" s="234">
        <v>56000.0</v>
      </c>
      <c r="AY83" s="234">
        <f t="shared" si="10"/>
        <v>132000</v>
      </c>
      <c r="BA83" s="235" t="s">
        <v>1689</v>
      </c>
      <c r="BB83" s="241" t="s">
        <v>1690</v>
      </c>
      <c r="BC83" s="241" t="s">
        <v>1691</v>
      </c>
      <c r="BD83" s="236"/>
    </row>
    <row r="84" ht="12.75" customHeight="1">
      <c r="A84" s="203" t="s">
        <v>432</v>
      </c>
      <c r="B84" s="203" t="s">
        <v>433</v>
      </c>
      <c r="C84" s="203" t="s">
        <v>1350</v>
      </c>
      <c r="D84" s="203" t="s">
        <v>1542</v>
      </c>
      <c r="E84" s="237">
        <v>3.29E10</v>
      </c>
      <c r="F84" s="231" t="str">
        <f>IF(ISNUMBER(Table1[[#This Row],[2019 Scope 3 ]]),IF(Table1[[#This Row],[Net Earnings/Income (2019)]]-k_cost*Table1[[#This Row],[2019 Total Scope 1, 2 + 3]]&lt;0,"Y","N"),"NA")</f>
        <v>#ERROR!</v>
      </c>
      <c r="G84" s="63" t="str">
        <f>IF(ISNUMBER(Table1[[#This Row],[2019 Scope 3 ]]),IF(k_cost*Table1[[#This Row],[2019 Total Scope 1, 2 + 3]]/Table1[[#This Row],[Size (2019 Revenue)]]&gt;k_rev_max,"Y","N"),"NA")</f>
        <v>#ERROR!</v>
      </c>
      <c r="H84" s="63" t="str">
        <f>IF(OR(Table1[[#This Row],[Net earnings post carbon price @85/t]]="Y",Table1[[#This Row],[Carbon costs in % revenue]] = "Y"),"Y",IF(OR(Table1[[#This Row],[Net earnings post carbon price @85/t]]="NA",Table1[[#This Row],[Carbon costs in % revenue]]="NA"),"NA","N"))</f>
        <v>#ERROR!</v>
      </c>
      <c r="I84" s="237">
        <v>-1.0137E10</v>
      </c>
      <c r="J84" s="232">
        <v>1956.0</v>
      </c>
      <c r="K84" s="1" t="s">
        <v>1498</v>
      </c>
      <c r="L84" s="1" t="s">
        <v>1499</v>
      </c>
      <c r="M84" s="241" t="s">
        <v>1498</v>
      </c>
      <c r="R84" s="1" t="s">
        <v>1499</v>
      </c>
      <c r="T84" s="219" t="str">
        <f>IFERROR((Table1[[#This Row],[2019 Total Scope 1, 2 + 3]])/Table1[[#This Row],[2018 Total Scope 1, 2 + Scope 3]]-1,"NA")</f>
        <v>#ERROR!</v>
      </c>
      <c r="V84" s="234" t="s">
        <v>536</v>
      </c>
      <c r="W84" s="234" t="s">
        <v>536</v>
      </c>
      <c r="X84" s="234"/>
      <c r="Y84" s="234" t="str">
        <f t="shared" si="13"/>
        <v/>
      </c>
      <c r="Z84" s="234" t="s">
        <v>536</v>
      </c>
      <c r="AA84" s="234" t="str">
        <f t="shared" si="2"/>
        <v/>
      </c>
      <c r="AB84" s="234">
        <v>1423000.0</v>
      </c>
      <c r="AC84" s="234">
        <v>642000.0</v>
      </c>
      <c r="AD84" s="234"/>
      <c r="AE84" s="234">
        <f t="shared" si="14"/>
        <v>2065000</v>
      </c>
      <c r="AF84" s="234">
        <v>1185000.0</v>
      </c>
      <c r="AG84" s="234">
        <f t="shared" si="4"/>
        <v>3250000</v>
      </c>
      <c r="AH84" s="234">
        <v>1358000.0</v>
      </c>
      <c r="AI84" s="234">
        <v>561000.0</v>
      </c>
      <c r="AJ84" s="234"/>
      <c r="AK84" s="234">
        <f t="shared" si="15"/>
        <v>1919000</v>
      </c>
      <c r="AL84" s="234">
        <v>911000.0</v>
      </c>
      <c r="AM84" s="234">
        <f t="shared" si="6"/>
        <v>2830000</v>
      </c>
      <c r="AN84" s="234">
        <v>1136000.0</v>
      </c>
      <c r="AO84" s="234">
        <v>704000.0</v>
      </c>
      <c r="AP84" s="234"/>
      <c r="AQ84" s="234">
        <f t="shared" si="16"/>
        <v>1840000</v>
      </c>
      <c r="AR84" s="234">
        <v>876000.0</v>
      </c>
      <c r="AS84" s="234">
        <f t="shared" si="8"/>
        <v>2716000</v>
      </c>
      <c r="AT84" s="234">
        <v>1400000.0</v>
      </c>
      <c r="AU84" s="234">
        <v>577000.0</v>
      </c>
      <c r="AV84" s="234"/>
      <c r="AW84" s="234">
        <f t="shared" si="12"/>
        <v>1977000</v>
      </c>
      <c r="AX84" s="234">
        <v>1057000.0</v>
      </c>
      <c r="AY84" s="234">
        <f t="shared" si="10"/>
        <v>3034000</v>
      </c>
      <c r="AZ84" s="1" t="s">
        <v>1499</v>
      </c>
      <c r="BA84" s="238" t="s">
        <v>1692</v>
      </c>
      <c r="BC84" s="241" t="s">
        <v>1693</v>
      </c>
      <c r="BD84" s="236"/>
    </row>
    <row r="85" ht="12.75" customHeight="1">
      <c r="A85" s="203" t="s">
        <v>435</v>
      </c>
      <c r="B85" s="203" t="s">
        <v>436</v>
      </c>
      <c r="C85" s="203" t="s">
        <v>1314</v>
      </c>
      <c r="D85" s="1" t="s">
        <v>1314</v>
      </c>
      <c r="E85" s="237">
        <v>5.755E9</v>
      </c>
      <c r="F85" s="231" t="str">
        <f>IF(ISNUMBER(Table1[[#This Row],[2019 Scope 3 ]]),IF(Table1[[#This Row],[Net Earnings/Income (2019)]]-k_cost*Table1[[#This Row],[2019 Total Scope 1, 2 + 3]]&lt;0,"Y","N"),"NA")</f>
        <v>#ERROR!</v>
      </c>
      <c r="G85" s="63" t="str">
        <f>IF(ISNUMBER(Table1[[#This Row],[2019 Scope 3 ]]),IF(k_cost*Table1[[#This Row],[2019 Total Scope 1, 2 + 3]]/Table1[[#This Row],[Size (2019 Revenue)]]&gt;k_rev_max,"Y","N"),"NA")</f>
        <v>#ERROR!</v>
      </c>
      <c r="H85" s="63" t="str">
        <f>IF(OR(Table1[[#This Row],[Net earnings post carbon price @85/t]]="Y",Table1[[#This Row],[Carbon costs in % revenue]] = "Y"),"Y",IF(OR(Table1[[#This Row],[Net earnings post carbon price @85/t]]="NA",Table1[[#This Row],[Carbon costs in % revenue]]="NA"),"NA","N"))</f>
        <v>#ERROR!</v>
      </c>
      <c r="I85" s="237">
        <v>2.098E9</v>
      </c>
      <c r="J85" s="232">
        <v>1993.0</v>
      </c>
      <c r="K85" s="1" t="s">
        <v>1498</v>
      </c>
      <c r="L85" s="1" t="s">
        <v>1499</v>
      </c>
      <c r="M85" s="241" t="s">
        <v>1499</v>
      </c>
      <c r="P85" s="1" t="s">
        <v>1694</v>
      </c>
      <c r="R85" s="1" t="s">
        <v>1499</v>
      </c>
      <c r="T85" s="219" t="str">
        <f>IFERROR((Table1[[#This Row],[2019 Total Scope 1, 2 + 3]])/Table1[[#This Row],[2018 Total Scope 1, 2 + Scope 3]]-1,"NA")</f>
        <v>#ERROR!</v>
      </c>
      <c r="V85" s="234">
        <v>16863.186</v>
      </c>
      <c r="W85" s="234">
        <v>249714.82</v>
      </c>
      <c r="X85" s="234"/>
      <c r="Y85" s="234">
        <f t="shared" si="13"/>
        <v>266578.006</v>
      </c>
      <c r="Z85" s="234">
        <f>11746+136900+5154+100+6531+419157</f>
        <v>579588</v>
      </c>
      <c r="AA85" s="234">
        <f t="shared" si="2"/>
        <v>846166.006</v>
      </c>
      <c r="AB85" s="234">
        <v>21923.0</v>
      </c>
      <c r="AC85" s="234">
        <v>287974.0</v>
      </c>
      <c r="AD85" s="234"/>
      <c r="AE85" s="234">
        <f t="shared" si="14"/>
        <v>309897</v>
      </c>
      <c r="AF85" s="234">
        <v>591378.0</v>
      </c>
      <c r="AG85" s="234">
        <f t="shared" si="4"/>
        <v>901275</v>
      </c>
      <c r="AH85" s="234">
        <v>19404.0</v>
      </c>
      <c r="AI85" s="234">
        <v>293618.0</v>
      </c>
      <c r="AJ85" s="234"/>
      <c r="AK85" s="234">
        <f t="shared" si="15"/>
        <v>313022</v>
      </c>
      <c r="AL85" s="234">
        <v>580998.0</v>
      </c>
      <c r="AM85" s="234">
        <f t="shared" si="6"/>
        <v>894020</v>
      </c>
      <c r="AN85" s="234">
        <v>20364.0</v>
      </c>
      <c r="AO85" s="234">
        <v>304405.0</v>
      </c>
      <c r="AP85" s="234"/>
      <c r="AQ85" s="234">
        <f t="shared" si="16"/>
        <v>324769</v>
      </c>
      <c r="AR85" s="234">
        <v>604001.0</v>
      </c>
      <c r="AS85" s="234">
        <f t="shared" si="8"/>
        <v>928770</v>
      </c>
      <c r="AT85" s="234">
        <v>23000.0</v>
      </c>
      <c r="AU85" s="234">
        <v>358862.0</v>
      </c>
      <c r="AV85" s="234"/>
      <c r="AW85" s="234">
        <f t="shared" si="12"/>
        <v>381862</v>
      </c>
      <c r="AX85" s="234">
        <v>618912.0</v>
      </c>
      <c r="AY85" s="234">
        <f t="shared" si="10"/>
        <v>1000774</v>
      </c>
      <c r="BA85" s="235" t="s">
        <v>1695</v>
      </c>
      <c r="BC85" s="241" t="s">
        <v>1696</v>
      </c>
      <c r="BD85" s="236"/>
    </row>
    <row r="86" ht="12.75" customHeight="1">
      <c r="A86" s="203" t="s">
        <v>441</v>
      </c>
      <c r="B86" s="203" t="s">
        <v>441</v>
      </c>
      <c r="C86" s="203" t="s">
        <v>1364</v>
      </c>
      <c r="D86" s="1" t="s">
        <v>1364</v>
      </c>
      <c r="E86" s="237">
        <v>2.1419E10</v>
      </c>
      <c r="F86" s="231" t="str">
        <f>IF(ISNUMBER(Table1[[#This Row],[2019 Scope 3 ]]),IF(Table1[[#This Row],[Net Earnings/Income (2019)]]-k_cost*Table1[[#This Row],[2019 Total Scope 1, 2 + 3]]&lt;0,"Y","N"),"NA")</f>
        <v>#ERROR!</v>
      </c>
      <c r="G86" s="63" t="str">
        <f>IF(ISNUMBER(Table1[[#This Row],[2019 Scope 3 ]]),IF(k_cost*Table1[[#This Row],[2019 Total Scope 1, 2 + 3]]/Table1[[#This Row],[Size (2019 Revenue)]]&gt;k_rev_max,"Y","N"),"NA")</f>
        <v>#ERROR!</v>
      </c>
      <c r="H86" s="63" t="str">
        <f>IF(OR(Table1[[#This Row],[Net earnings post carbon price @85/t]]="Y",Table1[[#This Row],[Carbon costs in % revenue]] = "Y"),"Y",IF(OR(Table1[[#This Row],[Net earnings post carbon price @85/t]]="NA",Table1[[#This Row],[Carbon costs in % revenue]]="NA"),"NA","N"))</f>
        <v>#ERROR!</v>
      </c>
      <c r="I86" s="237">
        <v>3.25E9</v>
      </c>
      <c r="J86" s="232">
        <v>1949.0</v>
      </c>
      <c r="K86" s="1" t="s">
        <v>1498</v>
      </c>
      <c r="L86" s="1" t="s">
        <v>1499</v>
      </c>
      <c r="M86" s="1" t="s">
        <v>1499</v>
      </c>
      <c r="N86" s="1">
        <v>2050.0</v>
      </c>
      <c r="O86" s="246">
        <v>2020.0</v>
      </c>
      <c r="P86" s="241" t="s">
        <v>1697</v>
      </c>
      <c r="R86" s="1" t="s">
        <v>1499</v>
      </c>
      <c r="T86" s="219" t="str">
        <f>IFERROR((Table1[[#This Row],[2019 Total Scope 1, 2 + 3]])/Table1[[#This Row],[2018 Total Scope 1, 2 + Scope 3]]-1,"NA")</f>
        <v>#ERROR!</v>
      </c>
      <c r="V86" s="234">
        <v>8.8213565E7</v>
      </c>
      <c r="W86" s="234">
        <v>35568.0</v>
      </c>
      <c r="X86" s="234"/>
      <c r="Y86" s="234">
        <f t="shared" si="13"/>
        <v>88249133</v>
      </c>
      <c r="Z86" s="234">
        <f>3423778+88879+35260791</f>
        <v>38773448</v>
      </c>
      <c r="AA86" s="234">
        <f t="shared" si="2"/>
        <v>127022581</v>
      </c>
      <c r="AB86" s="234">
        <v>1.02232275E8</v>
      </c>
      <c r="AC86" s="234">
        <v>2142130.48</v>
      </c>
      <c r="AD86" s="234"/>
      <c r="AE86" s="234">
        <f t="shared" si="14"/>
        <v>104374405.5</v>
      </c>
      <c r="AF86" s="234">
        <v>3.7299499E7</v>
      </c>
      <c r="AG86" s="234">
        <f t="shared" si="4"/>
        <v>141673904.5</v>
      </c>
      <c r="AH86" s="234">
        <v>9.7534302E7</v>
      </c>
      <c r="AI86" s="234">
        <v>2701183.0</v>
      </c>
      <c r="AJ86" s="234"/>
      <c r="AK86" s="234">
        <f t="shared" si="15"/>
        <v>100235485</v>
      </c>
      <c r="AL86" s="234">
        <v>3.4630131E7</v>
      </c>
      <c r="AM86" s="234">
        <f t="shared" si="6"/>
        <v>134865616</v>
      </c>
      <c r="AN86" s="234" t="s">
        <v>1499</v>
      </c>
      <c r="AO86" s="234" t="s">
        <v>1499</v>
      </c>
      <c r="AP86" s="234" t="s">
        <v>1499</v>
      </c>
      <c r="AQ86" s="234" t="str">
        <f t="shared" si="16"/>
        <v/>
      </c>
      <c r="AR86" s="234" t="s">
        <v>1499</v>
      </c>
      <c r="AS86" s="234" t="str">
        <f t="shared" si="8"/>
        <v/>
      </c>
      <c r="AT86" s="234" t="s">
        <v>1499</v>
      </c>
      <c r="AU86" s="234" t="s">
        <v>1499</v>
      </c>
      <c r="AV86" s="234" t="s">
        <v>1499</v>
      </c>
      <c r="AW86" s="234" t="str">
        <f t="shared" si="12"/>
        <v/>
      </c>
      <c r="AX86" s="234" t="s">
        <v>1499</v>
      </c>
      <c r="AY86" s="234" t="str">
        <f t="shared" si="10"/>
        <v/>
      </c>
      <c r="AZ86" s="241" t="s">
        <v>1498</v>
      </c>
      <c r="BA86" s="235" t="s">
        <v>1698</v>
      </c>
      <c r="BC86" s="235" t="s">
        <v>1699</v>
      </c>
      <c r="BD86" s="236"/>
    </row>
    <row r="87" ht="12.75" customHeight="1">
      <c r="A87" s="203" t="s">
        <v>446</v>
      </c>
      <c r="B87" s="203" t="s">
        <v>447</v>
      </c>
      <c r="C87" s="203" t="s">
        <v>1376</v>
      </c>
      <c r="D87" s="203" t="s">
        <v>1548</v>
      </c>
      <c r="E87" s="231">
        <v>2.651E10</v>
      </c>
      <c r="F87" s="231" t="str">
        <f>IF(ISNUMBER(Table1[[#This Row],[2019 Scope 3 ]]),IF(Table1[[#This Row],[Net Earnings/Income (2019)]]-k_cost*Table1[[#This Row],[2019 Total Scope 1, 2 + 3]]&lt;0,"Y","N"),"NA")</f>
        <v>#ERROR!</v>
      </c>
      <c r="G87" s="63" t="str">
        <f>IF(ISNUMBER(Table1[[#This Row],[2019 Scope 3 ]]),IF(k_cost*Table1[[#This Row],[2019 Total Scope 1, 2 + 3]]/Table1[[#This Row],[Size (2019 Revenue)]]&gt;k_rev_max,"Y","N"),"NA")</f>
        <v>#ERROR!</v>
      </c>
      <c r="H87" s="63" t="str">
        <f>IF(OR(Table1[[#This Row],[Net earnings post carbon price @85/t]]="Y",Table1[[#This Row],[Carbon costs in % revenue]] = "Y"),"Y",IF(OR(Table1[[#This Row],[Net earnings post carbon price @85/t]]="NA",Table1[[#This Row],[Carbon costs in % revenue]]="NA"),"NA","N"))</f>
        <v>#ERROR!</v>
      </c>
      <c r="I87" s="231">
        <v>3.6E9</v>
      </c>
      <c r="J87" s="232">
        <v>1992.0</v>
      </c>
      <c r="K87" s="231" t="s">
        <v>1498</v>
      </c>
      <c r="L87" s="1" t="s">
        <v>1498</v>
      </c>
      <c r="M87" s="1" t="s">
        <v>1498</v>
      </c>
      <c r="N87" s="1">
        <v>2050.0</v>
      </c>
      <c r="O87" s="1">
        <v>2020.0</v>
      </c>
      <c r="P87" s="241" t="s">
        <v>1700</v>
      </c>
      <c r="R87" s="1" t="s">
        <v>1498</v>
      </c>
      <c r="S87" s="1" t="s">
        <v>1701</v>
      </c>
      <c r="T87" s="219" t="str">
        <f>IFERROR((Table1[[#This Row],[2019 Total Scope 1, 2 + 3]])/Table1[[#This Row],[2018 Total Scope 1, 2 + Scope 3]]-1,"NA")</f>
        <v>#ERROR!</v>
      </c>
      <c r="V87" s="234">
        <v>381198.61</v>
      </c>
      <c r="W87" s="234">
        <v>281700.89</v>
      </c>
      <c r="X87" s="234"/>
      <c r="Y87" s="234">
        <f t="shared" si="13"/>
        <v>662899.5</v>
      </c>
      <c r="Z87" s="234">
        <f>8844532.71+1549767.91+1339261.73+544171.31+1022025.11+19035.53+821116.5+62449.06+149443.2+612189.99</f>
        <v>14963993.05</v>
      </c>
      <c r="AA87" s="234">
        <f t="shared" si="2"/>
        <v>15626892.55</v>
      </c>
      <c r="AB87" s="234">
        <v>319600.0</v>
      </c>
      <c r="AC87" s="234">
        <v>285600.0</v>
      </c>
      <c r="AD87" s="234"/>
      <c r="AE87" s="234">
        <f t="shared" si="14"/>
        <v>605200</v>
      </c>
      <c r="AF87" s="234">
        <v>1.499E7</v>
      </c>
      <c r="AG87" s="234">
        <f t="shared" si="4"/>
        <v>15595200</v>
      </c>
      <c r="AH87" s="234">
        <v>291000.0</v>
      </c>
      <c r="AI87" s="234">
        <v>390000.0</v>
      </c>
      <c r="AJ87" s="234"/>
      <c r="AK87" s="234">
        <f t="shared" si="15"/>
        <v>681000</v>
      </c>
      <c r="AL87" s="234">
        <v>1.59E7</v>
      </c>
      <c r="AM87" s="234">
        <f t="shared" si="6"/>
        <v>16581000</v>
      </c>
      <c r="AN87" s="234">
        <v>321763.0</v>
      </c>
      <c r="AO87" s="234">
        <v>253819.0</v>
      </c>
      <c r="AP87" s="234"/>
      <c r="AQ87" s="234">
        <f t="shared" si="16"/>
        <v>575582</v>
      </c>
      <c r="AR87" s="234">
        <f>9923385+1047965+1395658+660216+1329459+20129+523015+3335+88216+196234</f>
        <v>15187612</v>
      </c>
      <c r="AS87" s="234">
        <f t="shared" si="8"/>
        <v>15763194</v>
      </c>
      <c r="AT87" s="234">
        <v>329002.0</v>
      </c>
      <c r="AU87" s="234">
        <v>513511.0</v>
      </c>
      <c r="AV87" s="234"/>
      <c r="AW87" s="234">
        <f t="shared" si="12"/>
        <v>842513</v>
      </c>
      <c r="AX87" s="234">
        <f>6734410+983792+708554+606066+822171+11525+559173+22523+92406+130145</f>
        <v>10670765</v>
      </c>
      <c r="AY87" s="234">
        <f t="shared" si="10"/>
        <v>11513278</v>
      </c>
      <c r="BA87" s="235" t="s">
        <v>1702</v>
      </c>
      <c r="BC87" s="241" t="s">
        <v>1703</v>
      </c>
      <c r="BD87" s="236"/>
    </row>
    <row r="88" ht="12.75" customHeight="1">
      <c r="A88" s="203" t="s">
        <v>452</v>
      </c>
      <c r="B88" s="203" t="s">
        <v>453</v>
      </c>
      <c r="C88" s="203" t="s">
        <v>1306</v>
      </c>
      <c r="D88" s="203" t="s">
        <v>962</v>
      </c>
      <c r="E88" s="231">
        <v>7.81E10</v>
      </c>
      <c r="F88" s="231" t="str">
        <f>IF(ISNUMBER(Table1[[#This Row],[2019 Scope 3 ]]),IF(Table1[[#This Row],[Net Earnings/Income (2019)]]-k_cost*Table1[[#This Row],[2019 Total Scope 1, 2 + 3]]&lt;0,"Y","N"),"NA")</f>
        <v>#ERROR!</v>
      </c>
      <c r="G88" s="63" t="str">
        <f>IF(ISNUMBER(Table1[[#This Row],[2019 Scope 3 ]]),IF(k_cost*Table1[[#This Row],[2019 Total Scope 1, 2 + 3]]/Table1[[#This Row],[Size (2019 Revenue)]]&gt;k_rev_max,"Y","N"),"NA")</f>
        <v>#ERROR!</v>
      </c>
      <c r="H88" s="63" t="str">
        <f>IF(OR(Table1[[#This Row],[Net earnings post carbon price @85/t]]="Y",Table1[[#This Row],[Carbon costs in % revenue]] = "Y"),"Y",IF(OR(Table1[[#This Row],[Net earnings post carbon price @85/t]]="NA",Table1[[#This Row],[Carbon costs in % revenue]]="NA"),"NA","N"))</f>
        <v>#ERROR!</v>
      </c>
      <c r="I88" s="231">
        <v>3.269E9</v>
      </c>
      <c r="J88" s="232">
        <v>1967.0</v>
      </c>
      <c r="K88" s="231" t="s">
        <v>1498</v>
      </c>
      <c r="L88" s="203" t="s">
        <v>1499</v>
      </c>
      <c r="M88" s="1" t="s">
        <v>1498</v>
      </c>
      <c r="P88" s="241" t="s">
        <v>1704</v>
      </c>
      <c r="R88" s="1" t="s">
        <v>1498</v>
      </c>
      <c r="S88" s="241" t="s">
        <v>1705</v>
      </c>
      <c r="T88" s="245" t="str">
        <f>IFERROR((Table1[[#This Row],[2019 Total Scope 1, 2 + 3]])/Table1[[#This Row],[2018 Total Scope 1, 2 + Scope 3]]-1,"NA")</f>
        <v>#ERROR!</v>
      </c>
      <c r="U88" s="241"/>
      <c r="V88" s="234">
        <v>752552.0</v>
      </c>
      <c r="W88" s="234">
        <v>1545898.0</v>
      </c>
      <c r="X88" s="234"/>
      <c r="Y88" s="234">
        <f t="shared" si="13"/>
        <v>2298450</v>
      </c>
      <c r="Z88" s="234">
        <f>27389000+743000+509000+1655000+271000+22000+585000+5672000+12897000+2306000</f>
        <v>52049000</v>
      </c>
      <c r="AA88" s="234">
        <f t="shared" si="2"/>
        <v>54347450</v>
      </c>
      <c r="AB88" s="234">
        <v>755484.0</v>
      </c>
      <c r="AC88" s="234">
        <v>2108893.0</v>
      </c>
      <c r="AD88" s="234"/>
      <c r="AE88" s="234">
        <f t="shared" si="14"/>
        <v>2864377</v>
      </c>
      <c r="AF88" s="234">
        <f>43284000+1000000+905000+1356000+168000+21000+539000+6950000+23340000+809000+28000</f>
        <v>78400000</v>
      </c>
      <c r="AG88" s="234">
        <f t="shared" si="4"/>
        <v>81264377</v>
      </c>
      <c r="AH88" s="234">
        <v>706176.0</v>
      </c>
      <c r="AI88" s="234">
        <v>2111537.0</v>
      </c>
      <c r="AJ88" s="234"/>
      <c r="AK88" s="234">
        <f t="shared" si="15"/>
        <v>2817713</v>
      </c>
      <c r="AL88" s="234">
        <v>7.84E7</v>
      </c>
      <c r="AM88" s="234">
        <f t="shared" si="6"/>
        <v>81217713</v>
      </c>
      <c r="AN88" s="234">
        <v>730846.0</v>
      </c>
      <c r="AO88" s="234">
        <v>2155763.0</v>
      </c>
      <c r="AP88" s="234"/>
      <c r="AQ88" s="234">
        <f t="shared" si="16"/>
        <v>2886609</v>
      </c>
      <c r="AR88" s="234" t="s">
        <v>536</v>
      </c>
      <c r="AS88" s="234" t="str">
        <f t="shared" si="8"/>
        <v/>
      </c>
      <c r="AT88" s="234">
        <v>581568.0</v>
      </c>
      <c r="AU88" s="234">
        <v>2290938.0</v>
      </c>
      <c r="AV88" s="234"/>
      <c r="AW88" s="234">
        <f t="shared" si="12"/>
        <v>2872506</v>
      </c>
      <c r="AX88" s="234" t="s">
        <v>536</v>
      </c>
      <c r="AY88" s="234" t="str">
        <f t="shared" si="10"/>
        <v/>
      </c>
      <c r="BA88" s="241" t="s">
        <v>1706</v>
      </c>
      <c r="BC88" s="241" t="s">
        <v>1707</v>
      </c>
      <c r="BD88" s="236"/>
    </row>
    <row r="89" ht="12.75" customHeight="1">
      <c r="A89" s="203" t="s">
        <v>458</v>
      </c>
      <c r="B89" s="203" t="s">
        <v>458</v>
      </c>
      <c r="C89" s="203" t="s">
        <v>1291</v>
      </c>
      <c r="D89" s="203" t="s">
        <v>1521</v>
      </c>
      <c r="E89" s="237">
        <v>1.4318E10</v>
      </c>
      <c r="F89" s="231" t="str">
        <f>IF(ISNUMBER(Table1[[#This Row],[2019 Scope 3 ]]),IF(Table1[[#This Row],[Net Earnings/Income (2019)]]-k_cost*Table1[[#This Row],[2019 Total Scope 1, 2 + 3]]&lt;0,"Y","N"),"NA")</f>
        <v>#ERROR!</v>
      </c>
      <c r="G89" s="63" t="str">
        <f>IF(ISNUMBER(Table1[[#This Row],[2019 Scope 3 ]]),IF(k_cost*Table1[[#This Row],[2019 Total Scope 1, 2 + 3]]/Table1[[#This Row],[Size (2019 Revenue)]]&gt;k_rev_max,"Y","N"),"NA")</f>
        <v>#ERROR!</v>
      </c>
      <c r="H89" s="63" t="str">
        <f>IF(OR(Table1[[#This Row],[Net earnings post carbon price @85/t]]="Y",Table1[[#This Row],[Carbon costs in % revenue]] = "Y"),"Y",IF(OR(Table1[[#This Row],[Net earnings post carbon price @85/t]]="NA",Table1[[#This Row],[Carbon costs in % revenue]]="NA"),"NA","N"))</f>
        <v>#ERROR!</v>
      </c>
      <c r="I89" s="237">
        <v>5.02E9</v>
      </c>
      <c r="J89" s="232">
        <v>1953.0</v>
      </c>
      <c r="K89" s="1" t="s">
        <v>1498</v>
      </c>
      <c r="L89" s="1" t="s">
        <v>1499</v>
      </c>
      <c r="M89" s="1" t="s">
        <v>1499</v>
      </c>
      <c r="P89" s="241" t="s">
        <v>1708</v>
      </c>
      <c r="Q89" s="1" t="s">
        <v>1498</v>
      </c>
      <c r="R89" s="1" t="s">
        <v>1499</v>
      </c>
      <c r="T89" s="219" t="str">
        <f>IFERROR((Table1[[#This Row],[2019 Total Scope 1, 2 + 3]])/Table1[[#This Row],[2018 Total Scope 1, 2 + Scope 3]]-1,"NA")</f>
        <v>#ERROR!</v>
      </c>
      <c r="V89" s="234">
        <v>966579.0</v>
      </c>
      <c r="W89" s="234">
        <v>13430.0</v>
      </c>
      <c r="X89" s="234"/>
      <c r="Y89" s="234">
        <f t="shared" si="13"/>
        <v>980009</v>
      </c>
      <c r="Z89" s="234" t="s">
        <v>536</v>
      </c>
      <c r="AA89" s="234" t="str">
        <f t="shared" si="2"/>
        <v/>
      </c>
      <c r="AB89" s="234">
        <v>1157549.0</v>
      </c>
      <c r="AC89" s="234">
        <v>1110819.0</v>
      </c>
      <c r="AD89" s="234"/>
      <c r="AE89" s="234">
        <f t="shared" si="14"/>
        <v>2268368</v>
      </c>
      <c r="AF89" s="234" t="s">
        <v>536</v>
      </c>
      <c r="AG89" s="234" t="str">
        <f t="shared" si="4"/>
        <v/>
      </c>
      <c r="AH89" s="234">
        <v>1161654.0</v>
      </c>
      <c r="AI89" s="234">
        <v>1256755.0</v>
      </c>
      <c r="AJ89" s="234"/>
      <c r="AK89" s="234">
        <f t="shared" si="15"/>
        <v>2418409</v>
      </c>
      <c r="AL89" s="234" t="s">
        <v>536</v>
      </c>
      <c r="AM89" s="234" t="str">
        <f t="shared" si="6"/>
        <v/>
      </c>
      <c r="AN89" s="234">
        <v>1076947.0</v>
      </c>
      <c r="AO89" s="234">
        <v>1319215.0</v>
      </c>
      <c r="AP89" s="234"/>
      <c r="AQ89" s="234">
        <f t="shared" si="16"/>
        <v>2396162</v>
      </c>
      <c r="AR89" s="234" t="s">
        <v>536</v>
      </c>
      <c r="AS89" s="234" t="str">
        <f t="shared" si="8"/>
        <v/>
      </c>
      <c r="AT89" s="234">
        <v>1085622.0</v>
      </c>
      <c r="AU89" s="234">
        <v>1322813.0</v>
      </c>
      <c r="AV89" s="234"/>
      <c r="AW89" s="234">
        <f t="shared" si="12"/>
        <v>2408435</v>
      </c>
      <c r="AX89" s="234" t="s">
        <v>536</v>
      </c>
      <c r="AY89" s="234" t="str">
        <f t="shared" si="10"/>
        <v/>
      </c>
      <c r="AZ89" s="241" t="s">
        <v>1498</v>
      </c>
      <c r="BA89" s="235" t="s">
        <v>1709</v>
      </c>
      <c r="BC89" s="241" t="s">
        <v>1710</v>
      </c>
      <c r="BD89" s="236"/>
    </row>
    <row r="90" ht="12.75" customHeight="1">
      <c r="A90" s="203" t="s">
        <v>463</v>
      </c>
      <c r="B90" s="203" t="s">
        <v>464</v>
      </c>
      <c r="C90" s="203" t="s">
        <v>1298</v>
      </c>
      <c r="D90" s="203" t="s">
        <v>1530</v>
      </c>
      <c r="E90" s="237">
        <v>2.082E10</v>
      </c>
      <c r="F90" s="231" t="str">
        <f>IF(ISNUMBER(Table1[[#This Row],[2019 Scope 3 ]]),IF(Table1[[#This Row],[Net Earnings/Income (2019)]]-k_cost*Table1[[#This Row],[2019 Total Scope 1, 2 + 3]]&lt;0,"Y","N"),"NA")</f>
        <v>#ERROR!</v>
      </c>
      <c r="G90" s="63" t="str">
        <f>IF(ISNUMBER(Table1[[#This Row],[2019 Scope 3 ]]),IF(k_cost*Table1[[#This Row],[2019 Total Scope 1, 2 + 3]]/Table1[[#This Row],[Size (2019 Revenue)]]&gt;k_rev_max,"Y","N"),"NA")</f>
        <v>#ERROR!</v>
      </c>
      <c r="H90" s="63" t="str">
        <f>IF(OR(Table1[[#This Row],[Net earnings post carbon price @85/t]]="Y",Table1[[#This Row],[Carbon costs in % revenue]] = "Y"),"Y",IF(OR(Table1[[#This Row],[Net earnings post carbon price @85/t]]="NA",Table1[[#This Row],[Carbon costs in % revenue]]="NA"),"NA","N"))</f>
        <v>#ERROR!</v>
      </c>
      <c r="I90" s="237">
        <v>4.25E9</v>
      </c>
      <c r="J90" s="232">
        <v>1784.0</v>
      </c>
      <c r="K90" s="203" t="s">
        <v>1498</v>
      </c>
      <c r="L90" s="203" t="s">
        <v>1498</v>
      </c>
      <c r="M90" s="1" t="s">
        <v>1499</v>
      </c>
      <c r="N90" s="1">
        <v>2015.0</v>
      </c>
      <c r="O90" s="1">
        <v>2008.0</v>
      </c>
      <c r="P90" s="217" t="s">
        <v>1499</v>
      </c>
      <c r="Q90" s="1" t="s">
        <v>1498</v>
      </c>
      <c r="R90" s="203" t="s">
        <v>1499</v>
      </c>
      <c r="S90" s="203" t="s">
        <v>1499</v>
      </c>
      <c r="T90" s="219" t="str">
        <f>IFERROR((Table1[[#This Row],[2019 Total Scope 1, 2 + 3]])/Table1[[#This Row],[2018 Total Scope 1, 2 + Scope 3]]-1,"NA")</f>
        <v>#ERROR!</v>
      </c>
      <c r="U90" s="203"/>
      <c r="V90" s="234">
        <v>8102.0</v>
      </c>
      <c r="W90" s="234">
        <v>3397.0</v>
      </c>
      <c r="X90" s="234">
        <v>31457.0</v>
      </c>
      <c r="Y90" s="234">
        <f t="shared" si="13"/>
        <v>-19958</v>
      </c>
      <c r="Z90" s="234">
        <v>14605.0</v>
      </c>
      <c r="AA90" s="234">
        <f t="shared" si="2"/>
        <v>-5353</v>
      </c>
      <c r="AB90" s="234">
        <v>8000.0</v>
      </c>
      <c r="AC90" s="234">
        <v>2500.0</v>
      </c>
      <c r="AD90" s="234">
        <v>32000.0</v>
      </c>
      <c r="AE90" s="234">
        <f t="shared" si="14"/>
        <v>-21500</v>
      </c>
      <c r="AF90" s="234">
        <v>17200.0</v>
      </c>
      <c r="AG90" s="234">
        <f t="shared" si="4"/>
        <v>-4300</v>
      </c>
      <c r="AH90" s="234">
        <v>8265.0</v>
      </c>
      <c r="AI90" s="234">
        <v>2248.0</v>
      </c>
      <c r="AJ90" s="234">
        <v>38000.0</v>
      </c>
      <c r="AK90" s="234">
        <f t="shared" si="15"/>
        <v>-27487</v>
      </c>
      <c r="AL90" s="234">
        <v>17944.0</v>
      </c>
      <c r="AM90" s="234">
        <f t="shared" si="6"/>
        <v>-9543</v>
      </c>
      <c r="AN90" s="234">
        <v>9000.0</v>
      </c>
      <c r="AO90" s="234">
        <v>3350.0</v>
      </c>
      <c r="AP90" s="234">
        <v>32000.0</v>
      </c>
      <c r="AQ90" s="234">
        <f t="shared" si="16"/>
        <v>-19650</v>
      </c>
      <c r="AR90" s="234">
        <v>19700.0</v>
      </c>
      <c r="AS90" s="234">
        <f t="shared" si="8"/>
        <v>50</v>
      </c>
      <c r="AT90" s="234"/>
      <c r="AU90" s="234"/>
      <c r="AV90" s="234"/>
      <c r="AW90" s="234">
        <f t="shared" si="12"/>
        <v>0</v>
      </c>
      <c r="AX90" s="234"/>
      <c r="AY90" s="234">
        <f t="shared" si="10"/>
        <v>0</v>
      </c>
      <c r="BA90" s="235" t="s">
        <v>1711</v>
      </c>
      <c r="BD90" s="236"/>
    </row>
    <row r="91" ht="12.75" customHeight="1">
      <c r="A91" s="203" t="s">
        <v>469</v>
      </c>
      <c r="B91" s="203" t="s">
        <v>470</v>
      </c>
      <c r="C91" s="203" t="s">
        <v>1302</v>
      </c>
      <c r="D91" s="203" t="s">
        <v>1541</v>
      </c>
      <c r="E91" s="237">
        <v>6.957E10</v>
      </c>
      <c r="F91" s="231" t="str">
        <f>IF(ISNUMBER(Table1[[#This Row],[2019 Scope 3 ]]),IF(Table1[[#This Row],[Net Earnings/Income (2019)]]-k_cost*Table1[[#This Row],[2019 Total Scope 1, 2 + 3]]&lt;0,"Y","N"),"NA")</f>
        <v>#ERROR!</v>
      </c>
      <c r="G91" s="63" t="str">
        <f>IF(ISNUMBER(Table1[[#This Row],[2019 Scope 3 ]]),IF(k_cost*Table1[[#This Row],[2019 Total Scope 1, 2 + 3]]/Table1[[#This Row],[Size (2019 Revenue)]]&gt;k_rev_max,"Y","N"),"NA")</f>
        <v>#ERROR!</v>
      </c>
      <c r="H91" s="63" t="str">
        <f>IF(OR(Table1[[#This Row],[Net earnings post carbon price @85/t]]="Y",Table1[[#This Row],[Carbon costs in % revenue]] = "Y"),"Y",IF(OR(Table1[[#This Row],[Net earnings post carbon price @85/t]]="NA",Table1[[#This Row],[Carbon costs in % revenue]]="NA"),"NA","N"))</f>
        <v>#ERROR!</v>
      </c>
      <c r="I91" s="237">
        <v>1.105E10</v>
      </c>
      <c r="J91" s="232">
        <v>1957.0</v>
      </c>
      <c r="K91" s="1" t="s">
        <v>1498</v>
      </c>
      <c r="L91" s="1" t="s">
        <v>1499</v>
      </c>
      <c r="M91" s="1" t="s">
        <v>1499</v>
      </c>
      <c r="P91" s="241" t="s">
        <v>1712</v>
      </c>
      <c r="R91" s="1" t="s">
        <v>1499</v>
      </c>
      <c r="T91" s="219" t="str">
        <f>IFERROR((Table1[[#This Row],[2019 Total Scope 1, 2 + 3]])/Table1[[#This Row],[2018 Total Scope 1, 2 + Scope 3]]-1,"NA")</f>
        <v>#ERROR!</v>
      </c>
      <c r="V91" s="234">
        <v>855073.0</v>
      </c>
      <c r="W91" s="234">
        <v>931544.0</v>
      </c>
      <c r="X91" s="234"/>
      <c r="Y91" s="234">
        <f t="shared" si="13"/>
        <v>1786617</v>
      </c>
      <c r="Z91" s="234" t="s">
        <v>536</v>
      </c>
      <c r="AA91" s="234" t="str">
        <f t="shared" si="2"/>
        <v/>
      </c>
      <c r="AB91" s="234">
        <v>897523.0</v>
      </c>
      <c r="AC91" s="234">
        <v>975778.0</v>
      </c>
      <c r="AD91" s="234"/>
      <c r="AE91" s="234">
        <f t="shared" si="14"/>
        <v>1873301</v>
      </c>
      <c r="AF91" s="234" t="s">
        <v>536</v>
      </c>
      <c r="AG91" s="234" t="str">
        <f t="shared" si="4"/>
        <v/>
      </c>
      <c r="AH91" s="234">
        <v>843275.0</v>
      </c>
      <c r="AI91" s="234">
        <v>1002150.0</v>
      </c>
      <c r="AJ91" s="234"/>
      <c r="AK91" s="234">
        <f t="shared" si="15"/>
        <v>1845425</v>
      </c>
      <c r="AL91" s="234" t="s">
        <v>536</v>
      </c>
      <c r="AM91" s="234" t="str">
        <f t="shared" si="6"/>
        <v/>
      </c>
      <c r="AN91" s="234">
        <v>865577.0</v>
      </c>
      <c r="AO91" s="234">
        <v>909738.0</v>
      </c>
      <c r="AP91" s="234"/>
      <c r="AQ91" s="234">
        <f t="shared" si="16"/>
        <v>1775315</v>
      </c>
      <c r="AR91" s="234" t="s">
        <v>536</v>
      </c>
      <c r="AS91" s="234" t="str">
        <f t="shared" si="8"/>
        <v/>
      </c>
      <c r="AT91" s="234">
        <v>851038.0</v>
      </c>
      <c r="AU91" s="234">
        <v>917030.0</v>
      </c>
      <c r="AV91" s="234"/>
      <c r="AW91" s="234">
        <f t="shared" si="12"/>
        <v>1768068</v>
      </c>
      <c r="AX91" s="234" t="s">
        <v>536</v>
      </c>
      <c r="AY91" s="234" t="str">
        <f t="shared" si="10"/>
        <v/>
      </c>
      <c r="BA91" s="241" t="s">
        <v>1713</v>
      </c>
      <c r="BC91" s="241" t="s">
        <v>1714</v>
      </c>
      <c r="BD91" s="236"/>
    </row>
    <row r="92" ht="12.75" customHeight="1">
      <c r="A92" s="203" t="s">
        <v>475</v>
      </c>
      <c r="B92" s="203" t="s">
        <v>476</v>
      </c>
      <c r="C92" s="203" t="s">
        <v>1283</v>
      </c>
      <c r="D92" s="203" t="s">
        <v>1559</v>
      </c>
      <c r="E92" s="237">
        <v>2.554E10</v>
      </c>
      <c r="F92" s="231" t="str">
        <f>IF(ISNUMBER(Table1[[#This Row],[2019 Scope 3 ]]),IF(Table1[[#This Row],[Net Earnings/Income (2019)]]-k_cost*Table1[[#This Row],[2019 Total Scope 1, 2 + 3]]&lt;0,"Y","N"),"NA")</f>
        <v>#ERROR!</v>
      </c>
      <c r="G92" s="63" t="str">
        <f>IF(ISNUMBER(Table1[[#This Row],[2019 Scope 3 ]]),IF(k_cost*Table1[[#This Row],[2019 Total Scope 1, 2 + 3]]/Table1[[#This Row],[Size (2019 Revenue)]]&gt;k_rev_max,"Y","N"),"NA")</f>
        <v>#ERROR!</v>
      </c>
      <c r="H92" s="63" t="str">
        <f>IF(OR(Table1[[#This Row],[Net earnings post carbon price @85/t]]="Y",Table1[[#This Row],[Carbon costs in % revenue]] = "Y"),"Y",IF(OR(Table1[[#This Row],[Net earnings post carbon price @85/t]]="NA",Table1[[#This Row],[Carbon costs in % revenue]]="NA"),"NA","N"))</f>
        <v>#ERROR!</v>
      </c>
      <c r="I92" s="237">
        <v>3.696E9</v>
      </c>
      <c r="J92" s="232">
        <v>1965.0</v>
      </c>
      <c r="K92" s="1" t="s">
        <v>1498</v>
      </c>
      <c r="L92" s="1" t="s">
        <v>1499</v>
      </c>
      <c r="M92" s="1" t="s">
        <v>1499</v>
      </c>
      <c r="R92" s="1" t="s">
        <v>1499</v>
      </c>
      <c r="T92" s="219" t="str">
        <f>IFERROR((Table1[[#This Row],[2019 Total Scope 1, 2 + 3]])/Table1[[#This Row],[2018 Total Scope 1, 2 + Scope 3]]-1,"NA")</f>
        <v>#ERROR!</v>
      </c>
      <c r="V92" s="234" t="s">
        <v>536</v>
      </c>
      <c r="W92" s="234" t="s">
        <v>536</v>
      </c>
      <c r="X92" s="234"/>
      <c r="Y92" s="234" t="str">
        <f t="shared" si="13"/>
        <v/>
      </c>
      <c r="Z92" s="234" t="s">
        <v>536</v>
      </c>
      <c r="AA92" s="234" t="str">
        <f t="shared" si="2"/>
        <v/>
      </c>
      <c r="AB92" s="234">
        <v>147521.62</v>
      </c>
      <c r="AC92" s="234">
        <v>690767.33</v>
      </c>
      <c r="AD92" s="234"/>
      <c r="AE92" s="234">
        <f t="shared" si="14"/>
        <v>838288.95</v>
      </c>
      <c r="AF92" s="234" t="s">
        <v>536</v>
      </c>
      <c r="AG92" s="234" t="str">
        <f t="shared" si="4"/>
        <v/>
      </c>
      <c r="AH92" s="234">
        <v>70255.0</v>
      </c>
      <c r="AI92" s="234">
        <v>408244.0</v>
      </c>
      <c r="AJ92" s="234"/>
      <c r="AK92" s="234">
        <f t="shared" si="15"/>
        <v>478499</v>
      </c>
      <c r="AL92" s="234">
        <v>206994.0</v>
      </c>
      <c r="AM92" s="234">
        <f t="shared" si="6"/>
        <v>685493</v>
      </c>
      <c r="AN92" s="234">
        <v>83529.0</v>
      </c>
      <c r="AO92" s="234">
        <v>305579.0</v>
      </c>
      <c r="AP92" s="234"/>
      <c r="AQ92" s="234">
        <f t="shared" si="16"/>
        <v>389108</v>
      </c>
      <c r="AR92" s="234"/>
      <c r="AS92" s="234">
        <f t="shared" si="8"/>
        <v>389108</v>
      </c>
      <c r="AT92" s="234">
        <v>92458.0</v>
      </c>
      <c r="AU92" s="234">
        <v>301234.0</v>
      </c>
      <c r="AV92" s="234"/>
      <c r="AW92" s="234">
        <f t="shared" si="12"/>
        <v>393692</v>
      </c>
      <c r="AX92" s="234"/>
      <c r="AY92" s="234">
        <f t="shared" si="10"/>
        <v>393692</v>
      </c>
      <c r="BA92" s="235" t="s">
        <v>1715</v>
      </c>
      <c r="BC92" s="241" t="s">
        <v>1716</v>
      </c>
      <c r="BD92" s="236"/>
    </row>
    <row r="93" ht="12.75" customHeight="1">
      <c r="A93" s="203" t="s">
        <v>478</v>
      </c>
      <c r="B93" s="203" t="s">
        <v>479</v>
      </c>
      <c r="C93" s="203" t="s">
        <v>1276</v>
      </c>
      <c r="D93" s="203" t="s">
        <v>1571</v>
      </c>
      <c r="E93" s="237">
        <v>2.17E10</v>
      </c>
      <c r="F93" s="231" t="str">
        <f>IF(ISNUMBER(Table1[[#This Row],[2019 Scope 3 ]]),IF(Table1[[#This Row],[Net Earnings/Income (2019)]]-k_cost*Table1[[#This Row],[2019 Total Scope 1, 2 + 3]]&lt;0,"Y","N"),"NA")</f>
        <v>#ERROR!</v>
      </c>
      <c r="G93" s="63" t="str">
        <f>IF(ISNUMBER(Table1[[#This Row],[2019 Scope 3 ]]),IF(k_cost*Table1[[#This Row],[2019 Total Scope 1, 2 + 3]]/Table1[[#This Row],[Size (2019 Revenue)]]&gt;k_rev_max,"Y","N"),"NA")</f>
        <v>#ERROR!</v>
      </c>
      <c r="H93" s="63" t="str">
        <f>IF(OR(Table1[[#This Row],[Net earnings post carbon price @85/t]]="Y",Table1[[#This Row],[Carbon costs in % revenue]] = "Y"),"Y",IF(OR(Table1[[#This Row],[Net earnings post carbon price @85/t]]="NA",Table1[[#This Row],[Carbon costs in % revenue]]="NA"),"NA","N"))</f>
        <v>#ERROR!</v>
      </c>
      <c r="I93" s="237">
        <v>5.9E9</v>
      </c>
      <c r="J93" s="232"/>
      <c r="K93" s="1" t="s">
        <v>1498</v>
      </c>
      <c r="L93" s="1" t="s">
        <v>1499</v>
      </c>
      <c r="M93" s="241" t="s">
        <v>1498</v>
      </c>
      <c r="R93" s="1" t="s">
        <v>1499</v>
      </c>
      <c r="T93" s="219" t="str">
        <f>IFERROR((Table1[[#This Row],[2019 Total Scope 1, 2 + 3]])/Table1[[#This Row],[2018 Total Scope 1, 2 + Scope 3]]-1,"NA")</f>
        <v>#ERROR!</v>
      </c>
      <c r="V93" s="234">
        <v>9688964.0</v>
      </c>
      <c r="W93" s="234">
        <f>10415469-V93</f>
        <v>726505</v>
      </c>
      <c r="X93" s="234"/>
      <c r="Y93" s="234">
        <f t="shared" si="13"/>
        <v>10415469</v>
      </c>
      <c r="Z93" s="234">
        <v>15495.0</v>
      </c>
      <c r="AA93" s="234">
        <f t="shared" si="2"/>
        <v>10430964</v>
      </c>
      <c r="AB93" s="234">
        <v>1.0874731E7</v>
      </c>
      <c r="AC93" s="234">
        <f>11760366-AB93</f>
        <v>885635</v>
      </c>
      <c r="AD93" s="234"/>
      <c r="AE93" s="234">
        <f t="shared" si="14"/>
        <v>11760366</v>
      </c>
      <c r="AF93" s="234">
        <v>17138.0</v>
      </c>
      <c r="AG93" s="234">
        <f t="shared" si="4"/>
        <v>11777504</v>
      </c>
      <c r="AH93" s="234">
        <v>1.0216978E7</v>
      </c>
      <c r="AI93" s="234">
        <f>10989985-AH93</f>
        <v>773007</v>
      </c>
      <c r="AJ93" s="234"/>
      <c r="AK93" s="234">
        <f t="shared" si="15"/>
        <v>10989985</v>
      </c>
      <c r="AL93" s="234">
        <v>18466.0</v>
      </c>
      <c r="AM93" s="234">
        <f t="shared" si="6"/>
        <v>11008451</v>
      </c>
      <c r="AN93" s="234">
        <v>9913870.0</v>
      </c>
      <c r="AO93" s="234">
        <f>10685250-AN93</f>
        <v>771380</v>
      </c>
      <c r="AP93" s="234"/>
      <c r="AQ93" s="234">
        <f t="shared" si="16"/>
        <v>10685250</v>
      </c>
      <c r="AR93" s="234">
        <v>18603.0</v>
      </c>
      <c r="AS93" s="234">
        <f t="shared" si="8"/>
        <v>10703853</v>
      </c>
      <c r="AT93" s="234">
        <v>1.0834984E7</v>
      </c>
      <c r="AU93" s="234">
        <f>11683549 -AT93</f>
        <v>848565</v>
      </c>
      <c r="AV93" s="234"/>
      <c r="AW93" s="234">
        <f t="shared" si="12"/>
        <v>11683549</v>
      </c>
      <c r="AX93" s="234">
        <v>19803.0</v>
      </c>
      <c r="AY93" s="234">
        <f t="shared" si="10"/>
        <v>11703352</v>
      </c>
      <c r="AZ93" s="241" t="s">
        <v>1717</v>
      </c>
      <c r="BA93" s="235" t="s">
        <v>1718</v>
      </c>
      <c r="BC93" s="241" t="s">
        <v>1719</v>
      </c>
      <c r="BD93" s="236"/>
    </row>
    <row r="94" ht="12.75" customHeight="1">
      <c r="A94" s="203" t="s">
        <v>484</v>
      </c>
      <c r="B94" s="203" t="s">
        <v>484</v>
      </c>
      <c r="C94" s="203" t="s">
        <v>1283</v>
      </c>
      <c r="D94" s="203" t="s">
        <v>1720</v>
      </c>
      <c r="E94" s="237">
        <v>2.422E11</v>
      </c>
      <c r="F94" s="231" t="str">
        <f>IF(ISNUMBER(Table1[[#This Row],[2019 Scope 3 ]]),IF(Table1[[#This Row],[Net Earnings/Income (2019)]]-k_cost*Table1[[#This Row],[2019 Total Scope 1, 2 + 3]]&lt;0,"Y","N"),"NA")</f>
        <v>#ERROR!</v>
      </c>
      <c r="G94" s="63" t="str">
        <f>IF(ISNUMBER(Table1[[#This Row],[2019 Scope 3 ]]),IF(k_cost*Table1[[#This Row],[2019 Total Scope 1, 2 + 3]]/Table1[[#This Row],[Size (2019 Revenue)]]&gt;k_rev_max,"Y","N"),"NA")</f>
        <v>#ERROR!</v>
      </c>
      <c r="H94" s="63" t="str">
        <f>IF(OR(Table1[[#This Row],[Net earnings post carbon price @85/t]]="Y",Table1[[#This Row],[Carbon costs in % revenue]] = "Y"),"Y",IF(OR(Table1[[#This Row],[Net earnings post carbon price @85/t]]="NA",Table1[[#This Row],[Carbon costs in % revenue]]="NA"),"NA","N"))</f>
        <v>#ERROR!</v>
      </c>
      <c r="I94" s="237">
        <v>1.424E10</v>
      </c>
      <c r="J94" s="232">
        <v>1984.0</v>
      </c>
      <c r="K94" s="1" t="s">
        <v>1498</v>
      </c>
      <c r="L94" s="1" t="s">
        <v>1499</v>
      </c>
      <c r="M94" s="1" t="s">
        <v>1499</v>
      </c>
      <c r="P94" s="241" t="s">
        <v>1721</v>
      </c>
      <c r="R94" s="1" t="s">
        <v>1499</v>
      </c>
      <c r="T94" s="219" t="str">
        <f>IFERROR((Table1[[#This Row],[2019 Total Scope 1, 2 + 3]])/Table1[[#This Row],[2018 Total Scope 1, 2 + Scope 3]]-1,"NA")</f>
        <v>#ERROR!</v>
      </c>
      <c r="V94" s="234">
        <v>17709.0</v>
      </c>
      <c r="W94" s="234">
        <v>149418.0</v>
      </c>
      <c r="X94" s="234"/>
      <c r="Y94" s="234">
        <f t="shared" si="13"/>
        <v>167127</v>
      </c>
      <c r="Z94" s="234">
        <f>25934+63005+252683+88189</f>
        <v>429811</v>
      </c>
      <c r="AA94" s="234">
        <f t="shared" si="2"/>
        <v>596938</v>
      </c>
      <c r="AB94" s="234">
        <v>13924.0</v>
      </c>
      <c r="AC94" s="234">
        <v>158042.0</v>
      </c>
      <c r="AD94" s="234"/>
      <c r="AE94" s="234">
        <f t="shared" si="14"/>
        <v>171966</v>
      </c>
      <c r="AF94" s="234">
        <v>301410.0</v>
      </c>
      <c r="AG94" s="234">
        <f t="shared" si="4"/>
        <v>473376</v>
      </c>
      <c r="AH94" s="234">
        <v>16570.0</v>
      </c>
      <c r="AI94" s="234">
        <v>156719.0</v>
      </c>
      <c r="AJ94" s="234"/>
      <c r="AK94" s="234">
        <f t="shared" si="15"/>
        <v>173289</v>
      </c>
      <c r="AL94" s="234">
        <v>127671.0</v>
      </c>
      <c r="AM94" s="234">
        <f t="shared" si="6"/>
        <v>300960</v>
      </c>
      <c r="AN94" s="234">
        <v>15838.0</v>
      </c>
      <c r="AO94" s="234">
        <v>161303.0</v>
      </c>
      <c r="AP94" s="234"/>
      <c r="AQ94" s="234">
        <f t="shared" si="16"/>
        <v>177141</v>
      </c>
      <c r="AR94" s="234">
        <v>146373.0</v>
      </c>
      <c r="AS94" s="234">
        <f t="shared" si="8"/>
        <v>323514</v>
      </c>
      <c r="AT94" s="234">
        <v>16567.0</v>
      </c>
      <c r="AU94" s="234">
        <v>180096.0</v>
      </c>
      <c r="AV94" s="234"/>
      <c r="AW94" s="234">
        <f t="shared" si="12"/>
        <v>196663</v>
      </c>
      <c r="AX94" s="234">
        <v>173042.0</v>
      </c>
      <c r="AY94" s="234">
        <f t="shared" si="10"/>
        <v>369705</v>
      </c>
      <c r="BA94" s="241" t="s">
        <v>1722</v>
      </c>
      <c r="BC94" s="241" t="s">
        <v>1723</v>
      </c>
      <c r="BD94" s="236"/>
    </row>
    <row r="95" ht="12.75" customHeight="1">
      <c r="A95" s="203" t="s">
        <v>489</v>
      </c>
      <c r="B95" s="203" t="s">
        <v>490</v>
      </c>
      <c r="C95" s="203" t="s">
        <v>1276</v>
      </c>
      <c r="D95" s="203" t="s">
        <v>1571</v>
      </c>
      <c r="E95" s="237">
        <v>7.4094E10</v>
      </c>
      <c r="F95" s="231" t="str">
        <f>IF(ISNUMBER(Table1[[#This Row],[2019 Scope 3 ]]),IF(Table1[[#This Row],[Net Earnings/Income (2019)]]-k_cost*Table1[[#This Row],[2019 Total Scope 1, 2 + 3]]&lt;0,"Y","N"),"NA")</f>
        <v>#ERROR!</v>
      </c>
      <c r="G95" s="63" t="str">
        <f>IF(ISNUMBER(Table1[[#This Row],[2019 Scope 3 ]]),IF(k_cost*Table1[[#This Row],[2019 Total Scope 1, 2 + 3]]/Table1[[#This Row],[Size (2019 Revenue)]]&gt;k_rev_max,"Y","N"),"NA")</f>
        <v>#ERROR!</v>
      </c>
      <c r="H95" s="63" t="str">
        <f>IF(OR(Table1[[#This Row],[Net earnings post carbon price @85/t]]="Y",Table1[[#This Row],[Carbon costs in % revenue]] = "Y"),"Y",IF(OR(Table1[[#This Row],[Net earnings post carbon price @85/t]]="NA",Table1[[#This Row],[Carbon costs in % revenue]]="NA"),"NA","N"))</f>
        <v>#ERROR!</v>
      </c>
      <c r="I95" s="237">
        <v>4.4E9</v>
      </c>
      <c r="J95" s="232">
        <v>1999.0</v>
      </c>
      <c r="K95" s="1" t="s">
        <v>1498</v>
      </c>
      <c r="L95" s="1" t="s">
        <v>1499</v>
      </c>
      <c r="M95" s="1" t="s">
        <v>1499</v>
      </c>
      <c r="P95" s="241" t="s">
        <v>1724</v>
      </c>
      <c r="Q95" s="1" t="s">
        <v>1498</v>
      </c>
      <c r="R95" s="1" t="s">
        <v>1499</v>
      </c>
      <c r="T95" s="219" t="str">
        <f>IFERROR((Table1[[#This Row],[2019 Total Scope 1, 2 + 3]])/Table1[[#This Row],[2018 Total Scope 1, 2 + Scope 3]]-1,"NA")</f>
        <v>#ERROR!</v>
      </c>
      <c r="V95" s="234">
        <v>1.4223E7</v>
      </c>
      <c r="W95" s="234">
        <v>731000.0</v>
      </c>
      <c r="X95" s="234"/>
      <c r="Y95" s="234">
        <f t="shared" si="13"/>
        <v>14954000</v>
      </c>
      <c r="Z95" s="234">
        <f>3122000+4629000+2820000+8198000+25000+69000+2079000+9000+57000</f>
        <v>21008000</v>
      </c>
      <c r="AA95" s="234">
        <f t="shared" si="2"/>
        <v>35962000</v>
      </c>
      <c r="AB95" s="234">
        <v>1.3851E7</v>
      </c>
      <c r="AC95" s="234">
        <v>784000.0</v>
      </c>
      <c r="AD95" s="234">
        <f>(95.9+7.6)*1000</f>
        <v>103500</v>
      </c>
      <c r="AE95" s="234">
        <f t="shared" si="14"/>
        <v>14531500</v>
      </c>
      <c r="AF95" s="234">
        <v>2.1783E7</v>
      </c>
      <c r="AG95" s="234">
        <f t="shared" si="4"/>
        <v>36314500</v>
      </c>
      <c r="AH95" s="234">
        <v>1.3047E7</v>
      </c>
      <c r="AI95" s="234">
        <v>745000.0</v>
      </c>
      <c r="AJ95" s="234">
        <f>(77.9+6.3)*1000</f>
        <v>84200</v>
      </c>
      <c r="AK95" s="234">
        <f t="shared" si="15"/>
        <v>13707800</v>
      </c>
      <c r="AL95" s="234">
        <v>2.0071E7</v>
      </c>
      <c r="AM95" s="234">
        <f t="shared" si="6"/>
        <v>33778800</v>
      </c>
      <c r="AN95" s="234">
        <v>1.2432E7</v>
      </c>
      <c r="AO95" s="234">
        <v>831000.0</v>
      </c>
      <c r="AP95" s="234">
        <f>(95.7+6)*1000</f>
        <v>101700</v>
      </c>
      <c r="AQ95" s="234">
        <f t="shared" si="16"/>
        <v>13161300</v>
      </c>
      <c r="AR95" s="234">
        <v>1.743E7</v>
      </c>
      <c r="AS95" s="234">
        <f t="shared" si="8"/>
        <v>30591300</v>
      </c>
      <c r="AT95" s="234">
        <v>1.2197E7</v>
      </c>
      <c r="AU95" s="234">
        <v>814000.0</v>
      </c>
      <c r="AV95" s="234">
        <f>(44.9+3.2)*1000</f>
        <v>48100</v>
      </c>
      <c r="AW95" s="234">
        <f t="shared" si="12"/>
        <v>12962900</v>
      </c>
      <c r="AX95" s="234">
        <v>1.6877E7</v>
      </c>
      <c r="AY95" s="234">
        <f t="shared" si="10"/>
        <v>29839900</v>
      </c>
      <c r="AZ95" s="241" t="s">
        <v>1725</v>
      </c>
      <c r="BA95" s="241" t="s">
        <v>1726</v>
      </c>
      <c r="BC95" s="241" t="s">
        <v>1727</v>
      </c>
      <c r="BD95" s="236"/>
    </row>
    <row r="96" ht="12.75" customHeight="1">
      <c r="A96" s="203" t="s">
        <v>495</v>
      </c>
      <c r="B96" s="203" t="s">
        <v>495</v>
      </c>
      <c r="C96" s="203" t="s">
        <v>1298</v>
      </c>
      <c r="D96" s="203" t="s">
        <v>1312</v>
      </c>
      <c r="E96" s="237">
        <v>2.5775E10</v>
      </c>
      <c r="F96" s="231" t="str">
        <f>IF(ISNUMBER(Table1[[#This Row],[2019 Scope 3 ]]),IF(Table1[[#This Row],[Net Earnings/Income (2019)]]-k_cost*Table1[[#This Row],[2019 Total Scope 1, 2 + 3]]&lt;0,"Y","N"),"NA")</f>
        <v>#ERROR!</v>
      </c>
      <c r="G96" s="63" t="str">
        <f>IF(ISNUMBER(Table1[[#This Row],[2019 Scope 3 ]]),IF(k_cost*Table1[[#This Row],[2019 Total Scope 1, 2 + 3]]/Table1[[#This Row],[Size (2019 Revenue)]]&gt;k_rev_max,"Y","N"),"NA")</f>
        <v>#ERROR!</v>
      </c>
      <c r="H96" s="63" t="str">
        <f>IF(OR(Table1[[#This Row],[Net earnings post carbon price @85/t]]="Y",Table1[[#This Row],[Carbon costs in % revenue]] = "Y"),"Y",IF(OR(Table1[[#This Row],[Net earnings post carbon price @85/t]]="NA",Table1[[#This Row],[Carbon costs in % revenue]]="NA"),"NA","N"))</f>
        <v>#ERROR!</v>
      </c>
      <c r="I96" s="237">
        <v>6.914E9</v>
      </c>
      <c r="J96" s="232" t="s">
        <v>1728</v>
      </c>
      <c r="K96" s="1" t="s">
        <v>1499</v>
      </c>
      <c r="L96" s="1" t="s">
        <v>1499</v>
      </c>
      <c r="M96" s="1" t="s">
        <v>1499</v>
      </c>
      <c r="P96" s="241" t="s">
        <v>1729</v>
      </c>
      <c r="R96" s="1" t="s">
        <v>1499</v>
      </c>
      <c r="T96" s="219" t="str">
        <f>IFERROR((Table1[[#This Row],[2019 Total Scope 1, 2 + 3]])/Table1[[#This Row],[2018 Total Scope 1, 2 + Scope 3]]-1,"NA")</f>
        <v>#ERROR!</v>
      </c>
      <c r="V96" s="234">
        <v>56482.0</v>
      </c>
      <c r="W96" s="234">
        <v>176447.0</v>
      </c>
      <c r="X96" s="234"/>
      <c r="Y96" s="234">
        <f t="shared" si="13"/>
        <v>232929</v>
      </c>
      <c r="Z96" s="234">
        <f>8528+38762+79195+44088</f>
        <v>170573</v>
      </c>
      <c r="AA96" s="234">
        <f t="shared" si="2"/>
        <v>403502</v>
      </c>
      <c r="AB96" s="234">
        <v>63333.0</v>
      </c>
      <c r="AC96" s="234">
        <v>233322.0</v>
      </c>
      <c r="AD96" s="234">
        <f>5165+32382+48317</f>
        <v>85864</v>
      </c>
      <c r="AE96" s="234">
        <f t="shared" si="14"/>
        <v>210791</v>
      </c>
      <c r="AF96" s="239">
        <v>382519.0</v>
      </c>
      <c r="AG96" s="234">
        <f t="shared" si="4"/>
        <v>593310</v>
      </c>
      <c r="AH96" s="234">
        <v>55029.0</v>
      </c>
      <c r="AI96" s="234">
        <v>239367.0</v>
      </c>
      <c r="AJ96" s="234"/>
      <c r="AK96" s="234">
        <f t="shared" si="15"/>
        <v>294396</v>
      </c>
      <c r="AL96" s="234"/>
      <c r="AM96" s="234">
        <f t="shared" si="6"/>
        <v>294396</v>
      </c>
      <c r="AN96" s="234">
        <v>53544.0</v>
      </c>
      <c r="AO96" s="234">
        <v>325439.0</v>
      </c>
      <c r="AP96" s="234"/>
      <c r="AQ96" s="234">
        <f t="shared" si="16"/>
        <v>378983</v>
      </c>
      <c r="AR96" s="234">
        <f>4953+27620+54092</f>
        <v>86665</v>
      </c>
      <c r="AS96" s="234">
        <f t="shared" si="8"/>
        <v>465648</v>
      </c>
      <c r="AT96" s="234"/>
      <c r="AU96" s="234"/>
      <c r="AV96" s="234"/>
      <c r="AW96" s="234">
        <f t="shared" si="12"/>
        <v>0</v>
      </c>
      <c r="AX96" s="234"/>
      <c r="AY96" s="234">
        <f t="shared" si="10"/>
        <v>0</v>
      </c>
      <c r="BA96" s="241" t="s">
        <v>1730</v>
      </c>
      <c r="BC96" s="241" t="s">
        <v>1731</v>
      </c>
      <c r="BD96" s="236" t="s">
        <v>1732</v>
      </c>
    </row>
    <row r="97" ht="12.75" customHeight="1">
      <c r="A97" s="203" t="s">
        <v>500</v>
      </c>
      <c r="B97" s="203" t="s">
        <v>501</v>
      </c>
      <c r="C97" s="203" t="s">
        <v>1302</v>
      </c>
      <c r="D97" s="203" t="s">
        <v>1523</v>
      </c>
      <c r="E97" s="231">
        <v>1.3186E11</v>
      </c>
      <c r="F97" s="231" t="str">
        <f>IF(ISNUMBER(Table1[[#This Row],[2019 Scope 3 ]]),IF(Table1[[#This Row],[Net Earnings/Income (2019)]]-k_cost*Table1[[#This Row],[2019 Total Scope 1, 2 + 3]]&lt;0,"Y","N"),"NA")</f>
        <v>#ERROR!</v>
      </c>
      <c r="G97" s="63" t="str">
        <f>IF(ISNUMBER(Table1[[#This Row],[2019 Scope 3 ]]),IF(k_cost*Table1[[#This Row],[2019 Total Scope 1, 2 + 3]]/Table1[[#This Row],[Size (2019 Revenue)]]&gt;k_rev_max,"Y","N"),"NA")</f>
        <v>#ERROR!</v>
      </c>
      <c r="H97" s="63" t="str">
        <f>IF(OR(Table1[[#This Row],[Net earnings post carbon price @85/t]]="Y",Table1[[#This Row],[Carbon costs in % revenue]] = "Y"),"Y",IF(OR(Table1[[#This Row],[Net earnings post carbon price @85/t]]="NA",Table1[[#This Row],[Carbon costs in % revenue]]="NA"),"NA","N"))</f>
        <v>#ERROR!</v>
      </c>
      <c r="I97" s="231">
        <v>1.979E10</v>
      </c>
      <c r="J97" s="232">
        <v>2000.0</v>
      </c>
      <c r="K97" s="231" t="s">
        <v>1498</v>
      </c>
      <c r="L97" s="1" t="s">
        <v>1498</v>
      </c>
      <c r="M97" s="1" t="s">
        <v>1499</v>
      </c>
      <c r="N97" s="1">
        <v>2035.0</v>
      </c>
      <c r="O97" s="1">
        <v>2019.0</v>
      </c>
      <c r="Q97" s="1" t="s">
        <v>1498</v>
      </c>
      <c r="R97" s="1" t="s">
        <v>1499</v>
      </c>
      <c r="S97" s="1" t="s">
        <v>1733</v>
      </c>
      <c r="T97" s="219" t="str">
        <f>IFERROR((Table1[[#This Row],[2019 Total Scope 1, 2 + 3]])/Table1[[#This Row],[2018 Total Scope 1, 2 + Scope 3]]-1,"NA")</f>
        <v>#ERROR!</v>
      </c>
      <c r="V97" s="234">
        <v>358753.0</v>
      </c>
      <c r="W97" s="234">
        <v>3982613.0</v>
      </c>
      <c r="X97" s="234"/>
      <c r="Y97" s="234">
        <f t="shared" si="13"/>
        <v>4341366</v>
      </c>
      <c r="Z97" s="234">
        <f>12502929+1057075+65443+36503+92882+511555+56906+2736735+1619</f>
        <v>17061647</v>
      </c>
      <c r="AA97" s="234">
        <f t="shared" si="2"/>
        <v>21403013</v>
      </c>
      <c r="AB97" s="234">
        <v>385241.0</v>
      </c>
      <c r="AC97" s="234">
        <v>4033579.0</v>
      </c>
      <c r="AD97" s="234"/>
      <c r="AE97" s="234">
        <f t="shared" si="14"/>
        <v>4418820</v>
      </c>
      <c r="AF97" s="234" t="s">
        <v>536</v>
      </c>
      <c r="AG97" s="234" t="str">
        <f t="shared" si="4"/>
        <v/>
      </c>
      <c r="AH97" s="234">
        <v>376735.0</v>
      </c>
      <c r="AI97" s="234">
        <v>4522261.0</v>
      </c>
      <c r="AJ97" s="234"/>
      <c r="AK97" s="234">
        <f t="shared" si="15"/>
        <v>4898996</v>
      </c>
      <c r="AL97" s="234">
        <v>69271.0</v>
      </c>
      <c r="AM97" s="234">
        <f t="shared" si="6"/>
        <v>4968267</v>
      </c>
      <c r="AN97" s="234">
        <v>372496.0</v>
      </c>
      <c r="AO97" s="234">
        <v>5529727.0</v>
      </c>
      <c r="AP97" s="234"/>
      <c r="AQ97" s="234">
        <f t="shared" si="16"/>
        <v>5902223</v>
      </c>
      <c r="AR97" s="234">
        <v>91365.0</v>
      </c>
      <c r="AS97" s="234">
        <f t="shared" si="8"/>
        <v>5993588</v>
      </c>
      <c r="AT97" s="234">
        <v>445704.0</v>
      </c>
      <c r="AU97" s="234">
        <v>5529153.0</v>
      </c>
      <c r="AV97" s="234"/>
      <c r="AW97" s="234">
        <f t="shared" si="12"/>
        <v>5974857</v>
      </c>
      <c r="AX97" s="234">
        <v>43333.0</v>
      </c>
      <c r="AY97" s="234">
        <f t="shared" si="10"/>
        <v>6018190</v>
      </c>
      <c r="BA97" s="241" t="s">
        <v>1734</v>
      </c>
      <c r="BB97" s="1" t="s">
        <v>1735</v>
      </c>
      <c r="BC97" s="241" t="s">
        <v>1736</v>
      </c>
      <c r="BD97" s="236"/>
    </row>
    <row r="98" ht="12.75" customHeight="1">
      <c r="A98" s="203" t="s">
        <v>506</v>
      </c>
      <c r="B98" s="203" t="s">
        <v>507</v>
      </c>
      <c r="C98" s="203" t="s">
        <v>1298</v>
      </c>
      <c r="D98" s="203" t="s">
        <v>1515</v>
      </c>
      <c r="E98" s="231">
        <v>2.3E10</v>
      </c>
      <c r="F98" s="231" t="str">
        <f>IF(ISNUMBER(Table1[[#This Row],[2019 Scope 3 ]]),IF(Table1[[#This Row],[Net Earnings/Income (2019)]]-k_cost*Table1[[#This Row],[2019 Total Scope 1, 2 + 3]]&lt;0,"Y","N"),"NA")</f>
        <v>#ERROR!</v>
      </c>
      <c r="G98" s="63" t="str">
        <f>IF(ISNUMBER(Table1[[#This Row],[2019 Scope 3 ]]),IF(k_cost*Table1[[#This Row],[2019 Total Scope 1, 2 + 3]]/Table1[[#This Row],[Size (2019 Revenue)]]&gt;k_rev_max,"Y","N"),"NA")</f>
        <v>#ERROR!</v>
      </c>
      <c r="H98" s="63" t="str">
        <f>IF(OR(Table1[[#This Row],[Net earnings post carbon price @85/t]]="Y",Table1[[#This Row],[Carbon costs in % revenue]] = "Y"),"Y",IF(OR(Table1[[#This Row],[Net earnings post carbon price @85/t]]="NA",Table1[[#This Row],[Carbon costs in % revenue]]="NA"),"NA","N"))</f>
        <v>#ERROR!</v>
      </c>
      <c r="I98" s="231">
        <v>1.21E10</v>
      </c>
      <c r="J98" s="232">
        <v>2008.0</v>
      </c>
      <c r="K98" s="231" t="s">
        <v>1498</v>
      </c>
      <c r="L98" s="1" t="s">
        <v>1499</v>
      </c>
      <c r="M98" s="1" t="s">
        <v>1499</v>
      </c>
      <c r="R98" s="1" t="s">
        <v>1498</v>
      </c>
      <c r="S98" s="1">
        <v>2019.0</v>
      </c>
      <c r="T98" s="219" t="str">
        <f>IFERROR((Table1[[#This Row],[2019 Total Scope 1, 2 + 3]])/Table1[[#This Row],[2018 Total Scope 1, 2 + Scope 3]]-1,"NA")</f>
        <v>#ERROR!</v>
      </c>
      <c r="V98" s="234">
        <v>8642.0</v>
      </c>
      <c r="W98" s="234">
        <v>51366.0</v>
      </c>
      <c r="X98" s="234"/>
      <c r="Y98" s="234">
        <f t="shared" si="13"/>
        <v>60008</v>
      </c>
      <c r="Z98" s="234">
        <f>430410+13729+2203+48009+29518+94</f>
        <v>523963</v>
      </c>
      <c r="AA98" s="234">
        <f t="shared" si="2"/>
        <v>583971</v>
      </c>
      <c r="AB98" s="234">
        <f>287390*0.03</f>
        <v>8621.7</v>
      </c>
      <c r="AC98" s="234">
        <f>287390*0.19</f>
        <v>54604.1</v>
      </c>
      <c r="AD98" s="234"/>
      <c r="AE98" s="234">
        <f t="shared" si="14"/>
        <v>63225.8</v>
      </c>
      <c r="AF98" s="234">
        <f>153409+6583+2793+47000+22342+29</f>
        <v>232156</v>
      </c>
      <c r="AG98" s="234">
        <f t="shared" si="4"/>
        <v>295381.8</v>
      </c>
      <c r="AH98" s="234">
        <v>9143.0</v>
      </c>
      <c r="AI98" s="234">
        <v>56628.0</v>
      </c>
      <c r="AJ98" s="234"/>
      <c r="AK98" s="234">
        <f t="shared" si="15"/>
        <v>65771</v>
      </c>
      <c r="AL98" s="234">
        <v>55182.0</v>
      </c>
      <c r="AM98" s="234">
        <f t="shared" si="6"/>
        <v>120953</v>
      </c>
      <c r="AN98" s="234">
        <v>9005.0</v>
      </c>
      <c r="AO98" s="234">
        <v>68968.0</v>
      </c>
      <c r="AP98" s="234"/>
      <c r="AQ98" s="234">
        <f t="shared" si="16"/>
        <v>77973</v>
      </c>
      <c r="AR98" s="234">
        <v>49736.0</v>
      </c>
      <c r="AS98" s="234">
        <f t="shared" si="8"/>
        <v>127709</v>
      </c>
      <c r="AT98" s="234">
        <v>17837.0</v>
      </c>
      <c r="AU98" s="234">
        <v>55177.0</v>
      </c>
      <c r="AV98" s="234"/>
      <c r="AW98" s="234">
        <f t="shared" si="12"/>
        <v>73014</v>
      </c>
      <c r="AX98" s="234">
        <v>33149.0</v>
      </c>
      <c r="AY98" s="234">
        <f t="shared" si="10"/>
        <v>106163</v>
      </c>
      <c r="AZ98" s="1" t="s">
        <v>1499</v>
      </c>
      <c r="BA98" s="241" t="s">
        <v>1737</v>
      </c>
      <c r="BB98" s="241" t="s">
        <v>1738</v>
      </c>
      <c r="BC98" s="241" t="s">
        <v>1739</v>
      </c>
      <c r="BD98" s="236"/>
    </row>
    <row r="99" ht="12.75" customHeight="1">
      <c r="A99" s="203" t="s">
        <v>512</v>
      </c>
      <c r="B99" s="203" t="s">
        <v>513</v>
      </c>
      <c r="C99" s="203" t="s">
        <v>1283</v>
      </c>
      <c r="D99" s="203" t="s">
        <v>962</v>
      </c>
      <c r="E99" s="237">
        <v>1.369E11</v>
      </c>
      <c r="F99" s="231" t="str">
        <f>IF(ISNUMBER(Table1[[#This Row],[2019 Scope 3 ]]),IF(Table1[[#This Row],[Net Earnings/Income (2019)]]-k_cost*Table1[[#This Row],[2019 Total Scope 1, 2 + 3]]&lt;0,"Y","N"),"NA")</f>
        <v>#ERROR!</v>
      </c>
      <c r="G99" s="63" t="str">
        <f>IF(ISNUMBER(Table1[[#This Row],[2019 Scope 3 ]]),IF(k_cost*Table1[[#This Row],[2019 Total Scope 1, 2 + 3]]/Table1[[#This Row],[Size (2019 Revenue)]]&gt;k_rev_max,"Y","N"),"NA")</f>
        <v>#ERROR!</v>
      </c>
      <c r="H99" s="63" t="str">
        <f>IF(OR(Table1[[#This Row],[Net earnings post carbon price @85/t]]="Y",Table1[[#This Row],[Carbon costs in % revenue]] = "Y"),"Y",IF(OR(Table1[[#This Row],[Net earnings post carbon price @85/t]]="NA",Table1[[#This Row],[Carbon costs in % revenue]]="NA"),"NA","N"))</f>
        <v>#ERROR!</v>
      </c>
      <c r="I99" s="237">
        <v>3.9E9</v>
      </c>
      <c r="J99" s="232">
        <v>1927.0</v>
      </c>
      <c r="K99" s="1" t="s">
        <v>1498</v>
      </c>
      <c r="L99" s="1" t="s">
        <v>1499</v>
      </c>
      <c r="M99" s="1" t="s">
        <v>1499</v>
      </c>
      <c r="R99" s="1" t="s">
        <v>1499</v>
      </c>
      <c r="T99" s="219" t="str">
        <f>IFERROR((Table1[[#This Row],[2019 Total Scope 1, 2 + 3]])/Table1[[#This Row],[2018 Total Scope 1, 2 + Scope 3]]-1,"NA")</f>
        <v>#ERROR!</v>
      </c>
      <c r="V99" s="234">
        <v>389000.0</v>
      </c>
      <c r="W99" s="234">
        <v>1645000.0</v>
      </c>
      <c r="X99" s="234"/>
      <c r="Y99" s="234">
        <f t="shared" si="13"/>
        <v>2034000</v>
      </c>
      <c r="Z99" s="234">
        <v>107000.0</v>
      </c>
      <c r="AA99" s="234">
        <f t="shared" si="2"/>
        <v>2141000</v>
      </c>
      <c r="AB99" s="234">
        <v>370000.0</v>
      </c>
      <c r="AC99" s="234">
        <v>1639000.0</v>
      </c>
      <c r="AD99" s="234"/>
      <c r="AE99" s="234">
        <f t="shared" si="14"/>
        <v>2009000</v>
      </c>
      <c r="AF99" s="234">
        <v>120000.0</v>
      </c>
      <c r="AG99" s="234">
        <f t="shared" si="4"/>
        <v>2129000</v>
      </c>
      <c r="AH99" s="234">
        <v>368000.0</v>
      </c>
      <c r="AI99" s="234">
        <v>1863000.0</v>
      </c>
      <c r="AJ99" s="234"/>
      <c r="AK99" s="234">
        <f t="shared" si="15"/>
        <v>2231000</v>
      </c>
      <c r="AL99" s="234">
        <v>123000.0</v>
      </c>
      <c r="AM99" s="234">
        <f t="shared" si="6"/>
        <v>2354000</v>
      </c>
      <c r="AN99" s="234"/>
      <c r="AO99" s="234"/>
      <c r="AP99" s="234"/>
      <c r="AQ99" s="234">
        <f t="shared" si="16"/>
        <v>0</v>
      </c>
      <c r="AR99" s="234"/>
      <c r="AS99" s="234">
        <f t="shared" si="8"/>
        <v>0</v>
      </c>
      <c r="AT99" s="234"/>
      <c r="AU99" s="234"/>
      <c r="AV99" s="234"/>
      <c r="AW99" s="234">
        <f t="shared" si="12"/>
        <v>0</v>
      </c>
      <c r="AX99" s="234"/>
      <c r="AY99" s="234">
        <f t="shared" si="10"/>
        <v>0</v>
      </c>
      <c r="AZ99" s="1" t="s">
        <v>1740</v>
      </c>
      <c r="BA99" s="235" t="s">
        <v>1741</v>
      </c>
      <c r="BC99" s="241" t="s">
        <v>1742</v>
      </c>
      <c r="BD99" s="236"/>
    </row>
    <row r="100" ht="12.75" customHeight="1">
      <c r="A100" s="203" t="s">
        <v>518</v>
      </c>
      <c r="B100" s="203" t="s">
        <v>518</v>
      </c>
      <c r="C100" s="203" t="s">
        <v>1306</v>
      </c>
      <c r="D100" s="203" t="s">
        <v>962</v>
      </c>
      <c r="E100" s="231">
        <v>5.24E11</v>
      </c>
      <c r="F100" s="231" t="str">
        <f>IF(ISNUMBER(Table1[[#This Row],[2019 Scope 3 ]]),IF(Table1[[#This Row],[Net Earnings/Income (2019)]]-k_cost*Table1[[#This Row],[2019 Total Scope 1, 2 + 3]]&lt;0,"Y","N"),"NA")</f>
        <v>#ERROR!</v>
      </c>
      <c r="G100" s="63" t="str">
        <f>IF(ISNUMBER(Table1[[#This Row],[2019 Scope 3 ]]),IF(k_cost*Table1[[#This Row],[2019 Total Scope 1, 2 + 3]]/Table1[[#This Row],[Size (2019 Revenue)]]&gt;k_rev_max,"Y","N"),"NA")</f>
        <v>#ERROR!</v>
      </c>
      <c r="H100" s="63" t="str">
        <f>IF(OR(Table1[[#This Row],[Net earnings post carbon price @85/t]]="Y",Table1[[#This Row],[Carbon costs in % revenue]] = "Y"),"Y",IF(OR(Table1[[#This Row],[Net earnings post carbon price @85/t]]="NA",Table1[[#This Row],[Carbon costs in % revenue]]="NA"),"NA","N"))</f>
        <v>#ERROR!</v>
      </c>
      <c r="I100" s="231">
        <v>1.488E10</v>
      </c>
      <c r="J100" s="232">
        <v>1972.0</v>
      </c>
      <c r="K100" s="231" t="s">
        <v>1498</v>
      </c>
      <c r="L100" s="203" t="s">
        <v>1498</v>
      </c>
      <c r="M100" s="1" t="s">
        <v>1498</v>
      </c>
      <c r="N100" s="1">
        <v>2040.0</v>
      </c>
      <c r="P100" s="241" t="s">
        <v>1743</v>
      </c>
      <c r="Q100" s="1" t="s">
        <v>1499</v>
      </c>
      <c r="R100" s="1" t="s">
        <v>1498</v>
      </c>
      <c r="S100" s="1">
        <v>2025.0</v>
      </c>
      <c r="T100" s="219" t="str">
        <f>IFERROR((Table1[[#This Row],[2019 Total Scope 1, 2 + 3]])/Table1[[#This Row],[2018 Total Scope 1, 2 + Scope 3]]-1,"NA")</f>
        <v>#ERROR!</v>
      </c>
      <c r="V100" s="234">
        <v>6484616.0</v>
      </c>
      <c r="W100" s="234">
        <v>1.107898E7</v>
      </c>
      <c r="X100" s="234"/>
      <c r="Y100" s="234">
        <f t="shared" si="13"/>
        <v>17563596</v>
      </c>
      <c r="Z100" s="234">
        <f>143267842+645328+3327874+342577+968265+76296+3500000+5099+32211000+130+130000</f>
        <v>184474411</v>
      </c>
      <c r="AA100" s="234">
        <f t="shared" si="2"/>
        <v>202038007</v>
      </c>
      <c r="AB100" s="234">
        <v>6101641.0</v>
      </c>
      <c r="AC100" s="234">
        <v>1.2022083E7</v>
      </c>
      <c r="AD100" s="234"/>
      <c r="AE100" s="234">
        <f t="shared" si="14"/>
        <v>18123724</v>
      </c>
      <c r="AF100" s="234">
        <f>143267842+645328+3327874+342577+968265+76296+3500000+5099+32211000+130+130000</f>
        <v>184474411</v>
      </c>
      <c r="AG100" s="234">
        <f t="shared" si="4"/>
        <v>202598135</v>
      </c>
      <c r="AH100" s="234">
        <v>1.216E7</v>
      </c>
      <c r="AI100" s="234">
        <v>6520000.0</v>
      </c>
      <c r="AJ100" s="234"/>
      <c r="AK100" s="234">
        <f t="shared" si="15"/>
        <v>18680000</v>
      </c>
      <c r="AL100" s="234"/>
      <c r="AM100" s="234">
        <f t="shared" si="6"/>
        <v>18680000</v>
      </c>
      <c r="AN100" s="234">
        <v>1.408E7</v>
      </c>
      <c r="AO100" s="234">
        <v>6650000.0</v>
      </c>
      <c r="AP100" s="234"/>
      <c r="AQ100" s="234">
        <f t="shared" si="16"/>
        <v>20730000</v>
      </c>
      <c r="AR100" s="234"/>
      <c r="AS100" s="234">
        <f t="shared" si="8"/>
        <v>20730000</v>
      </c>
      <c r="AT100" s="234">
        <v>1.493E7</v>
      </c>
      <c r="AU100" s="234">
        <v>6110000.0</v>
      </c>
      <c r="AV100" s="234"/>
      <c r="AW100" s="234">
        <f t="shared" si="12"/>
        <v>21040000</v>
      </c>
      <c r="AX100" s="234"/>
      <c r="AY100" s="234">
        <f t="shared" si="10"/>
        <v>21040000</v>
      </c>
      <c r="AZ100" s="241" t="s">
        <v>1744</v>
      </c>
      <c r="BA100" s="241" t="s">
        <v>1745</v>
      </c>
      <c r="BB100" s="241" t="s">
        <v>1746</v>
      </c>
      <c r="BC100" s="241" t="s">
        <v>1747</v>
      </c>
      <c r="BD100" s="236"/>
    </row>
    <row r="101" ht="12.75" customHeight="1">
      <c r="A101" s="203" t="s">
        <v>523</v>
      </c>
      <c r="B101" s="203" t="s">
        <v>523</v>
      </c>
      <c r="C101" s="203" t="s">
        <v>1298</v>
      </c>
      <c r="D101" s="203" t="s">
        <v>1312</v>
      </c>
      <c r="E101" s="231">
        <v>8.506E10</v>
      </c>
      <c r="F101" s="231" t="str">
        <f>IF(ISNUMBER(Table1[[#This Row],[2019 Scope 3 ]]),IF(Table1[[#This Row],[Net Earnings/Income (2019)]]-k_cost*Table1[[#This Row],[2019 Total Scope 1, 2 + 3]]&lt;0,"Y","N"),"NA")</f>
        <v>#ERROR!</v>
      </c>
      <c r="G101" s="63" t="str">
        <f>IF(ISNUMBER(Table1[[#This Row],[2019 Scope 3 ]]),IF(k_cost*Table1[[#This Row],[2019 Total Scope 1, 2 + 3]]/Table1[[#This Row],[Size (2019 Revenue)]]&gt;k_rev_max,"Y","N"),"NA")</f>
        <v>#ERROR!</v>
      </c>
      <c r="H101" s="63" t="str">
        <f>IF(OR(Table1[[#This Row],[Net earnings post carbon price @85/t]]="Y",Table1[[#This Row],[Carbon costs in % revenue]] = "Y"),"Y",IF(OR(Table1[[#This Row],[Net earnings post carbon price @85/t]]="NA",Table1[[#This Row],[Carbon costs in % revenue]]="NA"),"NA","N"))</f>
        <v>#ERROR!</v>
      </c>
      <c r="I101" s="231">
        <v>1.955E10</v>
      </c>
      <c r="J101" s="232">
        <v>1978.0</v>
      </c>
      <c r="K101" s="231" t="s">
        <v>1498</v>
      </c>
      <c r="L101" s="1" t="s">
        <v>1499</v>
      </c>
      <c r="M101" s="1" t="s">
        <v>1499</v>
      </c>
      <c r="P101" s="241" t="s">
        <v>1748</v>
      </c>
      <c r="Q101" s="241" t="s">
        <v>1749</v>
      </c>
      <c r="R101" s="1" t="s">
        <v>1498</v>
      </c>
      <c r="S101" s="1">
        <v>2017.0</v>
      </c>
      <c r="T101" s="219" t="str">
        <f>IFERROR((Table1[[#This Row],[2019 Total Scope 1, 2 + 3]])/Table1[[#This Row],[2018 Total Scope 1, 2 + Scope 3]]-1,"NA")</f>
        <v>#ERROR!</v>
      </c>
      <c r="V101" s="234">
        <v>91993.0</v>
      </c>
      <c r="W101" s="234">
        <v>4988.0</v>
      </c>
      <c r="X101" s="234"/>
      <c r="Y101" s="234">
        <f t="shared" si="13"/>
        <v>96981</v>
      </c>
      <c r="Z101" s="234">
        <f>2304829+455599+148420+9921+78277+613405</f>
        <v>3610451</v>
      </c>
      <c r="AA101" s="234">
        <f t="shared" si="2"/>
        <v>3707432</v>
      </c>
      <c r="AB101" s="234">
        <v>95316.0</v>
      </c>
      <c r="AC101" s="234">
        <v>833204.0</v>
      </c>
      <c r="AD101" s="234"/>
      <c r="AE101" s="234">
        <f t="shared" si="14"/>
        <v>928520</v>
      </c>
      <c r="AF101" s="234">
        <f>2347646+559600+156145+12132+93815+612464</f>
        <v>3781802</v>
      </c>
      <c r="AG101" s="234">
        <f t="shared" si="4"/>
        <v>4710322</v>
      </c>
      <c r="AH101" s="234">
        <v>85830.0</v>
      </c>
      <c r="AI101" s="234">
        <v>848520.0</v>
      </c>
      <c r="AJ101" s="234"/>
      <c r="AK101" s="234">
        <f t="shared" si="15"/>
        <v>934350</v>
      </c>
      <c r="AL101" s="234" t="s">
        <v>536</v>
      </c>
      <c r="AM101" s="234" t="str">
        <f t="shared" si="6"/>
        <v/>
      </c>
      <c r="AN101" s="234">
        <v>85628.0</v>
      </c>
      <c r="AO101" s="234">
        <v>974982.0</v>
      </c>
      <c r="AP101" s="234"/>
      <c r="AQ101" s="234">
        <f t="shared" si="16"/>
        <v>1060610</v>
      </c>
      <c r="AR101" s="234" t="s">
        <v>536</v>
      </c>
      <c r="AS101" s="234" t="str">
        <f t="shared" si="8"/>
        <v/>
      </c>
      <c r="AT101" s="234">
        <v>92610.0</v>
      </c>
      <c r="AU101" s="234">
        <v>1193278.0</v>
      </c>
      <c r="AV101" s="234"/>
      <c r="AW101" s="234">
        <f t="shared" si="12"/>
        <v>1285888</v>
      </c>
      <c r="AX101" s="234" t="s">
        <v>536</v>
      </c>
      <c r="AY101" s="234" t="str">
        <f t="shared" si="10"/>
        <v/>
      </c>
      <c r="BA101" s="241" t="s">
        <v>1750</v>
      </c>
      <c r="BC101" s="241" t="s">
        <v>1751</v>
      </c>
      <c r="BD101" s="236"/>
    </row>
    <row r="102" ht="12.75" customHeight="1">
      <c r="A102" s="203"/>
      <c r="B102" s="203"/>
      <c r="D102" s="203"/>
      <c r="E102" s="231"/>
      <c r="F102" s="231"/>
      <c r="G102" s="231"/>
      <c r="H102" s="231"/>
      <c r="I102" s="231"/>
      <c r="J102" s="232"/>
      <c r="K102" s="231"/>
      <c r="V102" s="234"/>
      <c r="W102" s="234"/>
      <c r="X102" s="234"/>
      <c r="Y102" s="234"/>
      <c r="Z102" s="234"/>
      <c r="AA102" s="234"/>
      <c r="AB102" s="234"/>
      <c r="AC102" s="234"/>
      <c r="AD102" s="234"/>
      <c r="AE102" s="234"/>
      <c r="AF102" s="234"/>
      <c r="AG102" s="234"/>
      <c r="AH102" s="234"/>
      <c r="AI102" s="234"/>
      <c r="AJ102" s="234"/>
      <c r="AK102" s="234"/>
      <c r="AL102" s="234"/>
      <c r="AM102" s="234"/>
      <c r="AN102" s="234"/>
      <c r="AO102" s="234"/>
      <c r="AP102" s="234"/>
      <c r="AQ102" s="234"/>
      <c r="AR102" s="234"/>
      <c r="AS102" s="234"/>
      <c r="AT102" s="234"/>
      <c r="AU102" s="234"/>
      <c r="AV102" s="234"/>
      <c r="AW102" s="234"/>
      <c r="AX102" s="234"/>
      <c r="AY102" s="234"/>
      <c r="BA102" s="241"/>
      <c r="BC102" s="241"/>
    </row>
    <row r="103" ht="12.75" customHeight="1">
      <c r="J103" s="232"/>
      <c r="V103" s="217"/>
      <c r="W103" s="217"/>
      <c r="X103" s="217"/>
      <c r="Y103" s="217"/>
      <c r="Z103" s="217"/>
      <c r="AA103" s="217"/>
      <c r="AB103" s="217"/>
      <c r="AC103" s="217"/>
      <c r="AD103" s="217"/>
      <c r="AE103" s="217"/>
      <c r="AF103" s="217"/>
      <c r="AG103" s="217"/>
      <c r="AH103" s="217"/>
      <c r="AI103" s="217"/>
      <c r="AJ103" s="217"/>
      <c r="AK103" s="234"/>
      <c r="AL103" s="217"/>
      <c r="AM103" s="217"/>
      <c r="AN103" s="217"/>
      <c r="AO103" s="217"/>
      <c r="AP103" s="217"/>
      <c r="AQ103" s="217"/>
      <c r="AR103" s="217"/>
      <c r="AS103" s="217"/>
      <c r="AT103" s="217"/>
      <c r="AU103" s="217"/>
      <c r="AV103" s="217"/>
      <c r="AW103" s="217"/>
      <c r="AX103" s="217"/>
      <c r="AY103" s="217"/>
    </row>
    <row r="104" ht="12.75" customHeight="1">
      <c r="J104" s="232"/>
      <c r="V104" s="217"/>
      <c r="W104" s="217"/>
      <c r="X104" s="217"/>
      <c r="Y104" s="217"/>
      <c r="Z104" s="217"/>
      <c r="AA104" s="217"/>
      <c r="AB104" s="217"/>
      <c r="AC104" s="217"/>
      <c r="AD104" s="217"/>
      <c r="AE104" s="217"/>
      <c r="AF104" s="217"/>
      <c r="AG104" s="217"/>
      <c r="AH104" s="217"/>
      <c r="AI104" s="217"/>
      <c r="AJ104" s="217"/>
      <c r="AK104" s="234"/>
      <c r="AL104" s="217"/>
      <c r="AM104" s="217"/>
      <c r="AN104" s="217"/>
      <c r="AO104" s="217"/>
      <c r="AP104" s="217"/>
      <c r="AQ104" s="217"/>
      <c r="AR104" s="217"/>
      <c r="AS104" s="217"/>
      <c r="AT104" s="217"/>
      <c r="AU104" s="217"/>
      <c r="AV104" s="217"/>
      <c r="AW104" s="217"/>
      <c r="AX104" s="217"/>
      <c r="AY104" s="217"/>
    </row>
    <row r="105" ht="12.75" customHeight="1">
      <c r="A105" s="203"/>
      <c r="J105" s="232"/>
      <c r="V105" s="217"/>
      <c r="W105" s="217"/>
      <c r="X105" s="217"/>
      <c r="Y105" s="217"/>
      <c r="Z105" s="217"/>
      <c r="AA105" s="217"/>
      <c r="AB105" s="217"/>
      <c r="AC105" s="217"/>
      <c r="AD105" s="217"/>
      <c r="AE105" s="217"/>
      <c r="AF105" s="217"/>
      <c r="AG105" s="217"/>
      <c r="AH105" s="217"/>
      <c r="AI105" s="217"/>
      <c r="AJ105" s="217"/>
      <c r="AK105" s="234"/>
      <c r="AL105" s="217"/>
      <c r="AM105" s="217"/>
      <c r="AN105" s="217"/>
      <c r="AO105" s="217"/>
      <c r="AP105" s="217"/>
      <c r="AQ105" s="217"/>
      <c r="AR105" s="217"/>
      <c r="AS105" s="217"/>
      <c r="AT105" s="217"/>
      <c r="AU105" s="217"/>
      <c r="AV105" s="217"/>
      <c r="AW105" s="217"/>
      <c r="AX105" s="217"/>
      <c r="AY105" s="217"/>
    </row>
    <row r="106" ht="12.75" customHeight="1">
      <c r="J106" s="232"/>
      <c r="V106" s="217"/>
      <c r="W106" s="217"/>
      <c r="X106" s="217"/>
      <c r="Y106" s="217"/>
      <c r="Z106" s="217"/>
      <c r="AA106" s="217"/>
      <c r="AB106" s="217"/>
      <c r="AC106" s="217"/>
      <c r="AD106" s="217"/>
      <c r="AE106" s="217"/>
      <c r="AF106" s="217"/>
      <c r="AG106" s="217"/>
      <c r="AH106" s="217"/>
      <c r="AI106" s="217"/>
      <c r="AJ106" s="217"/>
      <c r="AK106" s="234"/>
      <c r="AL106" s="217"/>
      <c r="AM106" s="217"/>
      <c r="AN106" s="217"/>
      <c r="AO106" s="217"/>
      <c r="AP106" s="217"/>
      <c r="AQ106" s="217"/>
      <c r="AR106" s="217"/>
      <c r="AS106" s="217"/>
      <c r="AT106" s="217"/>
      <c r="AU106" s="217"/>
      <c r="AV106" s="217"/>
      <c r="AW106" s="217"/>
      <c r="AX106" s="217"/>
      <c r="AY106" s="217"/>
    </row>
    <row r="107" ht="12.75" customHeight="1">
      <c r="J107" s="232"/>
      <c r="V107" s="217"/>
      <c r="W107" s="217"/>
      <c r="X107" s="217"/>
      <c r="Y107" s="217"/>
      <c r="Z107" s="217"/>
      <c r="AA107" s="217"/>
      <c r="AB107" s="217"/>
      <c r="AC107" s="217"/>
      <c r="AD107" s="217"/>
      <c r="AE107" s="217"/>
      <c r="AF107" s="217"/>
      <c r="AG107" s="217"/>
      <c r="AH107" s="217"/>
      <c r="AI107" s="217"/>
      <c r="AJ107" s="217"/>
      <c r="AK107" s="234"/>
      <c r="AL107" s="217"/>
      <c r="AM107" s="217"/>
      <c r="AN107" s="217"/>
      <c r="AO107" s="217"/>
      <c r="AP107" s="217"/>
      <c r="AQ107" s="217"/>
      <c r="AR107" s="217"/>
      <c r="AS107" s="217"/>
      <c r="AT107" s="217"/>
      <c r="AU107" s="217"/>
      <c r="AV107" s="217"/>
      <c r="AW107" s="217"/>
      <c r="AX107" s="217"/>
      <c r="AY107" s="217"/>
    </row>
    <row r="108" ht="12.75" customHeight="1">
      <c r="J108" s="232"/>
      <c r="V108" s="217"/>
      <c r="W108" s="217"/>
      <c r="X108" s="217"/>
      <c r="Y108" s="217"/>
      <c r="Z108" s="217"/>
      <c r="AA108" s="217"/>
      <c r="AB108" s="217"/>
      <c r="AC108" s="217"/>
      <c r="AD108" s="217"/>
      <c r="AE108" s="217"/>
      <c r="AF108" s="217"/>
      <c r="AG108" s="217"/>
      <c r="AH108" s="217"/>
      <c r="AI108" s="217"/>
      <c r="AJ108" s="217"/>
      <c r="AK108" s="234"/>
      <c r="AL108" s="217"/>
      <c r="AM108" s="217"/>
      <c r="AN108" s="217"/>
      <c r="AO108" s="217"/>
      <c r="AP108" s="217"/>
      <c r="AQ108" s="217"/>
      <c r="AR108" s="217"/>
      <c r="AS108" s="217"/>
      <c r="AT108" s="217"/>
      <c r="AU108" s="217"/>
      <c r="AV108" s="217"/>
      <c r="AW108" s="217"/>
      <c r="AX108" s="217"/>
      <c r="AY108" s="217"/>
    </row>
    <row r="109" ht="12.75" customHeight="1">
      <c r="J109" s="232"/>
      <c r="V109" s="217"/>
      <c r="W109" s="217"/>
      <c r="X109" s="217"/>
      <c r="Y109" s="217"/>
      <c r="Z109" s="217"/>
      <c r="AA109" s="217"/>
      <c r="AB109" s="217"/>
      <c r="AC109" s="217"/>
      <c r="AD109" s="217"/>
      <c r="AE109" s="217"/>
      <c r="AF109" s="217"/>
      <c r="AG109" s="217"/>
      <c r="AH109" s="217"/>
      <c r="AI109" s="217"/>
      <c r="AJ109" s="217"/>
      <c r="AK109" s="234"/>
      <c r="AL109" s="217"/>
      <c r="AM109" s="217"/>
      <c r="AN109" s="217"/>
      <c r="AO109" s="217"/>
      <c r="AP109" s="217"/>
      <c r="AQ109" s="217"/>
      <c r="AR109" s="217"/>
      <c r="AS109" s="217"/>
      <c r="AT109" s="217"/>
      <c r="AU109" s="217"/>
      <c r="AV109" s="217"/>
      <c r="AW109" s="217"/>
      <c r="AX109" s="217"/>
      <c r="AY109" s="217"/>
    </row>
    <row r="110" ht="12.75" customHeight="1">
      <c r="J110" s="232"/>
      <c r="V110" s="217"/>
      <c r="W110" s="217"/>
      <c r="X110" s="217"/>
      <c r="Y110" s="217"/>
      <c r="Z110" s="217"/>
      <c r="AA110" s="217"/>
      <c r="AB110" s="217"/>
      <c r="AC110" s="217"/>
      <c r="AD110" s="217"/>
      <c r="AE110" s="217"/>
      <c r="AF110" s="217"/>
      <c r="AG110" s="217"/>
      <c r="AH110" s="217"/>
      <c r="AI110" s="217"/>
      <c r="AJ110" s="217"/>
      <c r="AK110" s="234"/>
      <c r="AL110" s="217"/>
      <c r="AM110" s="217"/>
      <c r="AN110" s="217"/>
      <c r="AO110" s="217"/>
      <c r="AP110" s="217"/>
      <c r="AQ110" s="217"/>
      <c r="AR110" s="217"/>
      <c r="AS110" s="217"/>
      <c r="AT110" s="217"/>
      <c r="AU110" s="217"/>
      <c r="AV110" s="217"/>
      <c r="AW110" s="217"/>
      <c r="AX110" s="217"/>
      <c r="AY110" s="217"/>
    </row>
    <row r="111" ht="12.75" customHeight="1">
      <c r="J111" s="232"/>
      <c r="V111" s="217"/>
      <c r="W111" s="217"/>
      <c r="X111" s="217"/>
      <c r="Y111" s="217"/>
      <c r="Z111" s="217"/>
      <c r="AA111" s="217"/>
      <c r="AB111" s="217"/>
      <c r="AC111" s="217"/>
      <c r="AD111" s="217"/>
      <c r="AE111" s="217"/>
      <c r="AF111" s="217"/>
      <c r="AG111" s="217"/>
      <c r="AH111" s="217"/>
      <c r="AI111" s="217"/>
      <c r="AJ111" s="217"/>
      <c r="AK111" s="234"/>
      <c r="AL111" s="217"/>
      <c r="AM111" s="217"/>
      <c r="AN111" s="217"/>
      <c r="AO111" s="217"/>
      <c r="AP111" s="217"/>
      <c r="AQ111" s="217"/>
      <c r="AR111" s="217"/>
      <c r="AS111" s="217"/>
      <c r="AT111" s="217"/>
      <c r="AU111" s="217"/>
      <c r="AV111" s="217"/>
      <c r="AW111" s="217"/>
      <c r="AX111" s="217"/>
      <c r="AY111" s="217"/>
    </row>
    <row r="112" ht="12.75" customHeight="1">
      <c r="J112" s="232"/>
      <c r="V112" s="217"/>
      <c r="W112" s="217"/>
      <c r="X112" s="217"/>
      <c r="Y112" s="217"/>
      <c r="Z112" s="217"/>
      <c r="AA112" s="217"/>
      <c r="AB112" s="217"/>
      <c r="AC112" s="217"/>
      <c r="AD112" s="217"/>
      <c r="AE112" s="217"/>
      <c r="AF112" s="217"/>
      <c r="AG112" s="217"/>
      <c r="AH112" s="217"/>
      <c r="AI112" s="217"/>
      <c r="AJ112" s="217"/>
      <c r="AK112" s="217"/>
      <c r="AL112" s="217"/>
      <c r="AM112" s="217"/>
      <c r="AN112" s="217"/>
      <c r="AO112" s="217"/>
      <c r="AP112" s="217"/>
      <c r="AQ112" s="217"/>
      <c r="AR112" s="217"/>
      <c r="AS112" s="217"/>
      <c r="AT112" s="217"/>
      <c r="AU112" s="217"/>
      <c r="AV112" s="217"/>
      <c r="AW112" s="217"/>
      <c r="AX112" s="217"/>
      <c r="AY112" s="217"/>
    </row>
    <row r="113" ht="12.75" customHeight="1">
      <c r="J113" s="232"/>
      <c r="V113" s="217"/>
      <c r="W113" s="217"/>
      <c r="X113" s="217"/>
      <c r="Y113" s="217"/>
      <c r="Z113" s="217"/>
      <c r="AA113" s="217"/>
      <c r="AB113" s="217"/>
      <c r="AC113" s="217"/>
      <c r="AD113" s="217"/>
      <c r="AE113" s="217"/>
      <c r="AF113" s="217"/>
      <c r="AG113" s="217"/>
      <c r="AH113" s="217"/>
      <c r="AI113" s="217"/>
      <c r="AJ113" s="217"/>
      <c r="AK113" s="217"/>
      <c r="AL113" s="217"/>
      <c r="AM113" s="217"/>
      <c r="AN113" s="217"/>
      <c r="AO113" s="217"/>
      <c r="AP113" s="217"/>
      <c r="AQ113" s="217"/>
      <c r="AR113" s="217"/>
      <c r="AS113" s="217"/>
      <c r="AT113" s="217"/>
      <c r="AU113" s="217"/>
      <c r="AV113" s="217"/>
      <c r="AW113" s="217"/>
      <c r="AX113" s="217"/>
      <c r="AY113" s="217"/>
    </row>
    <row r="114" ht="12.75" customHeight="1">
      <c r="J114" s="232"/>
      <c r="V114" s="217"/>
      <c r="W114" s="217"/>
      <c r="X114" s="217"/>
      <c r="Y114" s="217"/>
      <c r="Z114" s="217"/>
      <c r="AA114" s="217"/>
      <c r="AB114" s="217"/>
      <c r="AC114" s="217"/>
      <c r="AD114" s="217"/>
      <c r="AE114" s="217"/>
      <c r="AF114" s="217"/>
      <c r="AG114" s="217"/>
      <c r="AH114" s="217"/>
      <c r="AI114" s="217"/>
      <c r="AJ114" s="217"/>
      <c r="AK114" s="217"/>
      <c r="AL114" s="217"/>
      <c r="AM114" s="217"/>
      <c r="AN114" s="217"/>
      <c r="AO114" s="217"/>
      <c r="AP114" s="217"/>
      <c r="AQ114" s="217"/>
      <c r="AR114" s="217"/>
      <c r="AS114" s="217"/>
      <c r="AT114" s="217"/>
      <c r="AU114" s="217"/>
      <c r="AV114" s="217"/>
      <c r="AW114" s="217"/>
      <c r="AX114" s="217"/>
      <c r="AY114" s="217"/>
    </row>
    <row r="115" ht="12.75" customHeight="1">
      <c r="J115" s="232"/>
      <c r="V115" s="217"/>
      <c r="W115" s="217"/>
      <c r="X115" s="217"/>
      <c r="Y115" s="217"/>
      <c r="Z115" s="217"/>
      <c r="AA115" s="217"/>
      <c r="AB115" s="217"/>
      <c r="AC115" s="217"/>
      <c r="AD115" s="217"/>
      <c r="AE115" s="217"/>
      <c r="AF115" s="217"/>
      <c r="AG115" s="217"/>
      <c r="AH115" s="217"/>
      <c r="AI115" s="217"/>
      <c r="AJ115" s="217"/>
      <c r="AK115" s="217"/>
      <c r="AL115" s="217"/>
      <c r="AM115" s="217"/>
      <c r="AN115" s="217"/>
      <c r="AO115" s="217"/>
      <c r="AP115" s="217"/>
      <c r="AQ115" s="217"/>
      <c r="AR115" s="217"/>
      <c r="AS115" s="217"/>
      <c r="AT115" s="217"/>
      <c r="AU115" s="217"/>
      <c r="AV115" s="217"/>
      <c r="AW115" s="217"/>
      <c r="AX115" s="217"/>
      <c r="AY115" s="217"/>
    </row>
    <row r="116" ht="12.75" customHeight="1">
      <c r="J116" s="232"/>
      <c r="V116" s="217"/>
      <c r="W116" s="217"/>
      <c r="X116" s="217"/>
      <c r="Y116" s="217"/>
      <c r="Z116" s="217"/>
      <c r="AA116" s="217"/>
      <c r="AB116" s="217"/>
      <c r="AC116" s="217"/>
      <c r="AD116" s="217"/>
      <c r="AE116" s="217"/>
      <c r="AF116" s="217"/>
      <c r="AG116" s="217"/>
      <c r="AH116" s="217"/>
      <c r="AI116" s="217"/>
      <c r="AJ116" s="217"/>
      <c r="AK116" s="217"/>
      <c r="AL116" s="217"/>
      <c r="AM116" s="217"/>
      <c r="AN116" s="217"/>
      <c r="AO116" s="217"/>
      <c r="AP116" s="217"/>
      <c r="AQ116" s="217"/>
      <c r="AR116" s="217"/>
      <c r="AS116" s="217"/>
      <c r="AT116" s="217"/>
      <c r="AU116" s="217"/>
      <c r="AV116" s="217"/>
      <c r="AW116" s="217"/>
      <c r="AX116" s="217"/>
      <c r="AY116" s="217"/>
    </row>
    <row r="117" ht="12.75" customHeight="1">
      <c r="J117" s="232"/>
      <c r="V117" s="217"/>
      <c r="W117" s="217"/>
      <c r="X117" s="217"/>
      <c r="Y117" s="217"/>
      <c r="Z117" s="217"/>
      <c r="AA117" s="217"/>
      <c r="AB117" s="217"/>
      <c r="AC117" s="217"/>
      <c r="AD117" s="217"/>
      <c r="AE117" s="217"/>
      <c r="AF117" s="217"/>
      <c r="AG117" s="217"/>
      <c r="AH117" s="217"/>
      <c r="AI117" s="217"/>
      <c r="AJ117" s="217"/>
      <c r="AK117" s="217"/>
      <c r="AL117" s="217"/>
      <c r="AM117" s="217"/>
      <c r="AN117" s="217"/>
      <c r="AO117" s="217"/>
      <c r="AP117" s="217"/>
      <c r="AQ117" s="217"/>
      <c r="AR117" s="217"/>
      <c r="AS117" s="217"/>
      <c r="AT117" s="217"/>
      <c r="AU117" s="217"/>
      <c r="AV117" s="217"/>
      <c r="AW117" s="217"/>
      <c r="AX117" s="217"/>
      <c r="AY117" s="217"/>
    </row>
    <row r="118" ht="12.75" customHeight="1">
      <c r="J118" s="232"/>
      <c r="V118" s="217"/>
      <c r="W118" s="217"/>
      <c r="X118" s="217"/>
      <c r="Y118" s="217"/>
      <c r="Z118" s="217"/>
      <c r="AA118" s="217"/>
      <c r="AB118" s="217"/>
      <c r="AC118" s="217"/>
      <c r="AD118" s="217"/>
      <c r="AE118" s="217"/>
      <c r="AF118" s="217"/>
      <c r="AG118" s="217"/>
      <c r="AH118" s="217"/>
      <c r="AI118" s="217"/>
      <c r="AJ118" s="217"/>
      <c r="AK118" s="217"/>
      <c r="AL118" s="217"/>
      <c r="AM118" s="217"/>
      <c r="AN118" s="217"/>
      <c r="AO118" s="217"/>
      <c r="AP118" s="217"/>
      <c r="AQ118" s="217"/>
      <c r="AR118" s="217"/>
      <c r="AS118" s="217"/>
      <c r="AT118" s="217"/>
      <c r="AU118" s="217"/>
      <c r="AV118" s="217"/>
      <c r="AW118" s="217"/>
      <c r="AX118" s="217"/>
      <c r="AY118" s="217"/>
    </row>
    <row r="119" ht="12.75" customHeight="1">
      <c r="J119" s="232"/>
      <c r="V119" s="217"/>
      <c r="W119" s="217"/>
      <c r="X119" s="217"/>
      <c r="Y119" s="217"/>
      <c r="Z119" s="217"/>
      <c r="AA119" s="217"/>
      <c r="AB119" s="217"/>
      <c r="AC119" s="217"/>
      <c r="AD119" s="217"/>
      <c r="AE119" s="217"/>
      <c r="AF119" s="217"/>
      <c r="AG119" s="217"/>
      <c r="AH119" s="217"/>
      <c r="AI119" s="217"/>
      <c r="AJ119" s="217"/>
      <c r="AK119" s="217"/>
      <c r="AL119" s="217"/>
      <c r="AM119" s="217"/>
      <c r="AN119" s="217"/>
      <c r="AO119" s="217"/>
      <c r="AP119" s="217"/>
      <c r="AQ119" s="217"/>
      <c r="AR119" s="217"/>
      <c r="AS119" s="217"/>
      <c r="AT119" s="217"/>
      <c r="AU119" s="217"/>
      <c r="AV119" s="217"/>
      <c r="AW119" s="217"/>
      <c r="AX119" s="217"/>
      <c r="AY119" s="217"/>
    </row>
    <row r="120" ht="12.75" customHeight="1">
      <c r="J120" s="232"/>
      <c r="V120" s="217"/>
      <c r="W120" s="217"/>
      <c r="X120" s="217"/>
      <c r="Y120" s="217"/>
      <c r="Z120" s="217"/>
      <c r="AA120" s="217"/>
      <c r="AB120" s="217"/>
      <c r="AC120" s="217"/>
      <c r="AD120" s="217"/>
      <c r="AE120" s="217"/>
      <c r="AF120" s="217"/>
      <c r="AG120" s="217"/>
      <c r="AH120" s="217"/>
      <c r="AI120" s="217"/>
      <c r="AJ120" s="217"/>
      <c r="AK120" s="217"/>
      <c r="AL120" s="217"/>
      <c r="AM120" s="217"/>
      <c r="AN120" s="217"/>
      <c r="AO120" s="217"/>
      <c r="AP120" s="217"/>
      <c r="AQ120" s="217"/>
      <c r="AR120" s="217"/>
      <c r="AS120" s="217"/>
      <c r="AT120" s="217"/>
      <c r="AU120" s="217"/>
      <c r="AV120" s="217"/>
      <c r="AW120" s="217"/>
      <c r="AX120" s="217"/>
      <c r="AY120" s="217"/>
    </row>
    <row r="121" ht="12.75" customHeight="1">
      <c r="J121" s="232"/>
      <c r="V121" s="217"/>
      <c r="W121" s="217"/>
      <c r="X121" s="217"/>
      <c r="Y121" s="217"/>
      <c r="Z121" s="217"/>
      <c r="AA121" s="217"/>
      <c r="AB121" s="217"/>
      <c r="AC121" s="217"/>
      <c r="AD121" s="217"/>
      <c r="AE121" s="217"/>
      <c r="AF121" s="217"/>
      <c r="AG121" s="217"/>
      <c r="AH121" s="217"/>
      <c r="AI121" s="217"/>
      <c r="AJ121" s="217"/>
      <c r="AK121" s="217"/>
      <c r="AL121" s="217"/>
      <c r="AM121" s="217"/>
      <c r="AN121" s="217"/>
      <c r="AO121" s="217"/>
      <c r="AP121" s="217"/>
      <c r="AQ121" s="217"/>
      <c r="AR121" s="217"/>
      <c r="AS121" s="217"/>
      <c r="AT121" s="217"/>
      <c r="AU121" s="217"/>
      <c r="AV121" s="217"/>
      <c r="AW121" s="217"/>
      <c r="AX121" s="217"/>
      <c r="AY121" s="217"/>
    </row>
    <row r="122" ht="12.75" customHeight="1">
      <c r="J122" s="232"/>
      <c r="V122" s="217"/>
      <c r="W122" s="217"/>
      <c r="X122" s="217"/>
      <c r="Y122" s="217"/>
      <c r="Z122" s="217"/>
      <c r="AA122" s="217"/>
      <c r="AB122" s="217"/>
      <c r="AC122" s="217"/>
      <c r="AD122" s="217"/>
      <c r="AE122" s="217"/>
      <c r="AF122" s="217"/>
      <c r="AG122" s="217"/>
      <c r="AH122" s="217"/>
      <c r="AI122" s="217"/>
      <c r="AJ122" s="217"/>
      <c r="AK122" s="217"/>
      <c r="AL122" s="217"/>
      <c r="AM122" s="217"/>
      <c r="AN122" s="217"/>
      <c r="AO122" s="217"/>
      <c r="AP122" s="217"/>
      <c r="AQ122" s="217"/>
      <c r="AR122" s="217"/>
      <c r="AS122" s="217"/>
      <c r="AT122" s="217"/>
      <c r="AU122" s="217"/>
      <c r="AV122" s="217"/>
      <c r="AW122" s="217"/>
      <c r="AX122" s="217"/>
      <c r="AY122" s="217"/>
    </row>
    <row r="123" ht="12.75" customHeight="1">
      <c r="J123" s="232"/>
      <c r="V123" s="217"/>
      <c r="W123" s="217"/>
      <c r="X123" s="217"/>
      <c r="Y123" s="217"/>
      <c r="Z123" s="217"/>
      <c r="AA123" s="217"/>
      <c r="AB123" s="217"/>
      <c r="AC123" s="217"/>
      <c r="AD123" s="217"/>
      <c r="AE123" s="217"/>
      <c r="AF123" s="217"/>
      <c r="AG123" s="217"/>
      <c r="AH123" s="217"/>
      <c r="AI123" s="217"/>
      <c r="AJ123" s="217"/>
      <c r="AK123" s="217"/>
      <c r="AL123" s="217"/>
      <c r="AM123" s="217"/>
      <c r="AN123" s="217"/>
      <c r="AO123" s="217"/>
      <c r="AP123" s="217"/>
      <c r="AQ123" s="217"/>
      <c r="AR123" s="217"/>
      <c r="AS123" s="217"/>
      <c r="AT123" s="217"/>
      <c r="AU123" s="217"/>
      <c r="AV123" s="217"/>
      <c r="AW123" s="217"/>
      <c r="AX123" s="217"/>
      <c r="AY123" s="217"/>
    </row>
    <row r="124" ht="12.75" customHeight="1">
      <c r="J124" s="232"/>
      <c r="V124" s="217"/>
      <c r="W124" s="217"/>
      <c r="X124" s="217"/>
      <c r="Y124" s="217"/>
      <c r="Z124" s="217"/>
      <c r="AA124" s="217"/>
      <c r="AB124" s="217"/>
      <c r="AC124" s="217"/>
      <c r="AD124" s="217"/>
      <c r="AE124" s="217"/>
      <c r="AF124" s="217"/>
      <c r="AG124" s="217"/>
      <c r="AH124" s="217"/>
      <c r="AI124" s="217"/>
      <c r="AJ124" s="217"/>
      <c r="AK124" s="217"/>
      <c r="AL124" s="217"/>
      <c r="AM124" s="217"/>
      <c r="AN124" s="217"/>
      <c r="AO124" s="217"/>
      <c r="AP124" s="217"/>
      <c r="AQ124" s="217"/>
      <c r="AR124" s="217"/>
      <c r="AS124" s="217"/>
      <c r="AT124" s="217"/>
      <c r="AU124" s="217"/>
      <c r="AV124" s="217"/>
      <c r="AW124" s="217"/>
      <c r="AX124" s="217"/>
      <c r="AY124" s="217"/>
    </row>
    <row r="125" ht="12.75" customHeight="1">
      <c r="J125" s="232"/>
      <c r="V125" s="217"/>
      <c r="W125" s="217"/>
      <c r="X125" s="217"/>
      <c r="Y125" s="217"/>
      <c r="Z125" s="217"/>
      <c r="AA125" s="217"/>
      <c r="AB125" s="217"/>
      <c r="AC125" s="217"/>
      <c r="AD125" s="217"/>
      <c r="AE125" s="217"/>
      <c r="AF125" s="217"/>
      <c r="AG125" s="217"/>
      <c r="AH125" s="217"/>
      <c r="AI125" s="217"/>
      <c r="AJ125" s="217"/>
      <c r="AK125" s="217"/>
      <c r="AL125" s="217"/>
      <c r="AM125" s="217"/>
      <c r="AN125" s="217"/>
      <c r="AO125" s="217"/>
      <c r="AP125" s="217"/>
      <c r="AQ125" s="217"/>
      <c r="AR125" s="217"/>
      <c r="AS125" s="217"/>
      <c r="AT125" s="217"/>
      <c r="AU125" s="217"/>
      <c r="AV125" s="217"/>
      <c r="AW125" s="217"/>
      <c r="AX125" s="217"/>
      <c r="AY125" s="217"/>
    </row>
    <row r="126" ht="12.75" customHeight="1">
      <c r="J126" s="232"/>
      <c r="V126" s="217"/>
      <c r="W126" s="217"/>
      <c r="X126" s="217"/>
      <c r="Y126" s="217"/>
      <c r="Z126" s="217"/>
      <c r="AA126" s="217"/>
      <c r="AB126" s="217"/>
      <c r="AC126" s="217"/>
      <c r="AD126" s="217"/>
      <c r="AE126" s="217"/>
      <c r="AF126" s="217"/>
      <c r="AG126" s="217"/>
      <c r="AH126" s="217"/>
      <c r="AI126" s="217"/>
      <c r="AJ126" s="217"/>
      <c r="AK126" s="217"/>
      <c r="AL126" s="217"/>
      <c r="AM126" s="217"/>
      <c r="AN126" s="217"/>
      <c r="AO126" s="217"/>
      <c r="AP126" s="217"/>
      <c r="AQ126" s="217"/>
      <c r="AR126" s="217"/>
      <c r="AS126" s="217"/>
      <c r="AT126" s="217"/>
      <c r="AU126" s="217"/>
      <c r="AV126" s="217"/>
      <c r="AW126" s="217"/>
      <c r="AX126" s="217"/>
      <c r="AY126" s="217"/>
    </row>
    <row r="127" ht="12.75" customHeight="1">
      <c r="J127" s="232"/>
      <c r="V127" s="217"/>
      <c r="W127" s="217"/>
      <c r="X127" s="217"/>
      <c r="Y127" s="217"/>
      <c r="Z127" s="217"/>
      <c r="AA127" s="217"/>
      <c r="AB127" s="217"/>
      <c r="AC127" s="217"/>
      <c r="AD127" s="217"/>
      <c r="AE127" s="217"/>
      <c r="AF127" s="217"/>
      <c r="AG127" s="217"/>
      <c r="AH127" s="217"/>
      <c r="AI127" s="217"/>
      <c r="AJ127" s="217"/>
      <c r="AK127" s="217"/>
      <c r="AL127" s="217"/>
      <c r="AM127" s="217"/>
      <c r="AN127" s="217"/>
      <c r="AO127" s="217"/>
      <c r="AP127" s="217"/>
      <c r="AQ127" s="217"/>
      <c r="AR127" s="217"/>
      <c r="AS127" s="217"/>
      <c r="AT127" s="217"/>
      <c r="AU127" s="217"/>
      <c r="AV127" s="217"/>
      <c r="AW127" s="217"/>
      <c r="AX127" s="217"/>
      <c r="AY127" s="217"/>
    </row>
    <row r="128" ht="12.75" customHeight="1">
      <c r="J128" s="232"/>
      <c r="V128" s="217"/>
      <c r="W128" s="217"/>
      <c r="X128" s="217"/>
      <c r="Y128" s="217"/>
      <c r="Z128" s="217"/>
      <c r="AA128" s="217"/>
      <c r="AB128" s="217"/>
      <c r="AC128" s="217"/>
      <c r="AD128" s="217"/>
      <c r="AE128" s="217"/>
      <c r="AF128" s="217"/>
      <c r="AG128" s="217"/>
      <c r="AH128" s="217"/>
      <c r="AI128" s="217"/>
      <c r="AJ128" s="217"/>
      <c r="AK128" s="217"/>
      <c r="AL128" s="217"/>
      <c r="AM128" s="217"/>
      <c r="AN128" s="217"/>
      <c r="AO128" s="217"/>
      <c r="AP128" s="217"/>
      <c r="AQ128" s="217"/>
      <c r="AR128" s="217"/>
      <c r="AS128" s="217"/>
      <c r="AT128" s="217"/>
      <c r="AU128" s="217"/>
      <c r="AV128" s="217"/>
      <c r="AW128" s="217"/>
      <c r="AX128" s="217"/>
      <c r="AY128" s="217"/>
    </row>
    <row r="129" ht="12.75" customHeight="1">
      <c r="J129" s="232"/>
      <c r="V129" s="217"/>
      <c r="W129" s="217"/>
      <c r="X129" s="217"/>
      <c r="Y129" s="217"/>
      <c r="Z129" s="217"/>
      <c r="AA129" s="217"/>
      <c r="AB129" s="217"/>
      <c r="AC129" s="217"/>
      <c r="AD129" s="217"/>
      <c r="AE129" s="217"/>
      <c r="AF129" s="217"/>
      <c r="AG129" s="217"/>
      <c r="AH129" s="217"/>
      <c r="AI129" s="217"/>
      <c r="AJ129" s="217"/>
      <c r="AK129" s="217"/>
      <c r="AL129" s="217"/>
      <c r="AM129" s="217"/>
      <c r="AN129" s="217"/>
      <c r="AO129" s="217"/>
      <c r="AP129" s="217"/>
      <c r="AQ129" s="217"/>
      <c r="AR129" s="217"/>
      <c r="AS129" s="217"/>
      <c r="AT129" s="217"/>
      <c r="AU129" s="217"/>
      <c r="AV129" s="217"/>
      <c r="AW129" s="217"/>
      <c r="AX129" s="217"/>
      <c r="AY129" s="217"/>
    </row>
    <row r="130" ht="12.75" customHeight="1">
      <c r="J130" s="232"/>
      <c r="V130" s="217"/>
      <c r="W130" s="217"/>
      <c r="X130" s="217"/>
      <c r="Y130" s="217"/>
      <c r="Z130" s="217"/>
      <c r="AA130" s="217"/>
      <c r="AB130" s="217"/>
      <c r="AC130" s="217"/>
      <c r="AD130" s="217"/>
      <c r="AE130" s="217"/>
      <c r="AF130" s="217"/>
      <c r="AG130" s="217"/>
      <c r="AH130" s="217"/>
      <c r="AI130" s="217"/>
      <c r="AJ130" s="217"/>
      <c r="AK130" s="217"/>
      <c r="AL130" s="217"/>
      <c r="AM130" s="217"/>
      <c r="AN130" s="217"/>
      <c r="AO130" s="217"/>
      <c r="AP130" s="217"/>
      <c r="AQ130" s="217"/>
      <c r="AR130" s="217"/>
      <c r="AS130" s="217"/>
      <c r="AT130" s="217"/>
      <c r="AU130" s="217"/>
      <c r="AV130" s="217"/>
      <c r="AW130" s="217"/>
      <c r="AX130" s="217"/>
      <c r="AY130" s="217"/>
    </row>
    <row r="131" ht="12.75" customHeight="1">
      <c r="J131" s="232"/>
      <c r="V131" s="217"/>
      <c r="W131" s="217"/>
      <c r="X131" s="217"/>
      <c r="Y131" s="217"/>
      <c r="Z131" s="217"/>
      <c r="AA131" s="217"/>
      <c r="AB131" s="217"/>
      <c r="AC131" s="217"/>
      <c r="AD131" s="217"/>
      <c r="AE131" s="217"/>
      <c r="AF131" s="217"/>
      <c r="AG131" s="217"/>
      <c r="AH131" s="217"/>
      <c r="AI131" s="217"/>
      <c r="AJ131" s="217"/>
      <c r="AK131" s="217"/>
      <c r="AL131" s="217"/>
      <c r="AM131" s="217"/>
      <c r="AN131" s="217"/>
      <c r="AO131" s="217"/>
      <c r="AP131" s="217"/>
      <c r="AQ131" s="217"/>
      <c r="AR131" s="217"/>
      <c r="AS131" s="217"/>
      <c r="AT131" s="217"/>
      <c r="AU131" s="217"/>
      <c r="AV131" s="217"/>
      <c r="AW131" s="217"/>
      <c r="AX131" s="217"/>
      <c r="AY131" s="217"/>
    </row>
    <row r="132" ht="12.75" customHeight="1">
      <c r="J132" s="232"/>
      <c r="V132" s="217"/>
      <c r="W132" s="217"/>
      <c r="X132" s="217"/>
      <c r="Y132" s="217"/>
      <c r="Z132" s="217"/>
      <c r="AA132" s="217"/>
      <c r="AB132" s="217"/>
      <c r="AC132" s="217"/>
      <c r="AD132" s="217"/>
      <c r="AE132" s="217"/>
      <c r="AF132" s="217"/>
      <c r="AG132" s="217"/>
      <c r="AH132" s="217"/>
      <c r="AI132" s="217"/>
      <c r="AJ132" s="217"/>
      <c r="AK132" s="217"/>
      <c r="AL132" s="217"/>
      <c r="AM132" s="217"/>
      <c r="AN132" s="217"/>
      <c r="AO132" s="217"/>
      <c r="AP132" s="217"/>
      <c r="AQ132" s="217"/>
      <c r="AR132" s="217"/>
      <c r="AS132" s="217"/>
      <c r="AT132" s="217"/>
      <c r="AU132" s="217"/>
      <c r="AV132" s="217"/>
      <c r="AW132" s="217"/>
      <c r="AX132" s="217"/>
      <c r="AY132" s="217"/>
    </row>
    <row r="133" ht="12.75" customHeight="1">
      <c r="J133" s="232"/>
      <c r="V133" s="217"/>
      <c r="W133" s="217"/>
      <c r="X133" s="217"/>
      <c r="Y133" s="217"/>
      <c r="Z133" s="217"/>
      <c r="AA133" s="217"/>
      <c r="AB133" s="217"/>
      <c r="AC133" s="217"/>
      <c r="AD133" s="217"/>
      <c r="AE133" s="217"/>
      <c r="AF133" s="217"/>
      <c r="AG133" s="217"/>
      <c r="AH133" s="217"/>
      <c r="AI133" s="217"/>
      <c r="AJ133" s="217"/>
      <c r="AK133" s="217"/>
      <c r="AL133" s="217"/>
      <c r="AM133" s="217"/>
      <c r="AN133" s="217"/>
      <c r="AO133" s="217"/>
      <c r="AP133" s="217"/>
      <c r="AQ133" s="217"/>
      <c r="AR133" s="217"/>
      <c r="AS133" s="217"/>
      <c r="AT133" s="217"/>
      <c r="AU133" s="217"/>
      <c r="AV133" s="217"/>
      <c r="AW133" s="217"/>
      <c r="AX133" s="217"/>
      <c r="AY133" s="217"/>
    </row>
    <row r="134" ht="12.75" customHeight="1">
      <c r="J134" s="232"/>
      <c r="V134" s="217"/>
      <c r="W134" s="217"/>
      <c r="X134" s="217"/>
      <c r="Y134" s="217"/>
      <c r="Z134" s="217"/>
      <c r="AA134" s="217"/>
      <c r="AB134" s="217"/>
      <c r="AC134" s="217"/>
      <c r="AD134" s="217"/>
      <c r="AE134" s="217"/>
      <c r="AF134" s="217"/>
      <c r="AG134" s="217"/>
      <c r="AH134" s="217"/>
      <c r="AI134" s="217"/>
      <c r="AJ134" s="217"/>
      <c r="AK134" s="217"/>
      <c r="AL134" s="217"/>
      <c r="AM134" s="217"/>
      <c r="AN134" s="217"/>
      <c r="AO134" s="217"/>
      <c r="AP134" s="217"/>
      <c r="AQ134" s="217"/>
      <c r="AR134" s="217"/>
      <c r="AS134" s="217"/>
      <c r="AT134" s="217"/>
      <c r="AU134" s="217"/>
      <c r="AV134" s="217"/>
      <c r="AW134" s="217"/>
      <c r="AX134" s="217"/>
      <c r="AY134" s="217"/>
    </row>
    <row r="135" ht="12.75" customHeight="1">
      <c r="J135" s="232"/>
      <c r="V135" s="217"/>
      <c r="W135" s="217"/>
      <c r="X135" s="217"/>
      <c r="Y135" s="217"/>
      <c r="Z135" s="217"/>
      <c r="AA135" s="217"/>
      <c r="AB135" s="217"/>
      <c r="AC135" s="217"/>
      <c r="AD135" s="217"/>
      <c r="AE135" s="217"/>
      <c r="AF135" s="217"/>
      <c r="AG135" s="217"/>
      <c r="AH135" s="217"/>
      <c r="AI135" s="217"/>
      <c r="AJ135" s="217"/>
      <c r="AK135" s="217"/>
      <c r="AL135" s="217"/>
      <c r="AM135" s="217"/>
      <c r="AN135" s="217"/>
      <c r="AO135" s="217"/>
      <c r="AP135" s="217"/>
      <c r="AQ135" s="217"/>
      <c r="AR135" s="217"/>
      <c r="AS135" s="217"/>
      <c r="AT135" s="217"/>
      <c r="AU135" s="217"/>
      <c r="AV135" s="217"/>
      <c r="AW135" s="217"/>
      <c r="AX135" s="217"/>
      <c r="AY135" s="217"/>
    </row>
    <row r="136" ht="12.75" customHeight="1">
      <c r="J136" s="232"/>
      <c r="V136" s="217"/>
      <c r="W136" s="217"/>
      <c r="X136" s="217"/>
      <c r="Y136" s="217"/>
      <c r="Z136" s="217"/>
      <c r="AA136" s="217"/>
      <c r="AB136" s="217"/>
      <c r="AC136" s="217"/>
      <c r="AD136" s="217"/>
      <c r="AE136" s="217"/>
      <c r="AF136" s="217"/>
      <c r="AG136" s="217"/>
      <c r="AH136" s="217"/>
      <c r="AI136" s="217"/>
      <c r="AJ136" s="217"/>
      <c r="AK136" s="217"/>
      <c r="AL136" s="217"/>
      <c r="AM136" s="217"/>
      <c r="AN136" s="217"/>
      <c r="AO136" s="217"/>
      <c r="AP136" s="217"/>
      <c r="AQ136" s="217"/>
      <c r="AR136" s="217"/>
      <c r="AS136" s="217"/>
      <c r="AT136" s="217"/>
      <c r="AU136" s="217"/>
      <c r="AV136" s="217"/>
      <c r="AW136" s="217"/>
      <c r="AX136" s="217"/>
      <c r="AY136" s="217"/>
    </row>
    <row r="137" ht="12.75" customHeight="1">
      <c r="J137" s="232"/>
      <c r="V137" s="217"/>
      <c r="W137" s="217"/>
      <c r="X137" s="217"/>
      <c r="Y137" s="217"/>
      <c r="Z137" s="217"/>
      <c r="AA137" s="217"/>
      <c r="AB137" s="217"/>
      <c r="AC137" s="217"/>
      <c r="AD137" s="217"/>
      <c r="AE137" s="217"/>
      <c r="AF137" s="217"/>
      <c r="AG137" s="217"/>
      <c r="AH137" s="217"/>
      <c r="AI137" s="217"/>
      <c r="AJ137" s="217"/>
      <c r="AK137" s="217"/>
      <c r="AL137" s="217"/>
      <c r="AM137" s="217"/>
      <c r="AN137" s="217"/>
      <c r="AO137" s="217"/>
      <c r="AP137" s="217"/>
      <c r="AQ137" s="217"/>
      <c r="AR137" s="217"/>
      <c r="AS137" s="217"/>
      <c r="AT137" s="217"/>
      <c r="AU137" s="217"/>
      <c r="AV137" s="217"/>
      <c r="AW137" s="217"/>
      <c r="AX137" s="217"/>
      <c r="AY137" s="217"/>
    </row>
    <row r="138" ht="12.75" customHeight="1">
      <c r="J138" s="232"/>
      <c r="V138" s="217"/>
      <c r="W138" s="217"/>
      <c r="X138" s="217"/>
      <c r="Y138" s="217"/>
      <c r="Z138" s="217"/>
      <c r="AA138" s="217"/>
      <c r="AB138" s="217"/>
      <c r="AC138" s="217"/>
      <c r="AD138" s="217"/>
      <c r="AE138" s="217"/>
      <c r="AF138" s="217"/>
      <c r="AG138" s="217"/>
      <c r="AH138" s="217"/>
      <c r="AI138" s="217"/>
      <c r="AJ138" s="217"/>
      <c r="AK138" s="217"/>
      <c r="AL138" s="217"/>
      <c r="AM138" s="217"/>
      <c r="AN138" s="217"/>
      <c r="AO138" s="217"/>
      <c r="AP138" s="217"/>
      <c r="AQ138" s="217"/>
      <c r="AR138" s="217"/>
      <c r="AS138" s="217"/>
      <c r="AT138" s="217"/>
      <c r="AU138" s="217"/>
      <c r="AV138" s="217"/>
      <c r="AW138" s="217"/>
      <c r="AX138" s="217"/>
      <c r="AY138" s="217"/>
    </row>
    <row r="139" ht="12.75" customHeight="1">
      <c r="J139" s="232"/>
      <c r="V139" s="217"/>
      <c r="W139" s="217"/>
      <c r="X139" s="217"/>
      <c r="Y139" s="217"/>
      <c r="Z139" s="217"/>
      <c r="AA139" s="217"/>
      <c r="AB139" s="217"/>
      <c r="AC139" s="217"/>
      <c r="AD139" s="217"/>
      <c r="AE139" s="217"/>
      <c r="AF139" s="217"/>
      <c r="AG139" s="217"/>
      <c r="AH139" s="217"/>
      <c r="AI139" s="217"/>
      <c r="AJ139" s="217"/>
      <c r="AK139" s="217"/>
      <c r="AL139" s="217"/>
      <c r="AM139" s="217"/>
      <c r="AN139" s="217"/>
      <c r="AO139" s="217"/>
      <c r="AP139" s="217"/>
      <c r="AQ139" s="217"/>
      <c r="AR139" s="217"/>
      <c r="AS139" s="217"/>
      <c r="AT139" s="217"/>
      <c r="AU139" s="217"/>
      <c r="AV139" s="217"/>
      <c r="AW139" s="217"/>
      <c r="AX139" s="217"/>
      <c r="AY139" s="217"/>
    </row>
    <row r="140" ht="12.75" customHeight="1">
      <c r="J140" s="232"/>
      <c r="V140" s="217"/>
      <c r="W140" s="217"/>
      <c r="X140" s="217"/>
      <c r="Y140" s="217"/>
      <c r="Z140" s="217"/>
      <c r="AA140" s="217"/>
      <c r="AB140" s="217"/>
      <c r="AC140" s="217"/>
      <c r="AD140" s="217"/>
      <c r="AE140" s="217"/>
      <c r="AF140" s="217"/>
      <c r="AG140" s="217"/>
      <c r="AH140" s="217"/>
      <c r="AI140" s="217"/>
      <c r="AJ140" s="217"/>
      <c r="AK140" s="217"/>
      <c r="AL140" s="217"/>
      <c r="AM140" s="217"/>
      <c r="AN140" s="217"/>
      <c r="AO140" s="217"/>
      <c r="AP140" s="217"/>
      <c r="AQ140" s="217"/>
      <c r="AR140" s="217"/>
      <c r="AS140" s="217"/>
      <c r="AT140" s="217"/>
      <c r="AU140" s="217"/>
      <c r="AV140" s="217"/>
      <c r="AW140" s="217"/>
      <c r="AX140" s="217"/>
      <c r="AY140" s="217"/>
    </row>
    <row r="141" ht="12.75" customHeight="1">
      <c r="J141" s="232"/>
      <c r="V141" s="217"/>
      <c r="W141" s="217"/>
      <c r="X141" s="217"/>
      <c r="Y141" s="217"/>
      <c r="Z141" s="217"/>
      <c r="AA141" s="217"/>
      <c r="AB141" s="217"/>
      <c r="AC141" s="217"/>
      <c r="AD141" s="217"/>
      <c r="AE141" s="217"/>
      <c r="AF141" s="217"/>
      <c r="AG141" s="217"/>
      <c r="AH141" s="217"/>
      <c r="AI141" s="217"/>
      <c r="AJ141" s="217"/>
      <c r="AK141" s="217"/>
      <c r="AL141" s="217"/>
      <c r="AM141" s="217"/>
      <c r="AN141" s="217"/>
      <c r="AO141" s="217"/>
      <c r="AP141" s="217"/>
      <c r="AQ141" s="217"/>
      <c r="AR141" s="217"/>
      <c r="AS141" s="217"/>
      <c r="AT141" s="217"/>
      <c r="AU141" s="217"/>
      <c r="AV141" s="217"/>
      <c r="AW141" s="217"/>
      <c r="AX141" s="217"/>
      <c r="AY141" s="217"/>
    </row>
    <row r="142" ht="12.75" customHeight="1">
      <c r="J142" s="232"/>
      <c r="V142" s="217"/>
      <c r="W142" s="217"/>
      <c r="X142" s="217"/>
      <c r="Y142" s="217"/>
      <c r="Z142" s="217"/>
      <c r="AA142" s="217"/>
      <c r="AB142" s="217"/>
      <c r="AC142" s="217"/>
      <c r="AD142" s="217"/>
      <c r="AE142" s="217"/>
      <c r="AF142" s="217"/>
      <c r="AG142" s="217"/>
      <c r="AH142" s="217"/>
      <c r="AI142" s="217"/>
      <c r="AJ142" s="217"/>
      <c r="AK142" s="217"/>
      <c r="AL142" s="217"/>
      <c r="AM142" s="217"/>
      <c r="AN142" s="217"/>
      <c r="AO142" s="217"/>
      <c r="AP142" s="217"/>
      <c r="AQ142" s="217"/>
      <c r="AR142" s="217"/>
      <c r="AS142" s="217"/>
      <c r="AT142" s="217"/>
      <c r="AU142" s="217"/>
      <c r="AV142" s="217"/>
      <c r="AW142" s="217"/>
      <c r="AX142" s="217"/>
      <c r="AY142" s="217"/>
    </row>
    <row r="143" ht="12.75" customHeight="1">
      <c r="J143" s="232"/>
      <c r="V143" s="217"/>
      <c r="W143" s="217"/>
      <c r="X143" s="217"/>
      <c r="Y143" s="217"/>
      <c r="Z143" s="217"/>
      <c r="AA143" s="217"/>
      <c r="AB143" s="217"/>
      <c r="AC143" s="217"/>
      <c r="AD143" s="217"/>
      <c r="AE143" s="217"/>
      <c r="AF143" s="217"/>
      <c r="AG143" s="217"/>
      <c r="AH143" s="217"/>
      <c r="AI143" s="217"/>
      <c r="AJ143" s="217"/>
      <c r="AK143" s="217"/>
      <c r="AL143" s="217"/>
      <c r="AM143" s="217"/>
      <c r="AN143" s="217"/>
      <c r="AO143" s="217"/>
      <c r="AP143" s="217"/>
      <c r="AQ143" s="217"/>
      <c r="AR143" s="217"/>
      <c r="AS143" s="217"/>
      <c r="AT143" s="217"/>
      <c r="AU143" s="217"/>
      <c r="AV143" s="217"/>
      <c r="AW143" s="217"/>
      <c r="AX143" s="217"/>
      <c r="AY143" s="217"/>
    </row>
    <row r="144" ht="12.75" customHeight="1">
      <c r="J144" s="232"/>
      <c r="V144" s="217"/>
      <c r="W144" s="217"/>
      <c r="X144" s="217"/>
      <c r="Y144" s="217"/>
      <c r="Z144" s="217"/>
      <c r="AA144" s="217"/>
      <c r="AB144" s="217"/>
      <c r="AC144" s="217"/>
      <c r="AD144" s="217"/>
      <c r="AE144" s="217"/>
      <c r="AF144" s="217"/>
      <c r="AG144" s="217"/>
      <c r="AH144" s="217"/>
      <c r="AI144" s="217"/>
      <c r="AJ144" s="217"/>
      <c r="AK144" s="217"/>
      <c r="AL144" s="217"/>
      <c r="AM144" s="217"/>
      <c r="AN144" s="217"/>
      <c r="AO144" s="217"/>
      <c r="AP144" s="217"/>
      <c r="AQ144" s="217"/>
      <c r="AR144" s="217"/>
      <c r="AS144" s="217"/>
      <c r="AT144" s="217"/>
      <c r="AU144" s="217"/>
      <c r="AV144" s="217"/>
      <c r="AW144" s="217"/>
      <c r="AX144" s="217"/>
      <c r="AY144" s="217"/>
    </row>
    <row r="145" ht="12.75" customHeight="1">
      <c r="J145" s="232"/>
      <c r="V145" s="217"/>
      <c r="W145" s="217"/>
      <c r="X145" s="217"/>
      <c r="Y145" s="217"/>
      <c r="Z145" s="217"/>
      <c r="AA145" s="217"/>
      <c r="AB145" s="217"/>
      <c r="AC145" s="217"/>
      <c r="AD145" s="217"/>
      <c r="AE145" s="217"/>
      <c r="AF145" s="217"/>
      <c r="AG145" s="217"/>
      <c r="AH145" s="217"/>
      <c r="AI145" s="217"/>
      <c r="AJ145" s="217"/>
      <c r="AK145" s="217"/>
      <c r="AL145" s="217"/>
      <c r="AM145" s="217"/>
      <c r="AN145" s="217"/>
      <c r="AO145" s="217"/>
      <c r="AP145" s="217"/>
      <c r="AQ145" s="217"/>
      <c r="AR145" s="217"/>
      <c r="AS145" s="217"/>
      <c r="AT145" s="217"/>
      <c r="AU145" s="217"/>
      <c r="AV145" s="217"/>
      <c r="AW145" s="217"/>
      <c r="AX145" s="217"/>
      <c r="AY145" s="217"/>
    </row>
    <row r="146" ht="12.75" customHeight="1">
      <c r="J146" s="232"/>
      <c r="V146" s="217"/>
      <c r="W146" s="217"/>
      <c r="X146" s="217"/>
      <c r="Y146" s="217"/>
      <c r="Z146" s="217"/>
      <c r="AA146" s="217"/>
      <c r="AB146" s="217"/>
      <c r="AC146" s="217"/>
      <c r="AD146" s="217"/>
      <c r="AE146" s="217"/>
      <c r="AF146" s="217"/>
      <c r="AG146" s="217"/>
      <c r="AH146" s="217"/>
      <c r="AI146" s="217"/>
      <c r="AJ146" s="217"/>
      <c r="AK146" s="217"/>
      <c r="AL146" s="217"/>
      <c r="AM146" s="217"/>
      <c r="AN146" s="217"/>
      <c r="AO146" s="217"/>
      <c r="AP146" s="217"/>
      <c r="AQ146" s="217"/>
      <c r="AR146" s="217"/>
      <c r="AS146" s="217"/>
      <c r="AT146" s="217"/>
      <c r="AU146" s="217"/>
      <c r="AV146" s="217"/>
      <c r="AW146" s="217"/>
      <c r="AX146" s="217"/>
      <c r="AY146" s="217"/>
    </row>
    <row r="147" ht="12.75" customHeight="1">
      <c r="J147" s="232"/>
      <c r="V147" s="217"/>
      <c r="W147" s="217"/>
      <c r="X147" s="217"/>
      <c r="Y147" s="217"/>
      <c r="Z147" s="217"/>
      <c r="AA147" s="217"/>
      <c r="AB147" s="217"/>
      <c r="AC147" s="217"/>
      <c r="AD147" s="217"/>
      <c r="AE147" s="217"/>
      <c r="AF147" s="217"/>
      <c r="AG147" s="217"/>
      <c r="AH147" s="217"/>
      <c r="AI147" s="217"/>
      <c r="AJ147" s="217"/>
      <c r="AK147" s="217"/>
      <c r="AL147" s="217"/>
      <c r="AM147" s="217"/>
      <c r="AN147" s="217"/>
      <c r="AO147" s="217"/>
      <c r="AP147" s="217"/>
      <c r="AQ147" s="217"/>
      <c r="AR147" s="217"/>
      <c r="AS147" s="217"/>
      <c r="AT147" s="217"/>
      <c r="AU147" s="217"/>
      <c r="AV147" s="217"/>
      <c r="AW147" s="217"/>
      <c r="AX147" s="217"/>
      <c r="AY147" s="217"/>
    </row>
    <row r="148" ht="12.75" customHeight="1">
      <c r="J148" s="232"/>
      <c r="V148" s="217"/>
      <c r="W148" s="217"/>
      <c r="X148" s="217"/>
      <c r="Y148" s="217"/>
      <c r="Z148" s="217"/>
      <c r="AA148" s="217"/>
      <c r="AB148" s="217"/>
      <c r="AC148" s="217"/>
      <c r="AD148" s="217"/>
      <c r="AE148" s="217"/>
      <c r="AF148" s="217"/>
      <c r="AG148" s="217"/>
      <c r="AH148" s="217"/>
      <c r="AI148" s="217"/>
      <c r="AJ148" s="217"/>
      <c r="AK148" s="217"/>
      <c r="AL148" s="217"/>
      <c r="AM148" s="217"/>
      <c r="AN148" s="217"/>
      <c r="AO148" s="217"/>
      <c r="AP148" s="217"/>
      <c r="AQ148" s="217"/>
      <c r="AR148" s="217"/>
      <c r="AS148" s="217"/>
      <c r="AT148" s="217"/>
      <c r="AU148" s="217"/>
      <c r="AV148" s="217"/>
      <c r="AW148" s="217"/>
      <c r="AX148" s="217"/>
      <c r="AY148" s="217"/>
    </row>
    <row r="149" ht="12.75" customHeight="1">
      <c r="J149" s="232"/>
      <c r="V149" s="217"/>
      <c r="W149" s="217"/>
      <c r="X149" s="217"/>
      <c r="Y149" s="217"/>
      <c r="Z149" s="217"/>
      <c r="AA149" s="217"/>
      <c r="AB149" s="217"/>
      <c r="AC149" s="217"/>
      <c r="AD149" s="217"/>
      <c r="AE149" s="217"/>
      <c r="AF149" s="217"/>
      <c r="AG149" s="217"/>
      <c r="AH149" s="217"/>
      <c r="AI149" s="217"/>
      <c r="AJ149" s="217"/>
      <c r="AK149" s="217"/>
      <c r="AL149" s="217"/>
      <c r="AM149" s="217"/>
      <c r="AN149" s="217"/>
      <c r="AO149" s="217"/>
      <c r="AP149" s="217"/>
      <c r="AQ149" s="217"/>
      <c r="AR149" s="217"/>
      <c r="AS149" s="217"/>
      <c r="AT149" s="217"/>
      <c r="AU149" s="217"/>
      <c r="AV149" s="217"/>
      <c r="AW149" s="217"/>
      <c r="AX149" s="217"/>
      <c r="AY149" s="217"/>
    </row>
    <row r="150" ht="12.75" customHeight="1">
      <c r="J150" s="232"/>
      <c r="V150" s="217"/>
      <c r="W150" s="217"/>
      <c r="X150" s="217"/>
      <c r="Y150" s="217"/>
      <c r="Z150" s="217"/>
      <c r="AA150" s="217"/>
      <c r="AB150" s="217"/>
      <c r="AC150" s="217"/>
      <c r="AD150" s="217"/>
      <c r="AE150" s="217"/>
      <c r="AF150" s="217"/>
      <c r="AG150" s="217"/>
      <c r="AH150" s="217"/>
      <c r="AI150" s="217"/>
      <c r="AJ150" s="217"/>
      <c r="AK150" s="217"/>
      <c r="AL150" s="217"/>
      <c r="AM150" s="217"/>
      <c r="AN150" s="217"/>
      <c r="AO150" s="217"/>
      <c r="AP150" s="217"/>
      <c r="AQ150" s="217"/>
      <c r="AR150" s="217"/>
      <c r="AS150" s="217"/>
      <c r="AT150" s="217"/>
      <c r="AU150" s="217"/>
      <c r="AV150" s="217"/>
      <c r="AW150" s="217"/>
      <c r="AX150" s="217"/>
      <c r="AY150" s="217"/>
    </row>
    <row r="151" ht="12.75" customHeight="1">
      <c r="J151" s="232"/>
      <c r="V151" s="217"/>
      <c r="W151" s="217"/>
      <c r="X151" s="217"/>
      <c r="Y151" s="217"/>
      <c r="Z151" s="217"/>
      <c r="AA151" s="217"/>
      <c r="AB151" s="217"/>
      <c r="AC151" s="217"/>
      <c r="AD151" s="217"/>
      <c r="AE151" s="217"/>
      <c r="AF151" s="217"/>
      <c r="AG151" s="217"/>
      <c r="AH151" s="217"/>
      <c r="AI151" s="217"/>
      <c r="AJ151" s="217"/>
      <c r="AK151" s="217"/>
      <c r="AL151" s="217"/>
      <c r="AM151" s="217"/>
      <c r="AN151" s="217"/>
      <c r="AO151" s="217"/>
      <c r="AP151" s="217"/>
      <c r="AQ151" s="217"/>
      <c r="AR151" s="217"/>
      <c r="AS151" s="217"/>
      <c r="AT151" s="217"/>
      <c r="AU151" s="217"/>
      <c r="AV151" s="217"/>
      <c r="AW151" s="217"/>
      <c r="AX151" s="217"/>
      <c r="AY151" s="217"/>
    </row>
    <row r="152" ht="12.75" customHeight="1">
      <c r="J152" s="232"/>
      <c r="V152" s="217"/>
      <c r="W152" s="217"/>
      <c r="X152" s="217"/>
      <c r="Y152" s="217"/>
      <c r="Z152" s="217"/>
      <c r="AA152" s="217"/>
      <c r="AB152" s="217"/>
      <c r="AC152" s="217"/>
      <c r="AD152" s="217"/>
      <c r="AE152" s="217"/>
      <c r="AF152" s="217"/>
      <c r="AG152" s="217"/>
      <c r="AH152" s="217"/>
      <c r="AI152" s="217"/>
      <c r="AJ152" s="217"/>
      <c r="AK152" s="217"/>
      <c r="AL152" s="217"/>
      <c r="AM152" s="217"/>
      <c r="AN152" s="217"/>
      <c r="AO152" s="217"/>
      <c r="AP152" s="217"/>
      <c r="AQ152" s="217"/>
      <c r="AR152" s="217"/>
      <c r="AS152" s="217"/>
      <c r="AT152" s="217"/>
      <c r="AU152" s="217"/>
      <c r="AV152" s="217"/>
      <c r="AW152" s="217"/>
      <c r="AX152" s="217"/>
      <c r="AY152" s="217"/>
    </row>
    <row r="153" ht="12.75" customHeight="1">
      <c r="J153" s="232"/>
      <c r="V153" s="217"/>
      <c r="W153" s="217"/>
      <c r="X153" s="217"/>
      <c r="Y153" s="217"/>
      <c r="Z153" s="217"/>
      <c r="AA153" s="217"/>
      <c r="AB153" s="217"/>
      <c r="AC153" s="217"/>
      <c r="AD153" s="217"/>
      <c r="AE153" s="217"/>
      <c r="AF153" s="217"/>
      <c r="AG153" s="217"/>
      <c r="AH153" s="217"/>
      <c r="AI153" s="217"/>
      <c r="AJ153" s="217"/>
      <c r="AK153" s="217"/>
      <c r="AL153" s="217"/>
      <c r="AM153" s="217"/>
      <c r="AN153" s="217"/>
      <c r="AO153" s="217"/>
      <c r="AP153" s="217"/>
      <c r="AQ153" s="217"/>
      <c r="AR153" s="217"/>
      <c r="AS153" s="217"/>
      <c r="AT153" s="217"/>
      <c r="AU153" s="217"/>
      <c r="AV153" s="217"/>
      <c r="AW153" s="217"/>
      <c r="AX153" s="217"/>
      <c r="AY153" s="217"/>
    </row>
    <row r="154" ht="12.75" customHeight="1">
      <c r="J154" s="232"/>
      <c r="V154" s="217"/>
      <c r="W154" s="217"/>
      <c r="X154" s="217"/>
      <c r="Y154" s="217"/>
      <c r="Z154" s="217"/>
      <c r="AA154" s="217"/>
      <c r="AB154" s="217"/>
      <c r="AC154" s="217"/>
      <c r="AD154" s="217"/>
      <c r="AE154" s="217"/>
      <c r="AF154" s="217"/>
      <c r="AG154" s="217"/>
      <c r="AH154" s="217"/>
      <c r="AI154" s="217"/>
      <c r="AJ154" s="217"/>
      <c r="AK154" s="217"/>
      <c r="AL154" s="217"/>
      <c r="AM154" s="217"/>
      <c r="AN154" s="217"/>
      <c r="AO154" s="217"/>
      <c r="AP154" s="217"/>
      <c r="AQ154" s="217"/>
      <c r="AR154" s="217"/>
      <c r="AS154" s="217"/>
      <c r="AT154" s="217"/>
      <c r="AU154" s="217"/>
      <c r="AV154" s="217"/>
      <c r="AW154" s="217"/>
      <c r="AX154" s="217"/>
      <c r="AY154" s="217"/>
    </row>
    <row r="155" ht="12.75" customHeight="1">
      <c r="J155" s="232"/>
      <c r="V155" s="217"/>
      <c r="W155" s="217"/>
      <c r="X155" s="217"/>
      <c r="Y155" s="217"/>
      <c r="Z155" s="217"/>
      <c r="AA155" s="217"/>
      <c r="AB155" s="217"/>
      <c r="AC155" s="217"/>
      <c r="AD155" s="217"/>
      <c r="AE155" s="217"/>
      <c r="AF155" s="217"/>
      <c r="AG155" s="217"/>
      <c r="AH155" s="217"/>
      <c r="AI155" s="217"/>
      <c r="AJ155" s="217"/>
      <c r="AK155" s="217"/>
      <c r="AL155" s="217"/>
      <c r="AM155" s="217"/>
      <c r="AN155" s="217"/>
      <c r="AO155" s="217"/>
      <c r="AP155" s="217"/>
      <c r="AQ155" s="217"/>
      <c r="AR155" s="217"/>
      <c r="AS155" s="217"/>
      <c r="AT155" s="217"/>
      <c r="AU155" s="217"/>
      <c r="AV155" s="217"/>
      <c r="AW155" s="217"/>
      <c r="AX155" s="217"/>
      <c r="AY155" s="217"/>
    </row>
    <row r="156" ht="12.75" customHeight="1">
      <c r="J156" s="232"/>
      <c r="V156" s="217"/>
      <c r="W156" s="217"/>
      <c r="X156" s="217"/>
      <c r="Y156" s="217"/>
      <c r="Z156" s="217"/>
      <c r="AA156" s="217"/>
      <c r="AB156" s="217"/>
      <c r="AC156" s="217"/>
      <c r="AD156" s="217"/>
      <c r="AE156" s="217"/>
      <c r="AF156" s="217"/>
      <c r="AG156" s="217"/>
      <c r="AH156" s="217"/>
      <c r="AI156" s="217"/>
      <c r="AJ156" s="217"/>
      <c r="AK156" s="217"/>
      <c r="AL156" s="217"/>
      <c r="AM156" s="217"/>
      <c r="AN156" s="217"/>
      <c r="AO156" s="217"/>
      <c r="AP156" s="217"/>
      <c r="AQ156" s="217"/>
      <c r="AR156" s="217"/>
      <c r="AS156" s="217"/>
      <c r="AT156" s="217"/>
      <c r="AU156" s="217"/>
      <c r="AV156" s="217"/>
      <c r="AW156" s="217"/>
      <c r="AX156" s="217"/>
      <c r="AY156" s="217"/>
    </row>
    <row r="157" ht="12.75" customHeight="1">
      <c r="J157" s="232"/>
      <c r="V157" s="217"/>
      <c r="W157" s="217"/>
      <c r="X157" s="217"/>
      <c r="Y157" s="217"/>
      <c r="Z157" s="217"/>
      <c r="AA157" s="217"/>
      <c r="AB157" s="217"/>
      <c r="AC157" s="217"/>
      <c r="AD157" s="217"/>
      <c r="AE157" s="217"/>
      <c r="AF157" s="217"/>
      <c r="AG157" s="217"/>
      <c r="AH157" s="217"/>
      <c r="AI157" s="217"/>
      <c r="AJ157" s="217"/>
      <c r="AK157" s="217"/>
      <c r="AL157" s="217"/>
      <c r="AM157" s="217"/>
      <c r="AN157" s="217"/>
      <c r="AO157" s="217"/>
      <c r="AP157" s="217"/>
      <c r="AQ157" s="217"/>
      <c r="AR157" s="217"/>
      <c r="AS157" s="217"/>
      <c r="AT157" s="217"/>
      <c r="AU157" s="217"/>
      <c r="AV157" s="217"/>
      <c r="AW157" s="217"/>
      <c r="AX157" s="217"/>
      <c r="AY157" s="217"/>
    </row>
    <row r="158" ht="12.75" customHeight="1">
      <c r="J158" s="232"/>
      <c r="V158" s="217"/>
      <c r="W158" s="217"/>
      <c r="X158" s="217"/>
      <c r="Y158" s="217"/>
      <c r="Z158" s="217"/>
      <c r="AA158" s="217"/>
      <c r="AB158" s="217"/>
      <c r="AC158" s="217"/>
      <c r="AD158" s="217"/>
      <c r="AE158" s="217"/>
      <c r="AF158" s="217"/>
      <c r="AG158" s="217"/>
      <c r="AH158" s="217"/>
      <c r="AI158" s="217"/>
      <c r="AJ158" s="217"/>
      <c r="AK158" s="217"/>
      <c r="AL158" s="217"/>
      <c r="AM158" s="217"/>
      <c r="AN158" s="217"/>
      <c r="AO158" s="217"/>
      <c r="AP158" s="217"/>
      <c r="AQ158" s="217"/>
      <c r="AR158" s="217"/>
      <c r="AS158" s="217"/>
      <c r="AT158" s="217"/>
      <c r="AU158" s="217"/>
      <c r="AV158" s="217"/>
      <c r="AW158" s="217"/>
      <c r="AX158" s="217"/>
      <c r="AY158" s="217"/>
    </row>
    <row r="159" ht="12.75" customHeight="1">
      <c r="J159" s="232"/>
      <c r="V159" s="217"/>
      <c r="W159" s="217"/>
      <c r="X159" s="217"/>
      <c r="Y159" s="217"/>
      <c r="Z159" s="217"/>
      <c r="AA159" s="217"/>
      <c r="AB159" s="217"/>
      <c r="AC159" s="217"/>
      <c r="AD159" s="217"/>
      <c r="AE159" s="217"/>
      <c r="AF159" s="217"/>
      <c r="AG159" s="217"/>
      <c r="AH159" s="217"/>
      <c r="AI159" s="217"/>
      <c r="AJ159" s="217"/>
      <c r="AK159" s="217"/>
      <c r="AL159" s="217"/>
      <c r="AM159" s="217"/>
      <c r="AN159" s="217"/>
      <c r="AO159" s="217"/>
      <c r="AP159" s="217"/>
      <c r="AQ159" s="217"/>
      <c r="AR159" s="217"/>
      <c r="AS159" s="217"/>
      <c r="AT159" s="217"/>
      <c r="AU159" s="217"/>
      <c r="AV159" s="217"/>
      <c r="AW159" s="217"/>
      <c r="AX159" s="217"/>
      <c r="AY159" s="217"/>
    </row>
    <row r="160" ht="12.75" customHeight="1">
      <c r="J160" s="232"/>
      <c r="V160" s="217"/>
      <c r="W160" s="217"/>
      <c r="X160" s="217"/>
      <c r="Y160" s="217"/>
      <c r="Z160" s="217"/>
      <c r="AA160" s="217"/>
      <c r="AB160" s="217"/>
      <c r="AC160" s="217"/>
      <c r="AD160" s="217"/>
      <c r="AE160" s="217"/>
      <c r="AF160" s="217"/>
      <c r="AG160" s="217"/>
      <c r="AH160" s="217"/>
      <c r="AI160" s="217"/>
      <c r="AJ160" s="217"/>
      <c r="AK160" s="217"/>
      <c r="AL160" s="217"/>
      <c r="AM160" s="217"/>
      <c r="AN160" s="217"/>
      <c r="AO160" s="217"/>
      <c r="AP160" s="217"/>
      <c r="AQ160" s="217"/>
      <c r="AR160" s="217"/>
      <c r="AS160" s="217"/>
      <c r="AT160" s="217"/>
      <c r="AU160" s="217"/>
      <c r="AV160" s="217"/>
      <c r="AW160" s="217"/>
      <c r="AX160" s="217"/>
      <c r="AY160" s="217"/>
    </row>
    <row r="161" ht="12.75" customHeight="1">
      <c r="J161" s="232"/>
      <c r="V161" s="217"/>
      <c r="W161" s="217"/>
      <c r="X161" s="217"/>
      <c r="Y161" s="217"/>
      <c r="Z161" s="217"/>
      <c r="AA161" s="217"/>
      <c r="AB161" s="217"/>
      <c r="AC161" s="217"/>
      <c r="AD161" s="217"/>
      <c r="AE161" s="217"/>
      <c r="AF161" s="217"/>
      <c r="AG161" s="217"/>
      <c r="AH161" s="217"/>
      <c r="AI161" s="217"/>
      <c r="AJ161" s="217"/>
      <c r="AK161" s="217"/>
      <c r="AL161" s="217"/>
      <c r="AM161" s="217"/>
      <c r="AN161" s="217"/>
      <c r="AO161" s="217"/>
      <c r="AP161" s="217"/>
      <c r="AQ161" s="217"/>
      <c r="AR161" s="217"/>
      <c r="AS161" s="217"/>
      <c r="AT161" s="217"/>
      <c r="AU161" s="217"/>
      <c r="AV161" s="217"/>
      <c r="AW161" s="217"/>
      <c r="AX161" s="217"/>
      <c r="AY161" s="217"/>
    </row>
    <row r="162" ht="12.75" customHeight="1">
      <c r="J162" s="232"/>
      <c r="V162" s="217"/>
      <c r="W162" s="217"/>
      <c r="X162" s="217"/>
      <c r="Y162" s="217"/>
      <c r="Z162" s="217"/>
      <c r="AA162" s="217"/>
      <c r="AB162" s="217"/>
      <c r="AC162" s="217"/>
      <c r="AD162" s="217"/>
      <c r="AE162" s="217"/>
      <c r="AF162" s="217"/>
      <c r="AG162" s="217"/>
      <c r="AH162" s="217"/>
      <c r="AI162" s="217"/>
      <c r="AJ162" s="217"/>
      <c r="AK162" s="217"/>
      <c r="AL162" s="217"/>
      <c r="AM162" s="217"/>
      <c r="AN162" s="217"/>
      <c r="AO162" s="217"/>
      <c r="AP162" s="217"/>
      <c r="AQ162" s="217"/>
      <c r="AR162" s="217"/>
      <c r="AS162" s="217"/>
      <c r="AT162" s="217"/>
      <c r="AU162" s="217"/>
      <c r="AV162" s="217"/>
      <c r="AW162" s="217"/>
      <c r="AX162" s="217"/>
      <c r="AY162" s="217"/>
    </row>
    <row r="163" ht="12.75" customHeight="1">
      <c r="J163" s="232"/>
      <c r="V163" s="217"/>
      <c r="W163" s="217"/>
      <c r="X163" s="217"/>
      <c r="Y163" s="217"/>
      <c r="Z163" s="217"/>
      <c r="AA163" s="217"/>
      <c r="AB163" s="217"/>
      <c r="AC163" s="217"/>
      <c r="AD163" s="217"/>
      <c r="AE163" s="217"/>
      <c r="AF163" s="217"/>
      <c r="AG163" s="217"/>
      <c r="AH163" s="217"/>
      <c r="AI163" s="217"/>
      <c r="AJ163" s="217"/>
      <c r="AK163" s="217"/>
      <c r="AL163" s="217"/>
      <c r="AM163" s="217"/>
      <c r="AN163" s="217"/>
      <c r="AO163" s="217"/>
      <c r="AP163" s="217"/>
      <c r="AQ163" s="217"/>
      <c r="AR163" s="217"/>
      <c r="AS163" s="217"/>
      <c r="AT163" s="217"/>
      <c r="AU163" s="217"/>
      <c r="AV163" s="217"/>
      <c r="AW163" s="217"/>
      <c r="AX163" s="217"/>
      <c r="AY163" s="217"/>
    </row>
    <row r="164" ht="12.75" customHeight="1">
      <c r="J164" s="232"/>
      <c r="V164" s="217"/>
      <c r="W164" s="217"/>
      <c r="X164" s="217"/>
      <c r="Y164" s="217"/>
      <c r="Z164" s="217"/>
      <c r="AA164" s="217"/>
      <c r="AB164" s="217"/>
      <c r="AC164" s="217"/>
      <c r="AD164" s="217"/>
      <c r="AE164" s="217"/>
      <c r="AF164" s="217"/>
      <c r="AG164" s="217"/>
      <c r="AH164" s="217"/>
      <c r="AI164" s="217"/>
      <c r="AJ164" s="217"/>
      <c r="AK164" s="217"/>
      <c r="AL164" s="217"/>
      <c r="AM164" s="217"/>
      <c r="AN164" s="217"/>
      <c r="AO164" s="217"/>
      <c r="AP164" s="217"/>
      <c r="AQ164" s="217"/>
      <c r="AR164" s="217"/>
      <c r="AS164" s="217"/>
      <c r="AT164" s="217"/>
      <c r="AU164" s="217"/>
      <c r="AV164" s="217"/>
      <c r="AW164" s="217"/>
      <c r="AX164" s="217"/>
      <c r="AY164" s="217"/>
    </row>
    <row r="165" ht="12.75" customHeight="1">
      <c r="J165" s="232"/>
      <c r="V165" s="217"/>
      <c r="W165" s="217"/>
      <c r="X165" s="217"/>
      <c r="Y165" s="217"/>
      <c r="Z165" s="217"/>
      <c r="AA165" s="217"/>
      <c r="AB165" s="217"/>
      <c r="AC165" s="217"/>
      <c r="AD165" s="217"/>
      <c r="AE165" s="217"/>
      <c r="AF165" s="217"/>
      <c r="AG165" s="217"/>
      <c r="AH165" s="217"/>
      <c r="AI165" s="217"/>
      <c r="AJ165" s="217"/>
      <c r="AK165" s="217"/>
      <c r="AL165" s="217"/>
      <c r="AM165" s="217"/>
      <c r="AN165" s="217"/>
      <c r="AO165" s="217"/>
      <c r="AP165" s="217"/>
      <c r="AQ165" s="217"/>
      <c r="AR165" s="217"/>
      <c r="AS165" s="217"/>
      <c r="AT165" s="217"/>
      <c r="AU165" s="217"/>
      <c r="AV165" s="217"/>
      <c r="AW165" s="217"/>
      <c r="AX165" s="217"/>
      <c r="AY165" s="217"/>
    </row>
    <row r="166" ht="12.75" customHeight="1">
      <c r="J166" s="232"/>
      <c r="V166" s="217"/>
      <c r="W166" s="217"/>
      <c r="X166" s="217"/>
      <c r="Y166" s="217"/>
      <c r="Z166" s="217"/>
      <c r="AA166" s="217"/>
      <c r="AB166" s="217"/>
      <c r="AC166" s="217"/>
      <c r="AD166" s="217"/>
      <c r="AE166" s="217"/>
      <c r="AF166" s="217"/>
      <c r="AG166" s="217"/>
      <c r="AH166" s="217"/>
      <c r="AI166" s="217"/>
      <c r="AJ166" s="217"/>
      <c r="AK166" s="217"/>
      <c r="AL166" s="217"/>
      <c r="AM166" s="217"/>
      <c r="AN166" s="217"/>
      <c r="AO166" s="217"/>
      <c r="AP166" s="217"/>
      <c r="AQ166" s="217"/>
      <c r="AR166" s="217"/>
      <c r="AS166" s="217"/>
      <c r="AT166" s="217"/>
      <c r="AU166" s="217"/>
      <c r="AV166" s="217"/>
      <c r="AW166" s="217"/>
      <c r="AX166" s="217"/>
      <c r="AY166" s="217"/>
    </row>
    <row r="167" ht="12.75" customHeight="1">
      <c r="J167" s="232"/>
      <c r="V167" s="217"/>
      <c r="W167" s="217"/>
      <c r="X167" s="217"/>
      <c r="Y167" s="217"/>
      <c r="Z167" s="217"/>
      <c r="AA167" s="217"/>
      <c r="AB167" s="217"/>
      <c r="AC167" s="217"/>
      <c r="AD167" s="217"/>
      <c r="AE167" s="217"/>
      <c r="AF167" s="217"/>
      <c r="AG167" s="217"/>
      <c r="AH167" s="217"/>
      <c r="AI167" s="217"/>
      <c r="AJ167" s="217"/>
      <c r="AK167" s="217"/>
      <c r="AL167" s="217"/>
      <c r="AM167" s="217"/>
      <c r="AN167" s="217"/>
      <c r="AO167" s="217"/>
      <c r="AP167" s="217"/>
      <c r="AQ167" s="217"/>
      <c r="AR167" s="217"/>
      <c r="AS167" s="217"/>
      <c r="AT167" s="217"/>
      <c r="AU167" s="217"/>
      <c r="AV167" s="217"/>
      <c r="AW167" s="217"/>
      <c r="AX167" s="217"/>
      <c r="AY167" s="217"/>
    </row>
    <row r="168" ht="12.75" customHeight="1">
      <c r="J168" s="232"/>
      <c r="V168" s="217"/>
      <c r="W168" s="217"/>
      <c r="X168" s="217"/>
      <c r="Y168" s="217"/>
      <c r="Z168" s="217"/>
      <c r="AA168" s="217"/>
      <c r="AB168" s="217"/>
      <c r="AC168" s="217"/>
      <c r="AD168" s="217"/>
      <c r="AE168" s="217"/>
      <c r="AF168" s="217"/>
      <c r="AG168" s="217"/>
      <c r="AH168" s="217"/>
      <c r="AI168" s="217"/>
      <c r="AJ168" s="217"/>
      <c r="AK168" s="217"/>
      <c r="AL168" s="217"/>
      <c r="AM168" s="217"/>
      <c r="AN168" s="217"/>
      <c r="AO168" s="217"/>
      <c r="AP168" s="217"/>
      <c r="AQ168" s="217"/>
      <c r="AR168" s="217"/>
      <c r="AS168" s="217"/>
      <c r="AT168" s="217"/>
      <c r="AU168" s="217"/>
      <c r="AV168" s="217"/>
      <c r="AW168" s="217"/>
      <c r="AX168" s="217"/>
      <c r="AY168" s="217"/>
    </row>
    <row r="169" ht="12.75" customHeight="1">
      <c r="J169" s="232"/>
      <c r="V169" s="217"/>
      <c r="W169" s="217"/>
      <c r="X169" s="217"/>
      <c r="Y169" s="217"/>
      <c r="Z169" s="217"/>
      <c r="AA169" s="217"/>
      <c r="AB169" s="217"/>
      <c r="AC169" s="217"/>
      <c r="AD169" s="217"/>
      <c r="AE169" s="217"/>
      <c r="AF169" s="217"/>
      <c r="AG169" s="217"/>
      <c r="AH169" s="217"/>
      <c r="AI169" s="217"/>
      <c r="AJ169" s="217"/>
      <c r="AK169" s="217"/>
      <c r="AL169" s="217"/>
      <c r="AM169" s="217"/>
      <c r="AN169" s="217"/>
      <c r="AO169" s="217"/>
      <c r="AP169" s="217"/>
      <c r="AQ169" s="217"/>
      <c r="AR169" s="217"/>
      <c r="AS169" s="217"/>
      <c r="AT169" s="217"/>
      <c r="AU169" s="217"/>
      <c r="AV169" s="217"/>
      <c r="AW169" s="217"/>
      <c r="AX169" s="217"/>
      <c r="AY169" s="217"/>
    </row>
    <row r="170" ht="12.75" customHeight="1">
      <c r="J170" s="232"/>
      <c r="V170" s="217"/>
      <c r="W170" s="217"/>
      <c r="X170" s="217"/>
      <c r="Y170" s="217"/>
      <c r="Z170" s="217"/>
      <c r="AA170" s="217"/>
      <c r="AB170" s="217"/>
      <c r="AC170" s="217"/>
      <c r="AD170" s="217"/>
      <c r="AE170" s="217"/>
      <c r="AF170" s="217"/>
      <c r="AG170" s="217"/>
      <c r="AH170" s="217"/>
      <c r="AI170" s="217"/>
      <c r="AJ170" s="217"/>
      <c r="AK170" s="217"/>
      <c r="AL170" s="217"/>
      <c r="AM170" s="217"/>
      <c r="AN170" s="217"/>
      <c r="AO170" s="217"/>
      <c r="AP170" s="217"/>
      <c r="AQ170" s="217"/>
      <c r="AR170" s="217"/>
      <c r="AS170" s="217"/>
      <c r="AT170" s="217"/>
      <c r="AU170" s="217"/>
      <c r="AV170" s="217"/>
      <c r="AW170" s="217"/>
      <c r="AX170" s="217"/>
      <c r="AY170" s="217"/>
    </row>
    <row r="171" ht="12.75" customHeight="1">
      <c r="J171" s="232"/>
      <c r="V171" s="217"/>
      <c r="W171" s="217"/>
      <c r="X171" s="217"/>
      <c r="Y171" s="217"/>
      <c r="Z171" s="217"/>
      <c r="AA171" s="217"/>
      <c r="AB171" s="217"/>
      <c r="AC171" s="217"/>
      <c r="AD171" s="217"/>
      <c r="AE171" s="217"/>
      <c r="AF171" s="217"/>
      <c r="AG171" s="217"/>
      <c r="AH171" s="217"/>
      <c r="AI171" s="217"/>
      <c r="AJ171" s="217"/>
      <c r="AK171" s="217"/>
      <c r="AL171" s="217"/>
      <c r="AM171" s="217"/>
      <c r="AN171" s="217"/>
      <c r="AO171" s="217"/>
      <c r="AP171" s="217"/>
      <c r="AQ171" s="217"/>
      <c r="AR171" s="217"/>
      <c r="AS171" s="217"/>
      <c r="AT171" s="217"/>
      <c r="AU171" s="217"/>
      <c r="AV171" s="217"/>
      <c r="AW171" s="217"/>
      <c r="AX171" s="217"/>
      <c r="AY171" s="217"/>
    </row>
    <row r="172" ht="12.75" customHeight="1">
      <c r="J172" s="232"/>
      <c r="V172" s="217"/>
      <c r="W172" s="217"/>
      <c r="X172" s="217"/>
      <c r="Y172" s="217"/>
      <c r="Z172" s="217"/>
      <c r="AA172" s="217"/>
      <c r="AB172" s="217"/>
      <c r="AC172" s="217"/>
      <c r="AD172" s="217"/>
      <c r="AE172" s="217"/>
      <c r="AF172" s="217"/>
      <c r="AG172" s="217"/>
      <c r="AH172" s="217"/>
      <c r="AI172" s="217"/>
      <c r="AJ172" s="217"/>
      <c r="AK172" s="217"/>
      <c r="AL172" s="217"/>
      <c r="AM172" s="217"/>
      <c r="AN172" s="217"/>
      <c r="AO172" s="217"/>
      <c r="AP172" s="217"/>
      <c r="AQ172" s="217"/>
      <c r="AR172" s="217"/>
      <c r="AS172" s="217"/>
      <c r="AT172" s="217"/>
      <c r="AU172" s="217"/>
      <c r="AV172" s="217"/>
      <c r="AW172" s="217"/>
      <c r="AX172" s="217"/>
      <c r="AY172" s="217"/>
    </row>
    <row r="173" ht="12.75" customHeight="1">
      <c r="J173" s="232"/>
      <c r="V173" s="217"/>
      <c r="W173" s="217"/>
      <c r="X173" s="217"/>
      <c r="Y173" s="217"/>
      <c r="Z173" s="217"/>
      <c r="AA173" s="217"/>
      <c r="AB173" s="217"/>
      <c r="AC173" s="217"/>
      <c r="AD173" s="217"/>
      <c r="AE173" s="217"/>
      <c r="AF173" s="217"/>
      <c r="AG173" s="217"/>
      <c r="AH173" s="217"/>
      <c r="AI173" s="217"/>
      <c r="AJ173" s="217"/>
      <c r="AK173" s="217"/>
      <c r="AL173" s="217"/>
      <c r="AM173" s="217"/>
      <c r="AN173" s="217"/>
      <c r="AO173" s="217"/>
      <c r="AP173" s="217"/>
      <c r="AQ173" s="217"/>
      <c r="AR173" s="217"/>
      <c r="AS173" s="217"/>
      <c r="AT173" s="217"/>
      <c r="AU173" s="217"/>
      <c r="AV173" s="217"/>
      <c r="AW173" s="217"/>
      <c r="AX173" s="217"/>
      <c r="AY173" s="217"/>
    </row>
    <row r="174" ht="12.75" customHeight="1">
      <c r="J174" s="232"/>
      <c r="V174" s="217"/>
      <c r="W174" s="217"/>
      <c r="X174" s="217"/>
      <c r="Y174" s="217"/>
      <c r="Z174" s="217"/>
      <c r="AA174" s="217"/>
      <c r="AB174" s="217"/>
      <c r="AC174" s="217"/>
      <c r="AD174" s="217"/>
      <c r="AE174" s="217"/>
      <c r="AF174" s="217"/>
      <c r="AG174" s="217"/>
      <c r="AH174" s="217"/>
      <c r="AI174" s="217"/>
      <c r="AJ174" s="217"/>
      <c r="AK174" s="217"/>
      <c r="AL174" s="217"/>
      <c r="AM174" s="217"/>
      <c r="AN174" s="217"/>
      <c r="AO174" s="217"/>
      <c r="AP174" s="217"/>
      <c r="AQ174" s="217"/>
      <c r="AR174" s="217"/>
      <c r="AS174" s="217"/>
      <c r="AT174" s="217"/>
      <c r="AU174" s="217"/>
      <c r="AV174" s="217"/>
      <c r="AW174" s="217"/>
      <c r="AX174" s="217"/>
      <c r="AY174" s="217"/>
    </row>
    <row r="175" ht="12.75" customHeight="1">
      <c r="J175" s="232"/>
      <c r="V175" s="217"/>
      <c r="W175" s="217"/>
      <c r="X175" s="217"/>
      <c r="Y175" s="217"/>
      <c r="Z175" s="217"/>
      <c r="AA175" s="217"/>
      <c r="AB175" s="217"/>
      <c r="AC175" s="217"/>
      <c r="AD175" s="217"/>
      <c r="AE175" s="217"/>
      <c r="AF175" s="217"/>
      <c r="AG175" s="217"/>
      <c r="AH175" s="217"/>
      <c r="AI175" s="217"/>
      <c r="AJ175" s="217"/>
      <c r="AK175" s="217"/>
      <c r="AL175" s="217"/>
      <c r="AM175" s="217"/>
      <c r="AN175" s="217"/>
      <c r="AO175" s="217"/>
      <c r="AP175" s="217"/>
      <c r="AQ175" s="217"/>
      <c r="AR175" s="217"/>
      <c r="AS175" s="217"/>
      <c r="AT175" s="217"/>
      <c r="AU175" s="217"/>
      <c r="AV175" s="217"/>
      <c r="AW175" s="217"/>
      <c r="AX175" s="217"/>
      <c r="AY175" s="217"/>
    </row>
    <row r="176" ht="12.75" customHeight="1">
      <c r="J176" s="232"/>
      <c r="V176" s="217"/>
      <c r="W176" s="217"/>
      <c r="X176" s="217"/>
      <c r="Y176" s="217"/>
      <c r="Z176" s="217"/>
      <c r="AA176" s="217"/>
      <c r="AB176" s="217"/>
      <c r="AC176" s="217"/>
      <c r="AD176" s="217"/>
      <c r="AE176" s="217"/>
      <c r="AF176" s="217"/>
      <c r="AG176" s="217"/>
      <c r="AH176" s="217"/>
      <c r="AI176" s="217"/>
      <c r="AJ176" s="217"/>
      <c r="AK176" s="217"/>
      <c r="AL176" s="217"/>
      <c r="AM176" s="217"/>
      <c r="AN176" s="217"/>
      <c r="AO176" s="217"/>
      <c r="AP176" s="217"/>
      <c r="AQ176" s="217"/>
      <c r="AR176" s="217"/>
      <c r="AS176" s="217"/>
      <c r="AT176" s="217"/>
      <c r="AU176" s="217"/>
      <c r="AV176" s="217"/>
      <c r="AW176" s="217"/>
      <c r="AX176" s="217"/>
      <c r="AY176" s="217"/>
    </row>
    <row r="177" ht="12.75" customHeight="1">
      <c r="J177" s="232"/>
      <c r="V177" s="217"/>
      <c r="W177" s="217"/>
      <c r="X177" s="217"/>
      <c r="Y177" s="217"/>
      <c r="Z177" s="217"/>
      <c r="AA177" s="217"/>
      <c r="AB177" s="217"/>
      <c r="AC177" s="217"/>
      <c r="AD177" s="217"/>
      <c r="AE177" s="217"/>
      <c r="AF177" s="217"/>
      <c r="AG177" s="217"/>
      <c r="AH177" s="217"/>
      <c r="AI177" s="217"/>
      <c r="AJ177" s="217"/>
      <c r="AK177" s="217"/>
      <c r="AL177" s="217"/>
      <c r="AM177" s="217"/>
      <c r="AN177" s="217"/>
      <c r="AO177" s="217"/>
      <c r="AP177" s="217"/>
      <c r="AQ177" s="217"/>
      <c r="AR177" s="217"/>
      <c r="AS177" s="217"/>
      <c r="AT177" s="217"/>
      <c r="AU177" s="217"/>
      <c r="AV177" s="217"/>
      <c r="AW177" s="217"/>
      <c r="AX177" s="217"/>
      <c r="AY177" s="217"/>
    </row>
    <row r="178" ht="12.75" customHeight="1">
      <c r="J178" s="232"/>
      <c r="V178" s="217"/>
      <c r="W178" s="217"/>
      <c r="X178" s="217"/>
      <c r="Y178" s="217"/>
      <c r="Z178" s="217"/>
      <c r="AA178" s="217"/>
      <c r="AB178" s="217"/>
      <c r="AC178" s="217"/>
      <c r="AD178" s="217"/>
      <c r="AE178" s="217"/>
      <c r="AF178" s="217"/>
      <c r="AG178" s="217"/>
      <c r="AH178" s="217"/>
      <c r="AI178" s="217"/>
      <c r="AJ178" s="217"/>
      <c r="AK178" s="217"/>
      <c r="AL178" s="217"/>
      <c r="AM178" s="217"/>
      <c r="AN178" s="217"/>
      <c r="AO178" s="217"/>
      <c r="AP178" s="217"/>
      <c r="AQ178" s="217"/>
      <c r="AR178" s="217"/>
      <c r="AS178" s="217"/>
      <c r="AT178" s="217"/>
      <c r="AU178" s="217"/>
      <c r="AV178" s="217"/>
      <c r="AW178" s="217"/>
      <c r="AX178" s="217"/>
      <c r="AY178" s="217"/>
    </row>
    <row r="179" ht="12.75" customHeight="1">
      <c r="J179" s="232"/>
      <c r="V179" s="217"/>
      <c r="W179" s="217"/>
      <c r="X179" s="217"/>
      <c r="Y179" s="217"/>
      <c r="Z179" s="217"/>
      <c r="AA179" s="217"/>
      <c r="AB179" s="217"/>
      <c r="AC179" s="217"/>
      <c r="AD179" s="217"/>
      <c r="AE179" s="217"/>
      <c r="AF179" s="217"/>
      <c r="AG179" s="217"/>
      <c r="AH179" s="217"/>
      <c r="AI179" s="217"/>
      <c r="AJ179" s="217"/>
      <c r="AK179" s="217"/>
      <c r="AL179" s="217"/>
      <c r="AM179" s="217"/>
      <c r="AN179" s="217"/>
      <c r="AO179" s="217"/>
      <c r="AP179" s="217"/>
      <c r="AQ179" s="217"/>
      <c r="AR179" s="217"/>
      <c r="AS179" s="217"/>
      <c r="AT179" s="217"/>
      <c r="AU179" s="217"/>
      <c r="AV179" s="217"/>
      <c r="AW179" s="217"/>
      <c r="AX179" s="217"/>
      <c r="AY179" s="217"/>
    </row>
    <row r="180" ht="12.75" customHeight="1">
      <c r="J180" s="232"/>
      <c r="V180" s="217"/>
      <c r="W180" s="217"/>
      <c r="X180" s="217"/>
      <c r="Y180" s="217"/>
      <c r="Z180" s="217"/>
      <c r="AA180" s="217"/>
      <c r="AB180" s="217"/>
      <c r="AC180" s="217"/>
      <c r="AD180" s="217"/>
      <c r="AE180" s="217"/>
      <c r="AF180" s="217"/>
      <c r="AG180" s="217"/>
      <c r="AH180" s="217"/>
      <c r="AI180" s="217"/>
      <c r="AJ180" s="217"/>
      <c r="AK180" s="217"/>
      <c r="AL180" s="217"/>
      <c r="AM180" s="217"/>
      <c r="AN180" s="217"/>
      <c r="AO180" s="217"/>
      <c r="AP180" s="217"/>
      <c r="AQ180" s="217"/>
      <c r="AR180" s="217"/>
      <c r="AS180" s="217"/>
      <c r="AT180" s="217"/>
      <c r="AU180" s="217"/>
      <c r="AV180" s="217"/>
      <c r="AW180" s="217"/>
      <c r="AX180" s="217"/>
      <c r="AY180" s="217"/>
    </row>
    <row r="181" ht="12.75" customHeight="1">
      <c r="J181" s="232"/>
      <c r="V181" s="217"/>
      <c r="W181" s="217"/>
      <c r="X181" s="217"/>
      <c r="Y181" s="217"/>
      <c r="Z181" s="217"/>
      <c r="AA181" s="217"/>
      <c r="AB181" s="217"/>
      <c r="AC181" s="217"/>
      <c r="AD181" s="217"/>
      <c r="AE181" s="217"/>
      <c r="AF181" s="217"/>
      <c r="AG181" s="217"/>
      <c r="AH181" s="217"/>
      <c r="AI181" s="217"/>
      <c r="AJ181" s="217"/>
      <c r="AK181" s="217"/>
      <c r="AL181" s="217"/>
      <c r="AM181" s="217"/>
      <c r="AN181" s="217"/>
      <c r="AO181" s="217"/>
      <c r="AP181" s="217"/>
      <c r="AQ181" s="217"/>
      <c r="AR181" s="217"/>
      <c r="AS181" s="217"/>
      <c r="AT181" s="217"/>
      <c r="AU181" s="217"/>
      <c r="AV181" s="217"/>
      <c r="AW181" s="217"/>
      <c r="AX181" s="217"/>
      <c r="AY181" s="217"/>
    </row>
    <row r="182" ht="12.75" customHeight="1">
      <c r="J182" s="232"/>
    </row>
    <row r="183" ht="12.75" customHeight="1">
      <c r="J183" s="232"/>
    </row>
    <row r="184" ht="12.75" customHeight="1">
      <c r="J184" s="232"/>
    </row>
    <row r="185" ht="12.75" customHeight="1">
      <c r="J185" s="232"/>
    </row>
    <row r="186" ht="12.75" customHeight="1">
      <c r="J186" s="232"/>
    </row>
    <row r="187" ht="12.75" customHeight="1">
      <c r="J187" s="232"/>
    </row>
    <row r="188" ht="12.75" customHeight="1">
      <c r="J188" s="232"/>
    </row>
    <row r="189" ht="12.75" customHeight="1">
      <c r="J189" s="232"/>
    </row>
    <row r="190" ht="12.75" customHeight="1">
      <c r="J190" s="232"/>
    </row>
    <row r="191" ht="12.75" customHeight="1">
      <c r="J191" s="232"/>
    </row>
    <row r="192" ht="12.75" customHeight="1">
      <c r="J192" s="232"/>
    </row>
    <row r="193" ht="12.75" customHeight="1">
      <c r="J193" s="232"/>
    </row>
    <row r="194" ht="12.75" customHeight="1">
      <c r="J194" s="232"/>
    </row>
    <row r="195" ht="12.75" customHeight="1">
      <c r="J195" s="232"/>
    </row>
    <row r="196" ht="12.75" customHeight="1">
      <c r="J196" s="232"/>
    </row>
    <row r="197" ht="12.75" customHeight="1">
      <c r="J197" s="232"/>
    </row>
    <row r="198" ht="12.75" customHeight="1">
      <c r="J198" s="232"/>
    </row>
    <row r="199" ht="12.75" customHeight="1">
      <c r="J199" s="232"/>
    </row>
    <row r="200" ht="12.75" customHeight="1">
      <c r="J200" s="232"/>
    </row>
    <row r="201" ht="12.75" customHeight="1">
      <c r="J201" s="232"/>
    </row>
    <row r="202" ht="12.75" customHeight="1">
      <c r="J202" s="232"/>
    </row>
    <row r="203" ht="12.75" customHeight="1">
      <c r="J203" s="232"/>
    </row>
    <row r="204" ht="12.75" customHeight="1">
      <c r="J204" s="232"/>
    </row>
    <row r="205" ht="12.75" customHeight="1">
      <c r="J205" s="232"/>
    </row>
    <row r="206" ht="12.75" customHeight="1">
      <c r="J206" s="232"/>
    </row>
    <row r="207" ht="12.75" customHeight="1">
      <c r="J207" s="232"/>
    </row>
    <row r="208" ht="12.75" customHeight="1">
      <c r="J208" s="232"/>
    </row>
    <row r="209" ht="12.75" customHeight="1">
      <c r="J209" s="232"/>
    </row>
    <row r="210" ht="12.75" customHeight="1">
      <c r="J210" s="232"/>
    </row>
    <row r="211" ht="12.75" customHeight="1">
      <c r="J211" s="232"/>
    </row>
    <row r="212" ht="12.75" customHeight="1">
      <c r="J212" s="232"/>
    </row>
    <row r="213" ht="12.75" customHeight="1">
      <c r="J213" s="232"/>
    </row>
    <row r="214" ht="12.75" customHeight="1">
      <c r="J214" s="232"/>
    </row>
    <row r="215" ht="12.75" customHeight="1">
      <c r="J215" s="232"/>
    </row>
    <row r="216" ht="12.75" customHeight="1">
      <c r="J216" s="232"/>
    </row>
    <row r="217" ht="12.75" customHeight="1">
      <c r="J217" s="232"/>
    </row>
    <row r="218" ht="12.75" customHeight="1">
      <c r="J218" s="232"/>
    </row>
    <row r="219" ht="12.75" customHeight="1">
      <c r="J219" s="232"/>
    </row>
    <row r="220" ht="12.75" customHeight="1">
      <c r="J220" s="232"/>
    </row>
    <row r="221" ht="12.75" customHeight="1">
      <c r="J221" s="232"/>
    </row>
    <row r="222" ht="12.75" customHeight="1">
      <c r="J222" s="232"/>
    </row>
    <row r="223" ht="12.75" customHeight="1">
      <c r="J223" s="232"/>
    </row>
    <row r="224" ht="12.75" customHeight="1">
      <c r="J224" s="232"/>
    </row>
    <row r="225" ht="12.75" customHeight="1">
      <c r="J225" s="232"/>
    </row>
    <row r="226" ht="12.75" customHeight="1">
      <c r="J226" s="232"/>
    </row>
    <row r="227" ht="12.75" customHeight="1">
      <c r="J227" s="232"/>
    </row>
    <row r="228" ht="12.75" customHeight="1">
      <c r="J228" s="232"/>
    </row>
    <row r="229" ht="12.75" customHeight="1">
      <c r="J229" s="232"/>
    </row>
    <row r="230" ht="12.75" customHeight="1">
      <c r="J230" s="232"/>
    </row>
    <row r="231" ht="12.75" customHeight="1">
      <c r="J231" s="232"/>
    </row>
    <row r="232" ht="12.75" customHeight="1">
      <c r="J232" s="232"/>
    </row>
    <row r="233" ht="12.75" customHeight="1">
      <c r="J233" s="232"/>
    </row>
    <row r="234" ht="12.75" customHeight="1">
      <c r="J234" s="232"/>
    </row>
    <row r="235" ht="12.75" customHeight="1">
      <c r="J235" s="232"/>
    </row>
    <row r="236" ht="12.75" customHeight="1">
      <c r="J236" s="232"/>
    </row>
    <row r="237" ht="12.75" customHeight="1">
      <c r="J237" s="232"/>
    </row>
    <row r="238" ht="12.75" customHeight="1">
      <c r="J238" s="232"/>
    </row>
    <row r="239" ht="12.75" customHeight="1">
      <c r="J239" s="232"/>
    </row>
    <row r="240" ht="12.75" customHeight="1">
      <c r="J240" s="232"/>
    </row>
    <row r="241" ht="12.75" customHeight="1">
      <c r="J241" s="232"/>
    </row>
    <row r="242" ht="12.75" customHeight="1">
      <c r="J242" s="232"/>
    </row>
    <row r="243" ht="12.75" customHeight="1">
      <c r="J243" s="232"/>
    </row>
    <row r="244" ht="12.75" customHeight="1">
      <c r="J244" s="232"/>
    </row>
    <row r="245" ht="12.75" customHeight="1">
      <c r="J245" s="232"/>
    </row>
    <row r="246" ht="12.75" customHeight="1">
      <c r="J246" s="232"/>
    </row>
    <row r="247" ht="12.75" customHeight="1">
      <c r="J247" s="232"/>
    </row>
    <row r="248" ht="12.75" customHeight="1">
      <c r="J248" s="232"/>
    </row>
    <row r="249" ht="12.75" customHeight="1">
      <c r="J249" s="232"/>
    </row>
    <row r="250" ht="12.75" customHeight="1">
      <c r="J250" s="232"/>
    </row>
    <row r="251" ht="12.75" customHeight="1">
      <c r="J251" s="232"/>
    </row>
    <row r="252" ht="12.75" customHeight="1">
      <c r="J252" s="232"/>
    </row>
    <row r="253" ht="12.75" customHeight="1">
      <c r="J253" s="232"/>
    </row>
    <row r="254" ht="12.75" customHeight="1">
      <c r="J254" s="232"/>
    </row>
    <row r="255" ht="12.75" customHeight="1">
      <c r="J255" s="232"/>
    </row>
    <row r="256" ht="12.75" customHeight="1">
      <c r="J256" s="232"/>
    </row>
    <row r="257" ht="12.75" customHeight="1">
      <c r="J257" s="232"/>
    </row>
    <row r="258" ht="12.75" customHeight="1">
      <c r="J258" s="232"/>
    </row>
    <row r="259" ht="12.75" customHeight="1">
      <c r="J259" s="232"/>
    </row>
    <row r="260" ht="12.75" customHeight="1">
      <c r="J260" s="232"/>
    </row>
    <row r="261" ht="12.75" customHeight="1">
      <c r="J261" s="232"/>
    </row>
    <row r="262" ht="12.75" customHeight="1">
      <c r="J262" s="232"/>
    </row>
    <row r="263" ht="12.75" customHeight="1">
      <c r="J263" s="232"/>
    </row>
    <row r="264" ht="12.75" customHeight="1">
      <c r="J264" s="232"/>
    </row>
    <row r="265" ht="12.75" customHeight="1">
      <c r="J265" s="232"/>
    </row>
    <row r="266" ht="12.75" customHeight="1">
      <c r="J266" s="232"/>
    </row>
    <row r="267" ht="12.75" customHeight="1">
      <c r="J267" s="232"/>
    </row>
    <row r="268" ht="12.75" customHeight="1">
      <c r="J268" s="232"/>
    </row>
    <row r="269" ht="12.75" customHeight="1">
      <c r="J269" s="232"/>
    </row>
    <row r="270" ht="12.75" customHeight="1">
      <c r="J270" s="232"/>
    </row>
    <row r="271" ht="12.75" customHeight="1">
      <c r="J271" s="232"/>
    </row>
    <row r="272" ht="12.75" customHeight="1">
      <c r="J272" s="232"/>
    </row>
    <row r="273" ht="12.75" customHeight="1">
      <c r="J273" s="232"/>
    </row>
    <row r="274" ht="12.75" customHeight="1">
      <c r="J274" s="232"/>
    </row>
    <row r="275" ht="12.75" customHeight="1">
      <c r="J275" s="232"/>
    </row>
    <row r="276" ht="12.75" customHeight="1">
      <c r="J276" s="232"/>
    </row>
    <row r="277" ht="12.75" customHeight="1">
      <c r="J277" s="232"/>
    </row>
    <row r="278" ht="12.75" customHeight="1">
      <c r="J278" s="232"/>
    </row>
    <row r="279" ht="12.75" customHeight="1">
      <c r="J279" s="232"/>
    </row>
    <row r="280" ht="12.75" customHeight="1">
      <c r="J280" s="232"/>
    </row>
    <row r="281" ht="12.75" customHeight="1">
      <c r="J281" s="232"/>
    </row>
    <row r="282" ht="12.75" customHeight="1">
      <c r="J282" s="232"/>
    </row>
    <row r="283" ht="12.75" customHeight="1">
      <c r="J283" s="232"/>
    </row>
    <row r="284" ht="12.75" customHeight="1">
      <c r="J284" s="232"/>
    </row>
    <row r="285" ht="12.75" customHeight="1">
      <c r="J285" s="232"/>
    </row>
    <row r="286" ht="12.75" customHeight="1">
      <c r="J286" s="232"/>
    </row>
    <row r="287" ht="12.75" customHeight="1">
      <c r="J287" s="232"/>
    </row>
    <row r="288" ht="12.75" customHeight="1">
      <c r="J288" s="232"/>
    </row>
    <row r="289" ht="12.75" customHeight="1">
      <c r="J289" s="232"/>
    </row>
    <row r="290" ht="12.75" customHeight="1">
      <c r="J290" s="232"/>
    </row>
    <row r="291" ht="12.75" customHeight="1">
      <c r="J291" s="232"/>
    </row>
    <row r="292" ht="12.75" customHeight="1">
      <c r="J292" s="232"/>
    </row>
    <row r="293" ht="12.75" customHeight="1">
      <c r="J293" s="232"/>
    </row>
    <row r="294" ht="12.75" customHeight="1">
      <c r="J294" s="232"/>
    </row>
    <row r="295" ht="12.75" customHeight="1">
      <c r="J295" s="232"/>
    </row>
    <row r="296" ht="12.75" customHeight="1">
      <c r="J296" s="232"/>
    </row>
    <row r="297" ht="12.75" customHeight="1">
      <c r="J297" s="232"/>
    </row>
    <row r="298" ht="12.75" customHeight="1">
      <c r="J298" s="232"/>
    </row>
    <row r="299" ht="12.75" customHeight="1">
      <c r="J299" s="232"/>
    </row>
    <row r="300" ht="12.75" customHeight="1">
      <c r="J300" s="232"/>
    </row>
    <row r="301" ht="12.75" customHeight="1">
      <c r="J301" s="232"/>
    </row>
    <row r="302" ht="12.75" customHeight="1">
      <c r="J302" s="232"/>
    </row>
    <row r="303" ht="12.75" customHeight="1">
      <c r="J303" s="232"/>
    </row>
    <row r="304" ht="12.75" customHeight="1">
      <c r="J304" s="232"/>
    </row>
    <row r="305" ht="12.75" customHeight="1">
      <c r="J305" s="232"/>
    </row>
    <row r="306" ht="12.75" customHeight="1">
      <c r="J306" s="232"/>
    </row>
    <row r="307" ht="12.75" customHeight="1">
      <c r="J307" s="232"/>
    </row>
    <row r="308" ht="12.75" customHeight="1">
      <c r="J308" s="232"/>
    </row>
    <row r="309" ht="12.75" customHeight="1">
      <c r="J309" s="232"/>
    </row>
    <row r="310" ht="12.75" customHeight="1">
      <c r="J310" s="232"/>
    </row>
    <row r="311" ht="12.75" customHeight="1">
      <c r="J311" s="232"/>
    </row>
    <row r="312" ht="12.75" customHeight="1">
      <c r="J312" s="232"/>
    </row>
    <row r="313" ht="12.75" customHeight="1">
      <c r="J313" s="232"/>
    </row>
    <row r="314" ht="12.75" customHeight="1">
      <c r="J314" s="232"/>
    </row>
    <row r="315" ht="12.75" customHeight="1">
      <c r="J315" s="232"/>
    </row>
    <row r="316" ht="12.75" customHeight="1">
      <c r="J316" s="232"/>
    </row>
    <row r="317" ht="12.75" customHeight="1">
      <c r="J317" s="232"/>
    </row>
    <row r="318" ht="12.75" customHeight="1">
      <c r="J318" s="232"/>
    </row>
    <row r="319" ht="12.75" customHeight="1">
      <c r="J319" s="232"/>
    </row>
    <row r="320" ht="12.75" customHeight="1">
      <c r="J320" s="232"/>
    </row>
    <row r="321" ht="12.75" customHeight="1">
      <c r="J321" s="232"/>
    </row>
    <row r="322" ht="12.75" customHeight="1">
      <c r="J322" s="232"/>
    </row>
    <row r="323" ht="12.75" customHeight="1">
      <c r="J323" s="232"/>
    </row>
    <row r="324" ht="12.75" customHeight="1">
      <c r="J324" s="232"/>
    </row>
    <row r="325" ht="12.75" customHeight="1">
      <c r="J325" s="232"/>
    </row>
    <row r="326" ht="12.75" customHeight="1">
      <c r="J326" s="232"/>
    </row>
    <row r="327" ht="12.75" customHeight="1">
      <c r="J327" s="232"/>
    </row>
    <row r="328" ht="12.75" customHeight="1">
      <c r="J328" s="232"/>
    </row>
    <row r="329" ht="12.75" customHeight="1">
      <c r="J329" s="232"/>
    </row>
    <row r="330" ht="12.75" customHeight="1">
      <c r="J330" s="232"/>
    </row>
    <row r="331" ht="12.75" customHeight="1">
      <c r="J331" s="232"/>
    </row>
    <row r="332" ht="12.75" customHeight="1">
      <c r="J332" s="232"/>
    </row>
    <row r="333" ht="12.75" customHeight="1">
      <c r="J333" s="232"/>
    </row>
    <row r="334" ht="12.75" customHeight="1">
      <c r="J334" s="232"/>
    </row>
    <row r="335" ht="12.75" customHeight="1">
      <c r="J335" s="232"/>
    </row>
    <row r="336" ht="12.75" customHeight="1">
      <c r="J336" s="232"/>
    </row>
    <row r="337" ht="12.75" customHeight="1">
      <c r="J337" s="232"/>
    </row>
    <row r="338" ht="12.75" customHeight="1">
      <c r="J338" s="232"/>
    </row>
    <row r="339" ht="12.75" customHeight="1">
      <c r="J339" s="232"/>
    </row>
    <row r="340" ht="12.75" customHeight="1">
      <c r="J340" s="232"/>
    </row>
    <row r="341" ht="12.75" customHeight="1">
      <c r="J341" s="232"/>
    </row>
    <row r="342" ht="12.75" customHeight="1">
      <c r="J342" s="232"/>
    </row>
    <row r="343" ht="12.75" customHeight="1">
      <c r="J343" s="232"/>
    </row>
    <row r="344" ht="12.75" customHeight="1">
      <c r="J344" s="232"/>
    </row>
    <row r="345" ht="12.75" customHeight="1">
      <c r="J345" s="232"/>
    </row>
    <row r="346" ht="12.75" customHeight="1">
      <c r="J346" s="232"/>
    </row>
    <row r="347" ht="12.75" customHeight="1">
      <c r="J347" s="232"/>
    </row>
    <row r="348" ht="12.75" customHeight="1">
      <c r="J348" s="232"/>
    </row>
    <row r="349" ht="12.75" customHeight="1">
      <c r="J349" s="232"/>
    </row>
    <row r="350" ht="12.75" customHeight="1">
      <c r="J350" s="232"/>
    </row>
    <row r="351" ht="12.75" customHeight="1">
      <c r="J351" s="232"/>
    </row>
    <row r="352" ht="12.75" customHeight="1">
      <c r="J352" s="232"/>
    </row>
    <row r="353" ht="12.75" customHeight="1">
      <c r="J353" s="232"/>
    </row>
    <row r="354" ht="12.75" customHeight="1">
      <c r="J354" s="232"/>
    </row>
    <row r="355" ht="12.75" customHeight="1">
      <c r="J355" s="232"/>
    </row>
    <row r="356" ht="12.75" customHeight="1">
      <c r="J356" s="232"/>
    </row>
    <row r="357" ht="12.75" customHeight="1">
      <c r="J357" s="232"/>
    </row>
    <row r="358" ht="12.75" customHeight="1">
      <c r="J358" s="232"/>
    </row>
    <row r="359" ht="12.75" customHeight="1">
      <c r="J359" s="232"/>
    </row>
    <row r="360" ht="12.75" customHeight="1">
      <c r="J360" s="232"/>
    </row>
    <row r="361" ht="12.75" customHeight="1">
      <c r="J361" s="232"/>
    </row>
    <row r="362" ht="12.75" customHeight="1">
      <c r="J362" s="232"/>
    </row>
    <row r="363" ht="12.75" customHeight="1">
      <c r="J363" s="232"/>
    </row>
    <row r="364" ht="12.75" customHeight="1">
      <c r="J364" s="232"/>
    </row>
    <row r="365" ht="12.75" customHeight="1">
      <c r="J365" s="232"/>
    </row>
    <row r="366" ht="12.75" customHeight="1">
      <c r="J366" s="232"/>
    </row>
    <row r="367" ht="12.75" customHeight="1">
      <c r="J367" s="232"/>
    </row>
    <row r="368" ht="12.75" customHeight="1">
      <c r="J368" s="232"/>
    </row>
    <row r="369" ht="12.75" customHeight="1">
      <c r="J369" s="232"/>
    </row>
    <row r="370" ht="12.75" customHeight="1">
      <c r="J370" s="232"/>
    </row>
    <row r="371" ht="12.75" customHeight="1">
      <c r="J371" s="232"/>
    </row>
    <row r="372" ht="12.75" customHeight="1">
      <c r="J372" s="232"/>
    </row>
    <row r="373" ht="12.75" customHeight="1">
      <c r="J373" s="232"/>
    </row>
    <row r="374" ht="12.75" customHeight="1">
      <c r="J374" s="232"/>
    </row>
    <row r="375" ht="12.75" customHeight="1">
      <c r="J375" s="232"/>
    </row>
    <row r="376" ht="12.75" customHeight="1">
      <c r="J376" s="232"/>
    </row>
    <row r="377" ht="12.75" customHeight="1">
      <c r="J377" s="232"/>
    </row>
    <row r="378" ht="12.75" customHeight="1">
      <c r="J378" s="232"/>
    </row>
    <row r="379" ht="12.75" customHeight="1">
      <c r="J379" s="232"/>
    </row>
    <row r="380" ht="12.75" customHeight="1">
      <c r="J380" s="232"/>
    </row>
    <row r="381" ht="12.75" customHeight="1">
      <c r="J381" s="232"/>
    </row>
    <row r="382" ht="12.75" customHeight="1">
      <c r="J382" s="232"/>
    </row>
    <row r="383" ht="12.75" customHeight="1">
      <c r="J383" s="232"/>
    </row>
    <row r="384" ht="12.75" customHeight="1">
      <c r="J384" s="232"/>
    </row>
    <row r="385" ht="12.75" customHeight="1">
      <c r="J385" s="232"/>
    </row>
    <row r="386" ht="12.75" customHeight="1">
      <c r="J386" s="232"/>
    </row>
    <row r="387" ht="12.75" customHeight="1">
      <c r="J387" s="232"/>
    </row>
    <row r="388" ht="12.75" customHeight="1">
      <c r="J388" s="232"/>
    </row>
    <row r="389" ht="12.75" customHeight="1">
      <c r="J389" s="232"/>
    </row>
    <row r="390" ht="12.75" customHeight="1">
      <c r="J390" s="232"/>
    </row>
    <row r="391" ht="12.75" customHeight="1">
      <c r="J391" s="232"/>
    </row>
    <row r="392" ht="12.75" customHeight="1">
      <c r="J392" s="232"/>
    </row>
    <row r="393" ht="12.75" customHeight="1">
      <c r="J393" s="232"/>
    </row>
    <row r="394" ht="12.75" customHeight="1">
      <c r="J394" s="232"/>
    </row>
    <row r="395" ht="12.75" customHeight="1">
      <c r="J395" s="232"/>
    </row>
    <row r="396" ht="12.75" customHeight="1">
      <c r="J396" s="232"/>
    </row>
    <row r="397" ht="12.75" customHeight="1">
      <c r="J397" s="232"/>
    </row>
    <row r="398" ht="12.75" customHeight="1">
      <c r="J398" s="232"/>
    </row>
    <row r="399" ht="12.75" customHeight="1">
      <c r="J399" s="232"/>
    </row>
    <row r="400" ht="12.75" customHeight="1">
      <c r="J400" s="232"/>
    </row>
    <row r="401" ht="12.75" customHeight="1">
      <c r="J401" s="232"/>
    </row>
    <row r="402" ht="12.75" customHeight="1">
      <c r="J402" s="232"/>
    </row>
    <row r="403" ht="12.75" customHeight="1">
      <c r="J403" s="232"/>
    </row>
    <row r="404" ht="12.75" customHeight="1">
      <c r="J404" s="232"/>
    </row>
    <row r="405" ht="12.75" customHeight="1">
      <c r="J405" s="232"/>
    </row>
    <row r="406" ht="12.75" customHeight="1">
      <c r="J406" s="232"/>
    </row>
    <row r="407" ht="12.75" customHeight="1">
      <c r="J407" s="232"/>
    </row>
    <row r="408" ht="12.75" customHeight="1">
      <c r="J408" s="232"/>
    </row>
    <row r="409" ht="12.75" customHeight="1">
      <c r="J409" s="232"/>
    </row>
    <row r="410" ht="12.75" customHeight="1">
      <c r="J410" s="232"/>
    </row>
    <row r="411" ht="12.75" customHeight="1">
      <c r="J411" s="232"/>
    </row>
    <row r="412" ht="12.75" customHeight="1">
      <c r="J412" s="232"/>
    </row>
    <row r="413" ht="12.75" customHeight="1">
      <c r="J413" s="232"/>
    </row>
    <row r="414" ht="12.75" customHeight="1">
      <c r="J414" s="232"/>
    </row>
    <row r="415" ht="12.75" customHeight="1">
      <c r="J415" s="232"/>
    </row>
    <row r="416" ht="12.75" customHeight="1">
      <c r="J416" s="232"/>
    </row>
    <row r="417" ht="12.75" customHeight="1">
      <c r="J417" s="232"/>
    </row>
    <row r="418" ht="12.75" customHeight="1">
      <c r="J418" s="232"/>
    </row>
    <row r="419" ht="12.75" customHeight="1">
      <c r="J419" s="232"/>
    </row>
    <row r="420" ht="12.75" customHeight="1">
      <c r="J420" s="232"/>
    </row>
    <row r="421" ht="12.75" customHeight="1">
      <c r="J421" s="232"/>
    </row>
    <row r="422" ht="12.75" customHeight="1">
      <c r="J422" s="232"/>
    </row>
    <row r="423" ht="12.75" customHeight="1">
      <c r="J423" s="232"/>
    </row>
    <row r="424" ht="12.75" customHeight="1">
      <c r="J424" s="232"/>
    </row>
    <row r="425" ht="12.75" customHeight="1">
      <c r="J425" s="232"/>
    </row>
    <row r="426" ht="12.75" customHeight="1">
      <c r="J426" s="232"/>
    </row>
    <row r="427" ht="12.75" customHeight="1">
      <c r="J427" s="232"/>
    </row>
    <row r="428" ht="12.75" customHeight="1">
      <c r="J428" s="232"/>
    </row>
    <row r="429" ht="12.75" customHeight="1">
      <c r="J429" s="232"/>
    </row>
    <row r="430" ht="12.75" customHeight="1">
      <c r="J430" s="232"/>
    </row>
    <row r="431" ht="12.75" customHeight="1">
      <c r="J431" s="232"/>
    </row>
    <row r="432" ht="12.75" customHeight="1">
      <c r="J432" s="232"/>
    </row>
    <row r="433" ht="12.75" customHeight="1">
      <c r="J433" s="232"/>
    </row>
    <row r="434" ht="12.75" customHeight="1">
      <c r="J434" s="232"/>
    </row>
    <row r="435" ht="12.75" customHeight="1">
      <c r="J435" s="232"/>
    </row>
    <row r="436" ht="12.75" customHeight="1">
      <c r="J436" s="232"/>
    </row>
    <row r="437" ht="12.75" customHeight="1">
      <c r="J437" s="232"/>
    </row>
    <row r="438" ht="12.75" customHeight="1">
      <c r="J438" s="232"/>
    </row>
    <row r="439" ht="12.75" customHeight="1">
      <c r="J439" s="232"/>
    </row>
    <row r="440" ht="12.75" customHeight="1">
      <c r="J440" s="232"/>
    </row>
    <row r="441" ht="12.75" customHeight="1">
      <c r="J441" s="232"/>
    </row>
    <row r="442" ht="12.75" customHeight="1">
      <c r="J442" s="232"/>
    </row>
    <row r="443" ht="12.75" customHeight="1">
      <c r="J443" s="232"/>
    </row>
    <row r="444" ht="12.75" customHeight="1">
      <c r="J444" s="232"/>
    </row>
    <row r="445" ht="12.75" customHeight="1">
      <c r="J445" s="232"/>
    </row>
    <row r="446" ht="12.75" customHeight="1">
      <c r="J446" s="232"/>
    </row>
    <row r="447" ht="12.75" customHeight="1">
      <c r="J447" s="232"/>
    </row>
    <row r="448" ht="12.75" customHeight="1">
      <c r="J448" s="232"/>
    </row>
    <row r="449" ht="12.75" customHeight="1">
      <c r="J449" s="232"/>
    </row>
    <row r="450" ht="12.75" customHeight="1">
      <c r="J450" s="232"/>
    </row>
    <row r="451" ht="12.75" customHeight="1">
      <c r="J451" s="232"/>
    </row>
    <row r="452" ht="12.75" customHeight="1">
      <c r="J452" s="232"/>
    </row>
    <row r="453" ht="12.75" customHeight="1">
      <c r="J453" s="232"/>
    </row>
    <row r="454" ht="12.75" customHeight="1">
      <c r="J454" s="232"/>
    </row>
    <row r="455" ht="12.75" customHeight="1">
      <c r="J455" s="232"/>
    </row>
    <row r="456" ht="12.75" customHeight="1">
      <c r="J456" s="232"/>
    </row>
    <row r="457" ht="12.75" customHeight="1">
      <c r="J457" s="232"/>
    </row>
    <row r="458" ht="12.75" customHeight="1">
      <c r="J458" s="232"/>
    </row>
    <row r="459" ht="12.75" customHeight="1">
      <c r="J459" s="232"/>
    </row>
    <row r="460" ht="12.75" customHeight="1">
      <c r="J460" s="232"/>
    </row>
    <row r="461" ht="12.75" customHeight="1">
      <c r="J461" s="232"/>
    </row>
    <row r="462" ht="12.75" customHeight="1">
      <c r="J462" s="232"/>
    </row>
    <row r="463" ht="12.75" customHeight="1">
      <c r="J463" s="232"/>
    </row>
    <row r="464" ht="12.75" customHeight="1">
      <c r="J464" s="232"/>
    </row>
    <row r="465" ht="12.75" customHeight="1">
      <c r="J465" s="232"/>
    </row>
    <row r="466" ht="12.75" customHeight="1">
      <c r="J466" s="232"/>
    </row>
    <row r="467" ht="12.75" customHeight="1">
      <c r="J467" s="232"/>
    </row>
    <row r="468" ht="12.75" customHeight="1">
      <c r="J468" s="232"/>
    </row>
    <row r="469" ht="12.75" customHeight="1">
      <c r="J469" s="232"/>
    </row>
    <row r="470" ht="12.75" customHeight="1">
      <c r="J470" s="232"/>
    </row>
    <row r="471" ht="12.75" customHeight="1">
      <c r="J471" s="232"/>
    </row>
    <row r="472" ht="12.75" customHeight="1">
      <c r="J472" s="232"/>
    </row>
    <row r="473" ht="12.75" customHeight="1">
      <c r="J473" s="232"/>
    </row>
    <row r="474" ht="12.75" customHeight="1">
      <c r="J474" s="232"/>
    </row>
    <row r="475" ht="12.75" customHeight="1">
      <c r="J475" s="232"/>
    </row>
    <row r="476" ht="12.75" customHeight="1">
      <c r="J476" s="232"/>
    </row>
    <row r="477" ht="12.75" customHeight="1">
      <c r="J477" s="232"/>
    </row>
    <row r="478" ht="12.75" customHeight="1">
      <c r="J478" s="232"/>
    </row>
    <row r="479" ht="12.75" customHeight="1">
      <c r="J479" s="232"/>
    </row>
    <row r="480" ht="12.75" customHeight="1">
      <c r="J480" s="232"/>
    </row>
    <row r="481" ht="12.75" customHeight="1">
      <c r="J481" s="232"/>
    </row>
    <row r="482" ht="12.75" customHeight="1">
      <c r="J482" s="232"/>
    </row>
    <row r="483" ht="12.75" customHeight="1">
      <c r="J483" s="232"/>
    </row>
    <row r="484" ht="12.75" customHeight="1">
      <c r="J484" s="232"/>
    </row>
    <row r="485" ht="12.75" customHeight="1">
      <c r="J485" s="232"/>
    </row>
    <row r="486" ht="12.75" customHeight="1">
      <c r="J486" s="232"/>
    </row>
    <row r="487" ht="12.75" customHeight="1">
      <c r="J487" s="232"/>
    </row>
    <row r="488" ht="12.75" customHeight="1">
      <c r="J488" s="232"/>
    </row>
    <row r="489" ht="12.75" customHeight="1">
      <c r="J489" s="232"/>
    </row>
    <row r="490" ht="12.75" customHeight="1">
      <c r="J490" s="232"/>
    </row>
    <row r="491" ht="12.75" customHeight="1">
      <c r="J491" s="232"/>
    </row>
    <row r="492" ht="12.75" customHeight="1">
      <c r="J492" s="232"/>
    </row>
    <row r="493" ht="12.75" customHeight="1">
      <c r="J493" s="232"/>
    </row>
    <row r="494" ht="12.75" customHeight="1">
      <c r="J494" s="232"/>
    </row>
    <row r="495" ht="12.75" customHeight="1">
      <c r="J495" s="232"/>
    </row>
    <row r="496" ht="12.75" customHeight="1">
      <c r="J496" s="232"/>
    </row>
    <row r="497" ht="12.75" customHeight="1">
      <c r="J497" s="232"/>
    </row>
    <row r="498" ht="12.75" customHeight="1">
      <c r="J498" s="232"/>
    </row>
    <row r="499" ht="12.75" customHeight="1">
      <c r="J499" s="232"/>
    </row>
    <row r="500" ht="12.75" customHeight="1">
      <c r="J500" s="232"/>
    </row>
    <row r="501" ht="12.75" customHeight="1">
      <c r="J501" s="232"/>
    </row>
    <row r="502" ht="12.75" customHeight="1">
      <c r="J502" s="232"/>
    </row>
    <row r="503" ht="12.75" customHeight="1">
      <c r="J503" s="232"/>
    </row>
    <row r="504" ht="12.75" customHeight="1">
      <c r="J504" s="232"/>
    </row>
    <row r="505" ht="12.75" customHeight="1">
      <c r="J505" s="232"/>
    </row>
    <row r="506" ht="12.75" customHeight="1">
      <c r="J506" s="232"/>
    </row>
    <row r="507" ht="12.75" customHeight="1">
      <c r="J507" s="232"/>
    </row>
    <row r="508" ht="12.75" customHeight="1">
      <c r="J508" s="232"/>
    </row>
    <row r="509" ht="12.75" customHeight="1">
      <c r="J509" s="232"/>
    </row>
    <row r="510" ht="12.75" customHeight="1">
      <c r="J510" s="232"/>
    </row>
    <row r="511" ht="12.75" customHeight="1">
      <c r="J511" s="232"/>
    </row>
    <row r="512" ht="12.75" customHeight="1">
      <c r="J512" s="232"/>
    </row>
    <row r="513" ht="12.75" customHeight="1">
      <c r="J513" s="232"/>
    </row>
    <row r="514" ht="12.75" customHeight="1">
      <c r="J514" s="232"/>
    </row>
    <row r="515" ht="12.75" customHeight="1">
      <c r="J515" s="232"/>
    </row>
    <row r="516" ht="12.75" customHeight="1">
      <c r="J516" s="232"/>
    </row>
    <row r="517" ht="12.75" customHeight="1">
      <c r="J517" s="232"/>
    </row>
    <row r="518" ht="12.75" customHeight="1">
      <c r="J518" s="232"/>
    </row>
    <row r="519" ht="12.75" customHeight="1">
      <c r="J519" s="232"/>
    </row>
    <row r="520" ht="12.75" customHeight="1">
      <c r="J520" s="232"/>
    </row>
    <row r="521" ht="12.75" customHeight="1">
      <c r="J521" s="232"/>
    </row>
    <row r="522" ht="12.75" customHeight="1">
      <c r="J522" s="232"/>
    </row>
    <row r="523" ht="12.75" customHeight="1">
      <c r="J523" s="232"/>
    </row>
    <row r="524" ht="12.75" customHeight="1">
      <c r="J524" s="232"/>
    </row>
    <row r="525" ht="12.75" customHeight="1">
      <c r="J525" s="232"/>
    </row>
    <row r="526" ht="12.75" customHeight="1">
      <c r="J526" s="232"/>
    </row>
    <row r="527" ht="12.75" customHeight="1">
      <c r="J527" s="232"/>
    </row>
    <row r="528" ht="12.75" customHeight="1">
      <c r="J528" s="232"/>
    </row>
    <row r="529" ht="12.75" customHeight="1">
      <c r="J529" s="232"/>
    </row>
    <row r="530" ht="12.75" customHeight="1">
      <c r="J530" s="232"/>
    </row>
    <row r="531" ht="12.75" customHeight="1">
      <c r="J531" s="232"/>
    </row>
    <row r="532" ht="12.75" customHeight="1">
      <c r="J532" s="232"/>
    </row>
    <row r="533" ht="12.75" customHeight="1">
      <c r="J533" s="232"/>
    </row>
    <row r="534" ht="12.75" customHeight="1">
      <c r="J534" s="232"/>
    </row>
    <row r="535" ht="12.75" customHeight="1">
      <c r="J535" s="232"/>
    </row>
    <row r="536" ht="12.75" customHeight="1">
      <c r="J536" s="232"/>
    </row>
    <row r="537" ht="12.75" customHeight="1">
      <c r="J537" s="232"/>
    </row>
    <row r="538" ht="12.75" customHeight="1">
      <c r="J538" s="232"/>
    </row>
    <row r="539" ht="12.75" customHeight="1">
      <c r="J539" s="232"/>
    </row>
    <row r="540" ht="12.75" customHeight="1">
      <c r="J540" s="232"/>
    </row>
    <row r="541" ht="12.75" customHeight="1">
      <c r="J541" s="232"/>
    </row>
    <row r="542" ht="12.75" customHeight="1">
      <c r="J542" s="232"/>
    </row>
    <row r="543" ht="12.75" customHeight="1">
      <c r="J543" s="232"/>
    </row>
    <row r="544" ht="12.75" customHeight="1">
      <c r="J544" s="232"/>
    </row>
    <row r="545" ht="12.75" customHeight="1">
      <c r="J545" s="232"/>
    </row>
    <row r="546" ht="12.75" customHeight="1">
      <c r="J546" s="232"/>
    </row>
    <row r="547" ht="12.75" customHeight="1">
      <c r="J547" s="232"/>
    </row>
    <row r="548" ht="12.75" customHeight="1">
      <c r="J548" s="232"/>
    </row>
    <row r="549" ht="12.75" customHeight="1">
      <c r="J549" s="232"/>
    </row>
    <row r="550" ht="12.75" customHeight="1">
      <c r="J550" s="232"/>
    </row>
    <row r="551" ht="12.75" customHeight="1">
      <c r="J551" s="232"/>
    </row>
    <row r="552" ht="12.75" customHeight="1">
      <c r="J552" s="232"/>
    </row>
    <row r="553" ht="12.75" customHeight="1">
      <c r="J553" s="232"/>
    </row>
    <row r="554" ht="12.75" customHeight="1">
      <c r="J554" s="232"/>
    </row>
    <row r="555" ht="12.75" customHeight="1">
      <c r="J555" s="232"/>
    </row>
    <row r="556" ht="12.75" customHeight="1">
      <c r="J556" s="232"/>
    </row>
    <row r="557" ht="12.75" customHeight="1">
      <c r="J557" s="232"/>
    </row>
    <row r="558" ht="12.75" customHeight="1">
      <c r="J558" s="232"/>
    </row>
    <row r="559" ht="12.75" customHeight="1">
      <c r="J559" s="232"/>
    </row>
    <row r="560" ht="12.75" customHeight="1">
      <c r="J560" s="232"/>
    </row>
    <row r="561" ht="12.75" customHeight="1">
      <c r="J561" s="232"/>
    </row>
    <row r="562" ht="12.75" customHeight="1">
      <c r="J562" s="232"/>
    </row>
    <row r="563" ht="12.75" customHeight="1">
      <c r="J563" s="232"/>
    </row>
    <row r="564" ht="12.75" customHeight="1">
      <c r="J564" s="232"/>
    </row>
    <row r="565" ht="12.75" customHeight="1">
      <c r="J565" s="232"/>
    </row>
    <row r="566" ht="12.75" customHeight="1">
      <c r="J566" s="232"/>
    </row>
    <row r="567" ht="12.75" customHeight="1">
      <c r="J567" s="232"/>
    </row>
    <row r="568" ht="12.75" customHeight="1">
      <c r="J568" s="232"/>
    </row>
    <row r="569" ht="12.75" customHeight="1">
      <c r="J569" s="232"/>
    </row>
    <row r="570" ht="12.75" customHeight="1">
      <c r="J570" s="232"/>
    </row>
    <row r="571" ht="12.75" customHeight="1">
      <c r="J571" s="232"/>
    </row>
    <row r="572" ht="12.75" customHeight="1">
      <c r="J572" s="232"/>
    </row>
    <row r="573" ht="12.75" customHeight="1">
      <c r="J573" s="232"/>
    </row>
    <row r="574" ht="12.75" customHeight="1">
      <c r="J574" s="232"/>
    </row>
    <row r="575" ht="12.75" customHeight="1">
      <c r="J575" s="232"/>
    </row>
    <row r="576" ht="12.75" customHeight="1">
      <c r="J576" s="232"/>
    </row>
    <row r="577" ht="12.75" customHeight="1">
      <c r="J577" s="232"/>
    </row>
    <row r="578" ht="12.75" customHeight="1">
      <c r="J578" s="232"/>
    </row>
    <row r="579" ht="12.75" customHeight="1">
      <c r="J579" s="232"/>
    </row>
    <row r="580" ht="12.75" customHeight="1">
      <c r="J580" s="232"/>
    </row>
    <row r="581" ht="12.75" customHeight="1">
      <c r="J581" s="232"/>
    </row>
    <row r="582" ht="12.75" customHeight="1">
      <c r="J582" s="232"/>
    </row>
    <row r="583" ht="12.75" customHeight="1">
      <c r="J583" s="232"/>
    </row>
    <row r="584" ht="12.75" customHeight="1">
      <c r="J584" s="232"/>
    </row>
    <row r="585" ht="12.75" customHeight="1">
      <c r="J585" s="232"/>
    </row>
    <row r="586" ht="12.75" customHeight="1">
      <c r="J586" s="232"/>
    </row>
    <row r="587" ht="12.75" customHeight="1">
      <c r="J587" s="232"/>
    </row>
    <row r="588" ht="12.75" customHeight="1">
      <c r="J588" s="232"/>
    </row>
    <row r="589" ht="12.75" customHeight="1">
      <c r="J589" s="232"/>
    </row>
    <row r="590" ht="12.75" customHeight="1">
      <c r="J590" s="232"/>
    </row>
    <row r="591" ht="12.75" customHeight="1">
      <c r="J591" s="232"/>
    </row>
    <row r="592" ht="12.75" customHeight="1">
      <c r="J592" s="232"/>
    </row>
    <row r="593" ht="12.75" customHeight="1">
      <c r="J593" s="232"/>
    </row>
    <row r="594" ht="12.75" customHeight="1">
      <c r="J594" s="232"/>
    </row>
    <row r="595" ht="12.75" customHeight="1">
      <c r="J595" s="232"/>
    </row>
    <row r="596" ht="12.75" customHeight="1">
      <c r="J596" s="232"/>
    </row>
    <row r="597" ht="12.75" customHeight="1">
      <c r="J597" s="232"/>
    </row>
    <row r="598" ht="12.75" customHeight="1">
      <c r="J598" s="232"/>
    </row>
    <row r="599" ht="12.75" customHeight="1">
      <c r="J599" s="232"/>
    </row>
    <row r="600" ht="12.75" customHeight="1">
      <c r="J600" s="232"/>
    </row>
    <row r="601" ht="12.75" customHeight="1">
      <c r="J601" s="232"/>
    </row>
    <row r="602" ht="12.75" customHeight="1">
      <c r="J602" s="232"/>
    </row>
    <row r="603" ht="12.75" customHeight="1">
      <c r="J603" s="232"/>
    </row>
    <row r="604" ht="12.75" customHeight="1">
      <c r="J604" s="232"/>
    </row>
    <row r="605" ht="12.75" customHeight="1">
      <c r="J605" s="232"/>
    </row>
    <row r="606" ht="12.75" customHeight="1">
      <c r="J606" s="232"/>
    </row>
    <row r="607" ht="12.75" customHeight="1">
      <c r="J607" s="232"/>
    </row>
    <row r="608" ht="12.75" customHeight="1">
      <c r="J608" s="232"/>
    </row>
    <row r="609" ht="12.75" customHeight="1">
      <c r="J609" s="232"/>
    </row>
    <row r="610" ht="12.75" customHeight="1">
      <c r="J610" s="232"/>
    </row>
    <row r="611" ht="12.75" customHeight="1">
      <c r="J611" s="232"/>
    </row>
    <row r="612" ht="12.75" customHeight="1">
      <c r="J612" s="232"/>
    </row>
    <row r="613" ht="12.75" customHeight="1">
      <c r="J613" s="232"/>
    </row>
    <row r="614" ht="12.75" customHeight="1">
      <c r="J614" s="232"/>
    </row>
    <row r="615" ht="12.75" customHeight="1">
      <c r="J615" s="232"/>
    </row>
    <row r="616" ht="12.75" customHeight="1">
      <c r="J616" s="232"/>
    </row>
    <row r="617" ht="12.75" customHeight="1">
      <c r="J617" s="232"/>
    </row>
    <row r="618" ht="12.75" customHeight="1">
      <c r="J618" s="232"/>
    </row>
    <row r="619" ht="12.75" customHeight="1">
      <c r="J619" s="232"/>
    </row>
    <row r="620" ht="12.75" customHeight="1">
      <c r="J620" s="232"/>
    </row>
    <row r="621" ht="12.75" customHeight="1">
      <c r="J621" s="232"/>
    </row>
    <row r="622" ht="12.75" customHeight="1">
      <c r="J622" s="232"/>
    </row>
    <row r="623" ht="12.75" customHeight="1">
      <c r="J623" s="232"/>
    </row>
    <row r="624" ht="12.75" customHeight="1">
      <c r="J624" s="232"/>
    </row>
    <row r="625" ht="12.75" customHeight="1">
      <c r="J625" s="232"/>
    </row>
    <row r="626" ht="12.75" customHeight="1">
      <c r="J626" s="232"/>
    </row>
    <row r="627" ht="12.75" customHeight="1">
      <c r="J627" s="232"/>
    </row>
    <row r="628" ht="12.75" customHeight="1">
      <c r="J628" s="232"/>
    </row>
    <row r="629" ht="12.75" customHeight="1">
      <c r="J629" s="232"/>
    </row>
    <row r="630" ht="12.75" customHeight="1">
      <c r="J630" s="232"/>
    </row>
    <row r="631" ht="12.75" customHeight="1">
      <c r="J631" s="232"/>
    </row>
    <row r="632" ht="12.75" customHeight="1">
      <c r="J632" s="232"/>
    </row>
    <row r="633" ht="12.75" customHeight="1">
      <c r="J633" s="232"/>
    </row>
    <row r="634" ht="12.75" customHeight="1">
      <c r="J634" s="232"/>
    </row>
    <row r="635" ht="12.75" customHeight="1">
      <c r="J635" s="232"/>
    </row>
    <row r="636" ht="12.75" customHeight="1">
      <c r="J636" s="232"/>
    </row>
    <row r="637" ht="12.75" customHeight="1">
      <c r="J637" s="232"/>
    </row>
    <row r="638" ht="12.75" customHeight="1">
      <c r="J638" s="232"/>
    </row>
    <row r="639" ht="12.75" customHeight="1">
      <c r="J639" s="232"/>
    </row>
    <row r="640" ht="12.75" customHeight="1">
      <c r="J640" s="232"/>
    </row>
    <row r="641" ht="12.75" customHeight="1">
      <c r="J641" s="232"/>
    </row>
    <row r="642" ht="12.75" customHeight="1">
      <c r="J642" s="232"/>
    </row>
    <row r="643" ht="12.75" customHeight="1">
      <c r="J643" s="232"/>
    </row>
    <row r="644" ht="12.75" customHeight="1">
      <c r="J644" s="232"/>
    </row>
    <row r="645" ht="12.75" customHeight="1">
      <c r="J645" s="232"/>
    </row>
    <row r="646" ht="12.75" customHeight="1">
      <c r="J646" s="232"/>
    </row>
    <row r="647" ht="12.75" customHeight="1">
      <c r="J647" s="232"/>
    </row>
    <row r="648" ht="12.75" customHeight="1">
      <c r="J648" s="232"/>
    </row>
    <row r="649" ht="12.75" customHeight="1">
      <c r="J649" s="232"/>
    </row>
    <row r="650" ht="12.75" customHeight="1">
      <c r="J650" s="232"/>
    </row>
    <row r="651" ht="12.75" customHeight="1">
      <c r="J651" s="232"/>
    </row>
    <row r="652" ht="12.75" customHeight="1">
      <c r="J652" s="232"/>
    </row>
    <row r="653" ht="12.75" customHeight="1">
      <c r="J653" s="232"/>
    </row>
    <row r="654" ht="12.75" customHeight="1">
      <c r="J654" s="232"/>
    </row>
    <row r="655" ht="12.75" customHeight="1">
      <c r="J655" s="232"/>
    </row>
    <row r="656" ht="12.75" customHeight="1">
      <c r="J656" s="232"/>
    </row>
    <row r="657" ht="12.75" customHeight="1">
      <c r="J657" s="232"/>
    </row>
    <row r="658" ht="12.75" customHeight="1">
      <c r="J658" s="232"/>
    </row>
    <row r="659" ht="12.75" customHeight="1">
      <c r="J659" s="232"/>
    </row>
    <row r="660" ht="12.75" customHeight="1">
      <c r="J660" s="232"/>
    </row>
    <row r="661" ht="12.75" customHeight="1">
      <c r="J661" s="232"/>
    </row>
    <row r="662" ht="12.75" customHeight="1">
      <c r="J662" s="232"/>
    </row>
    <row r="663" ht="12.75" customHeight="1">
      <c r="J663" s="232"/>
    </row>
    <row r="664" ht="12.75" customHeight="1">
      <c r="J664" s="232"/>
    </row>
    <row r="665" ht="12.75" customHeight="1">
      <c r="J665" s="232"/>
    </row>
    <row r="666" ht="12.75" customHeight="1">
      <c r="J666" s="232"/>
    </row>
    <row r="667" ht="12.75" customHeight="1">
      <c r="J667" s="232"/>
    </row>
    <row r="668" ht="12.75" customHeight="1">
      <c r="J668" s="232"/>
    </row>
    <row r="669" ht="12.75" customHeight="1">
      <c r="J669" s="232"/>
    </row>
    <row r="670" ht="12.75" customHeight="1">
      <c r="J670" s="232"/>
    </row>
    <row r="671" ht="12.75" customHeight="1">
      <c r="J671" s="232"/>
    </row>
    <row r="672" ht="12.75" customHeight="1">
      <c r="J672" s="232"/>
    </row>
    <row r="673" ht="12.75" customHeight="1">
      <c r="J673" s="232"/>
    </row>
    <row r="674" ht="12.75" customHeight="1">
      <c r="J674" s="232"/>
    </row>
    <row r="675" ht="12.75" customHeight="1">
      <c r="J675" s="232"/>
    </row>
    <row r="676" ht="12.75" customHeight="1">
      <c r="J676" s="232"/>
    </row>
    <row r="677" ht="12.75" customHeight="1">
      <c r="J677" s="232"/>
    </row>
    <row r="678" ht="12.75" customHeight="1">
      <c r="J678" s="232"/>
    </row>
    <row r="679" ht="12.75" customHeight="1">
      <c r="J679" s="232"/>
    </row>
    <row r="680" ht="12.75" customHeight="1">
      <c r="J680" s="232"/>
    </row>
    <row r="681" ht="12.75" customHeight="1">
      <c r="J681" s="232"/>
    </row>
    <row r="682" ht="12.75" customHeight="1">
      <c r="J682" s="232"/>
    </row>
    <row r="683" ht="12.75" customHeight="1">
      <c r="J683" s="232"/>
    </row>
    <row r="684" ht="12.75" customHeight="1">
      <c r="J684" s="232"/>
    </row>
    <row r="685" ht="12.75" customHeight="1">
      <c r="J685" s="232"/>
    </row>
    <row r="686" ht="12.75" customHeight="1">
      <c r="J686" s="232"/>
    </row>
    <row r="687" ht="12.75" customHeight="1">
      <c r="J687" s="232"/>
    </row>
    <row r="688" ht="12.75" customHeight="1">
      <c r="J688" s="232"/>
    </row>
    <row r="689" ht="12.75" customHeight="1">
      <c r="J689" s="232"/>
    </row>
    <row r="690" ht="12.75" customHeight="1">
      <c r="J690" s="232"/>
    </row>
    <row r="691" ht="12.75" customHeight="1">
      <c r="J691" s="232"/>
    </row>
    <row r="692" ht="12.75" customHeight="1">
      <c r="J692" s="232"/>
    </row>
    <row r="693" ht="12.75" customHeight="1">
      <c r="J693" s="232"/>
    </row>
    <row r="694" ht="12.75" customHeight="1">
      <c r="J694" s="232"/>
    </row>
    <row r="695" ht="12.75" customHeight="1">
      <c r="J695" s="232"/>
    </row>
    <row r="696" ht="12.75" customHeight="1">
      <c r="J696" s="232"/>
    </row>
    <row r="697" ht="12.75" customHeight="1">
      <c r="J697" s="232"/>
    </row>
    <row r="698" ht="12.75" customHeight="1">
      <c r="J698" s="232"/>
    </row>
    <row r="699" ht="12.75" customHeight="1">
      <c r="J699" s="232"/>
    </row>
    <row r="700" ht="12.75" customHeight="1">
      <c r="J700" s="232"/>
    </row>
    <row r="701" ht="12.75" customHeight="1">
      <c r="J701" s="232"/>
    </row>
    <row r="702" ht="12.75" customHeight="1">
      <c r="J702" s="232"/>
    </row>
    <row r="703" ht="12.75" customHeight="1">
      <c r="J703" s="232"/>
    </row>
    <row r="704" ht="12.75" customHeight="1">
      <c r="J704" s="232"/>
    </row>
    <row r="705" ht="12.75" customHeight="1">
      <c r="J705" s="232"/>
    </row>
    <row r="706" ht="12.75" customHeight="1">
      <c r="J706" s="232"/>
    </row>
    <row r="707" ht="12.75" customHeight="1">
      <c r="J707" s="232"/>
    </row>
    <row r="708" ht="12.75" customHeight="1">
      <c r="J708" s="232"/>
    </row>
    <row r="709" ht="12.75" customHeight="1">
      <c r="J709" s="232"/>
    </row>
    <row r="710" ht="12.75" customHeight="1">
      <c r="J710" s="232"/>
    </row>
    <row r="711" ht="12.75" customHeight="1">
      <c r="J711" s="232"/>
    </row>
    <row r="712" ht="12.75" customHeight="1">
      <c r="J712" s="232"/>
    </row>
    <row r="713" ht="12.75" customHeight="1">
      <c r="J713" s="232"/>
    </row>
    <row r="714" ht="12.75" customHeight="1">
      <c r="J714" s="232"/>
    </row>
    <row r="715" ht="12.75" customHeight="1">
      <c r="J715" s="232"/>
    </row>
    <row r="716" ht="12.75" customHeight="1">
      <c r="J716" s="232"/>
    </row>
    <row r="717" ht="12.75" customHeight="1">
      <c r="J717" s="232"/>
    </row>
    <row r="718" ht="12.75" customHeight="1">
      <c r="J718" s="232"/>
    </row>
    <row r="719" ht="12.75" customHeight="1">
      <c r="J719" s="232"/>
    </row>
    <row r="720" ht="12.75" customHeight="1">
      <c r="J720" s="232"/>
    </row>
    <row r="721" ht="12.75" customHeight="1">
      <c r="J721" s="232"/>
    </row>
    <row r="722" ht="12.75" customHeight="1">
      <c r="J722" s="232"/>
    </row>
    <row r="723" ht="12.75" customHeight="1">
      <c r="J723" s="232"/>
    </row>
    <row r="724" ht="12.75" customHeight="1">
      <c r="J724" s="232"/>
    </row>
    <row r="725" ht="12.75" customHeight="1">
      <c r="J725" s="232"/>
    </row>
    <row r="726" ht="12.75" customHeight="1">
      <c r="J726" s="232"/>
    </row>
    <row r="727" ht="12.75" customHeight="1">
      <c r="J727" s="232"/>
    </row>
    <row r="728" ht="12.75" customHeight="1">
      <c r="J728" s="232"/>
    </row>
    <row r="729" ht="12.75" customHeight="1">
      <c r="J729" s="232"/>
    </row>
    <row r="730" ht="12.75" customHeight="1">
      <c r="J730" s="232"/>
    </row>
    <row r="731" ht="12.75" customHeight="1">
      <c r="J731" s="232"/>
    </row>
    <row r="732" ht="12.75" customHeight="1">
      <c r="J732" s="232"/>
    </row>
    <row r="733" ht="12.75" customHeight="1">
      <c r="J733" s="232"/>
    </row>
    <row r="734" ht="12.75" customHeight="1">
      <c r="J734" s="232"/>
    </row>
    <row r="735" ht="12.75" customHeight="1">
      <c r="J735" s="232"/>
    </row>
    <row r="736" ht="12.75" customHeight="1">
      <c r="J736" s="232"/>
    </row>
    <row r="737" ht="12.75" customHeight="1">
      <c r="J737" s="232"/>
    </row>
    <row r="738" ht="12.75" customHeight="1">
      <c r="J738" s="232"/>
    </row>
    <row r="739" ht="12.75" customHeight="1">
      <c r="J739" s="232"/>
    </row>
    <row r="740" ht="12.75" customHeight="1">
      <c r="J740" s="232"/>
    </row>
    <row r="741" ht="12.75" customHeight="1">
      <c r="J741" s="232"/>
    </row>
    <row r="742" ht="12.75" customHeight="1">
      <c r="J742" s="232"/>
    </row>
    <row r="743" ht="12.75" customHeight="1">
      <c r="J743" s="232"/>
    </row>
    <row r="744" ht="12.75" customHeight="1">
      <c r="J744" s="232"/>
    </row>
    <row r="745" ht="12.75" customHeight="1">
      <c r="J745" s="232"/>
    </row>
    <row r="746" ht="12.75" customHeight="1">
      <c r="J746" s="232"/>
    </row>
    <row r="747" ht="12.75" customHeight="1">
      <c r="J747" s="232"/>
    </row>
    <row r="748" ht="12.75" customHeight="1">
      <c r="J748" s="232"/>
    </row>
    <row r="749" ht="12.75" customHeight="1">
      <c r="J749" s="232"/>
    </row>
    <row r="750" ht="12.75" customHeight="1">
      <c r="J750" s="232"/>
    </row>
    <row r="751" ht="12.75" customHeight="1">
      <c r="J751" s="232"/>
    </row>
    <row r="752" ht="12.75" customHeight="1">
      <c r="J752" s="232"/>
    </row>
    <row r="753" ht="12.75" customHeight="1">
      <c r="J753" s="232"/>
    </row>
    <row r="754" ht="12.75" customHeight="1">
      <c r="J754" s="232"/>
    </row>
    <row r="755" ht="12.75" customHeight="1">
      <c r="J755" s="232"/>
    </row>
    <row r="756" ht="12.75" customHeight="1">
      <c r="J756" s="232"/>
    </row>
    <row r="757" ht="12.75" customHeight="1">
      <c r="J757" s="232"/>
    </row>
    <row r="758" ht="12.75" customHeight="1">
      <c r="J758" s="232"/>
    </row>
    <row r="759" ht="12.75" customHeight="1">
      <c r="J759" s="232"/>
    </row>
    <row r="760" ht="12.75" customHeight="1">
      <c r="J760" s="232"/>
    </row>
    <row r="761" ht="12.75" customHeight="1">
      <c r="J761" s="232"/>
    </row>
    <row r="762" ht="12.75" customHeight="1">
      <c r="J762" s="232"/>
    </row>
    <row r="763" ht="12.75" customHeight="1">
      <c r="J763" s="232"/>
    </row>
    <row r="764" ht="12.75" customHeight="1">
      <c r="J764" s="232"/>
    </row>
    <row r="765" ht="12.75" customHeight="1">
      <c r="J765" s="232"/>
    </row>
    <row r="766" ht="12.75" customHeight="1">
      <c r="J766" s="232"/>
    </row>
    <row r="767" ht="12.75" customHeight="1">
      <c r="J767" s="232"/>
    </row>
    <row r="768" ht="12.75" customHeight="1">
      <c r="J768" s="232"/>
    </row>
    <row r="769" ht="12.75" customHeight="1">
      <c r="J769" s="232"/>
    </row>
    <row r="770" ht="12.75" customHeight="1">
      <c r="J770" s="232"/>
    </row>
    <row r="771" ht="12.75" customHeight="1">
      <c r="J771" s="232"/>
    </row>
    <row r="772" ht="12.75" customHeight="1">
      <c r="J772" s="232"/>
    </row>
    <row r="773" ht="12.75" customHeight="1">
      <c r="J773" s="232"/>
    </row>
    <row r="774" ht="12.75" customHeight="1">
      <c r="J774" s="232"/>
    </row>
    <row r="775" ht="12.75" customHeight="1">
      <c r="J775" s="232"/>
    </row>
    <row r="776" ht="12.75" customHeight="1">
      <c r="J776" s="232"/>
    </row>
    <row r="777" ht="12.75" customHeight="1">
      <c r="J777" s="232"/>
    </row>
    <row r="778" ht="12.75" customHeight="1">
      <c r="J778" s="232"/>
    </row>
    <row r="779" ht="12.75" customHeight="1">
      <c r="J779" s="232"/>
    </row>
    <row r="780" ht="12.75" customHeight="1">
      <c r="J780" s="232"/>
    </row>
    <row r="781" ht="12.75" customHeight="1">
      <c r="J781" s="232"/>
    </row>
    <row r="782" ht="12.75" customHeight="1">
      <c r="J782" s="232"/>
    </row>
    <row r="783" ht="12.75" customHeight="1">
      <c r="J783" s="232"/>
    </row>
    <row r="784" ht="12.75" customHeight="1">
      <c r="J784" s="232"/>
    </row>
    <row r="785" ht="12.75" customHeight="1">
      <c r="J785" s="232"/>
    </row>
    <row r="786" ht="12.75" customHeight="1">
      <c r="J786" s="232"/>
    </row>
    <row r="787" ht="12.75" customHeight="1">
      <c r="J787" s="232"/>
    </row>
    <row r="788" ht="12.75" customHeight="1">
      <c r="J788" s="232"/>
    </row>
    <row r="789" ht="12.75" customHeight="1">
      <c r="J789" s="232"/>
    </row>
    <row r="790" ht="12.75" customHeight="1">
      <c r="J790" s="232"/>
    </row>
    <row r="791" ht="12.75" customHeight="1">
      <c r="J791" s="232"/>
    </row>
    <row r="792" ht="12.75" customHeight="1">
      <c r="J792" s="232"/>
    </row>
    <row r="793" ht="12.75" customHeight="1">
      <c r="J793" s="232"/>
    </row>
    <row r="794" ht="12.75" customHeight="1">
      <c r="J794" s="232"/>
    </row>
    <row r="795" ht="12.75" customHeight="1">
      <c r="J795" s="232"/>
    </row>
    <row r="796" ht="12.75" customHeight="1">
      <c r="J796" s="232"/>
    </row>
    <row r="797" ht="12.75" customHeight="1">
      <c r="J797" s="232"/>
    </row>
    <row r="798" ht="12.75" customHeight="1">
      <c r="J798" s="232"/>
    </row>
    <row r="799" ht="12.75" customHeight="1">
      <c r="J799" s="232"/>
    </row>
    <row r="800" ht="12.75" customHeight="1">
      <c r="J800" s="232"/>
    </row>
    <row r="801" ht="12.75" customHeight="1">
      <c r="J801" s="232"/>
    </row>
    <row r="802" ht="12.75" customHeight="1">
      <c r="J802" s="232"/>
    </row>
    <row r="803" ht="12.75" customHeight="1">
      <c r="J803" s="232"/>
    </row>
    <row r="804" ht="12.75" customHeight="1">
      <c r="J804" s="232"/>
    </row>
    <row r="805" ht="12.75" customHeight="1">
      <c r="J805" s="232"/>
    </row>
    <row r="806" ht="12.75" customHeight="1">
      <c r="J806" s="232"/>
    </row>
    <row r="807" ht="12.75" customHeight="1">
      <c r="J807" s="232"/>
    </row>
    <row r="808" ht="12.75" customHeight="1">
      <c r="J808" s="232"/>
    </row>
    <row r="809" ht="12.75" customHeight="1">
      <c r="J809" s="232"/>
    </row>
    <row r="810" ht="12.75" customHeight="1">
      <c r="J810" s="232"/>
    </row>
    <row r="811" ht="12.75" customHeight="1">
      <c r="J811" s="232"/>
    </row>
    <row r="812" ht="12.75" customHeight="1">
      <c r="J812" s="232"/>
    </row>
    <row r="813" ht="12.75" customHeight="1">
      <c r="J813" s="232"/>
    </row>
    <row r="814" ht="12.75" customHeight="1">
      <c r="J814" s="232"/>
    </row>
    <row r="815" ht="12.75" customHeight="1">
      <c r="J815" s="232"/>
    </row>
    <row r="816" ht="12.75" customHeight="1">
      <c r="J816" s="232"/>
    </row>
    <row r="817" ht="12.75" customHeight="1">
      <c r="J817" s="232"/>
    </row>
    <row r="818" ht="12.75" customHeight="1">
      <c r="J818" s="232"/>
    </row>
    <row r="819" ht="12.75" customHeight="1">
      <c r="J819" s="232"/>
    </row>
    <row r="820" ht="12.75" customHeight="1">
      <c r="J820" s="232"/>
    </row>
    <row r="821" ht="12.75" customHeight="1">
      <c r="J821" s="232"/>
    </row>
    <row r="822" ht="12.75" customHeight="1">
      <c r="J822" s="232"/>
    </row>
    <row r="823" ht="12.75" customHeight="1">
      <c r="J823" s="232"/>
    </row>
    <row r="824" ht="12.75" customHeight="1">
      <c r="J824" s="232"/>
    </row>
    <row r="825" ht="12.75" customHeight="1">
      <c r="J825" s="232"/>
    </row>
    <row r="826" ht="12.75" customHeight="1">
      <c r="J826" s="232"/>
    </row>
    <row r="827" ht="12.75" customHeight="1">
      <c r="J827" s="232"/>
    </row>
    <row r="828" ht="12.75" customHeight="1">
      <c r="J828" s="232"/>
    </row>
    <row r="829" ht="12.75" customHeight="1">
      <c r="J829" s="232"/>
    </row>
    <row r="830" ht="12.75" customHeight="1">
      <c r="J830" s="232"/>
    </row>
    <row r="831" ht="12.75" customHeight="1">
      <c r="J831" s="232"/>
    </row>
    <row r="832" ht="12.75" customHeight="1">
      <c r="J832" s="232"/>
    </row>
    <row r="833" ht="12.75" customHeight="1">
      <c r="J833" s="232"/>
    </row>
    <row r="834" ht="12.75" customHeight="1">
      <c r="J834" s="232"/>
    </row>
    <row r="835" ht="12.75" customHeight="1">
      <c r="J835" s="232"/>
    </row>
    <row r="836" ht="12.75" customHeight="1">
      <c r="J836" s="232"/>
    </row>
    <row r="837" ht="12.75" customHeight="1">
      <c r="J837" s="232"/>
    </row>
    <row r="838" ht="12.75" customHeight="1">
      <c r="J838" s="232"/>
    </row>
    <row r="839" ht="12.75" customHeight="1">
      <c r="J839" s="232"/>
    </row>
    <row r="840" ht="12.75" customHeight="1">
      <c r="J840" s="232"/>
    </row>
    <row r="841" ht="12.75" customHeight="1">
      <c r="J841" s="232"/>
    </row>
    <row r="842" ht="12.75" customHeight="1">
      <c r="J842" s="232"/>
    </row>
    <row r="843" ht="12.75" customHeight="1">
      <c r="J843" s="232"/>
    </row>
    <row r="844" ht="12.75" customHeight="1">
      <c r="J844" s="232"/>
    </row>
    <row r="845" ht="12.75" customHeight="1">
      <c r="J845" s="232"/>
    </row>
    <row r="846" ht="12.75" customHeight="1">
      <c r="J846" s="232"/>
    </row>
    <row r="847" ht="12.75" customHeight="1">
      <c r="J847" s="232"/>
    </row>
    <row r="848" ht="12.75" customHeight="1">
      <c r="J848" s="232"/>
    </row>
    <row r="849" ht="12.75" customHeight="1">
      <c r="J849" s="232"/>
    </row>
    <row r="850" ht="12.75" customHeight="1">
      <c r="J850" s="232"/>
    </row>
    <row r="851" ht="12.75" customHeight="1">
      <c r="J851" s="232"/>
    </row>
    <row r="852" ht="12.75" customHeight="1">
      <c r="J852" s="232"/>
    </row>
    <row r="853" ht="12.75" customHeight="1">
      <c r="J853" s="232"/>
    </row>
    <row r="854" ht="12.75" customHeight="1">
      <c r="J854" s="232"/>
    </row>
    <row r="855" ht="12.75" customHeight="1">
      <c r="J855" s="232"/>
    </row>
    <row r="856" ht="12.75" customHeight="1">
      <c r="J856" s="232"/>
    </row>
    <row r="857" ht="12.75" customHeight="1">
      <c r="J857" s="232"/>
    </row>
    <row r="858" ht="12.75" customHeight="1">
      <c r="J858" s="232"/>
    </row>
    <row r="859" ht="12.75" customHeight="1">
      <c r="J859" s="232"/>
    </row>
    <row r="860" ht="12.75" customHeight="1">
      <c r="J860" s="232"/>
    </row>
    <row r="861" ht="12.75" customHeight="1">
      <c r="J861" s="232"/>
    </row>
    <row r="862" ht="12.75" customHeight="1">
      <c r="J862" s="232"/>
    </row>
    <row r="863" ht="12.75" customHeight="1">
      <c r="J863" s="232"/>
    </row>
    <row r="864" ht="12.75" customHeight="1">
      <c r="J864" s="232"/>
    </row>
    <row r="865" ht="12.75" customHeight="1">
      <c r="J865" s="232"/>
    </row>
    <row r="866" ht="12.75" customHeight="1">
      <c r="J866" s="232"/>
    </row>
    <row r="867" ht="12.75" customHeight="1">
      <c r="J867" s="232"/>
    </row>
    <row r="868" ht="12.75" customHeight="1">
      <c r="J868" s="232"/>
    </row>
    <row r="869" ht="12.75" customHeight="1">
      <c r="J869" s="232"/>
    </row>
    <row r="870" ht="12.75" customHeight="1">
      <c r="J870" s="232"/>
    </row>
    <row r="871" ht="12.75" customHeight="1">
      <c r="J871" s="232"/>
    </row>
    <row r="872" ht="12.75" customHeight="1">
      <c r="J872" s="232"/>
    </row>
    <row r="873" ht="12.75" customHeight="1">
      <c r="J873" s="232"/>
    </row>
    <row r="874" ht="12.75" customHeight="1">
      <c r="J874" s="232"/>
    </row>
    <row r="875" ht="12.75" customHeight="1">
      <c r="J875" s="232"/>
    </row>
    <row r="876" ht="12.75" customHeight="1">
      <c r="J876" s="232"/>
    </row>
    <row r="877" ht="12.75" customHeight="1">
      <c r="J877" s="232"/>
    </row>
    <row r="878" ht="12.75" customHeight="1">
      <c r="J878" s="232"/>
    </row>
    <row r="879" ht="12.75" customHeight="1">
      <c r="J879" s="232"/>
    </row>
    <row r="880" ht="12.75" customHeight="1">
      <c r="J880" s="232"/>
    </row>
    <row r="881" ht="12.75" customHeight="1">
      <c r="J881" s="232"/>
    </row>
    <row r="882" ht="12.75" customHeight="1">
      <c r="J882" s="232"/>
    </row>
    <row r="883" ht="12.75" customHeight="1">
      <c r="J883" s="232"/>
    </row>
    <row r="884" ht="12.75" customHeight="1">
      <c r="J884" s="232"/>
    </row>
    <row r="885" ht="12.75" customHeight="1">
      <c r="J885" s="232"/>
    </row>
    <row r="886" ht="12.75" customHeight="1">
      <c r="J886" s="232"/>
    </row>
    <row r="887" ht="12.75" customHeight="1">
      <c r="J887" s="232"/>
    </row>
    <row r="888" ht="12.75" customHeight="1">
      <c r="J888" s="232"/>
    </row>
    <row r="889" ht="12.75" customHeight="1">
      <c r="J889" s="232"/>
    </row>
    <row r="890" ht="12.75" customHeight="1">
      <c r="J890" s="232"/>
    </row>
    <row r="891" ht="12.75" customHeight="1">
      <c r="J891" s="232"/>
    </row>
    <row r="892" ht="12.75" customHeight="1">
      <c r="J892" s="232"/>
    </row>
    <row r="893" ht="12.75" customHeight="1">
      <c r="J893" s="232"/>
    </row>
    <row r="894" ht="12.75" customHeight="1">
      <c r="J894" s="232"/>
    </row>
    <row r="895" ht="12.75" customHeight="1">
      <c r="J895" s="232"/>
    </row>
    <row r="896" ht="12.75" customHeight="1">
      <c r="J896" s="232"/>
    </row>
    <row r="897" ht="12.75" customHeight="1">
      <c r="J897" s="232"/>
    </row>
    <row r="898" ht="12.75" customHeight="1">
      <c r="J898" s="232"/>
    </row>
    <row r="899" ht="12.75" customHeight="1">
      <c r="J899" s="232"/>
    </row>
    <row r="900" ht="12.75" customHeight="1">
      <c r="J900" s="232"/>
    </row>
    <row r="901" ht="12.75" customHeight="1">
      <c r="J901" s="232"/>
    </row>
    <row r="902" ht="12.75" customHeight="1">
      <c r="J902" s="232"/>
    </row>
    <row r="903" ht="12.75" customHeight="1">
      <c r="J903" s="232"/>
    </row>
    <row r="904" ht="12.75" customHeight="1">
      <c r="J904" s="232"/>
    </row>
    <row r="905" ht="12.75" customHeight="1">
      <c r="J905" s="232"/>
    </row>
    <row r="906" ht="12.75" customHeight="1">
      <c r="J906" s="232"/>
    </row>
    <row r="907" ht="12.75" customHeight="1">
      <c r="J907" s="232"/>
    </row>
    <row r="908" ht="12.75" customHeight="1">
      <c r="J908" s="232"/>
    </row>
    <row r="909" ht="12.75" customHeight="1">
      <c r="J909" s="232"/>
    </row>
    <row r="910" ht="12.75" customHeight="1">
      <c r="J910" s="232"/>
    </row>
    <row r="911" ht="12.75" customHeight="1">
      <c r="J911" s="232"/>
    </row>
    <row r="912" ht="12.75" customHeight="1">
      <c r="J912" s="232"/>
    </row>
    <row r="913" ht="12.75" customHeight="1">
      <c r="J913" s="232"/>
    </row>
    <row r="914" ht="12.75" customHeight="1">
      <c r="J914" s="232"/>
    </row>
    <row r="915" ht="12.75" customHeight="1">
      <c r="J915" s="232"/>
    </row>
    <row r="916" ht="12.75" customHeight="1">
      <c r="J916" s="232"/>
    </row>
    <row r="917" ht="12.75" customHeight="1">
      <c r="J917" s="232"/>
    </row>
    <row r="918" ht="12.75" customHeight="1">
      <c r="J918" s="232"/>
    </row>
    <row r="919" ht="12.75" customHeight="1">
      <c r="J919" s="232"/>
    </row>
    <row r="920" ht="12.75" customHeight="1">
      <c r="J920" s="232"/>
    </row>
    <row r="921" ht="12.75" customHeight="1">
      <c r="J921" s="232"/>
    </row>
    <row r="922" ht="12.75" customHeight="1">
      <c r="J922" s="232"/>
    </row>
    <row r="923" ht="12.75" customHeight="1">
      <c r="J923" s="232"/>
    </row>
    <row r="924" ht="12.75" customHeight="1">
      <c r="J924" s="232"/>
    </row>
    <row r="925" ht="12.75" customHeight="1">
      <c r="J925" s="232"/>
    </row>
    <row r="926" ht="12.75" customHeight="1">
      <c r="J926" s="232"/>
    </row>
    <row r="927" ht="12.75" customHeight="1">
      <c r="J927" s="232"/>
    </row>
    <row r="928" ht="12.75" customHeight="1">
      <c r="J928" s="232"/>
    </row>
    <row r="929" ht="12.75" customHeight="1">
      <c r="J929" s="232"/>
    </row>
    <row r="930" ht="12.75" customHeight="1">
      <c r="J930" s="232"/>
    </row>
    <row r="931" ht="12.75" customHeight="1">
      <c r="J931" s="232"/>
    </row>
    <row r="932" ht="12.75" customHeight="1">
      <c r="J932" s="232"/>
    </row>
    <row r="933" ht="12.75" customHeight="1">
      <c r="J933" s="232"/>
    </row>
    <row r="934" ht="12.75" customHeight="1">
      <c r="J934" s="232"/>
    </row>
    <row r="935" ht="12.75" customHeight="1">
      <c r="J935" s="232"/>
    </row>
    <row r="936" ht="12.75" customHeight="1">
      <c r="J936" s="232"/>
    </row>
    <row r="937" ht="12.75" customHeight="1">
      <c r="J937" s="232"/>
    </row>
    <row r="938" ht="12.75" customHeight="1">
      <c r="J938" s="232"/>
    </row>
    <row r="939" ht="12.75" customHeight="1">
      <c r="J939" s="232"/>
    </row>
    <row r="940" ht="12.75" customHeight="1">
      <c r="J940" s="232"/>
    </row>
    <row r="941" ht="12.75" customHeight="1">
      <c r="J941" s="232"/>
    </row>
    <row r="942" ht="12.75" customHeight="1">
      <c r="J942" s="232"/>
    </row>
    <row r="943" ht="12.75" customHeight="1">
      <c r="J943" s="232"/>
    </row>
    <row r="944" ht="12.75" customHeight="1">
      <c r="J944" s="232"/>
    </row>
    <row r="945" ht="12.75" customHeight="1">
      <c r="J945" s="232"/>
    </row>
    <row r="946" ht="12.75" customHeight="1">
      <c r="J946" s="232"/>
    </row>
    <row r="947" ht="12.75" customHeight="1">
      <c r="J947" s="232"/>
    </row>
    <row r="948" ht="12.75" customHeight="1">
      <c r="J948" s="232"/>
    </row>
    <row r="949" ht="12.75" customHeight="1">
      <c r="J949" s="232"/>
    </row>
    <row r="950" ht="12.75" customHeight="1">
      <c r="J950" s="232"/>
    </row>
    <row r="951" ht="12.75" customHeight="1">
      <c r="J951" s="232"/>
    </row>
    <row r="952" ht="12.75" customHeight="1">
      <c r="J952" s="232"/>
    </row>
    <row r="953" ht="12.75" customHeight="1">
      <c r="J953" s="232"/>
    </row>
    <row r="954" ht="12.75" customHeight="1">
      <c r="J954" s="232"/>
    </row>
    <row r="955" ht="12.75" customHeight="1">
      <c r="J955" s="232"/>
    </row>
    <row r="956" ht="12.75" customHeight="1">
      <c r="J956" s="232"/>
    </row>
    <row r="957" ht="12.75" customHeight="1">
      <c r="J957" s="232"/>
    </row>
    <row r="958" ht="12.75" customHeight="1">
      <c r="J958" s="232"/>
    </row>
    <row r="959" ht="12.75" customHeight="1">
      <c r="J959" s="232"/>
    </row>
    <row r="960" ht="12.75" customHeight="1">
      <c r="J960" s="232"/>
    </row>
    <row r="961" ht="12.75" customHeight="1">
      <c r="J961" s="232"/>
    </row>
    <row r="962" ht="12.75" customHeight="1">
      <c r="J962" s="232"/>
    </row>
    <row r="963" ht="12.75" customHeight="1">
      <c r="J963" s="232"/>
    </row>
    <row r="964" ht="12.75" customHeight="1">
      <c r="J964" s="232"/>
    </row>
    <row r="965" ht="12.75" customHeight="1">
      <c r="J965" s="232"/>
    </row>
    <row r="966" ht="12.75" customHeight="1">
      <c r="J966" s="232"/>
    </row>
    <row r="967" ht="12.75" customHeight="1">
      <c r="J967" s="232"/>
    </row>
    <row r="968" ht="12.75" customHeight="1">
      <c r="J968" s="232"/>
    </row>
    <row r="969" ht="12.75" customHeight="1">
      <c r="J969" s="232"/>
    </row>
    <row r="970" ht="12.75" customHeight="1">
      <c r="J970" s="232"/>
    </row>
    <row r="971" ht="12.75" customHeight="1">
      <c r="J971" s="232"/>
    </row>
    <row r="972" ht="12.75" customHeight="1">
      <c r="J972" s="232"/>
    </row>
    <row r="973" ht="12.75" customHeight="1">
      <c r="J973" s="232"/>
    </row>
    <row r="974" ht="12.75" customHeight="1">
      <c r="J974" s="232"/>
    </row>
    <row r="975" ht="12.75" customHeight="1">
      <c r="J975" s="232"/>
    </row>
    <row r="976" ht="12.75" customHeight="1">
      <c r="J976" s="232"/>
    </row>
    <row r="977" ht="12.75" customHeight="1">
      <c r="J977" s="232"/>
    </row>
    <row r="978" ht="12.75" customHeight="1">
      <c r="J978" s="232"/>
    </row>
    <row r="979" ht="12.75" customHeight="1">
      <c r="J979" s="232"/>
    </row>
    <row r="980" ht="12.75" customHeight="1">
      <c r="J980" s="232"/>
    </row>
    <row r="981" ht="12.75" customHeight="1">
      <c r="J981" s="232"/>
    </row>
    <row r="982" ht="12.75" customHeight="1">
      <c r="J982" s="232"/>
    </row>
    <row r="983" ht="12.75" customHeight="1">
      <c r="J983" s="232"/>
    </row>
    <row r="984" ht="12.75" customHeight="1">
      <c r="J984" s="232"/>
    </row>
    <row r="985" ht="12.75" customHeight="1">
      <c r="J985" s="232"/>
    </row>
    <row r="986" ht="12.75" customHeight="1">
      <c r="J986" s="232"/>
    </row>
    <row r="987" ht="12.75" customHeight="1">
      <c r="J987" s="232"/>
    </row>
    <row r="988" ht="12.75" customHeight="1">
      <c r="J988" s="232"/>
    </row>
    <row r="989" ht="12.75" customHeight="1">
      <c r="J989" s="232"/>
    </row>
    <row r="990" ht="12.75" customHeight="1">
      <c r="J990" s="232"/>
    </row>
    <row r="991" ht="12.75" customHeight="1">
      <c r="J991" s="232"/>
    </row>
    <row r="992" ht="12.75" customHeight="1">
      <c r="J992" s="232"/>
    </row>
    <row r="993" ht="12.75" customHeight="1">
      <c r="J993" s="232"/>
    </row>
    <row r="994" ht="12.75" customHeight="1">
      <c r="J994" s="232"/>
    </row>
    <row r="995" ht="12.75" customHeight="1">
      <c r="J995" s="232"/>
    </row>
    <row r="996" ht="12.75" customHeight="1">
      <c r="J996" s="232"/>
    </row>
    <row r="997" ht="12.75" customHeight="1">
      <c r="J997" s="232"/>
    </row>
    <row r="998" ht="12.75" customHeight="1">
      <c r="J998" s="232"/>
    </row>
    <row r="999" ht="12.75" customHeight="1">
      <c r="J999" s="232"/>
    </row>
    <row r="1000" ht="12.75" customHeight="1">
      <c r="J1000" s="232"/>
    </row>
  </sheetData>
  <hyperlinks>
    <hyperlink r:id="rId1" ref="BC24"/>
  </hyperlinks>
  <printOptions/>
  <pageMargins bottom="0.75" footer="0.0" header="0.0" left="0.7" right="0.7" top="0.75"/>
  <pageSetup orientation="portrait"/>
  <drawing r:id="rId2"/>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3" width="8.71"/>
    <col customWidth="1" min="4" max="4" width="35.57"/>
    <col customWidth="1" min="5" max="8" width="8.71"/>
    <col customWidth="1" min="9" max="9" width="23.0"/>
    <col customWidth="1" min="10" max="26" width="8.71"/>
  </cols>
  <sheetData>
    <row r="1" ht="12.75" customHeight="1">
      <c r="A1" s="222" t="s">
        <v>1443</v>
      </c>
      <c r="B1" s="222" t="s">
        <v>1454</v>
      </c>
      <c r="D1" s="1" t="s">
        <v>1752</v>
      </c>
    </row>
    <row r="2" ht="12.75" customHeight="1">
      <c r="A2" s="1" t="s">
        <v>10</v>
      </c>
      <c r="B2" s="203" t="s">
        <v>1499</v>
      </c>
      <c r="D2" s="1" t="s">
        <v>1753</v>
      </c>
    </row>
    <row r="3" ht="12.75" customHeight="1">
      <c r="A3" s="1" t="s">
        <v>15</v>
      </c>
      <c r="B3" s="203" t="s">
        <v>1499</v>
      </c>
      <c r="D3" s="222" t="s">
        <v>3</v>
      </c>
      <c r="E3" s="222" t="s">
        <v>1754</v>
      </c>
      <c r="F3" s="222">
        <f>COUNTIF($F$4:$F$30,"N")</f>
        <v>16</v>
      </c>
      <c r="G3" s="222"/>
      <c r="H3" s="222"/>
      <c r="I3" s="222"/>
      <c r="J3" s="222">
        <f>COUNTIF($J$4:$J$30,"N")</f>
        <v>8</v>
      </c>
    </row>
    <row r="4" ht="12.75" customHeight="1">
      <c r="A4" s="1" t="s">
        <v>20</v>
      </c>
      <c r="B4" s="203" t="s">
        <v>1499</v>
      </c>
      <c r="D4" s="1" t="s">
        <v>500</v>
      </c>
      <c r="E4" s="247">
        <v>0.86</v>
      </c>
      <c r="F4" s="248" t="str">
        <f t="shared" ref="F4:F30" si="1">VLOOKUP(D4,$A$2:$B$101,2,FALSE)</f>
        <v>N</v>
      </c>
      <c r="G4" s="1" t="s">
        <v>198</v>
      </c>
      <c r="H4" s="247" t="s">
        <v>598</v>
      </c>
      <c r="I4" s="247">
        <v>1.28</v>
      </c>
      <c r="J4" s="248" t="str">
        <f t="shared" ref="J4:J17" si="2">VLOOKUP(G4,$A$2:$B$101,2,FALSE)</f>
        <v>N</v>
      </c>
      <c r="K4" s="249"/>
    </row>
    <row r="5" ht="12.75" customHeight="1">
      <c r="A5" s="1" t="s">
        <v>26</v>
      </c>
      <c r="B5" s="1" t="s">
        <v>1498</v>
      </c>
      <c r="D5" s="1" t="s">
        <v>84</v>
      </c>
      <c r="E5" s="247">
        <v>1.14</v>
      </c>
      <c r="F5" s="248" t="str">
        <f t="shared" si="1"/>
        <v>N</v>
      </c>
      <c r="G5" s="1" t="s">
        <v>427</v>
      </c>
      <c r="H5" s="247" t="s">
        <v>598</v>
      </c>
      <c r="I5" s="247">
        <v>1.46</v>
      </c>
      <c r="J5" s="248" t="str">
        <f t="shared" si="2"/>
        <v>Y</v>
      </c>
      <c r="K5" s="250"/>
    </row>
    <row r="6" ht="12.75" customHeight="1">
      <c r="A6" s="203" t="s">
        <v>31</v>
      </c>
      <c r="B6" s="203" t="s">
        <v>1498</v>
      </c>
      <c r="D6" s="1" t="s">
        <v>345</v>
      </c>
      <c r="E6" s="247">
        <v>1.32</v>
      </c>
      <c r="F6" s="248" t="str">
        <f t="shared" si="1"/>
        <v>Y</v>
      </c>
      <c r="G6" s="1" t="s">
        <v>345</v>
      </c>
      <c r="H6" s="247" t="s">
        <v>598</v>
      </c>
      <c r="I6" s="247">
        <v>1.71</v>
      </c>
      <c r="J6" s="248" t="str">
        <f t="shared" si="2"/>
        <v>Y</v>
      </c>
      <c r="K6" s="250"/>
    </row>
    <row r="7" ht="12.75" customHeight="1">
      <c r="A7" s="203" t="s">
        <v>38</v>
      </c>
      <c r="B7" s="1" t="s">
        <v>1499</v>
      </c>
      <c r="D7" s="1" t="s">
        <v>357</v>
      </c>
      <c r="E7" s="247">
        <v>1.36</v>
      </c>
      <c r="F7" s="248" t="str">
        <f t="shared" si="1"/>
        <v>N</v>
      </c>
      <c r="G7" s="1" t="s">
        <v>441</v>
      </c>
      <c r="H7" s="247" t="s">
        <v>598</v>
      </c>
      <c r="I7" s="247">
        <v>1.72</v>
      </c>
      <c r="J7" s="248" t="str">
        <f t="shared" si="2"/>
        <v>N</v>
      </c>
      <c r="K7" s="250"/>
    </row>
    <row r="8" ht="12.75" customHeight="1">
      <c r="A8" s="1" t="s">
        <v>897</v>
      </c>
      <c r="B8" s="1" t="s">
        <v>1499</v>
      </c>
      <c r="D8" s="1" t="s">
        <v>435</v>
      </c>
      <c r="E8" s="247">
        <v>1.37</v>
      </c>
      <c r="F8" s="248" t="str">
        <f t="shared" si="1"/>
        <v>N</v>
      </c>
      <c r="G8" s="1" t="s">
        <v>193</v>
      </c>
      <c r="H8" s="247" t="s">
        <v>598</v>
      </c>
      <c r="I8" s="247">
        <v>1.77</v>
      </c>
      <c r="J8" s="248" t="str">
        <f t="shared" si="2"/>
        <v>N</v>
      </c>
      <c r="K8" s="250"/>
    </row>
    <row r="9" ht="12.75" customHeight="1">
      <c r="A9" s="1" t="s">
        <v>51</v>
      </c>
      <c r="B9" s="1" t="s">
        <v>1499</v>
      </c>
      <c r="D9" s="1" t="s">
        <v>51</v>
      </c>
      <c r="E9" s="247">
        <v>1.38</v>
      </c>
      <c r="F9" s="248" t="str">
        <f t="shared" si="1"/>
        <v>N</v>
      </c>
      <c r="G9" s="1" t="s">
        <v>406</v>
      </c>
      <c r="H9" s="247" t="s">
        <v>598</v>
      </c>
      <c r="I9" s="247">
        <v>1.87</v>
      </c>
      <c r="J9" s="248" t="str">
        <f t="shared" si="2"/>
        <v>Y</v>
      </c>
      <c r="K9" s="250"/>
    </row>
    <row r="10" ht="12.75" customHeight="1">
      <c r="A10" s="1" t="s">
        <v>58</v>
      </c>
      <c r="B10" s="203" t="s">
        <v>1498</v>
      </c>
      <c r="D10" s="1" t="s">
        <v>427</v>
      </c>
      <c r="E10" s="247">
        <v>1.4</v>
      </c>
      <c r="F10" s="248" t="str">
        <f t="shared" si="1"/>
        <v>Y</v>
      </c>
      <c r="G10" s="1" t="s">
        <v>495</v>
      </c>
      <c r="H10" s="247" t="s">
        <v>598</v>
      </c>
      <c r="I10" s="247">
        <v>1.87</v>
      </c>
      <c r="J10" s="248" t="str">
        <f t="shared" si="2"/>
        <v>N</v>
      </c>
      <c r="K10" s="250"/>
    </row>
    <row r="11" ht="12.75" customHeight="1">
      <c r="A11" s="1" t="s">
        <v>62</v>
      </c>
      <c r="B11" s="1" t="s">
        <v>1499</v>
      </c>
      <c r="D11" s="1" t="s">
        <v>225</v>
      </c>
      <c r="E11" s="247">
        <v>1.4</v>
      </c>
      <c r="F11" s="248" t="str">
        <f t="shared" si="1"/>
        <v>N</v>
      </c>
      <c r="G11" s="1" t="s">
        <v>283</v>
      </c>
      <c r="H11" s="247" t="s">
        <v>598</v>
      </c>
      <c r="I11" s="247">
        <v>1.87</v>
      </c>
      <c r="J11" s="248" t="str">
        <f t="shared" si="2"/>
        <v>N</v>
      </c>
      <c r="K11" s="250"/>
    </row>
    <row r="12" ht="12.75" customHeight="1">
      <c r="A12" s="203" t="s">
        <v>67</v>
      </c>
      <c r="B12" s="1" t="s">
        <v>1499</v>
      </c>
      <c r="D12" s="1" t="s">
        <v>31</v>
      </c>
      <c r="E12" s="247">
        <v>1.45</v>
      </c>
      <c r="F12" s="248" t="str">
        <f t="shared" si="1"/>
        <v>Y</v>
      </c>
      <c r="G12" s="1" t="s">
        <v>384</v>
      </c>
      <c r="H12" s="247" t="s">
        <v>598</v>
      </c>
      <c r="I12" s="247">
        <v>1.94</v>
      </c>
      <c r="J12" s="248" t="str">
        <f t="shared" si="2"/>
        <v>N</v>
      </c>
      <c r="K12" s="250"/>
    </row>
    <row r="13" ht="12.75" customHeight="1">
      <c r="A13" s="203" t="s">
        <v>73</v>
      </c>
      <c r="B13" s="203" t="s">
        <v>1499</v>
      </c>
      <c r="D13" s="1" t="s">
        <v>310</v>
      </c>
      <c r="E13" s="247">
        <v>1.8</v>
      </c>
      <c r="F13" s="248" t="str">
        <f t="shared" si="1"/>
        <v>N</v>
      </c>
      <c r="G13" s="1" t="s">
        <v>150</v>
      </c>
      <c r="H13" s="247" t="s">
        <v>598</v>
      </c>
      <c r="I13" s="247">
        <v>1.98</v>
      </c>
      <c r="J13" s="248" t="str">
        <f t="shared" si="2"/>
        <v>N</v>
      </c>
      <c r="K13" s="250"/>
    </row>
    <row r="14" ht="12.75" customHeight="1">
      <c r="A14" s="1" t="s">
        <v>78</v>
      </c>
      <c r="B14" s="1" t="s">
        <v>1499</v>
      </c>
      <c r="D14" s="1" t="s">
        <v>198</v>
      </c>
      <c r="E14" s="247">
        <v>1.85</v>
      </c>
      <c r="F14" s="248" t="str">
        <f t="shared" si="1"/>
        <v>N</v>
      </c>
      <c r="G14" s="1" t="s">
        <v>182</v>
      </c>
      <c r="H14" s="247" t="s">
        <v>598</v>
      </c>
      <c r="I14" s="247">
        <v>2.16</v>
      </c>
      <c r="J14" s="248" t="str">
        <f t="shared" si="2"/>
        <v>Y</v>
      </c>
      <c r="K14" s="250"/>
    </row>
    <row r="15" ht="12.75" customHeight="1">
      <c r="A15" s="1" t="s">
        <v>84</v>
      </c>
      <c r="B15" s="1" t="s">
        <v>1499</v>
      </c>
      <c r="D15" s="1" t="s">
        <v>412</v>
      </c>
      <c r="E15" s="247">
        <v>1.92</v>
      </c>
      <c r="F15" s="248" t="str">
        <f t="shared" si="1"/>
        <v>Y</v>
      </c>
      <c r="G15" s="1" t="s">
        <v>400</v>
      </c>
      <c r="H15" s="247" t="s">
        <v>598</v>
      </c>
      <c r="I15" s="247">
        <v>2.26</v>
      </c>
      <c r="J15" s="248" t="str">
        <f t="shared" si="2"/>
        <v>Y</v>
      </c>
      <c r="K15" s="250"/>
    </row>
    <row r="16" ht="12.75" customHeight="1">
      <c r="A16" s="1" t="s">
        <v>90</v>
      </c>
      <c r="B16" s="1" t="s">
        <v>1498</v>
      </c>
      <c r="D16" s="1" t="s">
        <v>20</v>
      </c>
      <c r="E16" s="247">
        <v>1.92</v>
      </c>
      <c r="F16" s="248" t="str">
        <f t="shared" si="1"/>
        <v>N</v>
      </c>
      <c r="G16" s="1" t="s">
        <v>162</v>
      </c>
      <c r="H16" s="247" t="s">
        <v>598</v>
      </c>
      <c r="I16" s="247">
        <v>2.34</v>
      </c>
      <c r="J16" s="248" t="str">
        <f t="shared" si="2"/>
        <v>Y</v>
      </c>
      <c r="K16" s="250"/>
    </row>
    <row r="17" ht="12.75" customHeight="1">
      <c r="A17" s="1" t="s">
        <v>96</v>
      </c>
      <c r="B17" s="1" t="s">
        <v>1499</v>
      </c>
      <c r="D17" s="1" t="s">
        <v>322</v>
      </c>
      <c r="E17" s="247">
        <v>1.95</v>
      </c>
      <c r="F17" s="248" t="str">
        <f t="shared" si="1"/>
        <v>Y</v>
      </c>
      <c r="G17" s="1" t="s">
        <v>310</v>
      </c>
      <c r="H17" s="247" t="s">
        <v>598</v>
      </c>
      <c r="I17" s="247">
        <v>3.2</v>
      </c>
      <c r="J17" s="248" t="str">
        <f t="shared" si="2"/>
        <v>N</v>
      </c>
      <c r="K17" s="250"/>
    </row>
    <row r="18" ht="12.75" customHeight="1">
      <c r="A18" s="203" t="s">
        <v>101</v>
      </c>
      <c r="B18" s="1" t="s">
        <v>1499</v>
      </c>
      <c r="D18" s="1" t="s">
        <v>452</v>
      </c>
      <c r="E18" s="247">
        <v>1.98</v>
      </c>
      <c r="F18" s="248" t="str">
        <f t="shared" si="1"/>
        <v>Y</v>
      </c>
      <c r="H18" s="247">
        <v>528.0</v>
      </c>
      <c r="I18" s="251"/>
      <c r="J18" s="251"/>
      <c r="K18" s="252"/>
    </row>
    <row r="19" ht="12.75" customHeight="1">
      <c r="A19" s="203" t="s">
        <v>105</v>
      </c>
      <c r="B19" s="1" t="s">
        <v>1498</v>
      </c>
      <c r="D19" s="1" t="s">
        <v>441</v>
      </c>
      <c r="E19" s="247">
        <v>2.02</v>
      </c>
      <c r="F19" s="248" t="str">
        <f t="shared" si="1"/>
        <v>N</v>
      </c>
      <c r="H19" s="247"/>
    </row>
    <row r="20" ht="12.75" customHeight="1">
      <c r="A20" s="203" t="s">
        <v>111</v>
      </c>
      <c r="B20" s="1" t="s">
        <v>1499</v>
      </c>
      <c r="D20" s="1" t="s">
        <v>260</v>
      </c>
      <c r="E20" s="247">
        <v>2.04</v>
      </c>
      <c r="F20" s="248" t="str">
        <f t="shared" si="1"/>
        <v>N</v>
      </c>
      <c r="H20" s="247"/>
    </row>
    <row r="21" ht="12.75" customHeight="1">
      <c r="A21" s="203" t="s">
        <v>117</v>
      </c>
      <c r="B21" s="1" t="s">
        <v>1499</v>
      </c>
      <c r="D21" s="1" t="s">
        <v>105</v>
      </c>
      <c r="E21" s="247">
        <v>2.05</v>
      </c>
      <c r="F21" s="248" t="str">
        <f t="shared" si="1"/>
        <v>Y</v>
      </c>
      <c r="H21" s="247"/>
    </row>
    <row r="22" ht="12.75" customHeight="1">
      <c r="A22" s="203" t="s">
        <v>122</v>
      </c>
      <c r="B22" s="1" t="s">
        <v>1499</v>
      </c>
      <c r="D22" s="1" t="s">
        <v>406</v>
      </c>
      <c r="E22" s="247">
        <v>2.07</v>
      </c>
      <c r="F22" s="248" t="str">
        <f t="shared" si="1"/>
        <v>Y</v>
      </c>
      <c r="H22" s="247"/>
    </row>
    <row r="23" ht="12.75" customHeight="1">
      <c r="A23" s="203" t="s">
        <v>125</v>
      </c>
      <c r="B23" s="1" t="s">
        <v>1499</v>
      </c>
      <c r="D23" s="1" t="s">
        <v>193</v>
      </c>
      <c r="E23" s="247">
        <v>2.07</v>
      </c>
      <c r="F23" s="248" t="str">
        <f t="shared" si="1"/>
        <v>N</v>
      </c>
      <c r="H23" s="247"/>
    </row>
    <row r="24" ht="12.75" customHeight="1">
      <c r="A24" s="203" t="s">
        <v>130</v>
      </c>
      <c r="B24" s="1" t="s">
        <v>1499</v>
      </c>
      <c r="D24" s="1" t="s">
        <v>90</v>
      </c>
      <c r="E24" s="247">
        <v>2.16</v>
      </c>
      <c r="F24" s="248" t="str">
        <f t="shared" si="1"/>
        <v>Y</v>
      </c>
      <c r="H24" s="247"/>
    </row>
    <row r="25" ht="12.75" customHeight="1">
      <c r="A25" s="203" t="s">
        <v>136</v>
      </c>
      <c r="B25" s="1" t="s">
        <v>1499</v>
      </c>
      <c r="D25" s="1" t="s">
        <v>73</v>
      </c>
      <c r="E25" s="247">
        <v>2.21</v>
      </c>
      <c r="F25" s="248" t="str">
        <f t="shared" si="1"/>
        <v>N</v>
      </c>
      <c r="H25" s="247"/>
    </row>
    <row r="26" ht="12.75" customHeight="1">
      <c r="A26" s="203" t="s">
        <v>139</v>
      </c>
      <c r="B26" s="1" t="s">
        <v>1499</v>
      </c>
      <c r="D26" s="1" t="s">
        <v>242</v>
      </c>
      <c r="E26" s="247">
        <v>2.21</v>
      </c>
      <c r="F26" s="248" t="str">
        <f t="shared" si="1"/>
        <v>N</v>
      </c>
      <c r="H26" s="247"/>
    </row>
    <row r="27" ht="12.75" customHeight="1">
      <c r="A27" s="203" t="s">
        <v>142</v>
      </c>
      <c r="B27" s="1" t="s">
        <v>1499</v>
      </c>
      <c r="D27" s="1" t="s">
        <v>394</v>
      </c>
      <c r="E27" s="247">
        <v>2.28</v>
      </c>
      <c r="F27" s="248" t="str">
        <f t="shared" si="1"/>
        <v>Y</v>
      </c>
      <c r="H27" s="247"/>
    </row>
    <row r="28" ht="12.75" customHeight="1">
      <c r="A28" s="203" t="s">
        <v>144</v>
      </c>
      <c r="B28" s="1" t="s">
        <v>1498</v>
      </c>
      <c r="D28" s="1" t="s">
        <v>172</v>
      </c>
      <c r="E28" s="247">
        <v>2.61</v>
      </c>
      <c r="F28" s="248" t="str">
        <f t="shared" si="1"/>
        <v>N</v>
      </c>
      <c r="H28" s="247"/>
    </row>
    <row r="29" ht="12.75" customHeight="1">
      <c r="A29" s="203" t="s">
        <v>150</v>
      </c>
      <c r="B29" s="1" t="s">
        <v>1499</v>
      </c>
      <c r="D29" s="1" t="s">
        <v>167</v>
      </c>
      <c r="E29" s="247">
        <v>2.63</v>
      </c>
      <c r="F29" s="248" t="str">
        <f t="shared" si="1"/>
        <v>N</v>
      </c>
      <c r="H29" s="247"/>
    </row>
    <row r="30" ht="12.75" customHeight="1">
      <c r="A30" s="203" t="s">
        <v>156</v>
      </c>
      <c r="B30" s="1" t="s">
        <v>1498</v>
      </c>
      <c r="D30" s="1" t="s">
        <v>368</v>
      </c>
      <c r="E30" s="253">
        <v>3.2</v>
      </c>
      <c r="F30" s="248" t="str">
        <f t="shared" si="1"/>
        <v>Y</v>
      </c>
      <c r="H30" s="253"/>
    </row>
    <row r="31" ht="12.75" customHeight="1">
      <c r="A31" s="244" t="s">
        <v>162</v>
      </c>
      <c r="B31" s="1" t="s">
        <v>1498</v>
      </c>
    </row>
    <row r="32" ht="12.75" customHeight="1">
      <c r="A32" s="244" t="s">
        <v>167</v>
      </c>
      <c r="B32" s="1" t="s">
        <v>1499</v>
      </c>
    </row>
    <row r="33" ht="12.75" customHeight="1">
      <c r="A33" s="244" t="s">
        <v>172</v>
      </c>
      <c r="B33" s="1" t="s">
        <v>1499</v>
      </c>
    </row>
    <row r="34" ht="12.75" customHeight="1">
      <c r="A34" s="244" t="s">
        <v>177</v>
      </c>
      <c r="B34" s="1" t="s">
        <v>1499</v>
      </c>
    </row>
    <row r="35" ht="12.75" customHeight="1">
      <c r="A35" s="203" t="s">
        <v>182</v>
      </c>
      <c r="B35" s="1" t="s">
        <v>1498</v>
      </c>
    </row>
    <row r="36" ht="12.75" customHeight="1">
      <c r="A36" s="203" t="s">
        <v>188</v>
      </c>
      <c r="B36" s="1" t="s">
        <v>1499</v>
      </c>
    </row>
    <row r="37" ht="12.75" customHeight="1">
      <c r="A37" s="203" t="s">
        <v>190</v>
      </c>
      <c r="B37" s="1" t="s">
        <v>1499</v>
      </c>
    </row>
    <row r="38" ht="12.75" customHeight="1">
      <c r="A38" s="203" t="s">
        <v>193</v>
      </c>
      <c r="B38" s="1" t="s">
        <v>1499</v>
      </c>
    </row>
    <row r="39" ht="12.75" customHeight="1">
      <c r="A39" s="203" t="s">
        <v>198</v>
      </c>
      <c r="B39" s="1" t="s">
        <v>1499</v>
      </c>
    </row>
    <row r="40" ht="12.75" customHeight="1">
      <c r="A40" s="203" t="s">
        <v>203</v>
      </c>
      <c r="B40" s="1" t="s">
        <v>1499</v>
      </c>
    </row>
    <row r="41" ht="12.75" customHeight="1">
      <c r="A41" s="203" t="s">
        <v>208</v>
      </c>
      <c r="B41" s="1" t="s">
        <v>1499</v>
      </c>
    </row>
    <row r="42" ht="12.75" customHeight="1">
      <c r="A42" s="203" t="s">
        <v>210</v>
      </c>
      <c r="B42" s="203" t="s">
        <v>1499</v>
      </c>
    </row>
    <row r="43" ht="12.75" customHeight="1">
      <c r="A43" s="203" t="s">
        <v>215</v>
      </c>
      <c r="B43" s="203" t="s">
        <v>1499</v>
      </c>
    </row>
    <row r="44" ht="12.75" customHeight="1">
      <c r="A44" s="203" t="s">
        <v>217</v>
      </c>
      <c r="B44" s="203" t="s">
        <v>1498</v>
      </c>
    </row>
    <row r="45" ht="12.75" customHeight="1">
      <c r="A45" s="203" t="s">
        <v>220</v>
      </c>
      <c r="B45" s="203" t="s">
        <v>1499</v>
      </c>
    </row>
    <row r="46" ht="12.75" customHeight="1">
      <c r="A46" s="203" t="s">
        <v>225</v>
      </c>
      <c r="B46" s="203" t="s">
        <v>1499</v>
      </c>
    </row>
    <row r="47" ht="12.75" customHeight="1">
      <c r="A47" s="203" t="s">
        <v>231</v>
      </c>
      <c r="B47" s="203" t="s">
        <v>1499</v>
      </c>
    </row>
    <row r="48" ht="12.75" customHeight="1">
      <c r="A48" s="203" t="s">
        <v>236</v>
      </c>
      <c r="B48" s="203" t="s">
        <v>1499</v>
      </c>
    </row>
    <row r="49" ht="12.75" customHeight="1">
      <c r="A49" s="203" t="s">
        <v>242</v>
      </c>
      <c r="B49" s="203" t="s">
        <v>1499</v>
      </c>
    </row>
    <row r="50" ht="12.75" customHeight="1">
      <c r="A50" s="203" t="s">
        <v>248</v>
      </c>
      <c r="B50" s="203" t="s">
        <v>1499</v>
      </c>
    </row>
    <row r="51" ht="12.75" customHeight="1">
      <c r="A51" s="203" t="s">
        <v>254</v>
      </c>
      <c r="B51" s="1" t="s">
        <v>1499</v>
      </c>
    </row>
    <row r="52" ht="12.75" customHeight="1">
      <c r="A52" s="203" t="s">
        <v>260</v>
      </c>
      <c r="B52" s="241" t="s">
        <v>1499</v>
      </c>
    </row>
    <row r="53" ht="12.75" customHeight="1">
      <c r="A53" s="203" t="s">
        <v>265</v>
      </c>
      <c r="B53" s="1" t="s">
        <v>1499</v>
      </c>
    </row>
    <row r="54" ht="12.75" customHeight="1">
      <c r="A54" s="203" t="s">
        <v>271</v>
      </c>
      <c r="B54" s="1" t="s">
        <v>1499</v>
      </c>
    </row>
    <row r="55" ht="12.75" customHeight="1">
      <c r="A55" s="203" t="s">
        <v>277</v>
      </c>
      <c r="B55" s="1" t="s">
        <v>1499</v>
      </c>
    </row>
    <row r="56" ht="12.75" customHeight="1">
      <c r="A56" s="203" t="s">
        <v>283</v>
      </c>
      <c r="B56" s="1" t="s">
        <v>1499</v>
      </c>
    </row>
    <row r="57" ht="12.75" customHeight="1">
      <c r="A57" s="203" t="s">
        <v>289</v>
      </c>
      <c r="B57" s="1" t="s">
        <v>1499</v>
      </c>
    </row>
    <row r="58" ht="12.75" customHeight="1">
      <c r="A58" s="203" t="s">
        <v>295</v>
      </c>
      <c r="B58" s="1" t="s">
        <v>1499</v>
      </c>
    </row>
    <row r="59" ht="12.75" customHeight="1">
      <c r="A59" s="203" t="s">
        <v>298</v>
      </c>
      <c r="B59" s="1" t="s">
        <v>1498</v>
      </c>
    </row>
    <row r="60" ht="12.75" customHeight="1">
      <c r="A60" s="203" t="s">
        <v>304</v>
      </c>
      <c r="B60" s="1" t="s">
        <v>1499</v>
      </c>
    </row>
    <row r="61" ht="12.75" customHeight="1">
      <c r="A61" s="203" t="s">
        <v>310</v>
      </c>
      <c r="B61" s="1" t="s">
        <v>1499</v>
      </c>
    </row>
    <row r="62" ht="12.75" customHeight="1">
      <c r="A62" s="203" t="s">
        <v>316</v>
      </c>
      <c r="B62" s="1" t="s">
        <v>1498</v>
      </c>
    </row>
    <row r="63" ht="12.75" customHeight="1">
      <c r="A63" s="203" t="s">
        <v>322</v>
      </c>
      <c r="B63" s="1" t="s">
        <v>1498</v>
      </c>
    </row>
    <row r="64" ht="12.75" customHeight="1">
      <c r="A64" s="203" t="s">
        <v>328</v>
      </c>
      <c r="B64" s="1" t="s">
        <v>1499</v>
      </c>
    </row>
    <row r="65" ht="12.75" customHeight="1">
      <c r="A65" s="203" t="s">
        <v>333</v>
      </c>
      <c r="B65" s="1" t="s">
        <v>1499</v>
      </c>
    </row>
    <row r="66" ht="12.75" customHeight="1">
      <c r="A66" s="203" t="s">
        <v>339</v>
      </c>
      <c r="B66" s="1" t="s">
        <v>1499</v>
      </c>
    </row>
    <row r="67" ht="12.75" customHeight="1">
      <c r="A67" s="203" t="s">
        <v>345</v>
      </c>
      <c r="B67" s="241" t="s">
        <v>1498</v>
      </c>
    </row>
    <row r="68" ht="12.75" customHeight="1">
      <c r="A68" s="203" t="s">
        <v>351</v>
      </c>
      <c r="B68" s="1" t="s">
        <v>1498</v>
      </c>
    </row>
    <row r="69" ht="12.75" customHeight="1">
      <c r="A69" s="203" t="s">
        <v>357</v>
      </c>
      <c r="B69" s="1" t="s">
        <v>1499</v>
      </c>
    </row>
    <row r="70" ht="12.75" customHeight="1">
      <c r="A70" s="203" t="s">
        <v>362</v>
      </c>
      <c r="B70" s="1" t="s">
        <v>1499</v>
      </c>
    </row>
    <row r="71" ht="12.75" customHeight="1">
      <c r="A71" s="203" t="s">
        <v>365</v>
      </c>
      <c r="B71" s="1" t="s">
        <v>1499</v>
      </c>
    </row>
    <row r="72" ht="12.75" customHeight="1">
      <c r="A72" s="203" t="s">
        <v>368</v>
      </c>
      <c r="B72" s="1" t="s">
        <v>1498</v>
      </c>
    </row>
    <row r="73" ht="12.75" customHeight="1">
      <c r="A73" s="203" t="s">
        <v>374</v>
      </c>
      <c r="B73" s="1" t="s">
        <v>1499</v>
      </c>
    </row>
    <row r="74" ht="12.75" customHeight="1">
      <c r="A74" s="203" t="s">
        <v>379</v>
      </c>
      <c r="B74" s="1" t="s">
        <v>1499</v>
      </c>
    </row>
    <row r="75" ht="12.75" customHeight="1">
      <c r="A75" s="203" t="s">
        <v>384</v>
      </c>
      <c r="B75" s="1" t="s">
        <v>1499</v>
      </c>
    </row>
    <row r="76" ht="12.75" customHeight="1">
      <c r="A76" s="203" t="s">
        <v>389</v>
      </c>
      <c r="B76" s="241" t="s">
        <v>1498</v>
      </c>
    </row>
    <row r="77" ht="12.75" customHeight="1">
      <c r="A77" s="203" t="s">
        <v>394</v>
      </c>
      <c r="B77" s="1" t="s">
        <v>1498</v>
      </c>
    </row>
    <row r="78" ht="12.75" customHeight="1">
      <c r="A78" s="203" t="s">
        <v>400</v>
      </c>
      <c r="B78" s="1" t="s">
        <v>1498</v>
      </c>
    </row>
    <row r="79" ht="12.75" customHeight="1">
      <c r="A79" s="203" t="s">
        <v>406</v>
      </c>
      <c r="B79" s="1" t="s">
        <v>1498</v>
      </c>
    </row>
    <row r="80" ht="12.75" customHeight="1">
      <c r="A80" s="203" t="s">
        <v>412</v>
      </c>
      <c r="B80" s="1" t="s">
        <v>1498</v>
      </c>
    </row>
    <row r="81" ht="12.75" customHeight="1">
      <c r="A81" s="203" t="s">
        <v>418</v>
      </c>
      <c r="B81" s="1" t="s">
        <v>1499</v>
      </c>
    </row>
    <row r="82" ht="12.75" customHeight="1">
      <c r="A82" s="203" t="s">
        <v>424</v>
      </c>
      <c r="B82" s="1" t="s">
        <v>1499</v>
      </c>
    </row>
    <row r="83" ht="12.75" customHeight="1">
      <c r="A83" s="203" t="s">
        <v>427</v>
      </c>
      <c r="B83" s="241" t="s">
        <v>1498</v>
      </c>
    </row>
    <row r="84" ht="12.75" customHeight="1">
      <c r="A84" s="203" t="s">
        <v>432</v>
      </c>
      <c r="B84" s="241" t="s">
        <v>1498</v>
      </c>
    </row>
    <row r="85" ht="12.75" customHeight="1">
      <c r="A85" s="203" t="s">
        <v>435</v>
      </c>
      <c r="B85" s="241" t="s">
        <v>1499</v>
      </c>
    </row>
    <row r="86" ht="12.75" customHeight="1">
      <c r="A86" s="203" t="s">
        <v>441</v>
      </c>
      <c r="B86" s="1" t="s">
        <v>1499</v>
      </c>
    </row>
    <row r="87" ht="12.75" customHeight="1">
      <c r="A87" s="203" t="s">
        <v>446</v>
      </c>
      <c r="B87" s="1" t="s">
        <v>1498</v>
      </c>
    </row>
    <row r="88" ht="12.75" customHeight="1">
      <c r="A88" s="203" t="s">
        <v>452</v>
      </c>
      <c r="B88" s="1" t="s">
        <v>1498</v>
      </c>
    </row>
    <row r="89" ht="12.75" customHeight="1">
      <c r="A89" s="203" t="s">
        <v>458</v>
      </c>
      <c r="B89" s="1" t="s">
        <v>1499</v>
      </c>
    </row>
    <row r="90" ht="12.75" customHeight="1">
      <c r="A90" s="203" t="s">
        <v>463</v>
      </c>
      <c r="B90" s="1" t="s">
        <v>1499</v>
      </c>
    </row>
    <row r="91" ht="12.75" customHeight="1">
      <c r="A91" s="203" t="s">
        <v>469</v>
      </c>
      <c r="B91" s="1" t="s">
        <v>1499</v>
      </c>
    </row>
    <row r="92" ht="12.75" customHeight="1">
      <c r="A92" s="203" t="s">
        <v>475</v>
      </c>
      <c r="B92" s="1" t="s">
        <v>1499</v>
      </c>
    </row>
    <row r="93" ht="12.75" customHeight="1">
      <c r="A93" s="203" t="s">
        <v>478</v>
      </c>
      <c r="B93" s="241" t="s">
        <v>1498</v>
      </c>
    </row>
    <row r="94" ht="12.75" customHeight="1">
      <c r="A94" s="203" t="s">
        <v>484</v>
      </c>
      <c r="B94" s="1" t="s">
        <v>1499</v>
      </c>
    </row>
    <row r="95" ht="12.75" customHeight="1">
      <c r="A95" s="203" t="s">
        <v>489</v>
      </c>
      <c r="B95" s="1" t="s">
        <v>1499</v>
      </c>
    </row>
    <row r="96" ht="12.75" customHeight="1">
      <c r="A96" s="203" t="s">
        <v>495</v>
      </c>
      <c r="B96" s="1" t="s">
        <v>1499</v>
      </c>
    </row>
    <row r="97" ht="12.75" customHeight="1">
      <c r="A97" s="203" t="s">
        <v>500</v>
      </c>
      <c r="B97" s="1" t="s">
        <v>1499</v>
      </c>
    </row>
    <row r="98" ht="12.75" customHeight="1">
      <c r="A98" s="203" t="s">
        <v>506</v>
      </c>
      <c r="B98" s="1" t="s">
        <v>1499</v>
      </c>
    </row>
    <row r="99" ht="12.75" customHeight="1">
      <c r="A99" s="203" t="s">
        <v>512</v>
      </c>
      <c r="B99" s="1" t="s">
        <v>1499</v>
      </c>
    </row>
    <row r="100" ht="12.75" customHeight="1">
      <c r="A100" s="203" t="s">
        <v>518</v>
      </c>
      <c r="B100" s="1" t="s">
        <v>1498</v>
      </c>
    </row>
    <row r="101" ht="12.75" customHeight="1">
      <c r="A101" s="203" t="s">
        <v>523</v>
      </c>
      <c r="B101" s="1" t="s">
        <v>1499</v>
      </c>
    </row>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1:$B$101"/>
  <printOptions/>
  <pageMargins bottom="0.75" footer="0.0" header="0.0" left="0.7" right="0.7" top="0.75"/>
  <pageSetup orientation="landscape"/>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3" width="21.86"/>
    <col customWidth="1" min="4" max="7" width="22.71"/>
    <col customWidth="1" min="8" max="9" width="8.71"/>
    <col customWidth="1" min="10" max="10" width="10.86"/>
    <col customWidth="1" min="11" max="11" width="9.57"/>
    <col customWidth="1" min="12" max="12" width="12.29"/>
    <col customWidth="1" min="13" max="14" width="7.14"/>
    <col customWidth="1" min="15" max="26" width="8.71"/>
  </cols>
  <sheetData>
    <row r="1" ht="12.75" customHeight="1">
      <c r="B1" s="254" t="s">
        <v>1755</v>
      </c>
      <c r="C1" s="254" t="s">
        <v>1756</v>
      </c>
      <c r="D1" s="254" t="s">
        <v>1757</v>
      </c>
      <c r="E1" s="254" t="s">
        <v>1758</v>
      </c>
      <c r="F1" s="255" t="s">
        <v>1759</v>
      </c>
      <c r="G1" s="255" t="s">
        <v>1760</v>
      </c>
      <c r="H1" s="255" t="s">
        <v>1761</v>
      </c>
      <c r="I1" s="255" t="s">
        <v>1762</v>
      </c>
      <c r="J1" s="255" t="s">
        <v>1763</v>
      </c>
      <c r="K1" s="255" t="s">
        <v>1764</v>
      </c>
      <c r="L1" s="256" t="s">
        <v>1765</v>
      </c>
      <c r="M1" s="255" t="s">
        <v>877</v>
      </c>
      <c r="O1" s="255" t="s">
        <v>1766</v>
      </c>
      <c r="P1" s="255" t="s">
        <v>1767</v>
      </c>
      <c r="Q1" s="255" t="s">
        <v>1768</v>
      </c>
    </row>
    <row r="2" ht="12.75" customHeight="1">
      <c r="A2" s="257" t="s">
        <v>1302</v>
      </c>
      <c r="B2" s="26">
        <f>COUNTIFS(company!$C:$C, sector!$A2,company!$Z:$Z,"NR", company!$AF:$AF,"NR")</f>
        <v>5</v>
      </c>
      <c r="C2" s="26">
        <f t="shared" ref="C2:C12" si="1">M2-B2</f>
        <v>3</v>
      </c>
      <c r="D2" s="26">
        <f>COUNTIFS(company!$L:$L,"N",company!$C:$C,sector!$A2 )</f>
        <v>4</v>
      </c>
      <c r="E2" s="26">
        <f>COUNTIFS(company!$L:$L,"Y",company!$C:$C,sector!$A2 )</f>
        <v>4</v>
      </c>
      <c r="F2" s="26">
        <f>COUNTIFS(company!$M:$M,"N",company!$C:$C,sector!$A2 )</f>
        <v>6</v>
      </c>
      <c r="G2" s="26">
        <f>COUNTIFS(company!$M:$M,"Y",company!$C:$C,sector!$A2 )</f>
        <v>2</v>
      </c>
      <c r="H2" s="26">
        <f>COUNTIFS(company!$R:$R,"N",company!$C:$C,sector!$A2 )</f>
        <v>6</v>
      </c>
      <c r="I2" s="26">
        <f>COUNTIFS(company!$R:$R,"Y",company!$C:$C,sector!$A2 )</f>
        <v>2</v>
      </c>
      <c r="J2" s="26">
        <f>COUNTIFS(company!$C:$C,sector!$A2,company!$H:$H,"Y")</f>
        <v>0</v>
      </c>
      <c r="K2" s="26">
        <f>COUNTIFS(company!$C:$C,sector!$A2,company!$H:$H,"N")</f>
        <v>0</v>
      </c>
      <c r="L2" s="63" t="str">
        <f t="shared" ref="L2:L13" si="2">J2/SUM(J2:K2)</f>
        <v>#DIV/0!</v>
      </c>
      <c r="M2" s="1">
        <f t="shared" ref="M2:M12" si="3">H2+I2</f>
        <v>8</v>
      </c>
      <c r="O2" s="1" t="b">
        <f t="shared" ref="O2:O12" si="4">(D2+E2) = (F2+G2)</f>
        <v>1</v>
      </c>
      <c r="P2" s="1" t="b">
        <f t="shared" ref="P2:P12" si="5">(F2 + G2) = (H2 + I2)</f>
        <v>1</v>
      </c>
      <c r="Q2" s="1" t="b">
        <f t="shared" ref="Q2:Q12" si="6">(B2+C2)=(D2+E2)</f>
        <v>1</v>
      </c>
    </row>
    <row r="3" ht="12.75" customHeight="1">
      <c r="A3" s="257" t="s">
        <v>1376</v>
      </c>
      <c r="B3" s="26">
        <f>COUNTIFS(company!$C:$C, sector!$A3,company!$Z:$Z,"NR", company!$AF:$AF,"NR")</f>
        <v>1</v>
      </c>
      <c r="C3" s="26">
        <f t="shared" si="1"/>
        <v>8</v>
      </c>
      <c r="D3" s="26">
        <f>COUNTIFS(company!$L:$L,"N",company!$C:$C,sector!$A3 )</f>
        <v>4</v>
      </c>
      <c r="E3" s="26">
        <f>COUNTIFS(company!$L:$L,"Y",company!$C:$C,sector!$A3 )</f>
        <v>5</v>
      </c>
      <c r="F3" s="26">
        <f>COUNTIFS(company!$M:$M,"N",company!$C:$C,sector!$A3 )</f>
        <v>5</v>
      </c>
      <c r="G3" s="26">
        <f>COUNTIFS(company!$M:$M,"Y",company!$C:$C,sector!$A3 )</f>
        <v>4</v>
      </c>
      <c r="H3" s="26">
        <f>COUNTIFS(company!$R:$R,"N",company!$C:$C,sector!$A3 )</f>
        <v>4</v>
      </c>
      <c r="I3" s="26">
        <f>COUNTIFS(company!$R:$R,"Y",company!$C:$C,sector!$A3 )</f>
        <v>5</v>
      </c>
      <c r="J3" s="26">
        <f>COUNTIFS(company!$C:$C,sector!$A3,company!$H:$H,"Y")</f>
        <v>0</v>
      </c>
      <c r="K3" s="26">
        <f>COUNTIFS(company!$C:$C,sector!$A3,company!$H:$H,"N")</f>
        <v>0</v>
      </c>
      <c r="L3" s="63" t="str">
        <f t="shared" si="2"/>
        <v>#DIV/0!</v>
      </c>
      <c r="M3" s="1">
        <f t="shared" si="3"/>
        <v>9</v>
      </c>
      <c r="O3" s="1" t="b">
        <f t="shared" si="4"/>
        <v>1</v>
      </c>
      <c r="P3" s="1" t="b">
        <f t="shared" si="5"/>
        <v>1</v>
      </c>
      <c r="Q3" s="1" t="b">
        <f t="shared" si="6"/>
        <v>1</v>
      </c>
    </row>
    <row r="4" ht="12.75" customHeight="1">
      <c r="A4" s="257" t="s">
        <v>1306</v>
      </c>
      <c r="B4" s="26">
        <f>COUNTIFS(company!$C:$C, sector!$A4,company!$Z:$Z,"NR", company!$AF:$AF,"NR")</f>
        <v>2</v>
      </c>
      <c r="C4" s="26">
        <f t="shared" si="1"/>
        <v>9</v>
      </c>
      <c r="D4" s="26">
        <f>COUNTIFS(company!$L:$L,"N",company!$C:$C,sector!$A4 )</f>
        <v>9</v>
      </c>
      <c r="E4" s="26">
        <f>COUNTIFS(company!$L:$L,"Y",company!$C:$C,sector!$A4 )</f>
        <v>2</v>
      </c>
      <c r="F4" s="26">
        <f>COUNTIFS(company!$M:$M,"N",company!$C:$C,sector!$A4 )</f>
        <v>2</v>
      </c>
      <c r="G4" s="26">
        <f>COUNTIFS(company!$M:$M,"Y",company!$C:$C,sector!$A4 )</f>
        <v>9</v>
      </c>
      <c r="H4" s="26">
        <f>COUNTIFS(company!$R:$R,"N",company!$C:$C,sector!$A4 )</f>
        <v>8</v>
      </c>
      <c r="I4" s="26">
        <f>COUNTIFS(company!$R:$R,"Y",company!$C:$C,sector!$A4 )</f>
        <v>3</v>
      </c>
      <c r="J4" s="26">
        <f>COUNTIFS(company!$C:$C,sector!$A4,company!$H:$H,"Y")</f>
        <v>0</v>
      </c>
      <c r="K4" s="26">
        <f>COUNTIFS(company!$C:$C,sector!$A4,company!$H:$H,"N")</f>
        <v>0</v>
      </c>
      <c r="L4" s="63" t="str">
        <f t="shared" si="2"/>
        <v>#DIV/0!</v>
      </c>
      <c r="M4" s="1">
        <f t="shared" si="3"/>
        <v>11</v>
      </c>
      <c r="O4" s="1" t="b">
        <f t="shared" si="4"/>
        <v>1</v>
      </c>
      <c r="P4" s="1" t="b">
        <f t="shared" si="5"/>
        <v>1</v>
      </c>
      <c r="Q4" s="1" t="b">
        <f t="shared" si="6"/>
        <v>1</v>
      </c>
    </row>
    <row r="5" ht="12.75" customHeight="1">
      <c r="A5" s="257" t="s">
        <v>1350</v>
      </c>
      <c r="B5" s="26">
        <f>COUNTIFS(company!$C:$C, sector!$A5,company!$Z:$Z,"NR", company!$AF:$AF,"NR")</f>
        <v>2</v>
      </c>
      <c r="C5" s="26">
        <f t="shared" si="1"/>
        <v>4</v>
      </c>
      <c r="D5" s="26">
        <f>COUNTIFS(company!$L:$L,"N",company!$C:$C,sector!$A5 )</f>
        <v>5</v>
      </c>
      <c r="E5" s="26">
        <f>COUNTIFS(company!$L:$L,"Y",company!$C:$C,sector!$A5 )</f>
        <v>1</v>
      </c>
      <c r="F5" s="26">
        <f>COUNTIFS(company!$M:$M,"N",company!$C:$C,sector!$A5 )</f>
        <v>5</v>
      </c>
      <c r="G5" s="26">
        <f>COUNTIFS(company!$M:$M,"Y",company!$C:$C,sector!$A5 )</f>
        <v>1</v>
      </c>
      <c r="H5" s="26">
        <f>COUNTIFS(company!$R:$R,"N",company!$C:$C,sector!$A5 )</f>
        <v>6</v>
      </c>
      <c r="I5" s="26">
        <f>COUNTIFS(company!$R:$R,"Y",company!$C:$C,sector!$A5 )</f>
        <v>0</v>
      </c>
      <c r="J5" s="26">
        <f>COUNTIFS(company!$C:$C,sector!$A5,company!$H:$H,"Y")</f>
        <v>0</v>
      </c>
      <c r="K5" s="26">
        <f>COUNTIFS(company!$C:$C,sector!$A5,company!$H:$H,"N")</f>
        <v>0</v>
      </c>
      <c r="L5" s="63" t="str">
        <f t="shared" si="2"/>
        <v>#DIV/0!</v>
      </c>
      <c r="M5" s="1">
        <f t="shared" si="3"/>
        <v>6</v>
      </c>
      <c r="O5" s="1" t="b">
        <f t="shared" si="4"/>
        <v>1</v>
      </c>
      <c r="P5" s="1" t="b">
        <f t="shared" si="5"/>
        <v>1</v>
      </c>
      <c r="Q5" s="1" t="b">
        <f t="shared" si="6"/>
        <v>1</v>
      </c>
    </row>
    <row r="6" ht="12.75" customHeight="1">
      <c r="A6" s="257" t="s">
        <v>1298</v>
      </c>
      <c r="B6" s="26">
        <f>COUNTIFS(company!$C:$C, sector!$A6,company!$Z:$Z,"NR", company!$AF:$AF,"NR")</f>
        <v>2</v>
      </c>
      <c r="C6" s="26">
        <f t="shared" si="1"/>
        <v>16</v>
      </c>
      <c r="D6" s="26">
        <f>COUNTIFS(company!$L:$L,"N",company!$C:$C,sector!$A6 )</f>
        <v>11</v>
      </c>
      <c r="E6" s="26">
        <f>COUNTIFS(company!$L:$L,"Y",company!$C:$C,sector!$A6 )</f>
        <v>7</v>
      </c>
      <c r="F6" s="26">
        <f>COUNTIFS(company!$M:$M,"N",company!$C:$C,sector!$A6 )</f>
        <v>16</v>
      </c>
      <c r="G6" s="26">
        <f>COUNTIFS(company!$M:$M,"Y",company!$C:$C,sector!$A6 )</f>
        <v>2</v>
      </c>
      <c r="H6" s="26">
        <f>COUNTIFS(company!$R:$R,"N",company!$C:$C,sector!$A6 )</f>
        <v>7</v>
      </c>
      <c r="I6" s="26">
        <f>COUNTIFS(company!$R:$R,"Y",company!$C:$C,sector!$A6 )</f>
        <v>11</v>
      </c>
      <c r="J6" s="26">
        <f>COUNTIFS(company!$C:$C,sector!$A6,company!$H:$H,"Y")</f>
        <v>0</v>
      </c>
      <c r="K6" s="26">
        <f>COUNTIFS(company!$C:$C,sector!$A6,company!$H:$H,"N")</f>
        <v>0</v>
      </c>
      <c r="L6" s="63" t="str">
        <f t="shared" si="2"/>
        <v>#DIV/0!</v>
      </c>
      <c r="M6" s="1">
        <f t="shared" si="3"/>
        <v>18</v>
      </c>
      <c r="O6" s="1" t="b">
        <f t="shared" si="4"/>
        <v>1</v>
      </c>
      <c r="P6" s="1" t="b">
        <f t="shared" si="5"/>
        <v>1</v>
      </c>
      <c r="Q6" s="1" t="b">
        <f t="shared" si="6"/>
        <v>1</v>
      </c>
    </row>
    <row r="7" ht="12.75" customHeight="1">
      <c r="A7" s="257" t="s">
        <v>1283</v>
      </c>
      <c r="B7" s="26">
        <f>COUNTIFS(company!$C:$C, sector!$A7,company!$Z:$Z,"NR", company!$AF:$AF,"NR")</f>
        <v>3</v>
      </c>
      <c r="C7" s="26">
        <f t="shared" si="1"/>
        <v>13</v>
      </c>
      <c r="D7" s="26">
        <f>COUNTIFS(company!$L:$L,"N",company!$C:$C,sector!$A7 )</f>
        <v>15</v>
      </c>
      <c r="E7" s="26">
        <f>COUNTIFS(company!$L:$L,"Y",company!$C:$C,sector!$A7 )</f>
        <v>1</v>
      </c>
      <c r="F7" s="26">
        <f>COUNTIFS(company!$M:$M,"N",company!$C:$C,sector!$A7 )</f>
        <v>13</v>
      </c>
      <c r="G7" s="26">
        <f>COUNTIFS(company!$M:$M,"Y",company!$C:$C,sector!$A7 )</f>
        <v>3</v>
      </c>
      <c r="H7" s="26">
        <f>COUNTIFS(company!$R:$R,"N",company!$C:$C,sector!$A7 )</f>
        <v>13</v>
      </c>
      <c r="I7" s="26">
        <f>COUNTIFS(company!$R:$R,"Y",company!$C:$C,sector!$A7 )</f>
        <v>3</v>
      </c>
      <c r="J7" s="26">
        <f>COUNTIFS(company!$C:$C,sector!$A7,company!$H:$H,"Y")</f>
        <v>0</v>
      </c>
      <c r="K7" s="26">
        <f>COUNTIFS(company!$C:$C,sector!$A7,company!$H:$H,"N")</f>
        <v>0</v>
      </c>
      <c r="L7" s="63" t="str">
        <f t="shared" si="2"/>
        <v>#DIV/0!</v>
      </c>
      <c r="M7" s="1">
        <f t="shared" si="3"/>
        <v>16</v>
      </c>
      <c r="O7" s="1" t="b">
        <f t="shared" si="4"/>
        <v>1</v>
      </c>
      <c r="P7" s="1" t="b">
        <f t="shared" si="5"/>
        <v>1</v>
      </c>
      <c r="Q7" s="1" t="b">
        <f t="shared" si="6"/>
        <v>1</v>
      </c>
    </row>
    <row r="8" ht="12.75" customHeight="1">
      <c r="A8" s="257" t="s">
        <v>1276</v>
      </c>
      <c r="B8" s="26">
        <f>COUNTIFS(company!$C:$C, sector!$A8,company!$Z:$Z,"NR", company!$AF:$AF,"NR")</f>
        <v>3</v>
      </c>
      <c r="C8" s="26">
        <f t="shared" si="1"/>
        <v>9</v>
      </c>
      <c r="D8" s="26">
        <f>COUNTIFS(company!$L:$L,"N",company!$C:$C,sector!$A8 )</f>
        <v>12</v>
      </c>
      <c r="E8" s="26">
        <f>COUNTIFS(company!$L:$L,"Y",company!$C:$C,sector!$A8 )</f>
        <v>0</v>
      </c>
      <c r="F8" s="26">
        <f>COUNTIFS(company!$M:$M,"N",company!$C:$C,sector!$A8 )</f>
        <v>11</v>
      </c>
      <c r="G8" s="26">
        <f>COUNTIFS(company!$M:$M,"Y",company!$C:$C,sector!$A8 )</f>
        <v>1</v>
      </c>
      <c r="H8" s="26">
        <f>COUNTIFS(company!$R:$R,"N",company!$C:$C,sector!$A8 )</f>
        <v>11</v>
      </c>
      <c r="I8" s="26">
        <f>COUNTIFS(company!$R:$R,"Y",company!$C:$C,sector!$A8 )</f>
        <v>1</v>
      </c>
      <c r="J8" s="26">
        <f>COUNTIFS(company!$C:$C,sector!$A8,company!$H:$H,"Y")</f>
        <v>0</v>
      </c>
      <c r="K8" s="26">
        <f>COUNTIFS(company!$C:$C,sector!$A8,company!$H:$H,"N")</f>
        <v>0</v>
      </c>
      <c r="L8" s="63" t="str">
        <f t="shared" si="2"/>
        <v>#DIV/0!</v>
      </c>
      <c r="M8" s="1">
        <f t="shared" si="3"/>
        <v>12</v>
      </c>
      <c r="O8" s="1" t="b">
        <f t="shared" si="4"/>
        <v>1</v>
      </c>
      <c r="P8" s="1" t="b">
        <f t="shared" si="5"/>
        <v>1</v>
      </c>
      <c r="Q8" s="1" t="b">
        <f t="shared" si="6"/>
        <v>1</v>
      </c>
    </row>
    <row r="9" ht="12.75" customHeight="1">
      <c r="A9" s="257" t="s">
        <v>939</v>
      </c>
      <c r="B9" s="26">
        <f>COUNTIFS(company!$C:$C, sector!$A9,company!$Z:$Z,"NR", company!$AF:$AF,"NR")</f>
        <v>0</v>
      </c>
      <c r="C9" s="26">
        <f t="shared" si="1"/>
        <v>2</v>
      </c>
      <c r="D9" s="26">
        <f>COUNTIFS(company!$L:$L,"N",company!$C:$C,sector!$A9 )</f>
        <v>0</v>
      </c>
      <c r="E9" s="26">
        <f>COUNTIFS(company!$L:$L,"Y",company!$C:$C,sector!$A9 )</f>
        <v>2</v>
      </c>
      <c r="F9" s="26">
        <f>COUNTIFS(company!$M:$M,"N",company!$C:$C,sector!$A9 )</f>
        <v>2</v>
      </c>
      <c r="G9" s="26">
        <f>COUNTIFS(company!$M:$M,"Y",company!$C:$C,sector!$A9 )</f>
        <v>0</v>
      </c>
      <c r="H9" s="26">
        <f>COUNTIFS(company!$R:$R,"N",company!$C:$C,sector!$A9 )</f>
        <v>2</v>
      </c>
      <c r="I9" s="26">
        <f>COUNTIFS(company!$R:$R,"Y",company!$C:$C,sector!$A9 )</f>
        <v>0</v>
      </c>
      <c r="J9" s="26">
        <f>COUNTIFS(company!$C:$C,sector!$A9,company!$H:$H,"Y")</f>
        <v>0</v>
      </c>
      <c r="K9" s="26">
        <f>COUNTIFS(company!$C:$C,sector!$A9,company!$H:$H,"N")</f>
        <v>0</v>
      </c>
      <c r="L9" s="63" t="str">
        <f t="shared" si="2"/>
        <v>#DIV/0!</v>
      </c>
      <c r="M9" s="1">
        <f t="shared" si="3"/>
        <v>2</v>
      </c>
      <c r="O9" s="1" t="b">
        <f t="shared" si="4"/>
        <v>1</v>
      </c>
      <c r="P9" s="1" t="b">
        <f t="shared" si="5"/>
        <v>1</v>
      </c>
      <c r="Q9" s="1" t="b">
        <f t="shared" si="6"/>
        <v>1</v>
      </c>
    </row>
    <row r="10" ht="12.75" customHeight="1">
      <c r="A10" s="257" t="s">
        <v>1314</v>
      </c>
      <c r="B10" s="26">
        <f>COUNTIFS(company!$C:$C, sector!$A10,company!$Z:$Z,"NR", company!$AF:$AF,"NR")</f>
        <v>1</v>
      </c>
      <c r="C10" s="26">
        <f t="shared" si="1"/>
        <v>1</v>
      </c>
      <c r="D10" s="26">
        <f>COUNTIFS(company!$L:$L,"N",company!$C:$C,sector!$A10 )</f>
        <v>2</v>
      </c>
      <c r="E10" s="26">
        <f>COUNTIFS(company!$L:$L,"Y",company!$C:$C,sector!$A10 )</f>
        <v>0</v>
      </c>
      <c r="F10" s="26">
        <f>COUNTIFS(company!$M:$M,"N",company!$C:$C,sector!$A10 )</f>
        <v>2</v>
      </c>
      <c r="G10" s="26">
        <f>COUNTIFS(company!$M:$M,"Y",company!$C:$C,sector!$A10 )</f>
        <v>0</v>
      </c>
      <c r="H10" s="26">
        <f>COUNTIFS(company!$R:$R,"N",company!$C:$C,sector!$A10 )</f>
        <v>2</v>
      </c>
      <c r="I10" s="26">
        <f>COUNTIFS(company!$R:$R,"Y",company!$C:$C,sector!$A10 )</f>
        <v>0</v>
      </c>
      <c r="J10" s="26">
        <f>COUNTIFS(company!$C:$C,sector!$A10,company!$H:$H,"Y")</f>
        <v>0</v>
      </c>
      <c r="K10" s="26">
        <f>COUNTIFS(company!$C:$C,sector!$A10,company!$H:$H,"N")</f>
        <v>0</v>
      </c>
      <c r="L10" s="63" t="str">
        <f t="shared" si="2"/>
        <v>#DIV/0!</v>
      </c>
      <c r="M10" s="1">
        <f t="shared" si="3"/>
        <v>2</v>
      </c>
      <c r="O10" s="1" t="b">
        <f t="shared" si="4"/>
        <v>1</v>
      </c>
      <c r="P10" s="1" t="b">
        <f t="shared" si="5"/>
        <v>1</v>
      </c>
      <c r="Q10" s="1" t="b">
        <f t="shared" si="6"/>
        <v>1</v>
      </c>
    </row>
    <row r="11" ht="12.75" customHeight="1">
      <c r="A11" s="257" t="s">
        <v>1291</v>
      </c>
      <c r="B11" s="26">
        <f>COUNTIFS(company!$C:$C, sector!$A11,company!$Z:$Z,"NR", company!$AF:$AF,"NR")</f>
        <v>1</v>
      </c>
      <c r="C11" s="26">
        <f t="shared" si="1"/>
        <v>11</v>
      </c>
      <c r="D11" s="26">
        <f>COUNTIFS(company!$L:$L,"N",company!$C:$C,sector!$A11 )</f>
        <v>9</v>
      </c>
      <c r="E11" s="26">
        <f>COUNTIFS(company!$L:$L,"Y",company!$C:$C,sector!$A11 )</f>
        <v>3</v>
      </c>
      <c r="F11" s="26">
        <f>COUNTIFS(company!$M:$M,"N",company!$C:$C,sector!$A11 )</f>
        <v>7</v>
      </c>
      <c r="G11" s="26">
        <f>COUNTIFS(company!$M:$M,"Y",company!$C:$C,sector!$A11 )</f>
        <v>5</v>
      </c>
      <c r="H11" s="26">
        <f>COUNTIFS(company!$R:$R,"N",company!$C:$C,sector!$A11 )</f>
        <v>7</v>
      </c>
      <c r="I11" s="26">
        <f>COUNTIFS(company!$R:$R,"Y",company!$C:$C,sector!$A11 )</f>
        <v>5</v>
      </c>
      <c r="J11" s="26">
        <f>COUNTIFS(company!$C:$C,sector!$A11,company!$H:$H,"Y")</f>
        <v>0</v>
      </c>
      <c r="K11" s="26">
        <f>COUNTIFS(company!$C:$C,sector!$A11,company!$H:$H,"N")</f>
        <v>0</v>
      </c>
      <c r="L11" s="63" t="str">
        <f t="shared" si="2"/>
        <v>#DIV/0!</v>
      </c>
      <c r="M11" s="1">
        <f t="shared" si="3"/>
        <v>12</v>
      </c>
      <c r="O11" s="1" t="b">
        <f t="shared" si="4"/>
        <v>1</v>
      </c>
      <c r="P11" s="1" t="b">
        <f t="shared" si="5"/>
        <v>1</v>
      </c>
      <c r="Q11" s="1" t="b">
        <f t="shared" si="6"/>
        <v>1</v>
      </c>
    </row>
    <row r="12" ht="12.75" customHeight="1">
      <c r="A12" s="257" t="s">
        <v>1364</v>
      </c>
      <c r="B12" s="26">
        <f>COUNTIFS(company!$C:$C, sector!$A12,company!$Z:$Z,"NR", company!$AF:$AF,"NR")</f>
        <v>1</v>
      </c>
      <c r="C12" s="26">
        <f t="shared" si="1"/>
        <v>3</v>
      </c>
      <c r="D12" s="26">
        <f>COUNTIFS(company!$L:$L,"N",company!$C:$C,sector!$A12 )</f>
        <v>3</v>
      </c>
      <c r="E12" s="26">
        <f>COUNTIFS(company!$L:$L,"Y",company!$C:$C,sector!$A12 )</f>
        <v>1</v>
      </c>
      <c r="F12" s="26">
        <f>COUNTIFS(company!$M:$M,"N",company!$C:$C,sector!$A12 )</f>
        <v>4</v>
      </c>
      <c r="G12" s="26">
        <f>COUNTIFS(company!$M:$M,"Y",company!$C:$C,sector!$A12 )</f>
        <v>0</v>
      </c>
      <c r="H12" s="26">
        <f>COUNTIFS(company!$R:$R,"N",company!$C:$C,sector!$A12 )</f>
        <v>4</v>
      </c>
      <c r="I12" s="26">
        <f>COUNTIFS(company!$R:$R,"Y",company!$C:$C,sector!$A12 )</f>
        <v>0</v>
      </c>
      <c r="J12" s="26">
        <f>COUNTIFS(company!$C:$C,sector!$A12,company!$H:$H,"Y")</f>
        <v>0</v>
      </c>
      <c r="K12" s="26">
        <f>COUNTIFS(company!$C:$C,sector!$A12,company!$H:$H,"N")</f>
        <v>0</v>
      </c>
      <c r="L12" s="63" t="str">
        <f t="shared" si="2"/>
        <v>#DIV/0!</v>
      </c>
      <c r="M12" s="1">
        <f t="shared" si="3"/>
        <v>4</v>
      </c>
      <c r="O12" s="1" t="b">
        <f t="shared" si="4"/>
        <v>1</v>
      </c>
      <c r="P12" s="1" t="b">
        <f t="shared" si="5"/>
        <v>1</v>
      </c>
      <c r="Q12" s="1" t="b">
        <f t="shared" si="6"/>
        <v>1</v>
      </c>
    </row>
    <row r="13" ht="12.75" customHeight="1">
      <c r="A13" s="258" t="s">
        <v>576</v>
      </c>
      <c r="B13" s="259">
        <f t="shared" ref="B13:K13" si="7">SUM(B2:B12)</f>
        <v>21</v>
      </c>
      <c r="C13" s="259">
        <f t="shared" si="7"/>
        <v>79</v>
      </c>
      <c r="D13" s="259">
        <f t="shared" si="7"/>
        <v>74</v>
      </c>
      <c r="E13" s="259">
        <f t="shared" si="7"/>
        <v>26</v>
      </c>
      <c r="F13" s="259">
        <f t="shared" si="7"/>
        <v>73</v>
      </c>
      <c r="G13" s="259">
        <f t="shared" si="7"/>
        <v>27</v>
      </c>
      <c r="H13" s="259">
        <f t="shared" si="7"/>
        <v>70</v>
      </c>
      <c r="I13" s="259">
        <f t="shared" si="7"/>
        <v>30</v>
      </c>
      <c r="J13" s="259">
        <f t="shared" si="7"/>
        <v>0</v>
      </c>
      <c r="K13" s="259">
        <f t="shared" si="7"/>
        <v>0</v>
      </c>
      <c r="L13" s="260" t="str">
        <f t="shared" si="2"/>
        <v>#DIV/0!</v>
      </c>
      <c r="M13" s="259">
        <f>SUM(M2:M12)</f>
        <v>100</v>
      </c>
    </row>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57"/>
    <col customWidth="1" min="2" max="2" width="33.86"/>
    <col customWidth="1" min="3" max="3" width="35.57"/>
    <col customWidth="1" min="4" max="26" width="8.71"/>
  </cols>
  <sheetData>
    <row r="1" ht="12.75" customHeight="1">
      <c r="A1" s="1" t="s">
        <v>10</v>
      </c>
      <c r="B1" s="261" t="s">
        <v>13</v>
      </c>
      <c r="C1" s="262" t="str">
        <f>VLOOKUP(A1,companies!$B:$D,3,FALSE)</f>
        <v> US88579Y1010</v>
      </c>
      <c r="D1" s="1" t="b">
        <f t="shared" ref="D1:D26" si="1">C1=B1</f>
        <v>0</v>
      </c>
    </row>
    <row r="2" ht="12.75" customHeight="1">
      <c r="A2" s="1" t="s">
        <v>15</v>
      </c>
      <c r="B2" s="261" t="s">
        <v>18</v>
      </c>
      <c r="C2" s="262" t="str">
        <f>VLOOKUP(A2,companies!$B:$D,3,FALSE)</f>
        <v> US0028241000</v>
      </c>
      <c r="D2" s="1" t="b">
        <f t="shared" si="1"/>
        <v>0</v>
      </c>
    </row>
    <row r="3" ht="12.75" customHeight="1">
      <c r="A3" s="1" t="s">
        <v>20</v>
      </c>
      <c r="B3" s="261" t="s">
        <v>24</v>
      </c>
      <c r="C3" s="262" t="str">
        <f>VLOOKUP(A3,companies!$B:$D,3,FALSE)</f>
        <v> US00287Y1091</v>
      </c>
      <c r="D3" s="1" t="b">
        <f t="shared" si="1"/>
        <v>0</v>
      </c>
    </row>
    <row r="4" ht="12.75" customHeight="1">
      <c r="A4" s="1" t="s">
        <v>26</v>
      </c>
      <c r="B4" s="261" t="s">
        <v>29</v>
      </c>
      <c r="C4" s="262" t="str">
        <f>VLOOKUP(A4,companies!$B:$D,3,FALSE)</f>
        <v> IE00B4BNMY34</v>
      </c>
      <c r="D4" s="1" t="b">
        <f t="shared" si="1"/>
        <v>0</v>
      </c>
    </row>
    <row r="5" ht="12.75" customHeight="1">
      <c r="A5" s="203" t="s">
        <v>31</v>
      </c>
      <c r="B5" s="261" t="s">
        <v>35</v>
      </c>
      <c r="C5" s="262" t="str">
        <f>VLOOKUP(A5,companies!$B:$D,3,FALSE)</f>
        <v> US00724F1012</v>
      </c>
      <c r="D5" s="1" t="b">
        <f t="shared" si="1"/>
        <v>0</v>
      </c>
    </row>
    <row r="6" ht="12.75" customHeight="1">
      <c r="A6" s="203" t="s">
        <v>38</v>
      </c>
      <c r="B6" s="263" t="s">
        <v>42</v>
      </c>
      <c r="C6" s="262" t="str">
        <f>VLOOKUP(A6,companies!$B:$D,3,FALSE)</f>
        <v> US0200021014</v>
      </c>
      <c r="D6" s="1" t="b">
        <f t="shared" si="1"/>
        <v>0</v>
      </c>
    </row>
    <row r="7" ht="12.75" customHeight="1">
      <c r="A7" s="1" t="s">
        <v>897</v>
      </c>
      <c r="B7" s="264" t="s">
        <v>48</v>
      </c>
      <c r="C7" s="265" t="str">
        <f>VLOOKUP(A7,companies!$B:$D,3,FALSE)</f>
        <v>#N/A</v>
      </c>
      <c r="D7" s="1" t="str">
        <f t="shared" si="1"/>
        <v>#N/A</v>
      </c>
    </row>
    <row r="8" ht="12.75" customHeight="1">
      <c r="A8" s="1" t="s">
        <v>51</v>
      </c>
      <c r="B8" s="266" t="s">
        <v>55</v>
      </c>
      <c r="C8" s="262" t="str">
        <f>VLOOKUP(A8,companies!$B:$D,3,FALSE)</f>
        <v> US02209S1033</v>
      </c>
      <c r="D8" s="1" t="b">
        <f t="shared" si="1"/>
        <v>0</v>
      </c>
    </row>
    <row r="9" ht="12.75" customHeight="1">
      <c r="A9" s="1" t="s">
        <v>58</v>
      </c>
      <c r="B9" s="266" t="s">
        <v>60</v>
      </c>
      <c r="C9" s="262" t="str">
        <f>VLOOKUP(A9,companies!$B:$D,3,FALSE)</f>
        <v>US0231351067</v>
      </c>
      <c r="D9" s="1" t="b">
        <f t="shared" si="1"/>
        <v>1</v>
      </c>
    </row>
    <row r="10" ht="12.75" customHeight="1">
      <c r="A10" s="1" t="s">
        <v>62</v>
      </c>
      <c r="B10" s="266" t="s">
        <v>65</v>
      </c>
      <c r="C10" s="262" t="str">
        <f>VLOOKUP(A10,companies!$B:$D,3,FALSE)</f>
        <v> US0258161092</v>
      </c>
      <c r="D10" s="1" t="b">
        <f t="shared" si="1"/>
        <v>0</v>
      </c>
    </row>
    <row r="11" ht="12.75" customHeight="1">
      <c r="A11" s="203" t="s">
        <v>67</v>
      </c>
      <c r="B11" s="266" t="s">
        <v>71</v>
      </c>
      <c r="C11" s="262" t="str">
        <f>VLOOKUP(A11,companies!$B:$D,3,FALSE)</f>
        <v> US0268747849</v>
      </c>
      <c r="D11" s="1" t="b">
        <f t="shared" si="1"/>
        <v>0</v>
      </c>
    </row>
    <row r="12" ht="12.75" customHeight="1">
      <c r="A12" s="203" t="s">
        <v>73</v>
      </c>
      <c r="B12" s="266" t="s">
        <v>76</v>
      </c>
      <c r="C12" s="262" t="str">
        <f>VLOOKUP(A12,companies!$B:$D,3,FALSE)</f>
        <v> US03027X1000</v>
      </c>
      <c r="D12" s="1" t="b">
        <f t="shared" si="1"/>
        <v>0</v>
      </c>
    </row>
    <row r="13" ht="12.75" customHeight="1">
      <c r="A13" s="1" t="s">
        <v>78</v>
      </c>
      <c r="B13" s="266" t="s">
        <v>82</v>
      </c>
      <c r="C13" s="262" t="str">
        <f>VLOOKUP(A13,companies!$B:$D,3,FALSE)</f>
        <v> US0311621009</v>
      </c>
      <c r="D13" s="1" t="b">
        <f t="shared" si="1"/>
        <v>0</v>
      </c>
    </row>
    <row r="14" ht="12.75" customHeight="1">
      <c r="A14" s="1" t="s">
        <v>84</v>
      </c>
      <c r="B14" s="266" t="s">
        <v>88</v>
      </c>
      <c r="C14" s="262" t="str">
        <f>VLOOKUP(A14,companies!$B:$D,3,FALSE)</f>
        <v> US0378331005</v>
      </c>
      <c r="D14" s="1" t="b">
        <f t="shared" si="1"/>
        <v>0</v>
      </c>
    </row>
    <row r="15" ht="12.75" customHeight="1">
      <c r="A15" s="1" t="s">
        <v>90</v>
      </c>
      <c r="B15" s="266" t="s">
        <v>94</v>
      </c>
      <c r="C15" s="262" t="str">
        <f>VLOOKUP(A15,companies!$B:$D,3,FALSE)</f>
        <v> US00206R1023</v>
      </c>
      <c r="D15" s="1" t="b">
        <f t="shared" si="1"/>
        <v>0</v>
      </c>
    </row>
    <row r="16" ht="12.75" customHeight="1">
      <c r="A16" s="1" t="s">
        <v>96</v>
      </c>
      <c r="B16" s="266" t="s">
        <v>99</v>
      </c>
      <c r="C16" s="262" t="str">
        <f>VLOOKUP(A16,companies!$B:$D,3,FALSE)</f>
        <v> US0605051046</v>
      </c>
      <c r="D16" s="1" t="b">
        <f t="shared" si="1"/>
        <v>0</v>
      </c>
    </row>
    <row r="17" ht="12.75" customHeight="1">
      <c r="A17" s="203" t="s">
        <v>101</v>
      </c>
      <c r="B17" s="266" t="s">
        <v>103</v>
      </c>
      <c r="C17" s="262" t="str">
        <f>VLOOKUP(A17,companies!$B:$D,3,FALSE)</f>
        <v>US0846707026</v>
      </c>
      <c r="D17" s="1" t="b">
        <f t="shared" si="1"/>
        <v>1</v>
      </c>
    </row>
    <row r="18" ht="12.75" customHeight="1">
      <c r="A18" s="203" t="s">
        <v>105</v>
      </c>
      <c r="B18" s="266" t="s">
        <v>109</v>
      </c>
      <c r="C18" s="262" t="str">
        <f>VLOOKUP(A18,companies!$B:$D,3,FALSE)</f>
        <v> US09062X1037</v>
      </c>
      <c r="D18" s="1" t="b">
        <f t="shared" si="1"/>
        <v>0</v>
      </c>
    </row>
    <row r="19" ht="12.75" customHeight="1">
      <c r="A19" s="203" t="s">
        <v>111</v>
      </c>
      <c r="B19" s="263" t="s">
        <v>115</v>
      </c>
      <c r="C19" s="262" t="str">
        <f>VLOOKUP(A19,companies!$B:$D,3,FALSE)</f>
        <v> US09247X1019</v>
      </c>
      <c r="D19" s="1" t="b">
        <f t="shared" si="1"/>
        <v>0</v>
      </c>
    </row>
    <row r="20" ht="12.75" customHeight="1">
      <c r="A20" s="203" t="s">
        <v>117</v>
      </c>
      <c r="B20" s="266" t="s">
        <v>120</v>
      </c>
      <c r="C20" s="262" t="str">
        <f>VLOOKUP(A20,companies!$B:$D,3,FALSE)</f>
        <v> US0970231058</v>
      </c>
      <c r="D20" s="1" t="b">
        <f t="shared" si="1"/>
        <v>0</v>
      </c>
    </row>
    <row r="21" ht="12.75" customHeight="1">
      <c r="A21" s="203" t="s">
        <v>122</v>
      </c>
      <c r="B21" s="266" t="s">
        <v>124</v>
      </c>
      <c r="C21" s="262" t="str">
        <f>VLOOKUP(A21,companies!$B:$D,3,FALSE)</f>
        <v>US09857L1089</v>
      </c>
      <c r="D21" s="1" t="b">
        <f t="shared" si="1"/>
        <v>1</v>
      </c>
    </row>
    <row r="22" ht="12.75" customHeight="1">
      <c r="A22" s="203" t="s">
        <v>125</v>
      </c>
      <c r="B22" s="266" t="s">
        <v>128</v>
      </c>
      <c r="C22" s="262" t="str">
        <f>VLOOKUP(A22,companies!$B:$D,3,FALSE)</f>
        <v> US1101221083</v>
      </c>
      <c r="D22" s="1" t="b">
        <f t="shared" si="1"/>
        <v>0</v>
      </c>
    </row>
    <row r="23" ht="12.75" customHeight="1">
      <c r="A23" s="203" t="s">
        <v>130</v>
      </c>
      <c r="B23" s="266" t="s">
        <v>134</v>
      </c>
      <c r="C23" s="262" t="str">
        <f>VLOOKUP(A23,companies!$B:$D,3,FALSE)</f>
        <v> US14040H1059</v>
      </c>
      <c r="D23" s="1" t="b">
        <f t="shared" si="1"/>
        <v>0</v>
      </c>
    </row>
    <row r="24" ht="12.75" customHeight="1">
      <c r="A24" s="203" t="s">
        <v>136</v>
      </c>
      <c r="B24" s="266" t="s">
        <v>138</v>
      </c>
      <c r="C24" s="262" t="str">
        <f>VLOOKUP(A24,companies!$B:$D,3,FALSE)</f>
        <v>US1491231015</v>
      </c>
      <c r="D24" s="1" t="b">
        <f t="shared" si="1"/>
        <v>1</v>
      </c>
    </row>
    <row r="25" ht="12.75" customHeight="1">
      <c r="A25" s="203" t="s">
        <v>139</v>
      </c>
      <c r="B25" s="266" t="s">
        <v>141</v>
      </c>
      <c r="C25" s="262" t="str">
        <f>VLOOKUP(A25,companies!$B:$D,3,FALSE)</f>
        <v>US16119P1084</v>
      </c>
      <c r="D25" s="1" t="b">
        <f t="shared" si="1"/>
        <v>1</v>
      </c>
    </row>
    <row r="26" ht="12.75" customHeight="1">
      <c r="A26" s="203" t="s">
        <v>142</v>
      </c>
      <c r="B26" s="266" t="s">
        <v>143</v>
      </c>
      <c r="C26" s="262" t="str">
        <f>VLOOKUP(A26,companies!$B:$D,3,FALSE)</f>
        <v>US1667641005</v>
      </c>
      <c r="D26" s="1" t="b">
        <f t="shared" si="1"/>
        <v>1</v>
      </c>
    </row>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2020-06-04T19:09:35Z</dcterms:created>
  <dc:creator>Pete Edmunds</dc:creator>
</cp:coreProperties>
</file>